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fileSharing readOnlyRecommended="1"/>
  <workbookPr/>
  <mc:AlternateContent xmlns:mc="http://schemas.openxmlformats.org/markup-compatibility/2006">
    <mc:Choice Requires="x15">
      <x15ac:absPath xmlns:x15ac="http://schemas.microsoft.com/office/spreadsheetml/2010/11/ac" url="F:\AtirLLSProductie\Atir\Projecten algemeen\In behandeling\Gemeente Smallingerland\aanbesteding 2020\5. Calculatie\"/>
    </mc:Choice>
  </mc:AlternateContent>
  <xr:revisionPtr revIDLastSave="0" documentId="13_ncr:1_{F06723D1-751D-442E-A8AB-14B0B9947E53}" xr6:coauthVersionLast="45" xr6:coauthVersionMax="45" xr10:uidLastSave="{00000000-0000-0000-0000-000000000000}"/>
  <bookViews>
    <workbookView xWindow="-120" yWindow="-120" windowWidth="29040" windowHeight="15840" tabRatio="927" xr2:uid="{00000000-000D-0000-FFFF-FFFF00000000}"/>
  </bookViews>
  <sheets>
    <sheet name="Info blad" sheetId="11" r:id="rId1"/>
    <sheet name="1-Contractblad totaal" sheetId="32" r:id="rId2"/>
    <sheet name="2-Kosten per locatie" sheetId="39" r:id="rId3"/>
    <sheet name="3-Productie normen" sheetId="28" r:id="rId4"/>
    <sheet name="4-Basis ruimtestaat" sheetId="2" r:id="rId5"/>
    <sheet name="5-Premies en opslagen" sheetId="17" r:id="rId6"/>
    <sheet name="6-Opbouw uurtarief productie" sheetId="18" r:id="rId7"/>
    <sheet name="7-Opbouw uurtarief toezicht" sheetId="38" r:id="rId8"/>
    <sheet name="8-Additionele werkzaamheden" sheetId="31" r:id="rId9"/>
    <sheet name="9-Afroepprijs" sheetId="5" r:id="rId10"/>
    <sheet name="10-Glasbewassing" sheetId="35"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1F" localSheetId="2" hidden="1">[1]Psychiatrie!#REF!</definedName>
    <definedName name="__1F" hidden="1">[1]Psychiatrie!#REF!</definedName>
    <definedName name="__2_0_F" localSheetId="2" hidden="1">[1]Psychiatrie!#REF!</definedName>
    <definedName name="__2_0_F" hidden="1">[1]Psychiatrie!#REF!</definedName>
    <definedName name="_1_________F" localSheetId="2" hidden="1">[1]Psychiatrie!#REF!</definedName>
    <definedName name="_1_________F" hidden="1">[1]Psychiatrie!#REF!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0" hidden="1">'[2]#REF'!#REF!</definedName>
    <definedName name="_Fill" localSheetId="1" hidden="1">'[3]#REF'!#REF!</definedName>
    <definedName name="_Fill" localSheetId="2" hidden="1">'[4]#REF'!#REF!</definedName>
    <definedName name="_Fill" localSheetId="0" hidden="1">'[4]#REF'!#REF!</definedName>
    <definedName name="_Fill" hidden="1">'[4]#REF'!#REF!</definedName>
    <definedName name="_filll" hidden="1">'[5]#REF'!#REF!</definedName>
    <definedName name="_xlnm._FilterDatabase" localSheetId="10" hidden="1">'10-Glasbewassing'!$A$12:$AA$21</definedName>
    <definedName name="_xlnm._FilterDatabase" localSheetId="2" hidden="1">'2-Kosten per locatie'!$A$10:$D$15</definedName>
    <definedName name="_xlnm._FilterDatabase" localSheetId="4" hidden="1">'4-Basis ruimtestaat'!$B$9:$Q$279</definedName>
    <definedName name="_Key1" localSheetId="10" hidden="1">'[2]#REF'!#REF!</definedName>
    <definedName name="_Key1" localSheetId="1" hidden="1">'[3]#REF'!#REF!</definedName>
    <definedName name="_Key1" localSheetId="2" hidden="1">'[4]#REF'!#REF!</definedName>
    <definedName name="_Key1" localSheetId="0" hidden="1">'[4]#REF'!#REF!</definedName>
    <definedName name="_Key1" hidden="1">'[4]#REF'!#REF!</definedName>
    <definedName name="_Key2" localSheetId="2" hidden="1">#REF!</definedName>
    <definedName name="_Key2" hidden="1">#REF!</definedName>
    <definedName name="_Order1" hidden="1">255</definedName>
    <definedName name="_Order2" hidden="1">255</definedName>
    <definedName name="_Sort" localSheetId="2" hidden="1">#REF!</definedName>
    <definedName name="_Sort" hidden="1">#REF!</definedName>
    <definedName name="_Table1_In1" localSheetId="2" hidden="1">#REF!</definedName>
    <definedName name="_Table1_In1" hidden="1">#REF!</definedName>
    <definedName name="_Table1_Out" localSheetId="2" hidden="1">#REF!</definedName>
    <definedName name="_Table1_Out" hidden="1">#REF!</definedName>
    <definedName name="AccessDatabase" hidden="1">"C:\data\excel\BASISWP.mdb"</definedName>
    <definedName name="Additioneel" hidden="1">'[2]#REF'!#REF!</definedName>
    <definedName name="_xlnm.Print_Area" localSheetId="1">'1-Contractblad totaal'!$A$1:$H$44</definedName>
    <definedName name="_xlnm.Print_Area" localSheetId="2">'2-Kosten per locatie'!$A$3:$P$14</definedName>
    <definedName name="_xlnm.Print_Area" localSheetId="4">'4-Basis ruimtestaat'!$B$3:$Q$279</definedName>
    <definedName name="_xlnm.Print_Area" localSheetId="5">'5-Premies en opslagen'!$A$3:$E$54</definedName>
    <definedName name="_xlnm.Print_Area" localSheetId="6">'6-Opbouw uurtarief productie'!$A$1:$R$64</definedName>
    <definedName name="_xlnm.Print_Area" localSheetId="9">'9-Afroepprijs'!$A$3:$F$63</definedName>
    <definedName name="_xlnm.Print_Area" localSheetId="0">'Info blad'!$A$1:$F$20</definedName>
    <definedName name="_xlnm.Print_Titles" localSheetId="10">'10-Glasbewassing'!$12:$12</definedName>
    <definedName name="_xlnm.Print_Titles" localSheetId="2">'2-Kosten per locatie'!$10:$10</definedName>
    <definedName name="_xlnm.Print_Titles" localSheetId="4">'4-Basis ruimtestaat'!$9:$9</definedName>
    <definedName name="_xlnm.Print_Titles" localSheetId="6">'6-Opbouw uurtarief productie'!$A:$C</definedName>
    <definedName name="_xlnm.Print_Titles" localSheetId="9">'9-Afroepprijs'!$6:$10</definedName>
    <definedName name="berichtok" localSheetId="2">'2-Kosten per locatie'!berichtok</definedName>
    <definedName name="berichtok">[0]!berichtok</definedName>
    <definedName name="berichtoke" localSheetId="2">'2-Kosten per locatie'!berichtoke</definedName>
    <definedName name="berichtoke">[0]!berichtoke</definedName>
    <definedName name="berichtoke1" localSheetId="2">'2-Kosten per locatie'!berichtoke1</definedName>
    <definedName name="berichtoke1">[0]!berichtoke1</definedName>
    <definedName name="Berkt" localSheetId="2">'2-Kosten per locatie'!Berkt</definedName>
    <definedName name="Berkt">[0]!Berkt</definedName>
    <definedName name="dffdf" localSheetId="2" hidden="1">'[6]#REF'!#REF!</definedName>
    <definedName name="dffdf" hidden="1">'[6]#REF'!#REF!</definedName>
    <definedName name="einde" localSheetId="2">'2-Kosten per locatie'!einde</definedName>
    <definedName name="einde">[0]!einde</definedName>
    <definedName name="fghf" localSheetId="2" hidden="1">'[3]#REF'!#REF!</definedName>
    <definedName name="fghf" hidden="1">'[3]#REF'!#REF!</definedName>
    <definedName name="Gan_R" localSheetId="2">'2-Kosten per locatie'!Gan_R</definedName>
    <definedName name="gebouw">'4-Basis ruimtestaat'!$B:$B</definedName>
    <definedName name="glas" localSheetId="2">'2-Kosten per locatie'!glas</definedName>
    <definedName name="glas">[0]!glas</definedName>
    <definedName name="glassoort">'[7]10-Glasstaat'!$I$2:$J$14</definedName>
    <definedName name="Glassoort2">'[8]10-Glasstaat'!$I$2:$J$14</definedName>
    <definedName name="gs" hidden="1">'[6]#REF'!#REF!</definedName>
    <definedName name="han" localSheetId="10" hidden="1">'[2]#REF'!#REF!</definedName>
    <definedName name="han" localSheetId="1" hidden="1">'[3]#REF'!#REF!</definedName>
    <definedName name="han" localSheetId="2" hidden="1">'[4]#REF'!#REF!</definedName>
    <definedName name="han" hidden="1">'[4]#REF'!#REF!</definedName>
    <definedName name="hjkjhkj">[9]Totaaloverzicht!$A$10:$L$37</definedName>
    <definedName name="HTML_CodePage" hidden="1">1252</definedName>
    <definedName name="HTML_Control" localSheetId="2"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hidden="1">'[3]#REF'!#REF!</definedName>
    <definedName name="Lijn">'[10]3-Basis ruimtestaat'!$C:$C</definedName>
    <definedName name="lll">'[12]3-Basis ruimtestaat'!$O:$O</definedName>
    <definedName name="mavr">'[13]3-Basis ruimtestaat'!$M:$M</definedName>
    <definedName name="Mutatiederdekwartaal" localSheetId="2" hidden="1">{"'ma_vr'!$A$1:$AA$42"}</definedName>
    <definedName name="Mutatiederdekwartaal" hidden="1">{"'ma_vr'!$A$1:$AA$42"}</definedName>
    <definedName name="naloop">'[13]3-Basis ruimtestaat'!$N:$N</definedName>
    <definedName name="NvB" hidden="1">'[5]#REF'!#REF!</definedName>
    <definedName name="uren_mavr">'4-Basis ruimtestaat'!$L:$L</definedName>
    <definedName name="uren_zazofe">'[14]4-Basis ruimtestaat'!$O:$O</definedName>
    <definedName name="uurt">[15]Uurtarieven!$F$57</definedName>
    <definedName name="VloerK">'[16]Basis ruimtestaat'!$W:$W</definedName>
    <definedName name="VloerM">'[16]Basis ruimtestaat'!$K:$V</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2" i="32" l="1"/>
  <c r="D21" i="35" l="1"/>
  <c r="N11" i="2" l="1"/>
  <c r="Q11" i="2"/>
  <c r="N12" i="2"/>
  <c r="Q12" i="2"/>
  <c r="N13" i="2"/>
  <c r="Q13" i="2"/>
  <c r="N14" i="2"/>
  <c r="Q14" i="2"/>
  <c r="N15" i="2"/>
  <c r="Q15" i="2"/>
  <c r="N16" i="2"/>
  <c r="Q16" i="2"/>
  <c r="N17" i="2"/>
  <c r="Q17" i="2"/>
  <c r="N18" i="2"/>
  <c r="Q18" i="2"/>
  <c r="N19" i="2"/>
  <c r="Q19" i="2"/>
  <c r="N20" i="2"/>
  <c r="Q20" i="2"/>
  <c r="N21" i="2"/>
  <c r="Q21" i="2"/>
  <c r="N22" i="2"/>
  <c r="Q22" i="2"/>
  <c r="N23" i="2"/>
  <c r="Q23" i="2"/>
  <c r="N24" i="2"/>
  <c r="Q24" i="2"/>
  <c r="N25" i="2"/>
  <c r="Q25" i="2"/>
  <c r="N26" i="2"/>
  <c r="Q26" i="2"/>
  <c r="N27" i="2"/>
  <c r="Q27" i="2"/>
  <c r="N28" i="2"/>
  <c r="Q28" i="2"/>
  <c r="N29" i="2"/>
  <c r="Q29" i="2"/>
  <c r="N30" i="2"/>
  <c r="Q30" i="2"/>
  <c r="N31" i="2"/>
  <c r="Q31" i="2"/>
  <c r="N32" i="2"/>
  <c r="Q32" i="2"/>
  <c r="N33" i="2"/>
  <c r="Q33" i="2"/>
  <c r="N34" i="2"/>
  <c r="Q34" i="2"/>
  <c r="N35" i="2"/>
  <c r="Q35" i="2"/>
  <c r="N36" i="2"/>
  <c r="Q36" i="2"/>
  <c r="N37" i="2"/>
  <c r="Q37" i="2"/>
  <c r="N38" i="2"/>
  <c r="Q38" i="2"/>
  <c r="N39" i="2"/>
  <c r="Q39" i="2"/>
  <c r="N40" i="2"/>
  <c r="Q40" i="2"/>
  <c r="N41" i="2"/>
  <c r="Q41" i="2"/>
  <c r="N42" i="2"/>
  <c r="Q42" i="2"/>
  <c r="N43" i="2"/>
  <c r="Q43" i="2"/>
  <c r="N44" i="2"/>
  <c r="Q44" i="2"/>
  <c r="N45" i="2"/>
  <c r="Q45" i="2"/>
  <c r="N46" i="2"/>
  <c r="Q46" i="2"/>
  <c r="N47" i="2"/>
  <c r="Q47" i="2"/>
  <c r="N48" i="2"/>
  <c r="Q48" i="2"/>
  <c r="N49" i="2"/>
  <c r="Q49" i="2"/>
  <c r="N50" i="2"/>
  <c r="Q50" i="2"/>
  <c r="N51" i="2"/>
  <c r="Q51" i="2"/>
  <c r="N52" i="2"/>
  <c r="Q52" i="2"/>
  <c r="N53" i="2"/>
  <c r="Q53" i="2"/>
  <c r="N54" i="2"/>
  <c r="Q54" i="2"/>
  <c r="N55" i="2"/>
  <c r="Q55" i="2"/>
  <c r="N56" i="2"/>
  <c r="Q56" i="2"/>
  <c r="N57" i="2"/>
  <c r="Q57" i="2"/>
  <c r="N58" i="2"/>
  <c r="Q58" i="2"/>
  <c r="N59" i="2"/>
  <c r="Q59" i="2"/>
  <c r="N60" i="2"/>
  <c r="Q60" i="2"/>
  <c r="N61" i="2"/>
  <c r="Q61" i="2"/>
  <c r="N62" i="2"/>
  <c r="Q62" i="2"/>
  <c r="N63" i="2"/>
  <c r="Q63" i="2"/>
  <c r="N64" i="2"/>
  <c r="Q64" i="2"/>
  <c r="N65" i="2"/>
  <c r="Q65" i="2"/>
  <c r="N66" i="2"/>
  <c r="Q66" i="2"/>
  <c r="N67" i="2"/>
  <c r="Q67" i="2"/>
  <c r="N68" i="2"/>
  <c r="Q68" i="2"/>
  <c r="N69" i="2"/>
  <c r="Q69" i="2"/>
  <c r="N70" i="2"/>
  <c r="Q70" i="2"/>
  <c r="N71" i="2"/>
  <c r="Q71" i="2"/>
  <c r="N72" i="2"/>
  <c r="Q72" i="2"/>
  <c r="N73" i="2"/>
  <c r="Q73" i="2"/>
  <c r="N74" i="2"/>
  <c r="Q74" i="2"/>
  <c r="N75" i="2"/>
  <c r="Q75" i="2"/>
  <c r="N76" i="2"/>
  <c r="Q76" i="2"/>
  <c r="N77" i="2"/>
  <c r="Q77" i="2"/>
  <c r="N78" i="2"/>
  <c r="Q78" i="2"/>
  <c r="N79" i="2"/>
  <c r="Q79" i="2"/>
  <c r="N80" i="2"/>
  <c r="Q80" i="2"/>
  <c r="N81" i="2"/>
  <c r="Q81" i="2"/>
  <c r="N82" i="2"/>
  <c r="Q82" i="2"/>
  <c r="N83" i="2"/>
  <c r="Q83" i="2"/>
  <c r="N84" i="2"/>
  <c r="Q84" i="2"/>
  <c r="N85" i="2"/>
  <c r="Q85" i="2"/>
  <c r="N86" i="2"/>
  <c r="Q86" i="2"/>
  <c r="N87" i="2"/>
  <c r="Q87" i="2"/>
  <c r="N88" i="2"/>
  <c r="Q88" i="2"/>
  <c r="N89" i="2"/>
  <c r="Q89" i="2"/>
  <c r="N90" i="2"/>
  <c r="Q90" i="2"/>
  <c r="N91" i="2"/>
  <c r="Q91" i="2"/>
  <c r="N92" i="2"/>
  <c r="Q92" i="2"/>
  <c r="N93" i="2"/>
  <c r="Q93" i="2"/>
  <c r="N94" i="2"/>
  <c r="Q94" i="2"/>
  <c r="N95" i="2"/>
  <c r="Q95" i="2"/>
  <c r="N96" i="2"/>
  <c r="Q96" i="2"/>
  <c r="N97" i="2"/>
  <c r="Q97" i="2"/>
  <c r="N98" i="2"/>
  <c r="Q98" i="2"/>
  <c r="N99" i="2"/>
  <c r="Q99" i="2"/>
  <c r="N100" i="2"/>
  <c r="Q100" i="2"/>
  <c r="N101" i="2"/>
  <c r="Q101" i="2"/>
  <c r="N102" i="2"/>
  <c r="Q102" i="2"/>
  <c r="N103" i="2"/>
  <c r="Q103" i="2"/>
  <c r="N104" i="2"/>
  <c r="Q104" i="2"/>
  <c r="N105" i="2"/>
  <c r="Q105" i="2"/>
  <c r="N106" i="2"/>
  <c r="Q106" i="2"/>
  <c r="N107" i="2"/>
  <c r="Q107" i="2"/>
  <c r="N108" i="2"/>
  <c r="Q108" i="2"/>
  <c r="N109" i="2"/>
  <c r="Q109" i="2"/>
  <c r="N110" i="2"/>
  <c r="Q110" i="2"/>
  <c r="N111" i="2"/>
  <c r="Q111" i="2"/>
  <c r="N112" i="2"/>
  <c r="Q112" i="2"/>
  <c r="N113" i="2"/>
  <c r="Q113" i="2"/>
  <c r="N114" i="2"/>
  <c r="Q114" i="2"/>
  <c r="N115" i="2"/>
  <c r="Q115" i="2"/>
  <c r="N116" i="2"/>
  <c r="Q116" i="2"/>
  <c r="N117" i="2"/>
  <c r="Q117" i="2"/>
  <c r="N118" i="2"/>
  <c r="Q118" i="2"/>
  <c r="N119" i="2"/>
  <c r="Q119" i="2"/>
  <c r="N120" i="2"/>
  <c r="Q120" i="2"/>
  <c r="N121" i="2"/>
  <c r="Q121" i="2"/>
  <c r="N122" i="2"/>
  <c r="Q122" i="2"/>
  <c r="N123" i="2"/>
  <c r="Q123" i="2"/>
  <c r="N124" i="2"/>
  <c r="Q124" i="2"/>
  <c r="N125" i="2"/>
  <c r="Q125" i="2"/>
  <c r="N126" i="2"/>
  <c r="Q126" i="2"/>
  <c r="N127" i="2"/>
  <c r="Q127" i="2"/>
  <c r="N128" i="2"/>
  <c r="Q128" i="2"/>
  <c r="N129" i="2"/>
  <c r="Q129" i="2"/>
  <c r="N130" i="2"/>
  <c r="Q130" i="2"/>
  <c r="N131" i="2"/>
  <c r="Q131" i="2"/>
  <c r="N132" i="2"/>
  <c r="Q132" i="2"/>
  <c r="N133" i="2"/>
  <c r="Q133" i="2"/>
  <c r="N134" i="2"/>
  <c r="Q134" i="2"/>
  <c r="N135" i="2"/>
  <c r="Q135" i="2"/>
  <c r="N136" i="2"/>
  <c r="Q136" i="2"/>
  <c r="N137" i="2"/>
  <c r="Q137" i="2"/>
  <c r="N138" i="2"/>
  <c r="Q138" i="2"/>
  <c r="N139" i="2"/>
  <c r="Q139" i="2"/>
  <c r="N140" i="2"/>
  <c r="Q140" i="2"/>
  <c r="N141" i="2"/>
  <c r="Q141" i="2"/>
  <c r="N142" i="2"/>
  <c r="Q142" i="2"/>
  <c r="N143" i="2"/>
  <c r="Q143" i="2"/>
  <c r="N144" i="2"/>
  <c r="Q144" i="2"/>
  <c r="N145" i="2"/>
  <c r="Q145" i="2"/>
  <c r="N146" i="2"/>
  <c r="Q146" i="2"/>
  <c r="N147" i="2"/>
  <c r="Q147" i="2"/>
  <c r="N148" i="2"/>
  <c r="Q148" i="2"/>
  <c r="N149" i="2"/>
  <c r="Q149" i="2"/>
  <c r="N150" i="2"/>
  <c r="Q150" i="2"/>
  <c r="N151" i="2"/>
  <c r="Q151" i="2"/>
  <c r="N152" i="2"/>
  <c r="Q152" i="2"/>
  <c r="N153" i="2"/>
  <c r="Q153" i="2"/>
  <c r="N154" i="2"/>
  <c r="Q154" i="2"/>
  <c r="N155" i="2"/>
  <c r="Q155" i="2"/>
  <c r="N156" i="2"/>
  <c r="Q156" i="2"/>
  <c r="N157" i="2"/>
  <c r="Q157" i="2"/>
  <c r="N158" i="2"/>
  <c r="Q158" i="2"/>
  <c r="N159" i="2"/>
  <c r="Q159" i="2"/>
  <c r="N160" i="2"/>
  <c r="Q160" i="2"/>
  <c r="N161" i="2"/>
  <c r="Q161" i="2"/>
  <c r="N162" i="2"/>
  <c r="Q162" i="2"/>
  <c r="N163" i="2"/>
  <c r="Q163" i="2"/>
  <c r="N164" i="2"/>
  <c r="Q164" i="2"/>
  <c r="N165" i="2"/>
  <c r="Q165" i="2"/>
  <c r="N166" i="2"/>
  <c r="Q166" i="2"/>
  <c r="N167" i="2"/>
  <c r="Q167" i="2"/>
  <c r="N168" i="2"/>
  <c r="Q168" i="2"/>
  <c r="N169" i="2"/>
  <c r="Q169" i="2"/>
  <c r="N170" i="2"/>
  <c r="Q170" i="2"/>
  <c r="N171" i="2"/>
  <c r="Q171" i="2"/>
  <c r="N172" i="2"/>
  <c r="Q172" i="2"/>
  <c r="N173" i="2"/>
  <c r="Q173" i="2"/>
  <c r="N174" i="2"/>
  <c r="Q174" i="2"/>
  <c r="N175" i="2"/>
  <c r="Q175" i="2"/>
  <c r="N176" i="2"/>
  <c r="Q176" i="2"/>
  <c r="N177" i="2"/>
  <c r="Q177" i="2"/>
  <c r="N178" i="2"/>
  <c r="Q178" i="2"/>
  <c r="N179" i="2"/>
  <c r="Q179" i="2"/>
  <c r="N180" i="2"/>
  <c r="Q180" i="2"/>
  <c r="N181" i="2"/>
  <c r="Q181" i="2"/>
  <c r="N182" i="2"/>
  <c r="Q182" i="2"/>
  <c r="N183" i="2"/>
  <c r="Q183" i="2"/>
  <c r="N184" i="2"/>
  <c r="Q184" i="2"/>
  <c r="N185" i="2"/>
  <c r="Q185" i="2"/>
  <c r="N186" i="2"/>
  <c r="Q186" i="2"/>
  <c r="N187" i="2"/>
  <c r="Q187" i="2"/>
  <c r="N188" i="2"/>
  <c r="Q188" i="2"/>
  <c r="N189" i="2"/>
  <c r="Q189" i="2"/>
  <c r="N190" i="2"/>
  <c r="Q190" i="2"/>
  <c r="N191" i="2"/>
  <c r="Q191" i="2"/>
  <c r="N192" i="2"/>
  <c r="Q192" i="2"/>
  <c r="N193" i="2"/>
  <c r="Q193" i="2"/>
  <c r="N194" i="2"/>
  <c r="Q194" i="2"/>
  <c r="N195" i="2"/>
  <c r="Q195" i="2"/>
  <c r="N196" i="2"/>
  <c r="Q196" i="2"/>
  <c r="N197" i="2"/>
  <c r="Q197" i="2"/>
  <c r="N198" i="2"/>
  <c r="Q198" i="2"/>
  <c r="N199" i="2"/>
  <c r="Q199" i="2"/>
  <c r="N200" i="2"/>
  <c r="Q200" i="2"/>
  <c r="N201" i="2"/>
  <c r="Q201" i="2"/>
  <c r="N202" i="2"/>
  <c r="Q202" i="2"/>
  <c r="N203" i="2"/>
  <c r="Q203" i="2"/>
  <c r="N204" i="2"/>
  <c r="Q204" i="2"/>
  <c r="N205" i="2"/>
  <c r="Q205" i="2"/>
  <c r="N206" i="2"/>
  <c r="Q206" i="2"/>
  <c r="N207" i="2"/>
  <c r="Q207" i="2"/>
  <c r="N208" i="2"/>
  <c r="Q208" i="2"/>
  <c r="N209" i="2"/>
  <c r="Q209" i="2"/>
  <c r="N210" i="2"/>
  <c r="Q210" i="2"/>
  <c r="N211" i="2"/>
  <c r="Q211" i="2"/>
  <c r="N212" i="2"/>
  <c r="Q212" i="2"/>
  <c r="N213" i="2"/>
  <c r="Q213" i="2"/>
  <c r="N214" i="2"/>
  <c r="Q214" i="2"/>
  <c r="N215" i="2"/>
  <c r="Q215" i="2"/>
  <c r="N216" i="2"/>
  <c r="Q216" i="2"/>
  <c r="N217" i="2"/>
  <c r="Q217" i="2"/>
  <c r="N218" i="2"/>
  <c r="Q218" i="2"/>
  <c r="N219" i="2"/>
  <c r="Q219" i="2"/>
  <c r="N220" i="2"/>
  <c r="Q220" i="2"/>
  <c r="N221" i="2"/>
  <c r="Q221" i="2"/>
  <c r="N222" i="2"/>
  <c r="Q222" i="2"/>
  <c r="N223" i="2"/>
  <c r="Q223" i="2"/>
  <c r="N224" i="2"/>
  <c r="Q224" i="2"/>
  <c r="N225" i="2"/>
  <c r="Q225" i="2"/>
  <c r="N226" i="2"/>
  <c r="Q226" i="2"/>
  <c r="N227" i="2"/>
  <c r="Q227" i="2"/>
  <c r="N228" i="2"/>
  <c r="Q228" i="2"/>
  <c r="N229" i="2"/>
  <c r="Q229" i="2"/>
  <c r="N230" i="2"/>
  <c r="Q230" i="2"/>
  <c r="N231" i="2"/>
  <c r="Q231" i="2"/>
  <c r="N232" i="2"/>
  <c r="Q232" i="2"/>
  <c r="N233" i="2"/>
  <c r="Q233" i="2"/>
  <c r="N234" i="2"/>
  <c r="Q234" i="2"/>
  <c r="N235" i="2"/>
  <c r="Q235" i="2"/>
  <c r="N236" i="2"/>
  <c r="Q236" i="2"/>
  <c r="N237" i="2"/>
  <c r="Q237" i="2"/>
  <c r="N238" i="2"/>
  <c r="Q238" i="2"/>
  <c r="N239" i="2"/>
  <c r="Q239" i="2"/>
  <c r="N240" i="2"/>
  <c r="Q240" i="2"/>
  <c r="N241" i="2"/>
  <c r="Q241" i="2"/>
  <c r="N242" i="2"/>
  <c r="Q242" i="2"/>
  <c r="N243" i="2"/>
  <c r="Q243" i="2"/>
  <c r="N244" i="2"/>
  <c r="Q244" i="2"/>
  <c r="N245" i="2"/>
  <c r="Q245" i="2"/>
  <c r="N246" i="2"/>
  <c r="Q246" i="2"/>
  <c r="N247" i="2"/>
  <c r="Q247" i="2"/>
  <c r="N248" i="2"/>
  <c r="Q248" i="2"/>
  <c r="N249" i="2"/>
  <c r="Q249" i="2"/>
  <c r="N250" i="2"/>
  <c r="Q250" i="2"/>
  <c r="N251" i="2"/>
  <c r="Q251" i="2"/>
  <c r="N252" i="2"/>
  <c r="Q252" i="2"/>
  <c r="N253" i="2"/>
  <c r="Q253" i="2"/>
  <c r="N254" i="2"/>
  <c r="Q254" i="2"/>
  <c r="N255" i="2"/>
  <c r="Q255" i="2"/>
  <c r="N256" i="2"/>
  <c r="Q256" i="2"/>
  <c r="N257" i="2"/>
  <c r="Q257" i="2"/>
  <c r="N258" i="2"/>
  <c r="Q258" i="2"/>
  <c r="N259" i="2"/>
  <c r="Q259" i="2"/>
  <c r="N260" i="2"/>
  <c r="Q260" i="2"/>
  <c r="N261" i="2"/>
  <c r="Q261" i="2"/>
  <c r="N262" i="2"/>
  <c r="Q262" i="2"/>
  <c r="N263" i="2"/>
  <c r="Q263" i="2"/>
  <c r="N264" i="2"/>
  <c r="Q264" i="2"/>
  <c r="N265" i="2"/>
  <c r="Q265" i="2"/>
  <c r="N266" i="2"/>
  <c r="Q266" i="2"/>
  <c r="N267" i="2"/>
  <c r="Q267" i="2"/>
  <c r="N268" i="2"/>
  <c r="Q268" i="2"/>
  <c r="N269" i="2"/>
  <c r="Q269" i="2"/>
  <c r="N270" i="2"/>
  <c r="Q270" i="2"/>
  <c r="N271" i="2"/>
  <c r="Q271" i="2"/>
  <c r="N272" i="2"/>
  <c r="Q272" i="2"/>
  <c r="N273" i="2"/>
  <c r="Q273" i="2"/>
  <c r="N274" i="2"/>
  <c r="Q274" i="2"/>
  <c r="N275" i="2"/>
  <c r="Q275" i="2"/>
  <c r="N276" i="2"/>
  <c r="Q276" i="2"/>
  <c r="N277" i="2"/>
  <c r="Q277" i="2"/>
  <c r="N278" i="2"/>
  <c r="Q278" i="2"/>
  <c r="N279" i="2"/>
  <c r="Q279" i="2"/>
  <c r="F11" i="31"/>
  <c r="L22" i="28"/>
  <c r="G19" i="35" l="1"/>
  <c r="E19" i="35" s="1"/>
  <c r="H19" i="35" s="1"/>
  <c r="G20" i="35"/>
  <c r="E20" i="35" s="1"/>
  <c r="H20" i="35" s="1"/>
  <c r="G18" i="35"/>
  <c r="E18" i="35" s="1"/>
  <c r="H18" i="35" s="1"/>
  <c r="G17" i="35" l="1"/>
  <c r="E17" i="35" s="1"/>
  <c r="H17" i="35" s="1"/>
  <c r="G16" i="35"/>
  <c r="E16" i="35" s="1"/>
  <c r="D12" i="39" l="1"/>
  <c r="D11" i="39"/>
  <c r="B7" i="39" a="1"/>
  <c r="B7" i="39" s="1"/>
  <c r="B6" i="39"/>
  <c r="B5" i="39"/>
  <c r="B4" i="39"/>
  <c r="B3" i="39"/>
  <c r="L21" i="28" l="1"/>
  <c r="L20" i="28"/>
  <c r="L10" i="28"/>
  <c r="L81" i="2" l="1"/>
  <c r="L147" i="2"/>
  <c r="L148" i="2"/>
  <c r="L149" i="2"/>
  <c r="L150" i="2"/>
  <c r="L177" i="2"/>
  <c r="L178" i="2"/>
  <c r="L179" i="2"/>
  <c r="L201" i="2"/>
  <c r="L202" i="2"/>
  <c r="L203" i="2"/>
  <c r="L204" i="2"/>
  <c r="L205" i="2"/>
  <c r="L212" i="2"/>
  <c r="L214" i="2"/>
  <c r="L215" i="2"/>
  <c r="L219" i="2"/>
  <c r="L220" i="2"/>
  <c r="L222" i="2"/>
  <c r="L246" i="2"/>
  <c r="L248" i="2"/>
  <c r="L249" i="2"/>
  <c r="L250" i="2"/>
  <c r="L251" i="2"/>
  <c r="L253" i="2"/>
  <c r="L255" i="2"/>
  <c r="L259" i="2"/>
  <c r="L269" i="2"/>
  <c r="L272" i="2"/>
  <c r="L273" i="2"/>
  <c r="L276" i="2"/>
  <c r="L277" i="2"/>
  <c r="L278" i="2"/>
  <c r="L279" i="2"/>
  <c r="C16" i="17" l="1"/>
  <c r="N45" i="18" l="1"/>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3" i="38"/>
  <c r="M33" i="38"/>
  <c r="L33" i="38"/>
  <c r="K33" i="38"/>
  <c r="J33" i="38"/>
  <c r="I33" i="38"/>
  <c r="M15" i="2" l="1"/>
  <c r="L15" i="2" s="1"/>
  <c r="M14" i="2"/>
  <c r="L14" i="2" s="1"/>
  <c r="M16" i="2"/>
  <c r="L16" i="2" s="1"/>
  <c r="M17" i="2"/>
  <c r="L17" i="2" s="1"/>
  <c r="M18" i="2"/>
  <c r="L18" i="2" s="1"/>
  <c r="M19" i="2"/>
  <c r="L19" i="2" s="1"/>
  <c r="M20" i="2"/>
  <c r="L20" i="2" s="1"/>
  <c r="M21" i="2"/>
  <c r="L21" i="2" s="1"/>
  <c r="M22" i="2"/>
  <c r="L22" i="2" s="1"/>
  <c r="M23" i="2"/>
  <c r="L23" i="2" s="1"/>
  <c r="M24" i="2"/>
  <c r="L24" i="2" s="1"/>
  <c r="M25" i="2"/>
  <c r="L25" i="2" s="1"/>
  <c r="M26" i="2"/>
  <c r="L26" i="2" s="1"/>
  <c r="M27" i="2"/>
  <c r="L27" i="2" s="1"/>
  <c r="M28" i="2"/>
  <c r="L28" i="2" s="1"/>
  <c r="M29" i="2"/>
  <c r="L29" i="2" s="1"/>
  <c r="M30" i="2"/>
  <c r="L30" i="2" s="1"/>
  <c r="M31" i="2"/>
  <c r="L31" i="2" s="1"/>
  <c r="M32" i="2"/>
  <c r="L32" i="2" s="1"/>
  <c r="M33" i="2"/>
  <c r="L33" i="2" s="1"/>
  <c r="M34" i="2"/>
  <c r="L34" i="2" s="1"/>
  <c r="M35" i="2"/>
  <c r="L35" i="2" s="1"/>
  <c r="M36" i="2"/>
  <c r="L36" i="2" s="1"/>
  <c r="M37" i="2"/>
  <c r="L37" i="2" s="1"/>
  <c r="M38" i="2"/>
  <c r="L38" i="2" s="1"/>
  <c r="M39" i="2"/>
  <c r="L39" i="2" s="1"/>
  <c r="M40" i="2"/>
  <c r="L40" i="2" s="1"/>
  <c r="M41" i="2"/>
  <c r="L41" i="2" s="1"/>
  <c r="M42" i="2"/>
  <c r="L42" i="2" s="1"/>
  <c r="M43" i="2"/>
  <c r="L43" i="2" s="1"/>
  <c r="M44" i="2"/>
  <c r="L44" i="2" s="1"/>
  <c r="M45" i="2"/>
  <c r="L45" i="2" s="1"/>
  <c r="M46" i="2"/>
  <c r="L46" i="2" s="1"/>
  <c r="M47" i="2"/>
  <c r="L47" i="2" s="1"/>
  <c r="M48" i="2"/>
  <c r="L48" i="2" s="1"/>
  <c r="M49" i="2"/>
  <c r="L49" i="2" s="1"/>
  <c r="M50" i="2"/>
  <c r="L50" i="2" s="1"/>
  <c r="M51" i="2"/>
  <c r="L51" i="2" s="1"/>
  <c r="M52" i="2"/>
  <c r="L52" i="2" s="1"/>
  <c r="M53" i="2"/>
  <c r="L53" i="2" s="1"/>
  <c r="M54" i="2"/>
  <c r="L54" i="2" s="1"/>
  <c r="M55" i="2"/>
  <c r="L55" i="2" s="1"/>
  <c r="M56" i="2"/>
  <c r="L56" i="2" s="1"/>
  <c r="M57" i="2"/>
  <c r="L57" i="2" s="1"/>
  <c r="M58" i="2"/>
  <c r="L58" i="2" s="1"/>
  <c r="M59" i="2"/>
  <c r="L59" i="2" s="1"/>
  <c r="M60" i="2"/>
  <c r="L60" i="2" s="1"/>
  <c r="M61" i="2"/>
  <c r="L61" i="2" s="1"/>
  <c r="M62" i="2"/>
  <c r="L62" i="2" s="1"/>
  <c r="M63" i="2"/>
  <c r="L63" i="2" s="1"/>
  <c r="M64" i="2"/>
  <c r="L64" i="2" s="1"/>
  <c r="M65" i="2"/>
  <c r="L65" i="2" s="1"/>
  <c r="M66" i="2"/>
  <c r="L66" i="2" s="1"/>
  <c r="M67" i="2"/>
  <c r="L67" i="2" s="1"/>
  <c r="M68" i="2"/>
  <c r="L68" i="2" s="1"/>
  <c r="M69" i="2"/>
  <c r="L69" i="2" s="1"/>
  <c r="M70" i="2"/>
  <c r="L70" i="2" s="1"/>
  <c r="M71" i="2"/>
  <c r="L71" i="2" s="1"/>
  <c r="M72" i="2"/>
  <c r="L72" i="2" s="1"/>
  <c r="M73" i="2"/>
  <c r="L73" i="2" s="1"/>
  <c r="M74" i="2"/>
  <c r="L74" i="2" s="1"/>
  <c r="M75" i="2"/>
  <c r="L75" i="2" s="1"/>
  <c r="M76" i="2"/>
  <c r="L76" i="2" s="1"/>
  <c r="M77" i="2"/>
  <c r="L77" i="2" s="1"/>
  <c r="M78" i="2"/>
  <c r="L78" i="2" s="1"/>
  <c r="M79" i="2"/>
  <c r="L79" i="2" s="1"/>
  <c r="M80" i="2"/>
  <c r="L80" i="2" s="1"/>
  <c r="M81" i="2"/>
  <c r="M82" i="2"/>
  <c r="L82" i="2" s="1"/>
  <c r="M83" i="2"/>
  <c r="L83" i="2" s="1"/>
  <c r="M84" i="2"/>
  <c r="L84" i="2" s="1"/>
  <c r="M85" i="2"/>
  <c r="L85" i="2" s="1"/>
  <c r="M86" i="2"/>
  <c r="L86" i="2" s="1"/>
  <c r="M87" i="2"/>
  <c r="L87" i="2" s="1"/>
  <c r="M88" i="2"/>
  <c r="L88" i="2" s="1"/>
  <c r="M89" i="2"/>
  <c r="L89" i="2" s="1"/>
  <c r="M90" i="2"/>
  <c r="L90" i="2" s="1"/>
  <c r="M91" i="2"/>
  <c r="L91" i="2" s="1"/>
  <c r="M92" i="2"/>
  <c r="L92" i="2" s="1"/>
  <c r="M93" i="2"/>
  <c r="L93" i="2" s="1"/>
  <c r="M94" i="2"/>
  <c r="L94" i="2" s="1"/>
  <c r="M95" i="2"/>
  <c r="L95" i="2" s="1"/>
  <c r="M96" i="2"/>
  <c r="L96" i="2" s="1"/>
  <c r="M97" i="2"/>
  <c r="L97" i="2" s="1"/>
  <c r="M98" i="2"/>
  <c r="L98" i="2" s="1"/>
  <c r="M99" i="2"/>
  <c r="L99" i="2" s="1"/>
  <c r="M100" i="2"/>
  <c r="L100" i="2" s="1"/>
  <c r="M101" i="2"/>
  <c r="L101" i="2" s="1"/>
  <c r="M102" i="2"/>
  <c r="L102" i="2" s="1"/>
  <c r="M103" i="2"/>
  <c r="L103" i="2" s="1"/>
  <c r="M104" i="2"/>
  <c r="L104" i="2" s="1"/>
  <c r="M105" i="2"/>
  <c r="L105" i="2" s="1"/>
  <c r="M106" i="2"/>
  <c r="L106" i="2" s="1"/>
  <c r="M107" i="2"/>
  <c r="L107" i="2" s="1"/>
  <c r="M108" i="2"/>
  <c r="L108" i="2" s="1"/>
  <c r="M109" i="2"/>
  <c r="L109" i="2" s="1"/>
  <c r="M110" i="2"/>
  <c r="L110" i="2" s="1"/>
  <c r="M111" i="2"/>
  <c r="L111" i="2" s="1"/>
  <c r="M112" i="2"/>
  <c r="L112" i="2" s="1"/>
  <c r="M113" i="2"/>
  <c r="L113" i="2" s="1"/>
  <c r="M114" i="2"/>
  <c r="L114" i="2" s="1"/>
  <c r="M115" i="2"/>
  <c r="L115" i="2" s="1"/>
  <c r="M116" i="2"/>
  <c r="L116" i="2" s="1"/>
  <c r="M117" i="2"/>
  <c r="L117" i="2" s="1"/>
  <c r="M118" i="2"/>
  <c r="L118" i="2" s="1"/>
  <c r="M119" i="2"/>
  <c r="L119" i="2" s="1"/>
  <c r="M120" i="2"/>
  <c r="L120" i="2" s="1"/>
  <c r="M121" i="2"/>
  <c r="L121" i="2" s="1"/>
  <c r="M122" i="2"/>
  <c r="L122" i="2" s="1"/>
  <c r="M123" i="2"/>
  <c r="L123" i="2" s="1"/>
  <c r="M124" i="2"/>
  <c r="L124" i="2" s="1"/>
  <c r="M125" i="2"/>
  <c r="L125" i="2" s="1"/>
  <c r="M126" i="2"/>
  <c r="L126" i="2" s="1"/>
  <c r="M127" i="2"/>
  <c r="L127" i="2" s="1"/>
  <c r="M128" i="2"/>
  <c r="L128" i="2" s="1"/>
  <c r="M129" i="2"/>
  <c r="L129" i="2" s="1"/>
  <c r="M130" i="2"/>
  <c r="L130" i="2" s="1"/>
  <c r="M131" i="2"/>
  <c r="L131" i="2" s="1"/>
  <c r="M132" i="2"/>
  <c r="L132" i="2" s="1"/>
  <c r="M133" i="2"/>
  <c r="L133" i="2" s="1"/>
  <c r="M134" i="2"/>
  <c r="L134" i="2" s="1"/>
  <c r="M135" i="2"/>
  <c r="L135" i="2" s="1"/>
  <c r="M136" i="2"/>
  <c r="L136" i="2" s="1"/>
  <c r="M137" i="2"/>
  <c r="L137" i="2" s="1"/>
  <c r="M138" i="2"/>
  <c r="L138" i="2" s="1"/>
  <c r="M139" i="2"/>
  <c r="L139" i="2" s="1"/>
  <c r="M140" i="2"/>
  <c r="L140" i="2" s="1"/>
  <c r="M141" i="2"/>
  <c r="L141" i="2" s="1"/>
  <c r="M142" i="2"/>
  <c r="L142" i="2" s="1"/>
  <c r="M143" i="2"/>
  <c r="L143" i="2" s="1"/>
  <c r="M144" i="2"/>
  <c r="L144" i="2" s="1"/>
  <c r="M145" i="2"/>
  <c r="L145" i="2" s="1"/>
  <c r="M146" i="2"/>
  <c r="L146" i="2" s="1"/>
  <c r="M147" i="2"/>
  <c r="M148" i="2"/>
  <c r="M149" i="2"/>
  <c r="M150" i="2"/>
  <c r="M151" i="2"/>
  <c r="L151" i="2" s="1"/>
  <c r="M152" i="2"/>
  <c r="L152" i="2" s="1"/>
  <c r="M153" i="2"/>
  <c r="L153" i="2" s="1"/>
  <c r="M154" i="2"/>
  <c r="L154" i="2" s="1"/>
  <c r="M155" i="2"/>
  <c r="L155" i="2" s="1"/>
  <c r="M156" i="2"/>
  <c r="L156" i="2" s="1"/>
  <c r="M157" i="2"/>
  <c r="L157" i="2" s="1"/>
  <c r="M158" i="2"/>
  <c r="L158" i="2" s="1"/>
  <c r="M159" i="2"/>
  <c r="L159" i="2" s="1"/>
  <c r="M160" i="2"/>
  <c r="L160" i="2" s="1"/>
  <c r="M161" i="2"/>
  <c r="L161" i="2" s="1"/>
  <c r="M162" i="2"/>
  <c r="L162" i="2" s="1"/>
  <c r="M163" i="2"/>
  <c r="L163" i="2" s="1"/>
  <c r="M164" i="2"/>
  <c r="L164" i="2" s="1"/>
  <c r="M165" i="2"/>
  <c r="L165" i="2" s="1"/>
  <c r="M166" i="2"/>
  <c r="L166" i="2" s="1"/>
  <c r="M167" i="2"/>
  <c r="L167" i="2" s="1"/>
  <c r="M168" i="2"/>
  <c r="L168" i="2" s="1"/>
  <c r="M169" i="2"/>
  <c r="L169" i="2" s="1"/>
  <c r="M170" i="2"/>
  <c r="L170" i="2" s="1"/>
  <c r="M171" i="2"/>
  <c r="L171" i="2" s="1"/>
  <c r="M172" i="2"/>
  <c r="L172" i="2" s="1"/>
  <c r="M173" i="2"/>
  <c r="L173" i="2" s="1"/>
  <c r="M174" i="2"/>
  <c r="L174" i="2" s="1"/>
  <c r="M175" i="2"/>
  <c r="L175" i="2" s="1"/>
  <c r="M176" i="2"/>
  <c r="L176" i="2" s="1"/>
  <c r="M177" i="2"/>
  <c r="M178" i="2"/>
  <c r="M179" i="2"/>
  <c r="M180" i="2"/>
  <c r="L180" i="2" s="1"/>
  <c r="M181" i="2"/>
  <c r="L181" i="2" s="1"/>
  <c r="M182" i="2"/>
  <c r="L182" i="2" s="1"/>
  <c r="M183" i="2"/>
  <c r="L183" i="2" s="1"/>
  <c r="M184" i="2"/>
  <c r="L184" i="2" s="1"/>
  <c r="M185" i="2"/>
  <c r="L185" i="2" s="1"/>
  <c r="M186" i="2"/>
  <c r="L186" i="2" s="1"/>
  <c r="M187" i="2"/>
  <c r="L187" i="2" s="1"/>
  <c r="M188" i="2"/>
  <c r="L188" i="2" s="1"/>
  <c r="M189" i="2"/>
  <c r="L189" i="2" s="1"/>
  <c r="M190" i="2"/>
  <c r="L190" i="2" s="1"/>
  <c r="M191" i="2"/>
  <c r="L191" i="2" s="1"/>
  <c r="M192" i="2"/>
  <c r="L192" i="2" s="1"/>
  <c r="M193" i="2"/>
  <c r="L193" i="2" s="1"/>
  <c r="M194" i="2"/>
  <c r="L194" i="2" s="1"/>
  <c r="M195" i="2"/>
  <c r="L195" i="2" s="1"/>
  <c r="M196" i="2"/>
  <c r="L196" i="2" s="1"/>
  <c r="M197" i="2"/>
  <c r="L197" i="2" s="1"/>
  <c r="M198" i="2"/>
  <c r="L198" i="2" s="1"/>
  <c r="M199" i="2"/>
  <c r="L199" i="2" s="1"/>
  <c r="M200" i="2"/>
  <c r="L200" i="2" s="1"/>
  <c r="M201" i="2"/>
  <c r="M202" i="2"/>
  <c r="M203" i="2"/>
  <c r="M204" i="2"/>
  <c r="M205" i="2"/>
  <c r="M206" i="2"/>
  <c r="L206" i="2" s="1"/>
  <c r="M207" i="2"/>
  <c r="L207" i="2" s="1"/>
  <c r="M208" i="2"/>
  <c r="L208" i="2" s="1"/>
  <c r="M209" i="2"/>
  <c r="L209" i="2" s="1"/>
  <c r="M210" i="2"/>
  <c r="L210" i="2" s="1"/>
  <c r="M211" i="2"/>
  <c r="L211" i="2" s="1"/>
  <c r="M212" i="2"/>
  <c r="M213" i="2"/>
  <c r="L213" i="2" s="1"/>
  <c r="M214" i="2"/>
  <c r="M215" i="2"/>
  <c r="M216" i="2"/>
  <c r="L216" i="2" s="1"/>
  <c r="M217" i="2"/>
  <c r="L217" i="2" s="1"/>
  <c r="M218" i="2"/>
  <c r="L218" i="2" s="1"/>
  <c r="M219" i="2"/>
  <c r="M220" i="2"/>
  <c r="M221" i="2"/>
  <c r="L221" i="2" s="1"/>
  <c r="M222" i="2"/>
  <c r="M223" i="2"/>
  <c r="L223" i="2" s="1"/>
  <c r="M224" i="2"/>
  <c r="L224" i="2" s="1"/>
  <c r="M225" i="2"/>
  <c r="L225" i="2" s="1"/>
  <c r="M226" i="2"/>
  <c r="L226" i="2" s="1"/>
  <c r="M227" i="2"/>
  <c r="L227" i="2" s="1"/>
  <c r="M228" i="2"/>
  <c r="L228" i="2" s="1"/>
  <c r="M229" i="2"/>
  <c r="L229" i="2" s="1"/>
  <c r="M230" i="2"/>
  <c r="L230" i="2" s="1"/>
  <c r="M231" i="2"/>
  <c r="L231" i="2" s="1"/>
  <c r="M232" i="2"/>
  <c r="L232" i="2" s="1"/>
  <c r="M233" i="2"/>
  <c r="L233" i="2" s="1"/>
  <c r="M234" i="2"/>
  <c r="L234" i="2" s="1"/>
  <c r="M235" i="2"/>
  <c r="L235" i="2" s="1"/>
  <c r="M236" i="2"/>
  <c r="L236" i="2" s="1"/>
  <c r="M237" i="2"/>
  <c r="L237" i="2" s="1"/>
  <c r="M238" i="2"/>
  <c r="L238" i="2" s="1"/>
  <c r="M239" i="2"/>
  <c r="L239" i="2" s="1"/>
  <c r="M240" i="2"/>
  <c r="L240" i="2" s="1"/>
  <c r="M241" i="2"/>
  <c r="L241" i="2" s="1"/>
  <c r="M242" i="2"/>
  <c r="L242" i="2" s="1"/>
  <c r="M243" i="2"/>
  <c r="L243" i="2" s="1"/>
  <c r="M244" i="2"/>
  <c r="L244" i="2" s="1"/>
  <c r="M245" i="2"/>
  <c r="L245" i="2" s="1"/>
  <c r="M246" i="2"/>
  <c r="M247" i="2"/>
  <c r="L247" i="2" s="1"/>
  <c r="M248" i="2"/>
  <c r="M249" i="2"/>
  <c r="M250" i="2"/>
  <c r="M251" i="2"/>
  <c r="M252" i="2"/>
  <c r="L252" i="2" s="1"/>
  <c r="M253" i="2"/>
  <c r="M254" i="2"/>
  <c r="L254" i="2" s="1"/>
  <c r="M255" i="2"/>
  <c r="M256" i="2"/>
  <c r="L256" i="2" s="1"/>
  <c r="M257" i="2"/>
  <c r="L257" i="2" s="1"/>
  <c r="M258" i="2"/>
  <c r="L258" i="2" s="1"/>
  <c r="M259" i="2"/>
  <c r="M260" i="2"/>
  <c r="L260" i="2" s="1"/>
  <c r="M261" i="2"/>
  <c r="L261" i="2" s="1"/>
  <c r="M262" i="2"/>
  <c r="L262" i="2" s="1"/>
  <c r="M263" i="2"/>
  <c r="L263" i="2" s="1"/>
  <c r="M264" i="2"/>
  <c r="L264" i="2" s="1"/>
  <c r="M265" i="2"/>
  <c r="L265" i="2" s="1"/>
  <c r="M266" i="2"/>
  <c r="L266" i="2" s="1"/>
  <c r="M267" i="2"/>
  <c r="L267" i="2" s="1"/>
  <c r="M268" i="2"/>
  <c r="L268" i="2" s="1"/>
  <c r="M269" i="2"/>
  <c r="M270" i="2"/>
  <c r="L270" i="2" s="1"/>
  <c r="M271" i="2"/>
  <c r="L271" i="2" s="1"/>
  <c r="M272" i="2"/>
  <c r="M273" i="2"/>
  <c r="M274" i="2"/>
  <c r="L274" i="2" s="1"/>
  <c r="M275" i="2"/>
  <c r="L275" i="2" s="1"/>
  <c r="M276" i="2"/>
  <c r="M277" i="2"/>
  <c r="M278" i="2"/>
  <c r="M279" i="2"/>
  <c r="M10" i="2"/>
  <c r="L10" i="2" s="1"/>
  <c r="J34" i="38"/>
  <c r="I34" i="38"/>
  <c r="M34" i="38"/>
  <c r="L34" i="38"/>
  <c r="I46" i="18"/>
  <c r="N46" i="18"/>
  <c r="M46" i="18"/>
  <c r="N10" i="2"/>
  <c r="L11" i="28"/>
  <c r="L12" i="28"/>
  <c r="L13" i="28"/>
  <c r="L14" i="28"/>
  <c r="L15" i="28"/>
  <c r="L16" i="28"/>
  <c r="L17" i="28"/>
  <c r="L18" i="28"/>
  <c r="L19" i="28"/>
  <c r="N25" i="38"/>
  <c r="M25" i="38"/>
  <c r="L25" i="38"/>
  <c r="K25" i="38"/>
  <c r="J25" i="38"/>
  <c r="I25" i="38"/>
  <c r="B8" i="38"/>
  <c r="A8" i="38"/>
  <c r="B7" i="38"/>
  <c r="A7" i="38"/>
  <c r="B6" i="38"/>
  <c r="A6" i="38"/>
  <c r="B5" i="38"/>
  <c r="A5" i="38"/>
  <c r="B4" i="38"/>
  <c r="A4" i="38"/>
  <c r="B3" i="38"/>
  <c r="A3" i="38"/>
  <c r="G14" i="35"/>
  <c r="E14" i="35" s="1"/>
  <c r="H14" i="35" s="1"/>
  <c r="G15" i="35"/>
  <c r="E15" i="35" s="1"/>
  <c r="H15" i="35" s="1"/>
  <c r="H16" i="35"/>
  <c r="G13" i="35"/>
  <c r="E13" i="35" s="1"/>
  <c r="E21" i="35" s="1"/>
  <c r="C7" i="2"/>
  <c r="C6" i="2"/>
  <c r="C5" i="2"/>
  <c r="C3" i="2"/>
  <c r="B4" i="2"/>
  <c r="B5" i="2"/>
  <c r="B6" i="2"/>
  <c r="B7" i="2"/>
  <c r="B3" i="2"/>
  <c r="Q10" i="2"/>
  <c r="B6" i="28"/>
  <c r="B5" i="28"/>
  <c r="B3" i="28"/>
  <c r="A8" i="35"/>
  <c r="A7" i="35"/>
  <c r="A6" i="35"/>
  <c r="A5" i="35"/>
  <c r="A4" i="35"/>
  <c r="A3" i="35"/>
  <c r="A8" i="31"/>
  <c r="A7" i="31"/>
  <c r="A6" i="31"/>
  <c r="A5" i="31"/>
  <c r="A4" i="31"/>
  <c r="A3" i="31"/>
  <c r="H12" i="39" s="1"/>
  <c r="A8" i="18"/>
  <c r="A7" i="18"/>
  <c r="A6" i="18"/>
  <c r="A5" i="18"/>
  <c r="A4" i="18"/>
  <c r="A3" i="18"/>
  <c r="A8" i="17"/>
  <c r="A7" i="17"/>
  <c r="A6" i="17"/>
  <c r="A5" i="17"/>
  <c r="A4" i="17"/>
  <c r="A3" i="17"/>
  <c r="B8" i="5"/>
  <c r="B7" i="5"/>
  <c r="B6" i="5"/>
  <c r="B5" i="5"/>
  <c r="B4" i="5"/>
  <c r="B3" i="5"/>
  <c r="A8" i="5"/>
  <c r="A7" i="5"/>
  <c r="A6" i="5"/>
  <c r="A5" i="5"/>
  <c r="A4" i="5"/>
  <c r="A3" i="5"/>
  <c r="B4" i="31"/>
  <c r="A29" i="32" s="1"/>
  <c r="B8" i="31"/>
  <c r="B7" i="31"/>
  <c r="B6" i="31"/>
  <c r="B5" i="31"/>
  <c r="B3" i="31"/>
  <c r="B4" i="35"/>
  <c r="A31" i="32" s="1"/>
  <c r="B4" i="32"/>
  <c r="B8" i="35"/>
  <c r="B7" i="35"/>
  <c r="B6" i="35"/>
  <c r="B5" i="35"/>
  <c r="B3" i="35"/>
  <c r="B8" i="17"/>
  <c r="B7" i="17"/>
  <c r="B6" i="17"/>
  <c r="B5" i="17"/>
  <c r="B3" i="17"/>
  <c r="B7" i="18"/>
  <c r="B6" i="18"/>
  <c r="B5" i="18"/>
  <c r="B3" i="18"/>
  <c r="N33" i="18"/>
  <c r="M33" i="18"/>
  <c r="L33" i="18"/>
  <c r="K33" i="18"/>
  <c r="J33" i="18"/>
  <c r="I33" i="18"/>
  <c r="B8" i="18"/>
  <c r="F12" i="31"/>
  <c r="B4" i="28"/>
  <c r="M11" i="2"/>
  <c r="L11" i="2" s="1"/>
  <c r="M13" i="2"/>
  <c r="L13" i="2" s="1"/>
  <c r="C4" i="2"/>
  <c r="B4" i="18"/>
  <c r="B4" i="17"/>
  <c r="B42" i="17"/>
  <c r="B48" i="17" s="1"/>
  <c r="B52" i="17" s="1"/>
  <c r="B53" i="17"/>
  <c r="I12" i="39" l="1"/>
  <c r="H13" i="35"/>
  <c r="H21" i="35" s="1"/>
  <c r="I11" i="39"/>
  <c r="L23" i="28"/>
  <c r="C12" i="39"/>
  <c r="B12" i="39"/>
  <c r="B11" i="39"/>
  <c r="O33" i="18"/>
  <c r="F14" i="31"/>
  <c r="B50" i="17"/>
  <c r="B51" i="17"/>
  <c r="O25" i="38"/>
  <c r="K34" i="38"/>
  <c r="J46" i="18"/>
  <c r="N34" i="38"/>
  <c r="L46" i="18"/>
  <c r="K46" i="18"/>
  <c r="H31" i="32"/>
  <c r="M12" i="2"/>
  <c r="L12" i="2" s="1"/>
  <c r="C11" i="39" s="1"/>
  <c r="I14" i="39" l="1"/>
  <c r="E11" i="39"/>
  <c r="E12" i="39"/>
  <c r="C14" i="39"/>
  <c r="B14" i="39"/>
  <c r="B54" i="17"/>
  <c r="E12" i="38"/>
  <c r="E16" i="38" s="1"/>
  <c r="E18" i="38" s="1"/>
  <c r="E12" i="18"/>
  <c r="E16" i="18" s="1"/>
  <c r="E19" i="18" s="1"/>
  <c r="E14" i="39" l="1"/>
  <c r="E19" i="38"/>
  <c r="E20" i="38" s="1"/>
  <c r="E22" i="38" s="1"/>
  <c r="E18" i="18"/>
  <c r="E20" i="18" s="1"/>
  <c r="E22" i="18" s="1"/>
  <c r="F14" i="32" l="1"/>
  <c r="G6" i="28"/>
  <c r="C30" i="17"/>
  <c r="C32" i="17" s="1"/>
  <c r="C35" i="17" s="1"/>
  <c r="C21" i="17" s="1"/>
  <c r="C25" i="17" s="1"/>
  <c r="E23" i="38" s="1"/>
  <c r="E24" i="38" s="1"/>
  <c r="F16" i="32" l="1"/>
  <c r="E26" i="38"/>
  <c r="E27" i="38" s="1"/>
  <c r="E23" i="18"/>
  <c r="E24" i="18" s="1"/>
  <c r="E26" i="18" l="1"/>
  <c r="E27" i="18" s="1"/>
  <c r="E33" i="38"/>
  <c r="E44" i="38" s="1"/>
  <c r="E46" i="38" s="1"/>
  <c r="E33" i="18" l="1"/>
  <c r="E48" i="38"/>
  <c r="F36" i="38" l="1"/>
  <c r="F40" i="38"/>
  <c r="F42" i="38"/>
  <c r="F37" i="38"/>
  <c r="F39" i="38"/>
  <c r="F41" i="38"/>
  <c r="F38" i="38"/>
  <c r="E50" i="38"/>
  <c r="F35" i="38"/>
  <c r="E54" i="38"/>
  <c r="F20" i="38"/>
  <c r="F46" i="38"/>
  <c r="F27" i="38"/>
  <c r="E52" i="38"/>
  <c r="G16" i="32"/>
  <c r="F24" i="38"/>
  <c r="F33" i="38"/>
  <c r="F44" i="38"/>
  <c r="E44" i="18"/>
  <c r="H16" i="32" l="1"/>
  <c r="G12" i="39"/>
  <c r="G11" i="39"/>
  <c r="E56" i="38"/>
  <c r="F48" i="38"/>
  <c r="E48" i="18"/>
  <c r="G14" i="39" l="1"/>
  <c r="E50" i="18"/>
  <c r="F36" i="18"/>
  <c r="F38" i="18"/>
  <c r="F39" i="18"/>
  <c r="F40" i="18"/>
  <c r="F41" i="18"/>
  <c r="F35" i="18"/>
  <c r="F37" i="18"/>
  <c r="F43" i="18"/>
  <c r="F42" i="18"/>
  <c r="E52" i="18"/>
  <c r="F46" i="18"/>
  <c r="F20" i="18"/>
  <c r="G14" i="32"/>
  <c r="F24" i="18"/>
  <c r="F27" i="18"/>
  <c r="E54" i="18"/>
  <c r="F33" i="18"/>
  <c r="F44" i="18"/>
  <c r="F11" i="39" l="1"/>
  <c r="F12" i="39"/>
  <c r="H14" i="32"/>
  <c r="G19" i="32" s="1"/>
  <c r="F48" i="18"/>
  <c r="E56" i="18"/>
  <c r="G12" i="31" l="1"/>
  <c r="H12" i="31" s="1"/>
  <c r="G11" i="31"/>
  <c r="H11" i="31" s="1"/>
  <c r="H14" i="31" s="1"/>
  <c r="H29" i="32" s="1"/>
  <c r="H33" i="32" s="1"/>
  <c r="H34" i="32" s="1"/>
  <c r="H35" i="32" s="1"/>
  <c r="F14" i="39"/>
  <c r="J12" i="39"/>
  <c r="K12" i="39" s="1"/>
  <c r="H11" i="39"/>
  <c r="H23" i="32"/>
  <c r="H24" i="32" l="1"/>
  <c r="H25" i="32" s="1"/>
  <c r="H38" i="32"/>
  <c r="H14" i="39"/>
  <c r="J11" i="39"/>
  <c r="H39" i="32"/>
  <c r="H40" i="32" s="1"/>
  <c r="J14" i="39" l="1"/>
  <c r="K11" i="39"/>
  <c r="K14" i="3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<sst xmlns="http://schemas.openxmlformats.org/spreadsheetml/2006/main" count="2222" uniqueCount="609">
  <si>
    <t>Premie Ouderdomspensioen (OP)</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</si>
  <si>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</si>
  <si>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</si>
  <si>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</si>
  <si>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</si>
  <si>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</si>
  <si>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</si>
  <si>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</si>
  <si>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</si>
  <si>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</si>
  <si>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</si>
  <si>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</si>
  <si>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</si>
  <si>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</si>
  <si>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</si>
  <si>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</si>
  <si>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</si>
  <si>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</si>
  <si>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</si>
  <si>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</si>
  <si>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</si>
  <si>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</si>
  <si>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</si>
  <si>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</si>
  <si>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Prijs p/stuk excl. btw</t>
  </si>
  <si>
    <t>P.Z. kosten</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</si>
  <si>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</si>
  <si>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</si>
  <si>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</si>
  <si>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</si>
  <si>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</si>
  <si>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</si>
  <si>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</si>
  <si>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</si>
  <si>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</si>
  <si>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</si>
  <si>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</si>
  <si>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Pensioen overgangsregeling</t>
  </si>
  <si>
    <t>2 lagen</t>
  </si>
  <si>
    <t>geheel</t>
  </si>
  <si>
    <t>Basisuurloon</t>
  </si>
  <si>
    <t>Bedrijfsgemiddelde</t>
  </si>
  <si>
    <t>Alle prijzen inclusief materialen en middelen, voorrijkosten en overige bijkomende kosten.</t>
  </si>
  <si>
    <t>Ziektedagen</t>
  </si>
  <si>
    <t>Prijs per jaar</t>
  </si>
  <si>
    <t>Overgangsregeling</t>
  </si>
  <si>
    <t>[zie premies en opslagen]</t>
  </si>
  <si>
    <t>Totaal eindtarief normale werktijden [06.00-21.30 uur]</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</si>
  <si>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</si>
  <si>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</si>
  <si>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</si>
  <si>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</si>
  <si>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</si>
  <si>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</si>
  <si>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</si>
  <si>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</si>
  <si>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</si>
  <si>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</si>
  <si>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</si>
  <si>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Frequentie</t>
  </si>
  <si>
    <t>SV-loon grondslag voor berekening sociale verzekeringen</t>
  </si>
  <si>
    <t>Materiaal/- en middelen</t>
  </si>
  <si>
    <t>Ruimtecategorie</t>
  </si>
  <si>
    <t xml:space="preserve"> </t>
  </si>
  <si>
    <t>Info Blad</t>
  </si>
  <si>
    <t>Werkkleding en uitrusting</t>
  </si>
  <si>
    <t>Machinekosten</t>
  </si>
  <si>
    <t>Naam leverancier</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</si>
  <si>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</si>
  <si>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</si>
  <si>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</si>
  <si>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</si>
  <si>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</si>
  <si>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</si>
  <si>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</si>
  <si>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</si>
  <si>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</si>
  <si>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</si>
  <si>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</si>
  <si>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</si>
  <si>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</si>
  <si>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</si>
  <si>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</si>
  <si>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Lino-/marmoleum conserveren</t>
  </si>
  <si>
    <t>Lino-/marmoleum sprayen</t>
  </si>
  <si>
    <t>Steen/PVC schrobben</t>
  </si>
  <si>
    <t>Totaal eindtarief feestdagen [incl. 150% toeslag]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</si>
  <si>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</si>
  <si>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</si>
  <si>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</si>
  <si>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</si>
  <si>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</si>
  <si>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</si>
  <si>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</si>
  <si>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</si>
  <si>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</si>
  <si>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</si>
  <si>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</si>
  <si>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</si>
  <si>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</si>
  <si>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</si>
  <si>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</si>
  <si>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</si>
  <si>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</si>
  <si>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BG</t>
  </si>
  <si>
    <t>Entree</t>
  </si>
  <si>
    <t>Beton</t>
  </si>
  <si>
    <t>Kelder</t>
  </si>
  <si>
    <t>Restauratieve ruimten</t>
  </si>
  <si>
    <t>Locatie</t>
  </si>
  <si>
    <t>Kosten per beurt</t>
  </si>
  <si>
    <t>Adres</t>
  </si>
  <si>
    <t>Frequentie van uitvoering (per jaar):</t>
  </si>
  <si>
    <t>VSR Code</t>
  </si>
  <si>
    <t>Freq</t>
  </si>
  <si>
    <t>Nio</t>
  </si>
  <si>
    <t>Norm ma t/m vr</t>
  </si>
  <si>
    <t>M² prijs</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</si>
  <si>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</si>
  <si>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</si>
  <si>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</si>
  <si>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</si>
  <si>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</si>
  <si>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</si>
  <si>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</si>
  <si>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</si>
  <si>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</si>
  <si>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</si>
  <si>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</si>
  <si>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</si>
  <si>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</si>
  <si>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</si>
  <si>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</si>
  <si>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</si>
  <si>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</si>
  <si>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</si>
  <si>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</si>
  <si>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</si>
  <si>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 t.o.v. productie</t>
  </si>
  <si>
    <t>Medewerker leiding</t>
  </si>
  <si>
    <t>TOTAAL KOSTEN PER JAAR EXCLUSIEF BTW (REGULIER ONDERHOUD)</t>
  </si>
  <si>
    <t>TOTAAL KOSTEN PER JAAR EXCLUSIEF BTW (AANVULLENDE WERKZAAMHEDEN / EXTRA KOSTEN)</t>
  </si>
  <si>
    <t>EINDTOTAAL KOSTEN PER JAAR  EXCLUSIEF BTW</t>
  </si>
  <si>
    <t>Jaarprijs regulier schoonmaakonderhoud</t>
  </si>
  <si>
    <t>Jaarprijs aanvullende werzaamheden / extra kosten</t>
  </si>
  <si>
    <t>BEOORDELINGSBEDRAG</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</si>
  <si>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</si>
  <si>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</si>
  <si>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</si>
  <si>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</si>
  <si>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</si>
  <si>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</si>
  <si>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</si>
  <si>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</si>
  <si>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</si>
  <si>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</si>
  <si>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</si>
  <si>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</si>
  <si>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</si>
  <si>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</si>
  <si>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Glassoort</t>
  </si>
  <si>
    <t>Binnenzijde</t>
  </si>
  <si>
    <t>Buitenzijde</t>
  </si>
  <si>
    <t>Separatieglas dubbelzijdig</t>
  </si>
  <si>
    <t>Aantal m2</t>
  </si>
  <si>
    <t>Kosten bewassing per jaar</t>
  </si>
  <si>
    <t>Aantal of m2</t>
  </si>
  <si>
    <t>uren per m2/ beurt</t>
  </si>
  <si>
    <t>uren per jaar</t>
  </si>
  <si>
    <t>uurtarief</t>
  </si>
  <si>
    <t>kosten per jaar</t>
  </si>
  <si>
    <t>Omschrijving werkzaamheden</t>
  </si>
  <si>
    <t>Vloerenonderhoud  (inclusief uit-/inruimen van het meubilair)</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</si>
  <si>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</si>
  <si>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</si>
  <si>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</si>
  <si>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</si>
  <si>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</si>
  <si>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</si>
  <si>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</si>
  <si>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</si>
  <si>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</si>
  <si>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</si>
  <si>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</si>
  <si>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</si>
  <si>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Verticale lamellen metaal/kunsstof</t>
  </si>
  <si>
    <t>Horizontale lammellen</t>
  </si>
  <si>
    <t>Regietarieven</t>
  </si>
  <si>
    <t>Schoonmaakonderhoud</t>
  </si>
  <si>
    <t>Soort ongedierte</t>
  </si>
  <si>
    <t>Behandeling tegen bruine ratten</t>
  </si>
  <si>
    <t>Methode omschrijven.</t>
  </si>
  <si>
    <t>Behandeling tegen muizen</t>
  </si>
  <si>
    <t>Tijdstip van uitvoering</t>
  </si>
  <si>
    <t>tarief ma-vr (06.00-21.30 uur)</t>
  </si>
  <si>
    <t>tarief ma-vr nacht (21.30-06.00 uur)</t>
  </si>
  <si>
    <t>Ongedierte bestrijding</t>
  </si>
  <si>
    <t>Gladheid bestrijding</t>
  </si>
  <si>
    <t>………………………………</t>
  </si>
  <si>
    <t>Mits anders aangegeven is de uitvoering op reguliere werktijden: maandag t/m vrijdag [06.00 en 21.30 uur]</t>
  </si>
  <si>
    <t>Reinigen bureau-electronica reinigen</t>
  </si>
  <si>
    <t>Freq. ma-vr</t>
  </si>
  <si>
    <t>Kolom</t>
  </si>
  <si>
    <t>Kolom voor matrix</t>
  </si>
  <si>
    <t>Gewogen prestatie</t>
  </si>
  <si>
    <t>m2/uur</t>
  </si>
  <si>
    <t>Gemiddeld  voor za, zo en feestdagen</t>
  </si>
  <si>
    <t>Gemiddeld tarief inclusief toezicht</t>
  </si>
  <si>
    <t>M2 Totaal</t>
  </si>
  <si>
    <t>WGA</t>
  </si>
  <si>
    <t>Aanvullende omschrijving</t>
  </si>
  <si>
    <r>
      <t>Kosten per m</t>
    </r>
    <r>
      <rPr>
        <b/>
        <vertAlign val="superscript"/>
        <sz val="10"/>
        <color theme="0"/>
        <rFont val="Century Gothic"/>
        <family val="2"/>
      </rPr>
      <t>2</t>
    </r>
  </si>
  <si>
    <t>Versienummer</t>
  </si>
  <si>
    <t>Op de tabbladen zijn invoervelden opgenomen, deze zijn gekleurd zoals hiernaast afgebeeld</t>
  </si>
  <si>
    <t>Naam dienstverlener</t>
  </si>
  <si>
    <t>Let op -/- bedrag</t>
  </si>
  <si>
    <t>Bijzonderheden / opmerkingen</t>
  </si>
  <si>
    <t>Administratieve ruimten</t>
  </si>
  <si>
    <t>Pantry/keuken</t>
  </si>
  <si>
    <t>Gemiddeld tarief  ma t/m vr</t>
  </si>
  <si>
    <t>Tariefopbouw toezicht</t>
  </si>
  <si>
    <t>Tariefopbouw schoonmaak</t>
  </si>
  <si>
    <t>Gemiddeld tarief ma t/m vr</t>
  </si>
  <si>
    <t>Correctie factor ma t/m vr</t>
  </si>
  <si>
    <t>MAXIMALE ONDERGRENS INSCHRIJVINGSBEDRAG *</t>
  </si>
  <si>
    <t>* De inschrijver draagt er zorg voor dat de totstandkoming van het inschrijvingsbedrag overeenkomt met de onderliggende tabbladen. Indien dit niet het geval is wordt de inschrijving ongeldig verklaard.</t>
  </si>
  <si>
    <t>* Het door de inschrijver ingediende inschrijfbedrag is der maximale vergoeding voor het gevraagde in de aanbestedingsdocumenten.</t>
  </si>
  <si>
    <t>RAS premie</t>
  </si>
  <si>
    <t>Frequentie verklaring</t>
  </si>
  <si>
    <t>2 x per jaar</t>
  </si>
  <si>
    <t>4 x per jaar</t>
  </si>
  <si>
    <t>1 x per maand</t>
  </si>
  <si>
    <t>1 x per week (52 weken)</t>
  </si>
  <si>
    <t>5 x per week (52 weken)</t>
  </si>
  <si>
    <t>2 x per week (52 weken)</t>
  </si>
  <si>
    <t>3 x per week (52 weken)</t>
  </si>
  <si>
    <t>Totaal eindtarief  [incl. 30% toeslag]</t>
  </si>
  <si>
    <t>Referentie nummer</t>
  </si>
  <si>
    <t>Transitievergoeding</t>
  </si>
  <si>
    <t>Uurlonen per 1 juli 2020</t>
  </si>
  <si>
    <t>Gemeentehuis</t>
  </si>
  <si>
    <t>0.1</t>
  </si>
  <si>
    <t>Kantoor ruimte</t>
  </si>
  <si>
    <t>tapijt</t>
  </si>
  <si>
    <t>0.2 a</t>
  </si>
  <si>
    <t>0.2 b</t>
  </si>
  <si>
    <t>Vergaderruimte BO</t>
  </si>
  <si>
    <t>Vergader-/spreekruimten</t>
  </si>
  <si>
    <t>0.3</t>
  </si>
  <si>
    <t>0.4</t>
  </si>
  <si>
    <t>0.5</t>
  </si>
  <si>
    <t>0.6</t>
  </si>
  <si>
    <t>0.7</t>
  </si>
  <si>
    <t>0.8</t>
  </si>
  <si>
    <t>0.9</t>
  </si>
  <si>
    <t>0.10</t>
  </si>
  <si>
    <t>0.11</t>
  </si>
  <si>
    <t>0.12</t>
  </si>
  <si>
    <t>0.13</t>
  </si>
  <si>
    <t>0.14</t>
  </si>
  <si>
    <t>0.15</t>
  </si>
  <si>
    <t>0.16</t>
  </si>
  <si>
    <t>0.17</t>
  </si>
  <si>
    <t>0.18</t>
  </si>
  <si>
    <t>lino</t>
  </si>
  <si>
    <t>0.19</t>
  </si>
  <si>
    <t>Telefooncentrale</t>
  </si>
  <si>
    <t>0.20</t>
  </si>
  <si>
    <t xml:space="preserve">Vergaderruimte  </t>
  </si>
  <si>
    <t>0.21</t>
  </si>
  <si>
    <t>0.22</t>
  </si>
  <si>
    <t>0.23</t>
  </si>
  <si>
    <t>0.24</t>
  </si>
  <si>
    <t>Bode kamer</t>
  </si>
  <si>
    <t>0.25</t>
  </si>
  <si>
    <t>Post kamer</t>
  </si>
  <si>
    <t>0.26</t>
  </si>
  <si>
    <t>Ondertrouwkamer</t>
  </si>
  <si>
    <t>0.27</t>
  </si>
  <si>
    <t>BUZA balie</t>
  </si>
  <si>
    <t>0.28</t>
  </si>
  <si>
    <t>0.29</t>
  </si>
  <si>
    <t>0.30</t>
  </si>
  <si>
    <t>0.31</t>
  </si>
  <si>
    <t>Berging parkeerwacht</t>
  </si>
  <si>
    <t>Opslagruimten</t>
  </si>
  <si>
    <t>0.32</t>
  </si>
  <si>
    <t>Gang</t>
  </si>
  <si>
    <t>Gangen en hallen</t>
  </si>
  <si>
    <t>0.33</t>
  </si>
  <si>
    <t>Berging BUZA</t>
  </si>
  <si>
    <t>0.34</t>
  </si>
  <si>
    <t>Entree (carouceldeur)</t>
  </si>
  <si>
    <t>mat vast</t>
  </si>
  <si>
    <t>0.35</t>
  </si>
  <si>
    <t>Entree (schoonloopmat)</t>
  </si>
  <si>
    <t>mat los</t>
  </si>
  <si>
    <t>0.36</t>
  </si>
  <si>
    <t>Centrale bali</t>
  </si>
  <si>
    <t>0.37</t>
  </si>
  <si>
    <t>Front office balie</t>
  </si>
  <si>
    <t>0.38</t>
  </si>
  <si>
    <t>Berging Raadzaal</t>
  </si>
  <si>
    <t>0.39</t>
  </si>
  <si>
    <t>Kopieer ruimte</t>
  </si>
  <si>
    <t>0.40</t>
  </si>
  <si>
    <t>Raadzaal a</t>
  </si>
  <si>
    <t>Raadzaal b</t>
  </si>
  <si>
    <t>steen</t>
  </si>
  <si>
    <t>0.41</t>
  </si>
  <si>
    <t>Hal</t>
  </si>
  <si>
    <t>0.42</t>
  </si>
  <si>
    <t>0.43</t>
  </si>
  <si>
    <t>0.44</t>
  </si>
  <si>
    <t>0.45</t>
  </si>
  <si>
    <t>0.46</t>
  </si>
  <si>
    <t>Toiletten</t>
  </si>
  <si>
    <t>0.47</t>
  </si>
  <si>
    <t>0.48</t>
  </si>
  <si>
    <t>0.49</t>
  </si>
  <si>
    <t>0.50</t>
  </si>
  <si>
    <t>0.51</t>
  </si>
  <si>
    <t>0.52</t>
  </si>
  <si>
    <t>0.53</t>
  </si>
  <si>
    <t>0.54</t>
  </si>
  <si>
    <t>0.55</t>
  </si>
  <si>
    <t>0.56</t>
  </si>
  <si>
    <t>Nood Trappenhuis (NT)</t>
  </si>
  <si>
    <t>Trappenhuizen</t>
  </si>
  <si>
    <t>noppen</t>
  </si>
  <si>
    <t>0.57</t>
  </si>
  <si>
    <t>0.58</t>
  </si>
  <si>
    <t>0.59</t>
  </si>
  <si>
    <t>Trappenhuis</t>
  </si>
  <si>
    <t>0.60</t>
  </si>
  <si>
    <t>0.61</t>
  </si>
  <si>
    <t>0.62</t>
  </si>
  <si>
    <t>0.63</t>
  </si>
  <si>
    <t>0.64</t>
  </si>
  <si>
    <t xml:space="preserve">Lift </t>
  </si>
  <si>
    <t>Liften</t>
  </si>
  <si>
    <t>0.65</t>
  </si>
  <si>
    <t>0.66</t>
  </si>
  <si>
    <t>Trouwzaal</t>
  </si>
  <si>
    <t>Garderobe</t>
  </si>
  <si>
    <t>TP</t>
  </si>
  <si>
    <t>0.69</t>
  </si>
  <si>
    <t>Werkkast</t>
  </si>
  <si>
    <t>cement dekvloer</t>
  </si>
  <si>
    <t>0.70</t>
  </si>
  <si>
    <t>Entree buiten (Stoep)</t>
  </si>
  <si>
    <t>Entree buiten</t>
  </si>
  <si>
    <t>stoeptegel</t>
  </si>
  <si>
    <t>1.1</t>
  </si>
  <si>
    <t>1.2</t>
  </si>
  <si>
    <t>1.3</t>
  </si>
  <si>
    <t>1.4</t>
  </si>
  <si>
    <t>1.5</t>
  </si>
  <si>
    <t>1.6</t>
  </si>
  <si>
    <t>Vergader ruimte</t>
  </si>
  <si>
    <t>1.7</t>
  </si>
  <si>
    <t>PVC</t>
  </si>
  <si>
    <t>1.8</t>
  </si>
  <si>
    <t>1.9</t>
  </si>
  <si>
    <t>1.10</t>
  </si>
  <si>
    <t>1.11</t>
  </si>
  <si>
    <t>1.12</t>
  </si>
  <si>
    <t>1.13</t>
  </si>
  <si>
    <t>1.14</t>
  </si>
  <si>
    <t>1.15</t>
  </si>
  <si>
    <t>1.16</t>
  </si>
  <si>
    <t>1.17</t>
  </si>
  <si>
    <t>1.18</t>
  </si>
  <si>
    <t>1.19</t>
  </si>
  <si>
    <t>1.20</t>
  </si>
  <si>
    <t>1.21</t>
  </si>
  <si>
    <t>1.22</t>
  </si>
  <si>
    <t>1.23</t>
  </si>
  <si>
    <t>1.24</t>
  </si>
  <si>
    <t>1.25</t>
  </si>
  <si>
    <t>1.26</t>
  </si>
  <si>
    <t>Huisdrukkerij</t>
  </si>
  <si>
    <t>1.27</t>
  </si>
  <si>
    <t>Berging huisdrukkerij</t>
  </si>
  <si>
    <t>1.28</t>
  </si>
  <si>
    <t>1.29</t>
  </si>
  <si>
    <t>1.30</t>
  </si>
  <si>
    <t>1.31</t>
  </si>
  <si>
    <t>1.32</t>
  </si>
  <si>
    <t>1.33/1.34</t>
  </si>
  <si>
    <t>1.35</t>
  </si>
  <si>
    <t>1.36</t>
  </si>
  <si>
    <t>Kantoor ruimte (archief)</t>
  </si>
  <si>
    <t>1.37</t>
  </si>
  <si>
    <t>Keuken</t>
  </si>
  <si>
    <t>1.38</t>
  </si>
  <si>
    <t>1.39</t>
  </si>
  <si>
    <t>1.40</t>
  </si>
  <si>
    <t>1.41</t>
  </si>
  <si>
    <t>1.42</t>
  </si>
  <si>
    <t>1.43</t>
  </si>
  <si>
    <t>Technische ruimte</t>
  </si>
  <si>
    <t>1.44</t>
  </si>
  <si>
    <t xml:space="preserve">Toiletten </t>
  </si>
  <si>
    <t>1.45</t>
  </si>
  <si>
    <t>1.46</t>
  </si>
  <si>
    <t>1.47</t>
  </si>
  <si>
    <t>1.48</t>
  </si>
  <si>
    <t>1.49</t>
  </si>
  <si>
    <t xml:space="preserve">Gang </t>
  </si>
  <si>
    <t>1.50</t>
  </si>
  <si>
    <t>1.51</t>
  </si>
  <si>
    <t>1.52</t>
  </si>
  <si>
    <t>1.53</t>
  </si>
  <si>
    <t>1.54</t>
  </si>
  <si>
    <t>1.55</t>
  </si>
  <si>
    <t>1.56</t>
  </si>
  <si>
    <t>1.57</t>
  </si>
  <si>
    <t>Noodtrappenhuis</t>
  </si>
  <si>
    <t>1.58</t>
  </si>
  <si>
    <t>1.59</t>
  </si>
  <si>
    <t xml:space="preserve">Trappenhuis </t>
  </si>
  <si>
    <t>1.60</t>
  </si>
  <si>
    <t>1.61</t>
  </si>
  <si>
    <t>1.62</t>
  </si>
  <si>
    <t>1.63</t>
  </si>
  <si>
    <t>1.64</t>
  </si>
  <si>
    <t>1.65</t>
  </si>
  <si>
    <t>1.66</t>
  </si>
  <si>
    <t>1.67</t>
  </si>
  <si>
    <t>1.68</t>
  </si>
  <si>
    <t>2.1</t>
  </si>
  <si>
    <t>2.2</t>
  </si>
  <si>
    <t>2.3</t>
  </si>
  <si>
    <t>2.4</t>
  </si>
  <si>
    <t>2.5</t>
  </si>
  <si>
    <t>Vergaderruimte</t>
  </si>
  <si>
    <t>GN 2.6</t>
  </si>
  <si>
    <t>Kantoor ruimte (open)</t>
  </si>
  <si>
    <t>GN 2.7</t>
  </si>
  <si>
    <t>GN 2.8</t>
  </si>
  <si>
    <t>GN 2.9</t>
  </si>
  <si>
    <t>GN 2.10</t>
  </si>
  <si>
    <t>GN 2.11</t>
  </si>
  <si>
    <t>Kurk</t>
  </si>
  <si>
    <t>GN 2.12</t>
  </si>
  <si>
    <t>GN 2.13</t>
  </si>
  <si>
    <t>GN 2.14</t>
  </si>
  <si>
    <t>GN 2.15</t>
  </si>
  <si>
    <t>GN 2.16</t>
  </si>
  <si>
    <t>GN 2.17</t>
  </si>
  <si>
    <t>GN 2.18</t>
  </si>
  <si>
    <t>GN 2.19</t>
  </si>
  <si>
    <t>2.20</t>
  </si>
  <si>
    <t>2.21</t>
  </si>
  <si>
    <t>2.22</t>
  </si>
  <si>
    <t>2.23</t>
  </si>
  <si>
    <t>2.24</t>
  </si>
  <si>
    <t>2.25</t>
  </si>
  <si>
    <t>2.26</t>
  </si>
  <si>
    <t>2.27</t>
  </si>
  <si>
    <t>2.28</t>
  </si>
  <si>
    <t>2.29</t>
  </si>
  <si>
    <t>3.1</t>
  </si>
  <si>
    <t>3.2</t>
  </si>
  <si>
    <t>3.3</t>
  </si>
  <si>
    <t>3.4</t>
  </si>
  <si>
    <t>3.5</t>
  </si>
  <si>
    <t>3.6</t>
  </si>
  <si>
    <t>3.7</t>
  </si>
  <si>
    <t>3.8</t>
  </si>
  <si>
    <t>3.9</t>
  </si>
  <si>
    <t>ARBO ruimte</t>
  </si>
  <si>
    <t>3.10</t>
  </si>
  <si>
    <t>3.11</t>
  </si>
  <si>
    <t>3.12</t>
  </si>
  <si>
    <t>3.13</t>
  </si>
  <si>
    <t>3.14</t>
  </si>
  <si>
    <t>3.15</t>
  </si>
  <si>
    <t>3.16</t>
  </si>
  <si>
    <t>3.17</t>
  </si>
  <si>
    <t>3.18</t>
  </si>
  <si>
    <t>3.19</t>
  </si>
  <si>
    <t>3.19A</t>
  </si>
  <si>
    <t>Trappenhuis (CV)</t>
  </si>
  <si>
    <t>3.20</t>
  </si>
  <si>
    <t>3.21</t>
  </si>
  <si>
    <t>3.22</t>
  </si>
  <si>
    <t>3.23</t>
  </si>
  <si>
    <t>K1</t>
  </si>
  <si>
    <t>Berging</t>
  </si>
  <si>
    <t>K2</t>
  </si>
  <si>
    <t>K3</t>
  </si>
  <si>
    <t>Statisch archief</t>
  </si>
  <si>
    <t xml:space="preserve">cement dekvloer </t>
  </si>
  <si>
    <t>K4</t>
  </si>
  <si>
    <t>pvc</t>
  </si>
  <si>
    <t>K5</t>
  </si>
  <si>
    <t>Kantine a</t>
  </si>
  <si>
    <t>K6</t>
  </si>
  <si>
    <t>Kantine b</t>
  </si>
  <si>
    <t>K7</t>
  </si>
  <si>
    <t xml:space="preserve">Berging </t>
  </si>
  <si>
    <t>K8</t>
  </si>
  <si>
    <t>Dynamisch archief</t>
  </si>
  <si>
    <t>K9</t>
  </si>
  <si>
    <t>K10</t>
  </si>
  <si>
    <t>K11</t>
  </si>
  <si>
    <t>K12</t>
  </si>
  <si>
    <t>Magazijn</t>
  </si>
  <si>
    <t>K13</t>
  </si>
  <si>
    <t>K14</t>
  </si>
  <si>
    <t>Douches</t>
  </si>
  <si>
    <t>K15</t>
  </si>
  <si>
    <t xml:space="preserve">Hal </t>
  </si>
  <si>
    <t>K16</t>
  </si>
  <si>
    <t>Lift machine kamer</t>
  </si>
  <si>
    <t>K17</t>
  </si>
  <si>
    <t>Bunker</t>
  </si>
  <si>
    <t>K18</t>
  </si>
  <si>
    <t>K19</t>
  </si>
  <si>
    <t>CV ruimte</t>
  </si>
  <si>
    <t>K20</t>
  </si>
  <si>
    <t>Berging keuken</t>
  </si>
  <si>
    <t>K21</t>
  </si>
  <si>
    <t xml:space="preserve">Trap </t>
  </si>
  <si>
    <t>K22</t>
  </si>
  <si>
    <t>Buitentrap met bordes</t>
  </si>
  <si>
    <t>K23</t>
  </si>
  <si>
    <t>Gauke Boelensstraat 2, Drachten</t>
  </si>
  <si>
    <t>Schoonmaken van de koelkasten binnenzijde</t>
  </si>
  <si>
    <t>Naloopronde toiletgroepen</t>
  </si>
  <si>
    <t>Frequentie per jaar</t>
  </si>
  <si>
    <t>Glaspanelen</t>
  </si>
  <si>
    <t>2</t>
  </si>
  <si>
    <t>Gemeente Smallingerland</t>
  </si>
  <si>
    <t>Drachten</t>
  </si>
  <si>
    <t>GS-EA-AS-2020</t>
  </si>
  <si>
    <t>001</t>
  </si>
  <si>
    <t>Milieuservice</t>
  </si>
  <si>
    <t>Tussendiepen 78, Drachten</t>
  </si>
  <si>
    <t>Portaal</t>
  </si>
  <si>
    <t>SMV</t>
  </si>
  <si>
    <t>Vloertegel</t>
  </si>
  <si>
    <t>Opzichter Regon</t>
  </si>
  <si>
    <t>Administratie Regon</t>
  </si>
  <si>
    <t>Receptie</t>
  </si>
  <si>
    <t>Koffiehoek</t>
  </si>
  <si>
    <t>Bergkast</t>
  </si>
  <si>
    <t>MIVA toilet</t>
  </si>
  <si>
    <t>Surestep PVC</t>
  </si>
  <si>
    <t>Heren toilet</t>
  </si>
  <si>
    <t>Wasruimte heren</t>
  </si>
  <si>
    <t>Dames toilet</t>
  </si>
  <si>
    <t>013a</t>
  </si>
  <si>
    <t>Douche dames</t>
  </si>
  <si>
    <t>Kantoor garage</t>
  </si>
  <si>
    <t>Gemalen/landmeters</t>
  </si>
  <si>
    <t>Opzichter Groen</t>
  </si>
  <si>
    <t>Opzichter Wijkbeheer</t>
  </si>
  <si>
    <t>Opzichter Wegen en verkeer</t>
  </si>
  <si>
    <t>Groenvoorziening</t>
  </si>
  <si>
    <t>Wegen en verkeer</t>
  </si>
  <si>
    <t>Gereedproduct gebouwen</t>
  </si>
  <si>
    <t>Lockers</t>
  </si>
  <si>
    <t>Norament</t>
  </si>
  <si>
    <t>Timmerwerkplaats</t>
  </si>
  <si>
    <t>Kantoor timmerwerkplaats</t>
  </si>
  <si>
    <t xml:space="preserve">Lift  </t>
  </si>
  <si>
    <t>Stoep (entree bezoekers/personeel)</t>
  </si>
  <si>
    <t>Steen</t>
  </si>
  <si>
    <t>Trap</t>
  </si>
  <si>
    <t>1e etage</t>
  </si>
  <si>
    <t>1.01a</t>
  </si>
  <si>
    <t>1.01</t>
  </si>
  <si>
    <t>1.02</t>
  </si>
  <si>
    <t>1.03</t>
  </si>
  <si>
    <t>1.04</t>
  </si>
  <si>
    <t>1.05</t>
  </si>
  <si>
    <t>1.06</t>
  </si>
  <si>
    <t>1.07</t>
  </si>
  <si>
    <t>1.08</t>
  </si>
  <si>
    <t>1.09</t>
  </si>
  <si>
    <t>Kantoor 11</t>
  </si>
  <si>
    <t>Kantoor 10</t>
  </si>
  <si>
    <t>Kantoor 9</t>
  </si>
  <si>
    <t>Kantoor 8</t>
  </si>
  <si>
    <t>Kantine</t>
  </si>
  <si>
    <t>Safestep</t>
  </si>
  <si>
    <t>Magazijn keuken</t>
  </si>
  <si>
    <t>Kleding magazijn/stickers en mobiele telefonie</t>
  </si>
  <si>
    <t>Laminaat</t>
  </si>
  <si>
    <t>Machinekamer lift</t>
  </si>
  <si>
    <t>Rookruimte</t>
  </si>
  <si>
    <t>Serverruimte</t>
  </si>
  <si>
    <t>Totaal m2</t>
  </si>
  <si>
    <t>Toezicht percentage per jaar ma t/m vr</t>
  </si>
  <si>
    <t>Toezicht uren per jaar ma t/m vr</t>
  </si>
  <si>
    <t>Kosten productie per jaar ma t/m vr</t>
  </si>
  <si>
    <t>Kosten Additioneel per jaar</t>
  </si>
  <si>
    <t>Kosten glasbewassing per jaar</t>
  </si>
  <si>
    <t>Totaal kosten per jaar excl. btw</t>
  </si>
  <si>
    <t>Totaal kosten per maand excl. btw</t>
  </si>
  <si>
    <t>Productie uren ma t/m vr</t>
  </si>
  <si>
    <t>UREN</t>
  </si>
  <si>
    <t xml:space="preserve">KOSTEN   </t>
  </si>
  <si>
    <t>Balkonomlijsting en railing</t>
  </si>
  <si>
    <t>Kosten toezicht  per jaar ma t/m vr</t>
  </si>
  <si>
    <t>&lt;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</si>
</sst>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 numFmtId="195" formatCode="#,##0.00_ ;\-#,##0.00\ "/>
  </numFmts>
  <fonts count="110">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2"/>
      <color rgb="FFFF0000"/>
      <name val="Century Gothic"/>
      <family val="2"/>
    </font>
    <font>
      <b/>
      <u/>
      <sz val="10"/>
      <color rgb="FFFF0000"/>
      <name val="Century Gothic"/>
      <family val="2"/>
    </font>
    <font>
      <sz val="10"/>
      <color theme="0" tint="-0.499984740745262"/>
      <name val="Century Gothic"/>
      <family val="2"/>
    </font>
  </fonts>
  <fills count="6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00B0F0"/>
        <bgColor indexed="64"/>
      </patternFill>
    </fill>
    <fill>
      <patternFill patternType="solid">
        <fgColor rgb="FFFFFF00"/>
        <bgColor indexed="64"/>
      </patternFill>
    </fill>
    <fill>
      <patternFill patternType="solid">
        <fgColor rgb="FFFFC00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rgb="FF0AAAFF"/>
      </bottom>
      <diagonal/>
    </border>
    <border>
      <left/>
      <right style="medium">
        <color rgb="FF0AAAFF"/>
      </right>
      <top style="medium">
        <color rgb="FF0AAAFF"/>
      </top>
      <bottom/>
      <diagonal/>
    </border>
    <border>
      <left/>
      <right style="medium">
        <color rgb="FF0AAAFF"/>
      </right>
      <top/>
      <bottom/>
      <diagonal/>
    </border>
    <border>
      <left/>
      <right style="medium">
        <color rgb="FF0AAAFF"/>
      </right>
      <top/>
      <bottom style="medium">
        <color rgb="FF0AAAFF"/>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ck">
        <color rgb="FF0AAAFF"/>
      </right>
      <top style="thick">
        <color rgb="FF0AAAFF"/>
      </top>
      <bottom/>
      <diagonal/>
    </border>
    <border>
      <left/>
      <right style="thick">
        <color rgb="FF0AAAFF"/>
      </right>
      <top style="thin">
        <color indexed="64"/>
      </top>
      <bottom style="thin">
        <color indexed="64"/>
      </bottom>
      <diagonal/>
    </border>
    <border>
      <left/>
      <right style="thick">
        <color rgb="FF0AAAFF"/>
      </right>
      <top/>
      <bottom/>
      <diagonal/>
    </border>
    <border>
      <left/>
      <right style="thick">
        <color rgb="FF0AAAFF"/>
      </right>
      <top/>
      <bottom style="thick">
        <color rgb="FF0AAAFF"/>
      </bottom>
      <diagonal/>
    </border>
  </borders>
  <cellStyleXfs count="52887">
    <xf numFmtId="0" fontId="0" fillId="0" borderId="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12" applyNumberFormat="0" applyFill="0" applyAlignment="0" applyProtection="0"/>
    <xf numFmtId="0" fontId="16" fillId="0" borderId="13" applyNumberFormat="0" applyFill="0" applyAlignment="0" applyProtection="0"/>
    <xf numFmtId="0" fontId="17" fillId="0" borderId="14"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5" applyNumberFormat="0" applyAlignment="0" applyProtection="0"/>
    <xf numFmtId="0" fontId="22" fillId="7" borderId="16" applyNumberFormat="0" applyAlignment="0" applyProtection="0"/>
    <xf numFmtId="0" fontId="23" fillId="7" borderId="15" applyNumberFormat="0" applyAlignment="0" applyProtection="0"/>
    <xf numFmtId="0" fontId="24" fillId="0" borderId="17" applyNumberFormat="0" applyFill="0" applyAlignment="0" applyProtection="0"/>
    <xf numFmtId="0" fontId="25" fillId="8" borderId="18"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0"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9"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2"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3" fontId="31" fillId="0" borderId="0" applyFont="0" applyFill="0" applyBorder="0" applyAlignment="0" applyProtection="0"/>
    <xf numFmtId="183" fontId="31" fillId="0" borderId="0" applyFont="0" applyFill="0" applyBorder="0" applyAlignment="0" applyProtection="0"/>
    <xf numFmtId="184" fontId="7" fillId="0" borderId="0" applyFont="0" applyFill="0" applyBorder="0" applyAlignment="0" applyProtection="0"/>
    <xf numFmtId="182"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5"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6"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22" applyNumberFormat="0" applyAlignment="0" applyProtection="0"/>
    <xf numFmtId="0" fontId="7" fillId="0" borderId="0"/>
    <xf numFmtId="0" fontId="40" fillId="55" borderId="22" applyNumberFormat="0" applyAlignment="0" applyProtection="0"/>
    <xf numFmtId="0" fontId="41" fillId="56" borderId="23" applyNumberFormat="0" applyAlignment="0" applyProtection="0"/>
    <xf numFmtId="0" fontId="41" fillId="56" borderId="23" applyNumberFormat="0" applyAlignment="0" applyProtection="0"/>
    <xf numFmtId="0" fontId="42" fillId="0" borderId="0" applyNumberFormat="0" applyFill="0" applyBorder="0" applyAlignment="0" applyProtection="0"/>
    <xf numFmtId="0" fontId="43" fillId="0" borderId="24"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5" applyNumberFormat="0" applyFill="0" applyAlignment="0" applyProtection="0"/>
    <xf numFmtId="0" fontId="46" fillId="0" borderId="26" applyNumberFormat="0" applyFill="0" applyAlignment="0" applyProtection="0"/>
    <xf numFmtId="0" fontId="47" fillId="0" borderId="27" applyNumberFormat="0" applyFill="0" applyAlignment="0" applyProtection="0"/>
    <xf numFmtId="0" fontId="47" fillId="0" borderId="0" applyNumberFormat="0" applyFill="0" applyBorder="0" applyAlignment="0" applyProtection="0"/>
    <xf numFmtId="0" fontId="48" fillId="57" borderId="22" applyNumberFormat="0" applyAlignment="0" applyProtection="0"/>
    <xf numFmtId="0" fontId="35" fillId="58" borderId="1"/>
    <xf numFmtId="0" fontId="49" fillId="0" borderId="28" applyNumberFormat="0" applyFill="0" applyAlignment="0" applyProtection="0"/>
    <xf numFmtId="0" fontId="50" fillId="0" borderId="29" applyNumberFormat="0" applyFill="0" applyAlignment="0" applyProtection="0"/>
    <xf numFmtId="0" fontId="51" fillId="0" borderId="30"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31"/>
    <xf numFmtId="0" fontId="54" fillId="0" borderId="32" applyNumberFormat="0" applyFill="0" applyAlignment="0" applyProtection="0"/>
    <xf numFmtId="188"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33" applyNumberFormat="0" applyFont="0" applyAlignment="0" applyProtection="0"/>
    <xf numFmtId="0" fontId="34" fillId="59" borderId="33" applyNumberFormat="0" applyFont="0" applyAlignment="0" applyProtection="0"/>
    <xf numFmtId="0" fontId="56" fillId="37" borderId="0" applyNumberFormat="0" applyBorder="0" applyAlignment="0" applyProtection="0"/>
    <xf numFmtId="0" fontId="57" fillId="55" borderId="34" applyNumberFormat="0" applyAlignment="0" applyProtection="0"/>
    <xf numFmtId="0" fontId="53" fillId="60" borderId="35"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6" applyNumberFormat="0" applyFill="0" applyAlignment="0" applyProtection="0"/>
    <xf numFmtId="0" fontId="60" fillId="0" borderId="37" applyNumberFormat="0" applyFill="0" applyAlignment="0" applyProtection="0"/>
    <xf numFmtId="0" fontId="57" fillId="54" borderId="34" applyNumberFormat="0" applyAlignment="0" applyProtection="0"/>
    <xf numFmtId="189" fontId="3" fillId="0" borderId="0"/>
    <xf numFmtId="190"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1" fontId="5"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92" fontId="35" fillId="0" borderId="0"/>
    <xf numFmtId="192"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31"/>
    <xf numFmtId="193"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4" fontId="7" fillId="0" borderId="0" applyFont="0" applyFill="0" applyBorder="0" applyAlignment="0" applyProtection="0"/>
  </cellStyleXfs>
  <cellXfs count="606">
    <xf numFmtId="0" fontId="0" fillId="0" borderId="0" xfId="0"/>
    <xf numFmtId="0" fontId="64" fillId="0" borderId="0" xfId="0" applyFont="1" applyFill="1"/>
    <xf numFmtId="0" fontId="66" fillId="0" borderId="0" xfId="14" applyFont="1" applyFill="1" applyProtection="1">
      <protection hidden="1"/>
    </xf>
    <xf numFmtId="0" fontId="66" fillId="0" borderId="0" xfId="14" applyFont="1" applyFill="1" applyBorder="1" applyProtection="1">
      <protection hidden="1"/>
    </xf>
    <xf numFmtId="0" fontId="66" fillId="0" borderId="0" xfId="0" applyFont="1"/>
    <xf numFmtId="2" fontId="66" fillId="0" borderId="0" xfId="12" applyNumberFormat="1" applyFont="1" applyFill="1" applyBorder="1" applyProtection="1">
      <protection hidden="1"/>
    </xf>
    <xf numFmtId="0" fontId="66" fillId="0" borderId="0" xfId="14" applyFont="1" applyFill="1" applyBorder="1" applyAlignment="1" applyProtection="1">
      <alignment vertical="center"/>
      <protection hidden="1"/>
    </xf>
    <xf numFmtId="0" fontId="67" fillId="0" borderId="0" xfId="14" applyFont="1" applyFill="1" applyBorder="1" applyAlignment="1" applyProtection="1">
      <alignment horizontal="center" vertical="center"/>
      <protection hidden="1"/>
    </xf>
    <xf numFmtId="0" fontId="67" fillId="0" borderId="0" xfId="14" applyFont="1" applyFill="1" applyBorder="1" applyAlignment="1" applyProtection="1">
      <alignment horizontal="right" vertical="center"/>
      <protection hidden="1"/>
    </xf>
    <xf numFmtId="0" fontId="66" fillId="0" borderId="0" xfId="0" applyFont="1" applyFill="1" applyBorder="1"/>
    <xf numFmtId="177" fontId="66" fillId="0" borderId="0" xfId="12" applyNumberFormat="1" applyFont="1" applyFill="1" applyBorder="1" applyAlignment="1" applyProtection="1">
      <alignment vertical="center"/>
      <protection hidden="1"/>
    </xf>
    <xf numFmtId="176" fontId="70" fillId="0" borderId="0" xfId="14" applyNumberFormat="1" applyFont="1" applyFill="1" applyBorder="1" applyAlignment="1" applyProtection="1">
      <alignment vertical="center"/>
      <protection hidden="1"/>
    </xf>
    <xf numFmtId="176" fontId="66" fillId="0" borderId="0" xfId="14" applyNumberFormat="1" applyFont="1" applyFill="1" applyBorder="1" applyAlignment="1" applyProtection="1">
      <alignment vertical="center"/>
      <protection hidden="1"/>
    </xf>
    <xf numFmtId="177" fontId="66" fillId="0" borderId="0" xfId="17" applyNumberFormat="1" applyFont="1" applyFill="1" applyBorder="1" applyAlignment="1" applyProtection="1">
      <alignment vertical="center"/>
      <protection locked="0"/>
    </xf>
    <xf numFmtId="177" fontId="66" fillId="0" borderId="0" xfId="12" applyNumberFormat="1" applyFont="1" applyFill="1" applyBorder="1" applyAlignment="1" applyProtection="1">
      <alignment horizontal="center" vertical="center"/>
      <protection hidden="1"/>
    </xf>
    <xf numFmtId="177" fontId="66" fillId="0" borderId="0" xfId="12" applyNumberFormat="1" applyFont="1" applyFill="1" applyBorder="1" applyAlignment="1" applyProtection="1">
      <alignment horizontal="right" vertical="center"/>
      <protection hidden="1"/>
    </xf>
    <xf numFmtId="9" fontId="71" fillId="0" borderId="0" xfId="12" applyNumberFormat="1" applyFont="1" applyFill="1" applyBorder="1" applyAlignment="1" applyProtection="1">
      <alignment horizontal="center" vertical="center"/>
      <protection hidden="1"/>
    </xf>
    <xf numFmtId="177" fontId="71" fillId="0" borderId="0" xfId="12" applyNumberFormat="1" applyFont="1" applyFill="1" applyBorder="1" applyAlignment="1" applyProtection="1">
      <alignment vertical="center"/>
      <protection hidden="1"/>
    </xf>
    <xf numFmtId="0" fontId="65" fillId="0" borderId="0" xfId="14" applyFont="1" applyFill="1" applyBorder="1" applyAlignment="1" applyProtection="1">
      <alignment horizontal="left" vertical="center"/>
      <protection hidden="1"/>
    </xf>
    <xf numFmtId="0" fontId="70" fillId="0" borderId="0" xfId="14" applyFont="1" applyFill="1" applyBorder="1" applyAlignment="1" applyProtection="1">
      <alignment vertical="center"/>
      <protection hidden="1"/>
    </xf>
    <xf numFmtId="0" fontId="70" fillId="0" borderId="0" xfId="14" applyFont="1" applyFill="1" applyBorder="1" applyAlignment="1" applyProtection="1">
      <alignment horizontal="left" vertical="center"/>
      <protection hidden="1"/>
    </xf>
    <xf numFmtId="2" fontId="70" fillId="0" borderId="0" xfId="14" applyNumberFormat="1" applyFont="1" applyFill="1" applyBorder="1" applyAlignment="1" applyProtection="1">
      <alignment horizontal="right" vertical="center"/>
      <protection hidden="1"/>
    </xf>
    <xf numFmtId="2" fontId="66" fillId="0" borderId="0" xfId="0" applyNumberFormat="1" applyFont="1" applyFill="1" applyBorder="1" applyAlignment="1">
      <alignment vertical="center"/>
    </xf>
    <xf numFmtId="176" fontId="70" fillId="0" borderId="0" xfId="14" applyNumberFormat="1" applyFont="1" applyFill="1" applyBorder="1" applyAlignment="1" applyProtection="1">
      <alignment vertical="center"/>
      <protection locked="0"/>
    </xf>
    <xf numFmtId="176" fontId="72" fillId="0" borderId="0" xfId="14" applyNumberFormat="1" applyFont="1" applyFill="1" applyBorder="1" applyAlignment="1" applyProtection="1">
      <alignment vertical="center"/>
      <protection hidden="1"/>
    </xf>
    <xf numFmtId="0" fontId="65" fillId="0" borderId="0" xfId="14" applyFont="1" applyFill="1" applyBorder="1" applyAlignment="1" applyProtection="1">
      <alignment vertical="center"/>
      <protection hidden="1"/>
    </xf>
    <xf numFmtId="2" fontId="65" fillId="0" borderId="0" xfId="14" applyNumberFormat="1" applyFont="1" applyFill="1" applyBorder="1" applyAlignment="1" applyProtection="1">
      <alignment vertical="center"/>
      <protection hidden="1"/>
    </xf>
    <xf numFmtId="0" fontId="66" fillId="0" borderId="0" xfId="0" applyFont="1" applyFill="1" applyBorder="1" applyAlignment="1">
      <alignment vertical="center"/>
    </xf>
    <xf numFmtId="0" fontId="73" fillId="0" borderId="0" xfId="14" applyFont="1" applyFill="1" applyBorder="1" applyAlignment="1" applyProtection="1">
      <alignment vertical="center"/>
      <protection hidden="1"/>
    </xf>
    <xf numFmtId="10" fontId="70" fillId="0" borderId="0" xfId="17" applyNumberFormat="1" applyFont="1" applyFill="1" applyBorder="1" applyAlignment="1" applyProtection="1">
      <alignment vertical="center"/>
      <protection hidden="1"/>
    </xf>
    <xf numFmtId="177" fontId="70" fillId="0" borderId="0" xfId="17" applyNumberFormat="1" applyFont="1" applyFill="1" applyBorder="1" applyAlignment="1" applyProtection="1">
      <alignment vertical="center"/>
      <protection hidden="1"/>
    </xf>
    <xf numFmtId="177" fontId="70" fillId="0" borderId="0" xfId="14" applyNumberFormat="1" applyFont="1" applyFill="1" applyBorder="1" applyAlignment="1" applyProtection="1">
      <alignment vertical="center"/>
      <protection hidden="1"/>
    </xf>
    <xf numFmtId="177" fontId="66" fillId="0" borderId="0" xfId="17" applyNumberFormat="1" applyFont="1" applyFill="1" applyBorder="1" applyAlignment="1" applyProtection="1">
      <alignment vertical="center"/>
      <protection hidden="1"/>
    </xf>
    <xf numFmtId="177" fontId="66" fillId="0" borderId="0" xfId="14" applyNumberFormat="1" applyFont="1" applyFill="1" applyBorder="1" applyAlignment="1" applyProtection="1">
      <alignment horizontal="right" vertical="center"/>
      <protection hidden="1"/>
    </xf>
    <xf numFmtId="10" fontId="65" fillId="0" borderId="0" xfId="17" applyNumberFormat="1" applyFont="1" applyFill="1" applyBorder="1" applyAlignment="1" applyProtection="1">
      <alignment vertical="center"/>
      <protection hidden="1"/>
    </xf>
    <xf numFmtId="177" fontId="65" fillId="0" borderId="0" xfId="0" applyNumberFormat="1" applyFont="1" applyFill="1" applyBorder="1"/>
    <xf numFmtId="0" fontId="66" fillId="0" borderId="0" xfId="14" applyFont="1" applyFill="1" applyBorder="1" applyAlignment="1" applyProtection="1">
      <alignment horizontal="right" vertical="center"/>
      <protection hidden="1"/>
    </xf>
    <xf numFmtId="0" fontId="71" fillId="0" borderId="0" xfId="14" applyFont="1" applyFill="1" applyBorder="1" applyAlignment="1" applyProtection="1">
      <alignment vertical="center"/>
      <protection hidden="1"/>
    </xf>
    <xf numFmtId="177" fontId="65" fillId="0" borderId="0" xfId="14" applyNumberFormat="1" applyFont="1" applyFill="1" applyBorder="1" applyAlignment="1" applyProtection="1">
      <alignment vertical="center"/>
      <protection hidden="1"/>
    </xf>
    <xf numFmtId="10" fontId="65" fillId="0" borderId="0" xfId="0" applyNumberFormat="1" applyFont="1" applyFill="1" applyBorder="1" applyAlignment="1"/>
    <xf numFmtId="0" fontId="74" fillId="0" borderId="0" xfId="14" applyFont="1" applyFill="1" applyBorder="1" applyAlignment="1" applyProtection="1">
      <protection hidden="1"/>
    </xf>
    <xf numFmtId="0" fontId="74" fillId="0" borderId="0" xfId="14" applyFont="1" applyFill="1" applyBorder="1" applyProtection="1">
      <protection hidden="1"/>
    </xf>
    <xf numFmtId="0" fontId="68" fillId="0" borderId="0" xfId="14" applyFont="1" applyFill="1" applyBorder="1" applyAlignment="1" applyProtection="1">
      <protection hidden="1"/>
    </xf>
    <xf numFmtId="0" fontId="66" fillId="0" borderId="0" xfId="14" applyFont="1" applyFill="1" applyBorder="1" applyAlignment="1" applyProtection="1">
      <protection hidden="1"/>
    </xf>
    <xf numFmtId="0" fontId="66" fillId="0" borderId="0" xfId="0" applyFont="1" applyAlignment="1"/>
    <xf numFmtId="0" fontId="66" fillId="0" borderId="0" xfId="0" applyFont="1" applyFill="1" applyAlignment="1"/>
    <xf numFmtId="0" fontId="66" fillId="0" borderId="0" xfId="14" applyFont="1" applyFill="1" applyAlignment="1" applyProtection="1">
      <protection hidden="1"/>
    </xf>
    <xf numFmtId="0" fontId="66" fillId="0" borderId="0" xfId="0" applyFont="1" applyFill="1"/>
    <xf numFmtId="2" fontId="75" fillId="0" borderId="0" xfId="0" applyNumberFormat="1" applyFont="1"/>
    <xf numFmtId="0" fontId="74" fillId="0" borderId="0" xfId="64" applyFont="1" applyFill="1" applyBorder="1" applyAlignment="1"/>
    <xf numFmtId="0" fontId="66" fillId="0" borderId="0" xfId="64" applyFont="1" applyFill="1" applyAlignment="1"/>
    <xf numFmtId="49" fontId="76" fillId="0" borderId="0" xfId="63" applyNumberFormat="1" applyFont="1" applyFill="1" applyBorder="1" applyAlignment="1" applyProtection="1">
      <alignment horizontal="left" vertical="top"/>
      <protection hidden="1"/>
    </xf>
    <xf numFmtId="2" fontId="78" fillId="0" borderId="0" xfId="64" applyNumberFormat="1" applyFont="1" applyFill="1" applyAlignment="1"/>
    <xf numFmtId="0" fontId="78" fillId="0" borderId="0" xfId="64" applyFont="1" applyFill="1" applyAlignment="1"/>
    <xf numFmtId="2" fontId="78" fillId="0" borderId="0" xfId="64" applyNumberFormat="1" applyFont="1" applyFill="1" applyAlignment="1">
      <alignment horizontal="left"/>
    </xf>
    <xf numFmtId="49" fontId="78" fillId="0" borderId="0" xfId="64" applyNumberFormat="1" applyFont="1" applyFill="1" applyBorder="1" applyAlignment="1"/>
    <xf numFmtId="0" fontId="78" fillId="0" borderId="0" xfId="64" applyFont="1" applyFill="1" applyAlignment="1">
      <alignment horizontal="left"/>
    </xf>
    <xf numFmtId="0" fontId="79" fillId="61" borderId="5" xfId="64" applyNumberFormat="1" applyFont="1" applyFill="1" applyBorder="1" applyAlignment="1"/>
    <xf numFmtId="0" fontId="77" fillId="61" borderId="6" xfId="64" applyNumberFormat="1" applyFont="1" applyFill="1" applyBorder="1" applyAlignment="1"/>
    <xf numFmtId="0" fontId="77" fillId="61" borderId="6" xfId="64" applyNumberFormat="1" applyFont="1" applyFill="1" applyBorder="1" applyAlignment="1">
      <alignment horizontal="left"/>
    </xf>
    <xf numFmtId="0" fontId="78" fillId="61" borderId="7" xfId="64" applyNumberFormat="1" applyFont="1" applyFill="1" applyBorder="1" applyAlignment="1">
      <alignment horizontal="left"/>
    </xf>
    <xf numFmtId="0" fontId="66" fillId="0" borderId="0" xfId="64" applyFont="1" applyFill="1" applyAlignment="1">
      <alignment horizontal="left"/>
    </xf>
    <xf numFmtId="165" fontId="66" fillId="2" borderId="0" xfId="3" applyFont="1" applyFill="1" applyAlignment="1"/>
    <xf numFmtId="180" fontId="66" fillId="2" borderId="1" xfId="66" applyNumberFormat="1" applyFont="1" applyFill="1" applyBorder="1" applyAlignment="1">
      <alignment horizontal="center"/>
    </xf>
    <xf numFmtId="178" fontId="66" fillId="0" borderId="0" xfId="7" applyNumberFormat="1" applyFont="1" applyFill="1" applyAlignment="1">
      <alignment horizontal="left"/>
    </xf>
    <xf numFmtId="9" fontId="71" fillId="2" borderId="1" xfId="66" applyFont="1" applyFill="1" applyBorder="1" applyAlignment="1">
      <alignment horizontal="center"/>
    </xf>
    <xf numFmtId="43" fontId="66" fillId="2" borderId="0" xfId="64" applyNumberFormat="1" applyFont="1" applyFill="1" applyAlignment="1"/>
    <xf numFmtId="0" fontId="66" fillId="0" borderId="6" xfId="64" applyFont="1" applyFill="1" applyBorder="1" applyAlignment="1"/>
    <xf numFmtId="166" fontId="66" fillId="0" borderId="1" xfId="19" applyFont="1" applyFill="1" applyBorder="1" applyAlignment="1" applyProtection="1">
      <alignment horizontal="center" vertical="center"/>
      <protection hidden="1"/>
    </xf>
    <xf numFmtId="0" fontId="71" fillId="0" borderId="0" xfId="63" applyNumberFormat="1" applyFont="1" applyFill="1" applyBorder="1" applyAlignment="1" applyProtection="1">
      <alignment horizontal="left"/>
      <protection hidden="1"/>
    </xf>
    <xf numFmtId="43" fontId="66" fillId="0" borderId="0" xfId="64" applyNumberFormat="1" applyFont="1" applyFill="1" applyAlignment="1"/>
    <xf numFmtId="0" fontId="65" fillId="0" borderId="0" xfId="63" applyNumberFormat="1" applyFont="1" applyFill="1" applyBorder="1" applyAlignment="1" applyProtection="1">
      <alignment horizontal="left"/>
      <protection hidden="1"/>
    </xf>
    <xf numFmtId="49" fontId="66" fillId="0" borderId="0" xfId="64" applyNumberFormat="1" applyFont="1" applyFill="1" applyBorder="1" applyAlignment="1"/>
    <xf numFmtId="10" fontId="66" fillId="0" borderId="0" xfId="64" applyNumberFormat="1" applyFont="1" applyFill="1" applyAlignment="1">
      <alignment horizontal="left"/>
    </xf>
    <xf numFmtId="178" fontId="66" fillId="0" borderId="2" xfId="7" applyNumberFormat="1" applyFont="1" applyFill="1" applyBorder="1" applyAlignment="1">
      <alignment horizontal="left"/>
    </xf>
    <xf numFmtId="0" fontId="66" fillId="2" borderId="0" xfId="64" applyFont="1" applyFill="1" applyAlignment="1"/>
    <xf numFmtId="44" fontId="66" fillId="2" borderId="0" xfId="64" applyNumberFormat="1" applyFont="1" applyFill="1" applyAlignment="1"/>
    <xf numFmtId="44" fontId="66" fillId="2" borderId="0" xfId="67" applyFont="1" applyFill="1" applyAlignment="1"/>
    <xf numFmtId="44" fontId="66" fillId="0" borderId="0" xfId="64" applyNumberFormat="1" applyFont="1" applyFill="1" applyAlignment="1"/>
    <xf numFmtId="49" fontId="80" fillId="61" borderId="5" xfId="64" applyNumberFormat="1" applyFont="1" applyFill="1" applyBorder="1" applyAlignment="1"/>
    <xf numFmtId="0" fontId="80" fillId="61" borderId="6" xfId="64" applyFont="1" applyFill="1" applyBorder="1" applyAlignment="1"/>
    <xf numFmtId="9" fontId="80" fillId="61" borderId="6" xfId="17" applyFont="1" applyFill="1" applyBorder="1" applyAlignment="1">
      <alignment horizontal="center"/>
    </xf>
    <xf numFmtId="44" fontId="80" fillId="61" borderId="7" xfId="64" applyNumberFormat="1" applyFont="1" applyFill="1" applyBorder="1" applyAlignment="1"/>
    <xf numFmtId="49" fontId="81" fillId="0" borderId="0" xfId="64" applyNumberFormat="1" applyFont="1" applyFill="1" applyBorder="1" applyAlignment="1"/>
    <xf numFmtId="2" fontId="82" fillId="0" borderId="0" xfId="64" applyNumberFormat="1" applyFont="1" applyFill="1" applyBorder="1" applyAlignment="1"/>
    <xf numFmtId="2" fontId="82" fillId="0" borderId="0" xfId="64" applyNumberFormat="1" applyFont="1" applyFill="1" applyAlignment="1"/>
    <xf numFmtId="1" fontId="81" fillId="0" borderId="0" xfId="64" applyNumberFormat="1" applyFont="1" applyFill="1" applyBorder="1" applyAlignment="1">
      <alignment horizontal="left"/>
    </xf>
    <xf numFmtId="49" fontId="66" fillId="0" borderId="0" xfId="63" applyNumberFormat="1" applyFont="1" applyFill="1" applyBorder="1" applyAlignment="1" applyProtection="1">
      <alignment horizontal="left" vertical="top"/>
      <protection hidden="1"/>
    </xf>
    <xf numFmtId="0" fontId="66" fillId="0" borderId="0" xfId="63" applyFont="1" applyFill="1" applyBorder="1" applyAlignment="1" applyProtection="1">
      <alignment horizontal="center" vertical="justify"/>
      <protection hidden="1"/>
    </xf>
    <xf numFmtId="0" fontId="66" fillId="0" borderId="0" xfId="63" applyFont="1" applyFill="1" applyBorder="1" applyAlignment="1" applyProtection="1">
      <alignment horizontal="left" vertical="justify"/>
      <protection hidden="1"/>
    </xf>
    <xf numFmtId="0" fontId="82" fillId="0" borderId="0" xfId="64" applyFont="1" applyFill="1" applyAlignment="1"/>
    <xf numFmtId="49" fontId="66" fillId="0" borderId="0" xfId="63" applyNumberFormat="1" applyFont="1" applyFill="1" applyBorder="1" applyAlignment="1" applyProtection="1">
      <alignment horizontal="left"/>
      <protection hidden="1"/>
    </xf>
    <xf numFmtId="0" fontId="71" fillId="0" borderId="0" xfId="63" applyNumberFormat="1" applyFont="1" applyFill="1" applyBorder="1" applyAlignment="1" applyProtection="1">
      <alignment horizontal="left" vertical="top"/>
      <protection hidden="1"/>
    </xf>
    <xf numFmtId="49" fontId="71" fillId="0" borderId="5" xfId="63" applyNumberFormat="1" applyFont="1" applyFill="1" applyBorder="1" applyAlignment="1" applyProtection="1">
      <alignment horizontal="left"/>
      <protection hidden="1"/>
    </xf>
    <xf numFmtId="175" fontId="71" fillId="0" borderId="0" xfId="66" applyNumberFormat="1" applyFont="1" applyFill="1" applyBorder="1" applyAlignment="1" applyProtection="1">
      <alignment horizontal="center"/>
      <protection hidden="1"/>
    </xf>
    <xf numFmtId="175" fontId="71" fillId="2" borderId="0" xfId="66" applyNumberFormat="1" applyFont="1" applyFill="1" applyBorder="1" applyAlignment="1" applyProtection="1">
      <alignment horizontal="center"/>
      <protection hidden="1"/>
    </xf>
    <xf numFmtId="49" fontId="66" fillId="0" borderId="6" xfId="63" applyNumberFormat="1" applyFont="1" applyFill="1" applyBorder="1" applyAlignment="1" applyProtection="1">
      <alignment horizontal="left"/>
      <protection hidden="1"/>
    </xf>
    <xf numFmtId="9" fontId="71" fillId="0" borderId="1" xfId="66" applyFont="1" applyFill="1" applyBorder="1" applyAlignment="1" applyProtection="1">
      <alignment horizontal="center" vertical="center"/>
      <protection hidden="1"/>
    </xf>
    <xf numFmtId="49" fontId="66" fillId="2" borderId="0" xfId="63" applyNumberFormat="1" applyFont="1" applyFill="1" applyBorder="1" applyAlignment="1" applyProtection="1">
      <alignment horizontal="left"/>
      <protection hidden="1"/>
    </xf>
    <xf numFmtId="49" fontId="71" fillId="0" borderId="0" xfId="63" applyNumberFormat="1" applyFont="1" applyFill="1" applyBorder="1" applyAlignment="1" applyProtection="1">
      <alignment horizontal="left"/>
      <protection hidden="1"/>
    </xf>
    <xf numFmtId="9" fontId="71" fillId="0" borderId="0" xfId="66" applyFont="1" applyFill="1" applyBorder="1" applyAlignment="1" applyProtection="1">
      <alignment horizontal="center" vertical="center"/>
      <protection hidden="1"/>
    </xf>
    <xf numFmtId="49" fontId="66" fillId="0" borderId="5" xfId="63" applyNumberFormat="1" applyFont="1" applyFill="1" applyBorder="1" applyAlignment="1" applyProtection="1">
      <alignment horizontal="left"/>
      <protection hidden="1"/>
    </xf>
    <xf numFmtId="49" fontId="66" fillId="2" borderId="7" xfId="63" applyNumberFormat="1" applyFont="1" applyFill="1" applyBorder="1" applyAlignment="1" applyProtection="1">
      <alignment horizontal="left"/>
      <protection hidden="1"/>
    </xf>
    <xf numFmtId="173" fontId="66" fillId="0" borderId="0" xfId="63" applyNumberFormat="1" applyFont="1" applyFill="1" applyBorder="1" applyAlignment="1" applyProtection="1">
      <alignment horizontal="left" vertical="top"/>
      <protection hidden="1"/>
    </xf>
    <xf numFmtId="165" fontId="71" fillId="2" borderId="0" xfId="3" applyFont="1" applyFill="1" applyBorder="1" applyAlignment="1" applyProtection="1">
      <alignment horizontal="left"/>
      <protection hidden="1"/>
    </xf>
    <xf numFmtId="178" fontId="71" fillId="0" borderId="0" xfId="63" applyNumberFormat="1" applyFont="1" applyFill="1" applyBorder="1" applyAlignment="1" applyProtection="1">
      <alignment horizontal="left"/>
      <protection hidden="1"/>
    </xf>
    <xf numFmtId="49" fontId="71" fillId="0" borderId="0" xfId="64" applyNumberFormat="1" applyFont="1" applyFill="1" applyBorder="1" applyAlignment="1"/>
    <xf numFmtId="179" fontId="71" fillId="0" borderId="0" xfId="63" applyNumberFormat="1" applyFont="1" applyFill="1" applyBorder="1" applyAlignment="1" applyProtection="1">
      <alignment horizontal="left"/>
      <protection hidden="1"/>
    </xf>
    <xf numFmtId="49" fontId="71" fillId="0" borderId="5" xfId="64" applyNumberFormat="1" applyFont="1" applyFill="1" applyBorder="1" applyAlignment="1"/>
    <xf numFmtId="49" fontId="71" fillId="0" borderId="6" xfId="64" applyNumberFormat="1" applyFont="1" applyFill="1" applyBorder="1" applyAlignment="1"/>
    <xf numFmtId="0" fontId="66" fillId="0" borderId="0" xfId="90" applyFont="1"/>
    <xf numFmtId="2" fontId="77" fillId="0" borderId="0" xfId="13" applyNumberFormat="1" applyFont="1" applyFill="1" applyBorder="1" applyAlignment="1"/>
    <xf numFmtId="2" fontId="81" fillId="0" borderId="0" xfId="13" applyNumberFormat="1" applyFont="1" applyFill="1" applyBorder="1" applyAlignment="1"/>
    <xf numFmtId="187" fontId="83" fillId="0" borderId="0" xfId="64" applyNumberFormat="1" applyFont="1" applyFill="1" applyBorder="1" applyAlignment="1">
      <alignment horizontal="left"/>
    </xf>
    <xf numFmtId="0" fontId="66" fillId="0" borderId="0" xfId="0" applyFont="1" applyAlignment="1">
      <alignment horizontal="center" vertical="center"/>
    </xf>
    <xf numFmtId="0" fontId="66" fillId="0" borderId="0" xfId="18" applyFont="1" applyFill="1" applyAlignment="1">
      <alignment horizontal="center"/>
    </xf>
    <xf numFmtId="2" fontId="66" fillId="0" borderId="0" xfId="9" applyNumberFormat="1" applyFont="1" applyAlignment="1">
      <alignment horizontal="left"/>
    </xf>
    <xf numFmtId="172" fontId="66" fillId="0" borderId="0" xfId="18" applyNumberFormat="1" applyFont="1" applyAlignment="1">
      <alignment horizontal="center"/>
    </xf>
    <xf numFmtId="172" fontId="72" fillId="0" borderId="0" xfId="13" applyNumberFormat="1" applyFont="1" applyFill="1" applyAlignment="1"/>
    <xf numFmtId="3" fontId="72" fillId="0" borderId="0" xfId="13" applyNumberFormat="1" applyFont="1" applyFill="1" applyAlignment="1">
      <alignment horizontal="right"/>
    </xf>
    <xf numFmtId="3" fontId="66" fillId="0" borderId="0" xfId="9" applyNumberFormat="1" applyFont="1" applyAlignment="1">
      <alignment horizontal="right"/>
    </xf>
    <xf numFmtId="0" fontId="66" fillId="0" borderId="0" xfId="18" applyFont="1"/>
    <xf numFmtId="0" fontId="66" fillId="0" borderId="0" xfId="18" applyFont="1" applyAlignment="1">
      <alignment horizontal="center" vertical="center"/>
    </xf>
    <xf numFmtId="0" fontId="70" fillId="0" borderId="0" xfId="18" applyFont="1"/>
    <xf numFmtId="0" fontId="66" fillId="0" borderId="1" xfId="0" applyFont="1" applyBorder="1" applyAlignment="1">
      <alignment vertical="center"/>
    </xf>
    <xf numFmtId="0" fontId="66" fillId="0" borderId="1" xfId="0" applyFont="1" applyFill="1" applyBorder="1" applyAlignment="1">
      <alignment horizontal="center" vertical="center"/>
    </xf>
    <xf numFmtId="0" fontId="66" fillId="0" borderId="0" xfId="18" applyFont="1" applyFill="1"/>
    <xf numFmtId="0" fontId="66" fillId="0" borderId="1" xfId="0" applyFont="1" applyFill="1" applyBorder="1" applyAlignment="1"/>
    <xf numFmtId="1" fontId="66" fillId="0" borderId="1" xfId="62" applyNumberFormat="1" applyFont="1" applyBorder="1" applyAlignment="1">
      <alignment horizontal="center"/>
    </xf>
    <xf numFmtId="1" fontId="70" fillId="0" borderId="1" xfId="62" applyNumberFormat="1" applyFont="1" applyBorder="1" applyAlignment="1">
      <alignment horizontal="center"/>
    </xf>
    <xf numFmtId="173" fontId="68" fillId="0" borderId="1" xfId="9" applyNumberFormat="1" applyFont="1" applyFill="1" applyBorder="1" applyAlignment="1">
      <alignment horizontal="center"/>
    </xf>
    <xf numFmtId="173" fontId="75" fillId="0" borderId="1" xfId="9" applyNumberFormat="1" applyFont="1" applyFill="1" applyBorder="1" applyAlignment="1">
      <alignment horizontal="center"/>
    </xf>
    <xf numFmtId="0" fontId="75" fillId="0" borderId="1" xfId="18" applyFont="1" applyFill="1" applyBorder="1" applyAlignment="1">
      <alignment horizontal="left"/>
    </xf>
    <xf numFmtId="1" fontId="66" fillId="0" borderId="1" xfId="0" applyNumberFormat="1" applyFont="1" applyFill="1" applyBorder="1" applyAlignment="1">
      <alignment horizontal="center"/>
    </xf>
    <xf numFmtId="1" fontId="80" fillId="61" borderId="1" xfId="0" applyNumberFormat="1" applyFont="1" applyFill="1" applyBorder="1" applyAlignment="1">
      <alignment horizontal="left"/>
    </xf>
    <xf numFmtId="1" fontId="80" fillId="61" borderId="1" xfId="0" applyNumberFormat="1" applyFont="1" applyFill="1" applyBorder="1" applyAlignment="1">
      <alignment horizontal="center"/>
    </xf>
    <xf numFmtId="2" fontId="80" fillId="61" borderId="1" xfId="0" applyNumberFormat="1" applyFont="1" applyFill="1" applyBorder="1" applyAlignment="1">
      <alignment horizontal="left" vertical="center" wrapText="1"/>
    </xf>
    <xf numFmtId="1" fontId="80" fillId="61" borderId="1" xfId="0" applyNumberFormat="1" applyFont="1" applyFill="1" applyBorder="1" applyAlignment="1">
      <alignment horizontal="center" vertical="center" wrapText="1"/>
    </xf>
    <xf numFmtId="1" fontId="75" fillId="0" borderId="6" xfId="0" applyNumberFormat="1" applyFont="1" applyFill="1" applyBorder="1" applyAlignment="1">
      <alignment horizontal="center" vertical="center" wrapText="1"/>
    </xf>
    <xf numFmtId="1" fontId="75" fillId="0" borderId="7" xfId="0" applyNumberFormat="1" applyFont="1" applyFill="1" applyBorder="1" applyAlignment="1">
      <alignment horizontal="center" vertical="center" wrapText="1"/>
    </xf>
    <xf numFmtId="49" fontId="81" fillId="0" borderId="0" xfId="13" applyNumberFormat="1" applyFont="1" applyFill="1" applyBorder="1" applyAlignment="1"/>
    <xf numFmtId="2" fontId="82" fillId="0" borderId="0" xfId="13" applyNumberFormat="1" applyFont="1" applyFill="1" applyBorder="1" applyAlignment="1"/>
    <xf numFmtId="2" fontId="82" fillId="0" borderId="0" xfId="13" applyNumberFormat="1" applyFont="1" applyFill="1" applyAlignment="1"/>
    <xf numFmtId="0" fontId="80" fillId="61" borderId="1" xfId="0" applyFont="1" applyFill="1" applyBorder="1" applyAlignment="1">
      <alignment wrapText="1"/>
    </xf>
    <xf numFmtId="0" fontId="80" fillId="61" borderId="1" xfId="0" applyFont="1" applyFill="1" applyBorder="1"/>
    <xf numFmtId="1" fontId="75" fillId="0" borderId="1" xfId="62" applyNumberFormat="1" applyFont="1" applyFill="1" applyBorder="1" applyAlignment="1">
      <alignment horizontal="center"/>
    </xf>
    <xf numFmtId="0" fontId="66" fillId="0" borderId="0" xfId="0" applyFont="1" applyAlignment="1">
      <alignment horizontal="center"/>
    </xf>
    <xf numFmtId="0" fontId="68" fillId="0" borderId="0" xfId="0" applyFont="1" applyAlignment="1">
      <alignment horizontal="center"/>
    </xf>
    <xf numFmtId="2" fontId="74" fillId="0" borderId="0" xfId="0" applyNumberFormat="1" applyFont="1"/>
    <xf numFmtId="2" fontId="71" fillId="0" borderId="0" xfId="0" applyNumberFormat="1" applyFont="1" applyAlignment="1">
      <alignment horizontal="center"/>
    </xf>
    <xf numFmtId="2" fontId="71" fillId="0" borderId="0" xfId="0" applyNumberFormat="1" applyFont="1" applyAlignment="1">
      <alignment horizontal="left"/>
    </xf>
    <xf numFmtId="2" fontId="71" fillId="0" borderId="0" xfId="0" applyNumberFormat="1" applyFont="1"/>
    <xf numFmtId="0" fontId="71" fillId="0" borderId="0" xfId="0" applyFont="1"/>
    <xf numFmtId="1" fontId="71" fillId="0" borderId="0" xfId="0" applyNumberFormat="1" applyFont="1" applyAlignment="1">
      <alignment horizontal="center"/>
    </xf>
    <xf numFmtId="0" fontId="86" fillId="0" borderId="0" xfId="0" applyFont="1" applyFill="1"/>
    <xf numFmtId="0" fontId="71" fillId="0" borderId="0" xfId="0" applyFont="1" applyFill="1"/>
    <xf numFmtId="167" fontId="71" fillId="0" borderId="0" xfId="9" applyFont="1"/>
    <xf numFmtId="2" fontId="71" fillId="0" borderId="0" xfId="0" applyNumberFormat="1" applyFont="1" applyFill="1"/>
    <xf numFmtId="2" fontId="81" fillId="0" borderId="0" xfId="0" applyNumberFormat="1" applyFont="1" applyAlignment="1">
      <alignment horizontal="left"/>
    </xf>
    <xf numFmtId="2" fontId="77" fillId="0" borderId="0" xfId="13" applyNumberFormat="1" applyFont="1" applyFill="1" applyBorder="1" applyAlignment="1">
      <alignment horizontal="left"/>
    </xf>
    <xf numFmtId="2" fontId="80" fillId="61" borderId="4" xfId="0" applyNumberFormat="1" applyFont="1" applyFill="1" applyBorder="1" applyAlignment="1">
      <alignment horizontal="left" vertical="top" wrapText="1"/>
    </xf>
    <xf numFmtId="2" fontId="80" fillId="61" borderId="4" xfId="0" applyNumberFormat="1" applyFont="1" applyFill="1" applyBorder="1" applyAlignment="1">
      <alignment horizontal="left" vertical="top"/>
    </xf>
    <xf numFmtId="0" fontId="80" fillId="61" borderId="4" xfId="0" applyFont="1" applyFill="1" applyBorder="1" applyAlignment="1">
      <alignment horizontal="left" vertical="top" wrapText="1"/>
    </xf>
    <xf numFmtId="167" fontId="80" fillId="61" borderId="4" xfId="9" applyFont="1" applyFill="1" applyBorder="1" applyAlignment="1">
      <alignment horizontal="center" vertical="top" wrapText="1"/>
    </xf>
    <xf numFmtId="167" fontId="87" fillId="61" borderId="4" xfId="9" applyFont="1" applyFill="1" applyBorder="1" applyAlignment="1">
      <alignment horizontal="center" vertical="top" wrapText="1"/>
    </xf>
    <xf numFmtId="2" fontId="66" fillId="0" borderId="1" xfId="0" applyNumberFormat="1" applyFont="1" applyFill="1" applyBorder="1"/>
    <xf numFmtId="174" fontId="66" fillId="0" borderId="1" xfId="0" applyNumberFormat="1" applyFont="1" applyFill="1" applyBorder="1" applyAlignment="1">
      <alignment horizontal="left"/>
    </xf>
    <xf numFmtId="0" fontId="66" fillId="0" borderId="1" xfId="0" applyFont="1" applyFill="1" applyBorder="1"/>
    <xf numFmtId="1" fontId="85" fillId="0" borderId="1" xfId="0" applyNumberFormat="1" applyFont="1" applyFill="1" applyBorder="1" applyAlignment="1">
      <alignment horizontal="center"/>
    </xf>
    <xf numFmtId="43" fontId="68" fillId="0" borderId="1" xfId="9" applyNumberFormat="1" applyFont="1" applyFill="1" applyBorder="1" applyAlignment="1">
      <alignment horizontal="center"/>
    </xf>
    <xf numFmtId="1" fontId="68" fillId="0" borderId="1" xfId="9" applyNumberFormat="1" applyFont="1" applyFill="1" applyBorder="1" applyAlignment="1">
      <alignment horizontal="center"/>
    </xf>
    <xf numFmtId="2" fontId="68" fillId="0" borderId="1" xfId="9" applyNumberFormat="1" applyFont="1" applyFill="1" applyBorder="1" applyAlignment="1">
      <alignment horizontal="center"/>
    </xf>
    <xf numFmtId="0" fontId="68" fillId="0" borderId="0" xfId="0" applyFont="1"/>
    <xf numFmtId="0" fontId="66" fillId="0" borderId="4" xfId="0" applyFont="1" applyFill="1" applyBorder="1"/>
    <xf numFmtId="0" fontId="66" fillId="0" borderId="1" xfId="0" applyNumberFormat="1" applyFont="1" applyFill="1" applyBorder="1" applyAlignment="1"/>
    <xf numFmtId="0" fontId="66" fillId="0" borderId="7" xfId="0" applyFont="1" applyFill="1" applyBorder="1"/>
    <xf numFmtId="174" fontId="66" fillId="0" borderId="9" xfId="0" applyNumberFormat="1" applyFont="1" applyFill="1" applyBorder="1" applyAlignment="1">
      <alignment horizontal="left"/>
    </xf>
    <xf numFmtId="0" fontId="66" fillId="0" borderId="9" xfId="0" applyFont="1" applyFill="1" applyBorder="1"/>
    <xf numFmtId="1" fontId="66" fillId="0" borderId="1" xfId="0" applyNumberFormat="1" applyFont="1" applyFill="1" applyBorder="1" applyAlignment="1">
      <alignment horizontal="right"/>
    </xf>
    <xf numFmtId="1" fontId="66" fillId="0" borderId="9" xfId="0" applyNumberFormat="1" applyFont="1" applyFill="1" applyBorder="1" applyAlignment="1">
      <alignment horizontal="center"/>
    </xf>
    <xf numFmtId="0" fontId="66" fillId="0" borderId="21" xfId="0" applyFont="1" applyBorder="1" applyAlignment="1">
      <alignment wrapText="1"/>
    </xf>
    <xf numFmtId="0" fontId="66" fillId="0" borderId="21" xfId="0" applyFont="1" applyBorder="1" applyAlignment="1"/>
    <xf numFmtId="0" fontId="66" fillId="2" borderId="21" xfId="0" applyFont="1" applyFill="1" applyBorder="1" applyAlignment="1">
      <alignment wrapText="1"/>
    </xf>
    <xf numFmtId="2" fontId="66" fillId="0" borderId="0" xfId="0" applyNumberFormat="1" applyFont="1" applyFill="1" applyBorder="1"/>
    <xf numFmtId="1" fontId="66" fillId="0" borderId="0" xfId="0" applyNumberFormat="1" applyFont="1" applyFill="1" applyBorder="1" applyAlignment="1">
      <alignment horizontal="center"/>
    </xf>
    <xf numFmtId="174" fontId="66" fillId="0" borderId="0" xfId="0" applyNumberFormat="1" applyFont="1" applyFill="1" applyBorder="1" applyAlignment="1">
      <alignment horizontal="left"/>
    </xf>
    <xf numFmtId="0" fontId="66" fillId="0" borderId="0" xfId="9" applyNumberFormat="1" applyFont="1" applyFill="1" applyBorder="1" applyAlignment="1"/>
    <xf numFmtId="1" fontId="85" fillId="0" borderId="0" xfId="0" applyNumberFormat="1" applyFont="1" applyFill="1" applyBorder="1" applyAlignment="1">
      <alignment horizontal="center"/>
    </xf>
    <xf numFmtId="43" fontId="68" fillId="0" borderId="0" xfId="9" applyNumberFormat="1" applyFont="1" applyFill="1" applyBorder="1" applyAlignment="1">
      <alignment horizontal="center"/>
    </xf>
    <xf numFmtId="167" fontId="68" fillId="0" borderId="0" xfId="9" applyFont="1" applyFill="1" applyBorder="1" applyAlignment="1">
      <alignment horizontal="center"/>
    </xf>
    <xf numFmtId="2" fontId="68" fillId="0" borderId="0" xfId="9" applyNumberFormat="1" applyFont="1" applyFill="1" applyBorder="1" applyAlignment="1">
      <alignment horizontal="center"/>
    </xf>
    <xf numFmtId="0" fontId="66" fillId="0" borderId="0" xfId="0" applyFont="1" applyBorder="1"/>
    <xf numFmtId="0" fontId="66" fillId="0" borderId="0" xfId="0" applyFont="1" applyFill="1" applyBorder="1" applyAlignment="1"/>
    <xf numFmtId="0" fontId="85" fillId="0" borderId="0" xfId="0" applyFont="1" applyFill="1" applyBorder="1"/>
    <xf numFmtId="0" fontId="85" fillId="0" borderId="0" xfId="0" applyFont="1"/>
    <xf numFmtId="0" fontId="68" fillId="0" borderId="0" xfId="14" applyFont="1" applyFill="1" applyAlignment="1" applyProtection="1">
      <protection hidden="1"/>
    </xf>
    <xf numFmtId="0" fontId="71" fillId="0" borderId="0" xfId="0" applyFont="1" applyAlignment="1">
      <alignment horizontal="center"/>
    </xf>
    <xf numFmtId="0" fontId="66" fillId="0" borderId="0" xfId="0" applyFont="1" applyFill="1" applyAlignment="1">
      <alignment vertical="center"/>
    </xf>
    <xf numFmtId="0" fontId="66" fillId="0" borderId="0" xfId="14" applyFont="1" applyFill="1" applyAlignment="1" applyProtection="1">
      <alignment vertical="center"/>
      <protection hidden="1"/>
    </xf>
    <xf numFmtId="2" fontId="66" fillId="0" borderId="0" xfId="0" applyNumberFormat="1" applyFont="1" applyFill="1" applyAlignment="1">
      <alignment vertical="center"/>
    </xf>
    <xf numFmtId="2" fontId="66" fillId="0" borderId="0" xfId="14" applyNumberFormat="1" applyFont="1" applyFill="1" applyAlignment="1" applyProtection="1">
      <alignment vertical="center"/>
      <protection hidden="1"/>
    </xf>
    <xf numFmtId="2" fontId="71" fillId="0" borderId="0" xfId="0" applyNumberFormat="1" applyFont="1" applyFill="1" applyBorder="1" applyAlignment="1">
      <alignment horizontal="center"/>
    </xf>
    <xf numFmtId="2" fontId="66" fillId="0" borderId="0" xfId="14" applyNumberFormat="1" applyFont="1" applyFill="1" applyBorder="1" applyAlignment="1" applyProtection="1">
      <alignment vertical="center"/>
      <protection hidden="1"/>
    </xf>
    <xf numFmtId="2" fontId="77" fillId="0" borderId="0" xfId="14" applyNumberFormat="1" applyFont="1" applyFill="1" applyBorder="1" applyAlignment="1" applyProtection="1">
      <alignment vertical="center"/>
      <protection locked="0"/>
    </xf>
    <xf numFmtId="2" fontId="66" fillId="0" borderId="3" xfId="12" applyNumberFormat="1" applyFont="1" applyFill="1" applyBorder="1" applyProtection="1">
      <protection hidden="1"/>
    </xf>
    <xf numFmtId="2" fontId="66" fillId="0" borderId="5" xfId="12" applyNumberFormat="1" applyFont="1" applyFill="1" applyBorder="1" applyProtection="1">
      <protection hidden="1"/>
    </xf>
    <xf numFmtId="0" fontId="66" fillId="0" borderId="7" xfId="0" applyFont="1" applyBorder="1"/>
    <xf numFmtId="2" fontId="66" fillId="0" borderId="7" xfId="12" applyNumberFormat="1" applyFont="1" applyFill="1" applyBorder="1" applyProtection="1">
      <protection hidden="1"/>
    </xf>
    <xf numFmtId="0" fontId="66" fillId="0" borderId="5" xfId="0" applyFont="1" applyFill="1" applyBorder="1"/>
    <xf numFmtId="177" fontId="66" fillId="2" borderId="0" xfId="12" applyNumberFormat="1" applyFont="1" applyFill="1" applyBorder="1" applyAlignment="1" applyProtection="1">
      <alignment vertical="center"/>
      <protection hidden="1"/>
    </xf>
    <xf numFmtId="0" fontId="71" fillId="0" borderId="5" xfId="0" applyFont="1" applyFill="1" applyBorder="1"/>
    <xf numFmtId="0" fontId="71" fillId="0" borderId="7" xfId="0" applyFont="1" applyFill="1" applyBorder="1"/>
    <xf numFmtId="177" fontId="71" fillId="0" borderId="1" xfId="12" applyNumberFormat="1" applyFont="1" applyFill="1" applyBorder="1" applyAlignment="1" applyProtection="1">
      <alignment vertical="center"/>
      <protection hidden="1"/>
    </xf>
    <xf numFmtId="177" fontId="66" fillId="0" borderId="1" xfId="12" applyNumberFormat="1" applyFont="1" applyFill="1" applyBorder="1" applyAlignment="1" applyProtection="1">
      <alignment vertical="center"/>
      <protection hidden="1"/>
    </xf>
    <xf numFmtId="10" fontId="71" fillId="0" borderId="7" xfId="0" applyNumberFormat="1" applyFont="1" applyFill="1" applyBorder="1" applyAlignment="1"/>
    <xf numFmtId="0" fontId="65" fillId="0" borderId="3" xfId="14" applyFont="1" applyFill="1" applyBorder="1" applyAlignment="1" applyProtection="1">
      <alignment horizontal="left" vertical="center"/>
      <protection hidden="1"/>
    </xf>
    <xf numFmtId="2" fontId="71" fillId="0" borderId="1" xfId="12" applyNumberFormat="1" applyFont="1" applyFill="1" applyBorder="1" applyAlignment="1" applyProtection="1">
      <alignment horizontal="center"/>
      <protection hidden="1"/>
    </xf>
    <xf numFmtId="179" fontId="70" fillId="0" borderId="1" xfId="14" applyNumberFormat="1" applyFont="1" applyFill="1" applyBorder="1" applyAlignment="1" applyProtection="1">
      <alignment horizontal="left" vertical="center"/>
      <protection hidden="1"/>
    </xf>
    <xf numFmtId="179" fontId="70" fillId="0" borderId="11" xfId="14" applyNumberFormat="1" applyFont="1" applyFill="1" applyBorder="1" applyAlignment="1" applyProtection="1">
      <alignment horizontal="left" vertical="center"/>
      <protection hidden="1"/>
    </xf>
    <xf numFmtId="0" fontId="66" fillId="0" borderId="5" xfId="12" applyFont="1" applyFill="1" applyBorder="1" applyAlignment="1" applyProtection="1">
      <alignment vertical="center"/>
      <protection hidden="1"/>
    </xf>
    <xf numFmtId="0" fontId="66" fillId="0" borderId="2" xfId="0" applyFont="1" applyBorder="1"/>
    <xf numFmtId="10" fontId="70" fillId="0" borderId="0" xfId="17" applyNumberFormat="1" applyFont="1" applyFill="1" applyBorder="1" applyAlignment="1" applyProtection="1">
      <alignment horizontal="right" vertical="center"/>
      <protection hidden="1"/>
    </xf>
    <xf numFmtId="0" fontId="66" fillId="0" borderId="6" xfId="0" applyFont="1" applyBorder="1"/>
    <xf numFmtId="181" fontId="66" fillId="0" borderId="0" xfId="12" applyNumberFormat="1" applyFont="1" applyFill="1" applyBorder="1" applyProtection="1">
      <protection hidden="1"/>
    </xf>
    <xf numFmtId="10" fontId="65" fillId="0" borderId="0" xfId="17" applyNumberFormat="1" applyFont="1" applyFill="1" applyBorder="1" applyAlignment="1"/>
    <xf numFmtId="179" fontId="66" fillId="0" borderId="0" xfId="14" applyNumberFormat="1" applyFont="1" applyFill="1" applyBorder="1" applyAlignment="1" applyProtection="1">
      <alignment vertical="center"/>
      <protection hidden="1"/>
    </xf>
    <xf numFmtId="0" fontId="70" fillId="0" borderId="1" xfId="14" applyFont="1" applyFill="1" applyBorder="1" applyAlignment="1" applyProtection="1">
      <alignment horizontal="left" vertical="center"/>
      <protection hidden="1"/>
    </xf>
    <xf numFmtId="0" fontId="65" fillId="0" borderId="1" xfId="14" applyFont="1" applyFill="1" applyBorder="1" applyAlignment="1" applyProtection="1">
      <alignment vertical="center"/>
      <protection hidden="1"/>
    </xf>
    <xf numFmtId="0" fontId="66" fillId="0" borderId="1" xfId="0" applyFont="1" applyFill="1" applyBorder="1" applyAlignment="1">
      <alignment vertical="center"/>
    </xf>
    <xf numFmtId="0" fontId="73" fillId="0" borderId="1" xfId="14" applyFont="1" applyFill="1" applyBorder="1" applyAlignment="1" applyProtection="1">
      <alignment vertical="center"/>
      <protection hidden="1"/>
    </xf>
    <xf numFmtId="0" fontId="66" fillId="0" borderId="1" xfId="14" applyFont="1" applyFill="1" applyBorder="1" applyAlignment="1" applyProtection="1">
      <alignment vertical="center"/>
      <protection hidden="1"/>
    </xf>
    <xf numFmtId="10" fontId="70" fillId="0" borderId="1" xfId="17" applyNumberFormat="1" applyFont="1" applyFill="1" applyBorder="1" applyAlignment="1" applyProtection="1">
      <alignment vertical="center"/>
      <protection hidden="1"/>
    </xf>
    <xf numFmtId="0" fontId="64" fillId="0" borderId="0" xfId="0" applyFont="1" applyFill="1" applyAlignment="1">
      <alignment horizontal="left" indent="3"/>
    </xf>
    <xf numFmtId="0" fontId="64" fillId="0" borderId="0" xfId="0" applyFont="1" applyFill="1" applyAlignment="1">
      <alignment horizontal="left" indent="1"/>
    </xf>
    <xf numFmtId="180" fontId="64" fillId="0" borderId="0" xfId="0" applyNumberFormat="1" applyFont="1" applyFill="1"/>
    <xf numFmtId="179" fontId="64" fillId="0" borderId="0" xfId="0" applyNumberFormat="1" applyFont="1" applyFill="1"/>
    <xf numFmtId="2" fontId="88" fillId="61" borderId="5" xfId="14" applyNumberFormat="1" applyFont="1" applyFill="1" applyBorder="1" applyAlignment="1" applyProtection="1">
      <alignment horizontal="left" vertical="center"/>
      <protection hidden="1"/>
    </xf>
    <xf numFmtId="2" fontId="84" fillId="61" borderId="6" xfId="12" applyNumberFormat="1" applyFont="1" applyFill="1" applyBorder="1" applyProtection="1">
      <protection hidden="1"/>
    </xf>
    <xf numFmtId="2" fontId="84" fillId="61" borderId="7" xfId="12" applyNumberFormat="1" applyFont="1" applyFill="1" applyBorder="1" applyProtection="1">
      <protection hidden="1"/>
    </xf>
    <xf numFmtId="0" fontId="88" fillId="61" borderId="5" xfId="14" applyFont="1" applyFill="1" applyBorder="1" applyAlignment="1" applyProtection="1">
      <alignment horizontal="left" vertical="center"/>
      <protection hidden="1"/>
    </xf>
    <xf numFmtId="0" fontId="79" fillId="61" borderId="6" xfId="14" applyFont="1" applyFill="1" applyBorder="1" applyAlignment="1" applyProtection="1">
      <alignment horizontal="left" vertical="center"/>
      <protection hidden="1"/>
    </xf>
    <xf numFmtId="9" fontId="84" fillId="61" borderId="7" xfId="14" applyNumberFormat="1" applyFont="1" applyFill="1" applyBorder="1" applyAlignment="1" applyProtection="1">
      <alignment vertical="center"/>
      <protection hidden="1"/>
    </xf>
    <xf numFmtId="0" fontId="89" fillId="0" borderId="0" xfId="14" applyFont="1" applyFill="1" applyBorder="1" applyAlignment="1" applyProtection="1">
      <protection hidden="1"/>
    </xf>
    <xf numFmtId="0" fontId="89" fillId="0" borderId="0" xfId="14" applyFont="1" applyFill="1" applyBorder="1" applyAlignment="1" applyProtection="1">
      <alignment horizontal="center"/>
      <protection hidden="1"/>
    </xf>
    <xf numFmtId="0" fontId="89" fillId="0" borderId="0" xfId="14" applyFont="1" applyFill="1" applyBorder="1" applyAlignment="1" applyProtection="1">
      <alignment horizontal="right"/>
      <protection hidden="1"/>
    </xf>
    <xf numFmtId="169" fontId="89" fillId="0" borderId="0" xfId="4" applyFont="1" applyFill="1" applyBorder="1" applyAlignment="1" applyProtection="1">
      <alignment horizontal="center"/>
      <protection hidden="1"/>
    </xf>
    <xf numFmtId="175" fontId="89" fillId="0" borderId="0" xfId="4" applyNumberFormat="1" applyFont="1" applyFill="1" applyBorder="1" applyAlignment="1" applyProtection="1">
      <alignment horizontal="center"/>
      <protection hidden="1"/>
    </xf>
    <xf numFmtId="2" fontId="77" fillId="0" borderId="0" xfId="0" applyNumberFormat="1" applyFont="1" applyAlignment="1"/>
    <xf numFmtId="0" fontId="90" fillId="0" borderId="0" xfId="0" applyFont="1" applyFill="1" applyBorder="1" applyAlignment="1">
      <alignment horizontal="center" vertical="center"/>
    </xf>
    <xf numFmtId="175" fontId="90" fillId="0" borderId="0" xfId="0" applyNumberFormat="1" applyFont="1" applyFill="1" applyBorder="1" applyAlignment="1">
      <alignment horizontal="center" vertical="center"/>
    </xf>
    <xf numFmtId="1" fontId="78" fillId="0" borderId="0" xfId="0" applyNumberFormat="1" applyFont="1" applyAlignment="1">
      <alignment horizontal="left"/>
    </xf>
    <xf numFmtId="2" fontId="91" fillId="0" borderId="0" xfId="14" applyNumberFormat="1" applyFont="1" applyFill="1" applyBorder="1" applyAlignment="1" applyProtection="1">
      <alignment horizontal="right"/>
      <protection hidden="1"/>
    </xf>
    <xf numFmtId="2" fontId="91" fillId="0" borderId="0" xfId="14" applyNumberFormat="1" applyFont="1" applyFill="1" applyBorder="1" applyAlignment="1" applyProtection="1">
      <alignment horizontal="center"/>
      <protection hidden="1"/>
    </xf>
    <xf numFmtId="0" fontId="66" fillId="0" borderId="0" xfId="0" applyFont="1" applyAlignment="1">
      <alignment vertical="top" wrapText="1"/>
    </xf>
    <xf numFmtId="2" fontId="72" fillId="0" borderId="0" xfId="0" applyNumberFormat="1" applyFont="1" applyFill="1" applyBorder="1" applyAlignment="1">
      <alignment horizontal="center" vertical="center"/>
    </xf>
    <xf numFmtId="175" fontId="72" fillId="0" borderId="0" xfId="0" applyNumberFormat="1" applyFont="1" applyFill="1" applyBorder="1" applyAlignment="1">
      <alignment horizontal="center" vertical="center"/>
    </xf>
    <xf numFmtId="2" fontId="91" fillId="0" borderId="0" xfId="14" applyNumberFormat="1" applyFont="1" applyFill="1" applyBorder="1" applyAlignment="1" applyProtection="1">
      <alignment horizontal="center" wrapText="1"/>
      <protection hidden="1"/>
    </xf>
    <xf numFmtId="0" fontId="66" fillId="0" borderId="0" xfId="0" applyFont="1" applyAlignment="1">
      <alignment horizontal="center" wrapText="1"/>
    </xf>
    <xf numFmtId="2" fontId="66" fillId="0" borderId="5" xfId="14" applyNumberFormat="1" applyFont="1" applyFill="1" applyBorder="1" applyAlignment="1" applyProtection="1">
      <protection hidden="1"/>
    </xf>
    <xf numFmtId="2" fontId="92" fillId="0" borderId="6" xfId="4" applyNumberFormat="1" applyFont="1" applyFill="1" applyBorder="1" applyAlignment="1" applyProtection="1">
      <alignment horizontal="center" vertical="center"/>
      <protection hidden="1"/>
    </xf>
    <xf numFmtId="2" fontId="92" fillId="0" borderId="7" xfId="4" applyNumberFormat="1" applyFont="1" applyFill="1" applyBorder="1" applyAlignment="1" applyProtection="1">
      <alignment horizontal="right" vertical="center"/>
      <protection hidden="1"/>
    </xf>
    <xf numFmtId="2" fontId="70" fillId="0" borderId="1" xfId="4" applyNumberFormat="1" applyFont="1" applyFill="1" applyBorder="1" applyAlignment="1" applyProtection="1">
      <protection hidden="1"/>
    </xf>
    <xf numFmtId="175" fontId="72" fillId="0" borderId="8" xfId="0" applyNumberFormat="1" applyFont="1" applyFill="1" applyBorder="1" applyAlignment="1">
      <alignment horizontal="center" vertical="center"/>
    </xf>
    <xf numFmtId="1" fontId="71" fillId="0" borderId="1" xfId="14" applyNumberFormat="1" applyFont="1" applyFill="1" applyBorder="1" applyAlignment="1" applyProtection="1">
      <alignment horizontal="center"/>
      <protection hidden="1"/>
    </xf>
    <xf numFmtId="2" fontId="93" fillId="0" borderId="6" xfId="4" applyNumberFormat="1" applyFont="1" applyFill="1" applyBorder="1" applyAlignment="1" applyProtection="1">
      <alignment horizontal="left" vertical="center"/>
      <protection hidden="1"/>
    </xf>
    <xf numFmtId="2" fontId="89" fillId="0" borderId="7" xfId="4" applyNumberFormat="1" applyFont="1" applyFill="1" applyBorder="1" applyAlignment="1" applyProtection="1">
      <alignment horizontal="right" vertical="center"/>
      <protection hidden="1"/>
    </xf>
    <xf numFmtId="169" fontId="70" fillId="35" borderId="1" xfId="4" applyFont="1" applyFill="1" applyBorder="1" applyAlignment="1" applyProtection="1">
      <protection locked="0"/>
    </xf>
    <xf numFmtId="175" fontId="72" fillId="0" borderId="10" xfId="0" applyNumberFormat="1" applyFont="1" applyFill="1" applyBorder="1" applyAlignment="1">
      <alignment horizontal="center" vertical="center"/>
    </xf>
    <xf numFmtId="2" fontId="94" fillId="0" borderId="6" xfId="14" applyNumberFormat="1" applyFont="1" applyFill="1" applyBorder="1" applyAlignment="1" applyProtection="1">
      <protection hidden="1"/>
    </xf>
    <xf numFmtId="10" fontId="95" fillId="0" borderId="7" xfId="17" applyNumberFormat="1" applyFont="1" applyFill="1" applyBorder="1" applyAlignment="1" applyProtection="1">
      <alignment horizontal="right"/>
      <protection hidden="1"/>
    </xf>
    <xf numFmtId="0" fontId="66" fillId="0" borderId="5" xfId="14" applyFont="1" applyFill="1" applyBorder="1" applyAlignment="1" applyProtection="1">
      <protection hidden="1"/>
    </xf>
    <xf numFmtId="0" fontId="94" fillId="0" borderId="6" xfId="14" applyFont="1" applyFill="1" applyBorder="1" applyAlignment="1" applyProtection="1">
      <protection hidden="1"/>
    </xf>
    <xf numFmtId="0" fontId="94" fillId="0" borderId="7" xfId="14" applyFont="1" applyFill="1" applyBorder="1" applyAlignment="1" applyProtection="1">
      <alignment horizontal="right"/>
      <protection hidden="1"/>
    </xf>
    <xf numFmtId="169" fontId="70" fillId="0" borderId="1" xfId="4" applyFont="1" applyFill="1" applyBorder="1" applyAlignment="1" applyProtection="1">
      <protection locked="0"/>
    </xf>
    <xf numFmtId="0" fontId="95" fillId="0" borderId="6" xfId="14" applyFont="1" applyFill="1" applyBorder="1" applyAlignment="1" applyProtection="1">
      <alignment horizontal="right"/>
      <protection hidden="1"/>
    </xf>
    <xf numFmtId="0" fontId="95" fillId="0" borderId="7" xfId="14" applyFont="1" applyFill="1" applyBorder="1" applyAlignment="1" applyProtection="1">
      <alignment horizontal="right"/>
      <protection hidden="1"/>
    </xf>
    <xf numFmtId="169" fontId="70" fillId="0" borderId="1" xfId="4" applyFont="1" applyFill="1" applyBorder="1" applyAlignment="1" applyProtection="1">
      <protection hidden="1"/>
    </xf>
    <xf numFmtId="0" fontId="70" fillId="0" borderId="5" xfId="14" applyNumberFormat="1" applyFont="1" applyFill="1" applyBorder="1" applyAlignment="1" applyProtection="1">
      <protection hidden="1"/>
    </xf>
    <xf numFmtId="10" fontId="95" fillId="0" borderId="6" xfId="14" applyNumberFormat="1" applyFont="1" applyFill="1" applyBorder="1" applyAlignment="1" applyProtection="1">
      <alignment horizontal="right"/>
      <protection hidden="1"/>
    </xf>
    <xf numFmtId="0" fontId="94" fillId="0" borderId="6" xfId="14" applyFont="1" applyFill="1" applyBorder="1" applyAlignment="1" applyProtection="1">
      <alignment horizontal="center"/>
      <protection hidden="1"/>
    </xf>
    <xf numFmtId="175" fontId="96" fillId="0" borderId="1" xfId="17" applyNumberFormat="1" applyFont="1" applyFill="1" applyBorder="1" applyAlignment="1" applyProtection="1">
      <alignment horizontal="center"/>
      <protection hidden="1"/>
    </xf>
    <xf numFmtId="0" fontId="97" fillId="0" borderId="5" xfId="14" applyNumberFormat="1" applyFont="1" applyFill="1" applyBorder="1" applyAlignment="1" applyProtection="1">
      <protection hidden="1"/>
    </xf>
    <xf numFmtId="2" fontId="98" fillId="0" borderId="0" xfId="14" applyNumberFormat="1" applyFont="1" applyFill="1" applyBorder="1" applyAlignment="1" applyProtection="1">
      <alignment horizontal="center"/>
      <protection hidden="1"/>
    </xf>
    <xf numFmtId="175" fontId="68" fillId="0" borderId="10" xfId="0" applyNumberFormat="1" applyFont="1" applyFill="1" applyBorder="1" applyAlignment="1">
      <alignment horizontal="center" vertical="center"/>
    </xf>
    <xf numFmtId="0" fontId="68" fillId="0" borderId="0" xfId="0" applyFont="1" applyFill="1"/>
    <xf numFmtId="175" fontId="94" fillId="0" borderId="7" xfId="17" applyNumberFormat="1" applyFont="1" applyFill="1" applyBorder="1" applyAlignment="1" applyProtection="1">
      <alignment horizontal="right"/>
      <protection hidden="1"/>
    </xf>
    <xf numFmtId="169" fontId="94" fillId="0" borderId="6" xfId="14" applyNumberFormat="1" applyFont="1" applyFill="1" applyBorder="1" applyAlignment="1" applyProtection="1">
      <alignment horizontal="center"/>
      <protection hidden="1"/>
    </xf>
    <xf numFmtId="165" fontId="94" fillId="0" borderId="6" xfId="14" applyNumberFormat="1" applyFont="1" applyFill="1" applyBorder="1" applyAlignment="1" applyProtection="1">
      <alignment horizontal="center"/>
      <protection hidden="1"/>
    </xf>
    <xf numFmtId="2" fontId="70" fillId="0" borderId="1" xfId="4" applyNumberFormat="1" applyFont="1" applyFill="1" applyBorder="1" applyAlignment="1" applyProtection="1">
      <alignment horizontal="right"/>
      <protection locked="0"/>
    </xf>
    <xf numFmtId="167" fontId="94" fillId="0" borderId="7" xfId="9" applyFont="1" applyFill="1" applyBorder="1" applyAlignment="1" applyProtection="1">
      <alignment horizontal="right"/>
      <protection hidden="1"/>
    </xf>
    <xf numFmtId="0" fontId="71" fillId="0" borderId="1" xfId="0" applyFont="1" applyBorder="1"/>
    <xf numFmtId="10" fontId="94" fillId="0" borderId="7" xfId="17" applyNumberFormat="1" applyFont="1" applyFill="1" applyBorder="1" applyAlignment="1" applyProtection="1">
      <alignment horizontal="right"/>
      <protection hidden="1"/>
    </xf>
    <xf numFmtId="175" fontId="66" fillId="0" borderId="10" xfId="0" applyNumberFormat="1" applyFont="1" applyBorder="1"/>
    <xf numFmtId="169" fontId="94" fillId="0" borderId="7" xfId="14" applyNumberFormat="1" applyFont="1" applyFill="1" applyBorder="1" applyAlignment="1" applyProtection="1">
      <alignment horizontal="right"/>
      <protection hidden="1"/>
    </xf>
    <xf numFmtId="0" fontId="99" fillId="0" borderId="0" xfId="0" applyFont="1" applyFill="1" applyBorder="1"/>
    <xf numFmtId="0" fontId="99" fillId="0" borderId="8" xfId="0" applyFont="1" applyFill="1" applyBorder="1" applyAlignment="1">
      <alignment horizontal="right"/>
    </xf>
    <xf numFmtId="175" fontId="66" fillId="0" borderId="0" xfId="0" applyNumberFormat="1" applyFont="1" applyFill="1" applyBorder="1"/>
    <xf numFmtId="166" fontId="71" fillId="0" borderId="1" xfId="19" applyFont="1" applyBorder="1"/>
    <xf numFmtId="0" fontId="74" fillId="0" borderId="5" xfId="14" applyFont="1" applyFill="1" applyBorder="1" applyAlignment="1" applyProtection="1">
      <protection hidden="1"/>
    </xf>
    <xf numFmtId="169" fontId="95" fillId="0" borderId="6" xfId="14" applyNumberFormat="1" applyFont="1" applyFill="1" applyBorder="1" applyAlignment="1" applyProtection="1">
      <protection hidden="1"/>
    </xf>
    <xf numFmtId="169" fontId="95" fillId="0" borderId="7" xfId="14" applyNumberFormat="1" applyFont="1" applyFill="1" applyBorder="1" applyAlignment="1" applyProtection="1">
      <alignment horizontal="right"/>
      <protection hidden="1"/>
    </xf>
    <xf numFmtId="179" fontId="74" fillId="0" borderId="1" xfId="6" applyNumberFormat="1" applyFont="1" applyFill="1" applyBorder="1" applyAlignment="1" applyProtection="1">
      <protection hidden="1"/>
    </xf>
    <xf numFmtId="179" fontId="68" fillId="0" borderId="0" xfId="0" applyNumberFormat="1" applyFont="1" applyFill="1" applyAlignment="1"/>
    <xf numFmtId="0" fontId="68" fillId="0" borderId="0" xfId="0" applyFont="1" applyFill="1" applyBorder="1" applyAlignment="1"/>
    <xf numFmtId="0" fontId="95" fillId="0" borderId="0" xfId="0" applyFont="1" applyFill="1" applyBorder="1" applyAlignment="1"/>
    <xf numFmtId="0" fontId="95" fillId="0" borderId="10" xfId="0" applyFont="1" applyFill="1" applyBorder="1" applyAlignment="1">
      <alignment horizontal="right"/>
    </xf>
    <xf numFmtId="0" fontId="68" fillId="0" borderId="0" xfId="0" applyFont="1" applyFill="1" applyAlignment="1"/>
    <xf numFmtId="0" fontId="95" fillId="0" borderId="0" xfId="0" applyFont="1"/>
    <xf numFmtId="0" fontId="95" fillId="0" borderId="0" xfId="0" applyFont="1" applyAlignment="1">
      <alignment horizontal="right"/>
    </xf>
    <xf numFmtId="175" fontId="68" fillId="0" borderId="0" xfId="0" applyNumberFormat="1" applyFont="1"/>
    <xf numFmtId="0" fontId="68" fillId="0" borderId="0" xfId="0" applyFont="1" applyAlignment="1">
      <alignment horizontal="right"/>
    </xf>
    <xf numFmtId="2" fontId="81" fillId="0" borderId="0" xfId="0" applyNumberFormat="1" applyFont="1" applyAlignment="1"/>
    <xf numFmtId="2" fontId="82" fillId="0" borderId="0" xfId="0" applyNumberFormat="1" applyFont="1"/>
    <xf numFmtId="0" fontId="100" fillId="0" borderId="0" xfId="14" applyFont="1" applyFill="1" applyBorder="1" applyAlignment="1" applyProtection="1">
      <alignment horizontal="right"/>
      <protection hidden="1"/>
    </xf>
    <xf numFmtId="1" fontId="82" fillId="0" borderId="0" xfId="0" applyNumberFormat="1" applyFont="1" applyAlignment="1">
      <alignment horizontal="left"/>
    </xf>
    <xf numFmtId="2" fontId="100" fillId="0" borderId="0" xfId="14" applyNumberFormat="1" applyFont="1" applyFill="1" applyBorder="1" applyAlignment="1" applyProtection="1">
      <alignment horizontal="right"/>
      <protection hidden="1"/>
    </xf>
    <xf numFmtId="2" fontId="79" fillId="61" borderId="5" xfId="14" applyNumberFormat="1" applyFont="1" applyFill="1" applyBorder="1" applyAlignment="1" applyProtection="1">
      <alignment horizontal="left" vertical="center" wrapText="1"/>
      <protection hidden="1"/>
    </xf>
    <xf numFmtId="2" fontId="102" fillId="61" borderId="6" xfId="14" applyNumberFormat="1" applyFont="1" applyFill="1" applyBorder="1" applyAlignment="1" applyProtection="1">
      <alignment horizontal="center" wrapText="1"/>
      <protection hidden="1"/>
    </xf>
    <xf numFmtId="2" fontId="102" fillId="61" borderId="7" xfId="14" applyNumberFormat="1" applyFont="1" applyFill="1" applyBorder="1" applyAlignment="1" applyProtection="1">
      <alignment horizontal="right" wrapText="1"/>
      <protection hidden="1"/>
    </xf>
    <xf numFmtId="2" fontId="102" fillId="61" borderId="5" xfId="14" applyNumberFormat="1" applyFont="1" applyFill="1" applyBorder="1" applyAlignment="1" applyProtection="1">
      <alignment horizontal="left" vertical="center" wrapText="1"/>
      <protection hidden="1"/>
    </xf>
    <xf numFmtId="0" fontId="104" fillId="0" borderId="6" xfId="14" applyFont="1" applyFill="1" applyBorder="1" applyAlignment="1" applyProtection="1">
      <alignment horizontal="center"/>
      <protection hidden="1"/>
    </xf>
    <xf numFmtId="9" fontId="71" fillId="61" borderId="1" xfId="66" applyFont="1" applyFill="1" applyBorder="1" applyAlignment="1">
      <alignment horizontal="center"/>
    </xf>
    <xf numFmtId="169" fontId="104" fillId="0" borderId="6" xfId="14" applyNumberFormat="1" applyFont="1" applyFill="1" applyBorder="1" applyAlignment="1" applyProtection="1">
      <protection hidden="1"/>
    </xf>
    <xf numFmtId="0" fontId="69" fillId="0" borderId="0" xfId="0" applyFont="1"/>
    <xf numFmtId="0" fontId="69" fillId="0" borderId="0" xfId="0" applyFont="1" applyAlignment="1">
      <alignment wrapText="1"/>
    </xf>
    <xf numFmtId="0" fontId="85" fillId="0" borderId="1" xfId="0" applyFont="1" applyBorder="1"/>
    <xf numFmtId="0" fontId="66" fillId="0" borderId="1" xfId="0" applyFont="1" applyBorder="1"/>
    <xf numFmtId="0" fontId="66" fillId="0" borderId="1" xfId="0" applyFont="1" applyBorder="1" applyAlignment="1">
      <alignment horizontal="center"/>
    </xf>
    <xf numFmtId="166" fontId="66" fillId="0" borderId="1" xfId="19" applyFont="1" applyBorder="1"/>
    <xf numFmtId="0" fontId="71" fillId="0" borderId="5" xfId="0" applyFont="1" applyBorder="1"/>
    <xf numFmtId="0" fontId="71" fillId="0" borderId="6" xfId="0" applyFont="1" applyBorder="1"/>
    <xf numFmtId="0" fontId="80" fillId="61" borderId="1" xfId="60" applyFont="1" applyFill="1" applyBorder="1" applyAlignment="1">
      <alignment horizontal="left" vertical="top" wrapText="1"/>
    </xf>
    <xf numFmtId="0" fontId="99" fillId="0" borderId="0" xfId="11" applyFont="1" applyBorder="1" applyAlignment="1"/>
    <xf numFmtId="0" fontId="99" fillId="0" borderId="0" xfId="11" applyFont="1" applyFill="1" applyBorder="1"/>
    <xf numFmtId="179" fontId="99" fillId="0" borderId="0" xfId="11" applyNumberFormat="1" applyFont="1" applyFill="1" applyBorder="1"/>
    <xf numFmtId="2" fontId="99" fillId="0" borderId="0" xfId="11" applyNumberFormat="1" applyFont="1" applyFill="1"/>
    <xf numFmtId="2" fontId="77" fillId="0" borderId="0" xfId="11" applyNumberFormat="1" applyFont="1" applyFill="1" applyBorder="1" applyAlignment="1">
      <alignment vertical="center"/>
    </xf>
    <xf numFmtId="2" fontId="77" fillId="0" borderId="0" xfId="11" applyNumberFormat="1" applyFont="1" applyFill="1" applyBorder="1" applyAlignment="1">
      <alignment horizontal="right" vertical="center"/>
    </xf>
    <xf numFmtId="2" fontId="78" fillId="0" borderId="0" xfId="11" applyNumberFormat="1" applyFont="1" applyFill="1" applyBorder="1" applyAlignment="1">
      <alignment vertical="center"/>
    </xf>
    <xf numFmtId="0" fontId="72" fillId="0" borderId="0" xfId="15" applyFont="1" applyFill="1" applyBorder="1"/>
    <xf numFmtId="2" fontId="72" fillId="0" borderId="0" xfId="15" applyNumberFormat="1" applyFont="1" applyFill="1" applyBorder="1"/>
    <xf numFmtId="0" fontId="66" fillId="0" borderId="1" xfId="11" applyFont="1" applyFill="1" applyBorder="1"/>
    <xf numFmtId="0" fontId="66" fillId="0" borderId="0" xfId="11" applyFont="1" applyFill="1" applyBorder="1" applyAlignment="1"/>
    <xf numFmtId="0" fontId="99" fillId="0" borderId="0" xfId="11" applyFont="1" applyFill="1" applyBorder="1" applyAlignment="1"/>
    <xf numFmtId="0" fontId="66" fillId="0" borderId="1" xfId="11" applyFont="1" applyFill="1" applyBorder="1" applyAlignment="1"/>
    <xf numFmtId="0" fontId="66" fillId="0" borderId="6" xfId="11" applyFont="1" applyFill="1" applyBorder="1" applyAlignment="1"/>
    <xf numFmtId="0" fontId="66" fillId="0" borderId="2" xfId="11" applyFont="1" applyFill="1" applyBorder="1" applyAlignment="1"/>
    <xf numFmtId="0" fontId="66" fillId="0" borderId="0" xfId="11" applyFont="1" applyFill="1" applyBorder="1"/>
    <xf numFmtId="0" fontId="66" fillId="0" borderId="0" xfId="0" applyFont="1" applyAlignment="1">
      <alignment horizontal="left" vertical="center" indent="6"/>
    </xf>
    <xf numFmtId="0" fontId="66" fillId="0" borderId="5" xfId="10" applyFont="1" applyFill="1" applyBorder="1" applyAlignment="1" applyProtection="1">
      <alignment horizontal="left"/>
      <protection hidden="1"/>
    </xf>
    <xf numFmtId="0" fontId="66" fillId="0" borderId="7" xfId="10" applyFont="1" applyFill="1" applyBorder="1" applyAlignment="1" applyProtection="1">
      <alignment horizontal="left"/>
      <protection hidden="1"/>
    </xf>
    <xf numFmtId="0" fontId="66" fillId="0" borderId="1" xfId="10" applyFont="1" applyFill="1" applyBorder="1" applyAlignment="1" applyProtection="1">
      <alignment horizontal="left"/>
      <protection hidden="1"/>
    </xf>
    <xf numFmtId="0" fontId="66" fillId="0" borderId="1" xfId="10" applyFont="1" applyFill="1" applyBorder="1" applyAlignment="1" applyProtection="1">
      <alignment horizontal="center"/>
      <protection hidden="1"/>
    </xf>
    <xf numFmtId="0" fontId="66" fillId="0" borderId="1" xfId="10" applyNumberFormat="1" applyFont="1" applyFill="1" applyBorder="1" applyAlignment="1" applyProtection="1">
      <alignment horizontal="left"/>
      <protection hidden="1"/>
    </xf>
    <xf numFmtId="0" fontId="71" fillId="0" borderId="0" xfId="10" applyNumberFormat="1" applyFont="1" applyFill="1" applyBorder="1" applyAlignment="1" applyProtection="1">
      <alignment horizontal="left" vertical="center"/>
      <protection hidden="1"/>
    </xf>
    <xf numFmtId="0" fontId="66" fillId="0" borderId="5" xfId="10" applyFont="1" applyFill="1" applyBorder="1" applyAlignment="1" applyProtection="1">
      <alignment horizontal="left" vertical="top"/>
      <protection hidden="1"/>
    </xf>
    <xf numFmtId="0" fontId="66" fillId="0" borderId="6" xfId="10" applyFont="1" applyFill="1" applyBorder="1" applyAlignment="1" applyProtection="1">
      <alignment horizontal="left" vertical="top"/>
      <protection hidden="1"/>
    </xf>
    <xf numFmtId="0" fontId="66" fillId="0" borderId="7" xfId="10" applyFont="1" applyFill="1" applyBorder="1" applyAlignment="1" applyProtection="1">
      <alignment horizontal="center" vertical="top"/>
      <protection hidden="1"/>
    </xf>
    <xf numFmtId="0" fontId="66" fillId="0" borderId="0" xfId="10" applyNumberFormat="1" applyFont="1" applyFill="1" applyBorder="1" applyAlignment="1" applyProtection="1">
      <alignment horizontal="center"/>
      <protection hidden="1"/>
    </xf>
    <xf numFmtId="0" fontId="66" fillId="0" borderId="0" xfId="10" applyFont="1" applyFill="1" applyBorder="1" applyAlignment="1" applyProtection="1">
      <alignment horizontal="left"/>
      <protection hidden="1"/>
    </xf>
    <xf numFmtId="0" fontId="66" fillId="0" borderId="0" xfId="10" applyFont="1" applyFill="1" applyBorder="1" applyAlignment="1" applyProtection="1">
      <alignment horizontal="center"/>
      <protection hidden="1"/>
    </xf>
    <xf numFmtId="0" fontId="66" fillId="0" borderId="1" xfId="10" applyFont="1" applyFill="1" applyBorder="1" applyAlignment="1" applyProtection="1">
      <alignment horizontal="left" vertical="center"/>
      <protection hidden="1"/>
    </xf>
    <xf numFmtId="0" fontId="66" fillId="0" borderId="5" xfId="10" applyFont="1" applyFill="1" applyBorder="1" applyAlignment="1" applyProtection="1">
      <alignment horizontal="left" vertical="center"/>
      <protection hidden="1"/>
    </xf>
    <xf numFmtId="0" fontId="66" fillId="0" borderId="1" xfId="10" applyFont="1" applyFill="1" applyBorder="1" applyAlignment="1" applyProtection="1">
      <alignment horizontal="left" wrapText="1"/>
      <protection hidden="1"/>
    </xf>
    <xf numFmtId="0" fontId="66" fillId="0" borderId="7" xfId="10" applyFont="1" applyFill="1" applyBorder="1" applyAlignment="1" applyProtection="1">
      <alignment horizontal="left" wrapText="1"/>
      <protection hidden="1"/>
    </xf>
    <xf numFmtId="0" fontId="66" fillId="0" borderId="1" xfId="10" applyFont="1" applyFill="1" applyBorder="1" applyAlignment="1" applyProtection="1">
      <alignment horizontal="right"/>
      <protection hidden="1"/>
    </xf>
    <xf numFmtId="0" fontId="66" fillId="0" borderId="1" xfId="10" applyNumberFormat="1" applyFont="1" applyFill="1" applyBorder="1" applyAlignment="1" applyProtection="1">
      <alignment horizontal="left" vertical="center"/>
      <protection hidden="1"/>
    </xf>
    <xf numFmtId="0" fontId="66" fillId="0" borderId="1" xfId="10" applyFont="1" applyFill="1" applyBorder="1" applyAlignment="1" applyProtection="1">
      <alignment horizontal="center" wrapText="1"/>
      <protection hidden="1"/>
    </xf>
    <xf numFmtId="0" fontId="101" fillId="0" borderId="0" xfId="10" applyNumberFormat="1" applyFont="1" applyFill="1" applyBorder="1" applyAlignment="1" applyProtection="1">
      <alignment horizontal="left" vertical="center"/>
      <protection hidden="1"/>
    </xf>
    <xf numFmtId="0" fontId="79" fillId="61" borderId="5" xfId="10" applyNumberFormat="1" applyFont="1" applyFill="1" applyBorder="1" applyAlignment="1" applyProtection="1">
      <alignment horizontal="left" vertical="center"/>
      <protection hidden="1"/>
    </xf>
    <xf numFmtId="0" fontId="84" fillId="61" borderId="6" xfId="11" applyFont="1" applyFill="1" applyBorder="1"/>
    <xf numFmtId="0" fontId="103" fillId="61" borderId="6" xfId="11" applyFont="1" applyFill="1" applyBorder="1"/>
    <xf numFmtId="0" fontId="103" fillId="61" borderId="7" xfId="11" applyFont="1" applyFill="1" applyBorder="1"/>
    <xf numFmtId="0" fontId="84" fillId="61" borderId="6" xfId="11" applyFont="1" applyFill="1" applyBorder="1" applyAlignment="1"/>
    <xf numFmtId="0" fontId="84" fillId="61" borderId="7" xfId="11" applyFont="1" applyFill="1" applyBorder="1" applyAlignment="1"/>
    <xf numFmtId="0" fontId="79" fillId="61" borderId="5" xfId="10" applyNumberFormat="1" applyFont="1" applyFill="1" applyBorder="1" applyAlignment="1" applyProtection="1">
      <alignment vertical="center"/>
      <protection hidden="1"/>
    </xf>
    <xf numFmtId="0" fontId="79" fillId="61" borderId="6" xfId="10" applyNumberFormat="1" applyFont="1" applyFill="1" applyBorder="1" applyAlignment="1" applyProtection="1">
      <alignment vertical="center"/>
      <protection hidden="1"/>
    </xf>
    <xf numFmtId="0" fontId="68" fillId="0" borderId="0" xfId="14" applyFont="1" applyFill="1" applyAlignment="1" applyProtection="1">
      <alignment horizontal="center"/>
      <protection hidden="1"/>
    </xf>
    <xf numFmtId="173" fontId="66" fillId="0" borderId="0" xfId="9" applyNumberFormat="1" applyFont="1" applyFill="1" applyAlignment="1" applyProtection="1">
      <protection hidden="1"/>
    </xf>
    <xf numFmtId="0" fontId="66" fillId="0" borderId="0" xfId="85" applyFont="1"/>
    <xf numFmtId="0" fontId="67" fillId="0" borderId="0" xfId="14" applyFont="1" applyFill="1" applyBorder="1" applyAlignment="1" applyProtection="1">
      <protection hidden="1"/>
    </xf>
    <xf numFmtId="0" fontId="66" fillId="0" borderId="1" xfId="104" applyFont="1" applyBorder="1" applyAlignment="1">
      <alignment vertical="top" wrapText="1"/>
    </xf>
    <xf numFmtId="175" fontId="67" fillId="0" borderId="0" xfId="4" applyNumberFormat="1" applyFont="1" applyFill="1" applyBorder="1" applyAlignment="1" applyProtection="1">
      <alignment horizontal="center"/>
      <protection hidden="1"/>
    </xf>
    <xf numFmtId="169" fontId="67" fillId="0" borderId="0" xfId="4" applyFont="1" applyFill="1" applyBorder="1" applyAlignment="1" applyProtection="1">
      <alignment horizontal="center"/>
      <protection hidden="1"/>
    </xf>
    <xf numFmtId="0" fontId="67" fillId="0" borderId="0" xfId="14" applyFont="1" applyFill="1" applyBorder="1" applyAlignment="1" applyProtection="1">
      <alignment horizontal="center"/>
      <protection hidden="1"/>
    </xf>
    <xf numFmtId="0" fontId="66" fillId="0" borderId="0" xfId="85" applyFont="1" applyFill="1" applyBorder="1" applyAlignment="1">
      <alignment horizontal="center" vertical="center"/>
    </xf>
    <xf numFmtId="175" fontId="66" fillId="0" borderId="0" xfId="85" applyNumberFormat="1" applyFont="1" applyFill="1" applyBorder="1" applyAlignment="1">
      <alignment horizontal="center" vertical="center"/>
    </xf>
    <xf numFmtId="0" fontId="66" fillId="0" borderId="0" xfId="85" applyFont="1" applyFill="1" applyBorder="1"/>
    <xf numFmtId="2" fontId="77" fillId="0" borderId="0" xfId="85" applyNumberFormat="1" applyFont="1" applyAlignment="1"/>
    <xf numFmtId="173" fontId="67" fillId="0" borderId="0" xfId="9" applyNumberFormat="1" applyFont="1" applyFill="1" applyBorder="1" applyAlignment="1" applyProtection="1">
      <alignment horizontal="center"/>
      <protection hidden="1"/>
    </xf>
    <xf numFmtId="0" fontId="66" fillId="0" borderId="0" xfId="104" applyFont="1"/>
    <xf numFmtId="2" fontId="66" fillId="0" borderId="1" xfId="85" applyNumberFormat="1" applyFont="1" applyFill="1" applyBorder="1"/>
    <xf numFmtId="44" fontId="66" fillId="0" borderId="1" xfId="67" applyFont="1" applyBorder="1" applyAlignment="1">
      <alignment vertical="top" wrapText="1"/>
    </xf>
    <xf numFmtId="49" fontId="66" fillId="0" borderId="1" xfId="104" applyNumberFormat="1" applyFont="1" applyBorder="1" applyAlignment="1">
      <alignment horizontal="center" vertical="top" wrapText="1"/>
    </xf>
    <xf numFmtId="0" fontId="66" fillId="0" borderId="1" xfId="85" applyFont="1" applyFill="1" applyBorder="1"/>
    <xf numFmtId="0" fontId="66" fillId="0" borderId="1" xfId="104" applyFont="1" applyBorder="1" applyAlignment="1">
      <alignment vertical="top"/>
    </xf>
    <xf numFmtId="0" fontId="66" fillId="0" borderId="0" xfId="104" applyFont="1" applyAlignment="1">
      <alignment horizontal="center"/>
    </xf>
    <xf numFmtId="173" fontId="66" fillId="0" borderId="0" xfId="9" applyNumberFormat="1" applyFont="1"/>
    <xf numFmtId="167" fontId="66" fillId="0" borderId="0" xfId="106" applyFont="1"/>
    <xf numFmtId="0" fontId="71" fillId="0" borderId="0" xfId="14" applyFont="1" applyFill="1" applyBorder="1" applyAlignment="1" applyProtection="1">
      <alignment horizontal="right"/>
      <protection hidden="1"/>
    </xf>
    <xf numFmtId="2" fontId="66" fillId="0" borderId="0" xfId="14" applyNumberFormat="1" applyFont="1" applyFill="1" applyBorder="1" applyAlignment="1" applyProtection="1">
      <alignment horizontal="right"/>
      <protection hidden="1"/>
    </xf>
    <xf numFmtId="2" fontId="71" fillId="0" borderId="0" xfId="14" applyNumberFormat="1" applyFont="1" applyFill="1" applyBorder="1" applyAlignment="1" applyProtection="1">
      <alignment horizontal="right"/>
      <protection hidden="1"/>
    </xf>
    <xf numFmtId="173" fontId="80" fillId="61" borderId="4" xfId="9" applyNumberFormat="1" applyFont="1" applyFill="1" applyBorder="1" applyAlignment="1">
      <alignment vertical="top" wrapText="1"/>
    </xf>
    <xf numFmtId="0" fontId="71" fillId="0" borderId="5" xfId="14" applyFont="1" applyFill="1" applyBorder="1" applyAlignment="1" applyProtection="1">
      <alignment vertical="center"/>
      <protection hidden="1"/>
    </xf>
    <xf numFmtId="10" fontId="71" fillId="0" borderId="1" xfId="17" applyNumberFormat="1" applyFont="1" applyFill="1" applyBorder="1" applyAlignment="1"/>
    <xf numFmtId="0" fontId="71" fillId="0" borderId="1" xfId="14" applyFont="1" applyFill="1" applyBorder="1" applyAlignment="1" applyProtection="1">
      <alignment vertical="center"/>
      <protection hidden="1"/>
    </xf>
    <xf numFmtId="2" fontId="71" fillId="0" borderId="1" xfId="14" applyNumberFormat="1"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71" fillId="0" borderId="5" xfId="14" applyFont="1" applyFill="1" applyBorder="1" applyAlignment="1" applyProtection="1">
      <protection hidden="1"/>
    </xf>
    <xf numFmtId="0" fontId="99" fillId="0" borderId="6" xfId="14" applyFont="1" applyFill="1" applyBorder="1" applyAlignment="1" applyProtection="1">
      <protection hidden="1"/>
    </xf>
    <xf numFmtId="0" fontId="99" fillId="0" borderId="7" xfId="14" applyFont="1" applyFill="1" applyBorder="1" applyAlignment="1" applyProtection="1">
      <alignment horizontal="right"/>
      <protection hidden="1"/>
    </xf>
    <xf numFmtId="2" fontId="100" fillId="0" borderId="0" xfId="14" applyNumberFormat="1" applyFont="1" applyFill="1" applyBorder="1" applyAlignment="1" applyProtection="1">
      <alignment horizontal="center"/>
      <protection hidden="1"/>
    </xf>
    <xf numFmtId="179" fontId="71" fillId="0" borderId="1" xfId="4" applyNumberFormat="1" applyFont="1" applyFill="1" applyBorder="1" applyAlignment="1" applyProtection="1">
      <protection hidden="1"/>
    </xf>
    <xf numFmtId="179" fontId="71" fillId="0" borderId="9" xfId="6" applyNumberFormat="1" applyFont="1" applyFill="1" applyBorder="1" applyAlignment="1" applyProtection="1">
      <protection hidden="1"/>
    </xf>
    <xf numFmtId="169" fontId="99" fillId="0" borderId="6" xfId="14" applyNumberFormat="1" applyFont="1" applyFill="1" applyBorder="1" applyAlignment="1" applyProtection="1">
      <protection hidden="1"/>
    </xf>
    <xf numFmtId="175" fontId="66" fillId="0" borderId="11" xfId="0" applyNumberFormat="1" applyFont="1" applyFill="1" applyBorder="1" applyAlignment="1">
      <alignment horizontal="center" vertical="center"/>
    </xf>
    <xf numFmtId="0" fontId="68" fillId="0" borderId="5" xfId="14" applyNumberFormat="1" applyFont="1" applyFill="1" applyBorder="1" applyAlignment="1" applyProtection="1">
      <protection hidden="1"/>
    </xf>
    <xf numFmtId="175" fontId="66" fillId="0" borderId="10" xfId="0" applyNumberFormat="1" applyFont="1" applyFill="1" applyBorder="1" applyAlignment="1">
      <alignment horizontal="center" vertical="center"/>
    </xf>
    <xf numFmtId="0" fontId="66" fillId="0" borderId="0" xfId="18" applyFont="1" applyFill="1" applyBorder="1"/>
    <xf numFmtId="0" fontId="66" fillId="0" borderId="41" xfId="18" applyFont="1" applyFill="1" applyBorder="1"/>
    <xf numFmtId="0" fontId="66" fillId="0" borderId="41" xfId="0" applyFont="1" applyBorder="1"/>
    <xf numFmtId="0" fontId="66" fillId="0" borderId="42" xfId="0" applyFont="1" applyFill="1" applyBorder="1"/>
    <xf numFmtId="0" fontId="66" fillId="0" borderId="43" xfId="0" applyFont="1" applyFill="1" applyBorder="1"/>
    <xf numFmtId="0" fontId="66" fillId="0" borderId="41" xfId="0" applyFont="1" applyFill="1" applyBorder="1"/>
    <xf numFmtId="0" fontId="66" fillId="0" borderId="44" xfId="0" applyFont="1" applyFill="1" applyBorder="1"/>
    <xf numFmtId="0" fontId="80" fillId="61" borderId="1" xfId="14" applyFont="1" applyFill="1" applyBorder="1" applyAlignment="1" applyProtection="1">
      <alignment horizontal="left" vertical="center"/>
      <protection hidden="1"/>
    </xf>
    <xf numFmtId="2" fontId="80" fillId="61" borderId="1" xfId="0" applyNumberFormat="1" applyFont="1" applyFill="1" applyBorder="1" applyAlignment="1">
      <alignment horizontal="center" vertical="center" wrapText="1"/>
    </xf>
    <xf numFmtId="0" fontId="66" fillId="0" borderId="0" xfId="18" applyFont="1" applyAlignment="1">
      <alignment horizontal="center"/>
    </xf>
    <xf numFmtId="0" fontId="80" fillId="61" borderId="1" xfId="0" applyNumberFormat="1" applyFont="1" applyFill="1" applyBorder="1" applyAlignment="1">
      <alignment horizontal="left" vertical="center" wrapText="1"/>
    </xf>
    <xf numFmtId="173" fontId="66" fillId="0" borderId="1" xfId="9" applyNumberFormat="1" applyFont="1" applyFill="1" applyBorder="1" applyAlignment="1">
      <alignment horizontal="center" vertical="center"/>
    </xf>
    <xf numFmtId="0" fontId="71" fillId="0" borderId="1" xfId="0" applyFont="1" applyBorder="1" applyAlignment="1">
      <alignment vertical="center"/>
    </xf>
    <xf numFmtId="0" fontId="71" fillId="0" borderId="1" xfId="0" applyFont="1" applyFill="1" applyBorder="1" applyAlignment="1"/>
    <xf numFmtId="0" fontId="71" fillId="0" borderId="0" xfId="18" applyFont="1" applyFill="1"/>
    <xf numFmtId="0" fontId="71" fillId="0" borderId="1" xfId="0" applyFont="1" applyFill="1" applyBorder="1" applyAlignment="1">
      <alignment horizontal="center" vertical="center"/>
    </xf>
    <xf numFmtId="173" fontId="71" fillId="0" borderId="1" xfId="9" applyNumberFormat="1" applyFont="1" applyFill="1" applyBorder="1" applyAlignment="1">
      <alignment horizontal="center" vertical="center"/>
    </xf>
    <xf numFmtId="1" fontId="75" fillId="0" borderId="5" xfId="0" applyNumberFormat="1" applyFont="1" applyFill="1" applyBorder="1" applyAlignment="1">
      <alignment horizontal="left" vertical="center"/>
    </xf>
    <xf numFmtId="1" fontId="75" fillId="0" borderId="6" xfId="0" applyNumberFormat="1" applyFont="1" applyFill="1" applyBorder="1" applyAlignment="1">
      <alignment horizontal="left" vertical="center"/>
    </xf>
    <xf numFmtId="2" fontId="105" fillId="0" borderId="0" xfId="13" applyNumberFormat="1" applyFont="1" applyFill="1" applyAlignment="1"/>
    <xf numFmtId="49" fontId="86" fillId="63" borderId="1" xfId="10" applyNumberFormat="1" applyFont="1" applyFill="1" applyBorder="1" applyAlignment="1" applyProtection="1">
      <alignment horizontal="left" vertical="top"/>
      <protection hidden="1"/>
    </xf>
    <xf numFmtId="0" fontId="86" fillId="0" borderId="0" xfId="14" applyFont="1" applyFill="1" applyBorder="1" applyAlignment="1" applyProtection="1">
      <alignment horizontal="left" vertical="center"/>
      <protection hidden="1"/>
    </xf>
    <xf numFmtId="49" fontId="86" fillId="63" borderId="1" xfId="63" applyNumberFormat="1" applyFont="1" applyFill="1" applyBorder="1" applyAlignment="1" applyProtection="1">
      <alignment horizontal="left" vertical="top"/>
      <protection hidden="1"/>
    </xf>
    <xf numFmtId="173" fontId="71" fillId="62" borderId="1" xfId="9" applyNumberFormat="1" applyFont="1" applyFill="1" applyBorder="1" applyAlignment="1">
      <alignment horizontal="center"/>
    </xf>
    <xf numFmtId="0" fontId="71" fillId="2" borderId="0" xfId="0" applyFont="1" applyFill="1" applyAlignment="1">
      <alignment horizontal="center"/>
    </xf>
    <xf numFmtId="9" fontId="66" fillId="2" borderId="0" xfId="17" applyFont="1" applyFill="1" applyBorder="1" applyAlignment="1">
      <alignment horizontal="center"/>
    </xf>
    <xf numFmtId="0" fontId="66" fillId="2" borderId="0" xfId="0" applyFont="1" applyFill="1" applyBorder="1"/>
    <xf numFmtId="0" fontId="66" fillId="2" borderId="0" xfId="0" applyFont="1" applyFill="1"/>
    <xf numFmtId="2" fontId="87" fillId="61" borderId="4" xfId="0" applyNumberFormat="1" applyFont="1" applyFill="1" applyBorder="1" applyAlignment="1">
      <alignment horizontal="center" vertical="top" wrapText="1"/>
    </xf>
    <xf numFmtId="9" fontId="66" fillId="62" borderId="1" xfId="66" applyFont="1" applyFill="1" applyBorder="1" applyAlignment="1">
      <alignment horizontal="center"/>
    </xf>
    <xf numFmtId="0" fontId="68" fillId="62" borderId="1" xfId="14" applyFont="1" applyFill="1" applyBorder="1" applyAlignment="1" applyProtection="1">
      <protection hidden="1"/>
    </xf>
    <xf numFmtId="177" fontId="66" fillId="62" borderId="1" xfId="12" applyNumberFormat="1" applyFont="1" applyFill="1" applyBorder="1" applyAlignment="1" applyProtection="1">
      <alignment vertical="center"/>
      <protection hidden="1"/>
    </xf>
    <xf numFmtId="166" fontId="70" fillId="62" borderId="1" xfId="19" applyFont="1" applyFill="1" applyBorder="1" applyAlignment="1" applyProtection="1">
      <alignment horizontal="right" vertical="center"/>
      <protection hidden="1"/>
    </xf>
    <xf numFmtId="10" fontId="66" fillId="62" borderId="1" xfId="12" applyNumberFormat="1" applyFont="1" applyFill="1" applyBorder="1" applyAlignment="1" applyProtection="1">
      <alignment vertical="center"/>
      <protection hidden="1"/>
    </xf>
    <xf numFmtId="2" fontId="70" fillId="62" borderId="1" xfId="14" applyNumberFormat="1" applyFont="1" applyFill="1" applyBorder="1" applyAlignment="1" applyProtection="1">
      <alignment horizontal="right" vertical="center"/>
      <protection hidden="1"/>
    </xf>
    <xf numFmtId="169" fontId="70" fillId="63" borderId="1" xfId="4" applyFont="1" applyFill="1" applyBorder="1" applyAlignment="1" applyProtection="1">
      <protection locked="0"/>
    </xf>
    <xf numFmtId="10" fontId="94" fillId="62" borderId="1" xfId="17" applyNumberFormat="1" applyFont="1" applyFill="1" applyBorder="1" applyAlignment="1" applyProtection="1">
      <alignment horizontal="right"/>
      <protection hidden="1"/>
    </xf>
    <xf numFmtId="0" fontId="66" fillId="62" borderId="5" xfId="14" applyFont="1" applyFill="1" applyBorder="1" applyAlignment="1" applyProtection="1">
      <protection hidden="1"/>
    </xf>
    <xf numFmtId="9" fontId="70" fillId="62" borderId="1" xfId="17" applyNumberFormat="1" applyFont="1" applyFill="1" applyBorder="1" applyAlignment="1" applyProtection="1">
      <alignment horizontal="center"/>
      <protection hidden="1"/>
    </xf>
    <xf numFmtId="0" fontId="68" fillId="62" borderId="1" xfId="11" applyFont="1" applyFill="1" applyBorder="1"/>
    <xf numFmtId="44" fontId="70" fillId="63" borderId="1" xfId="67" applyFont="1" applyFill="1" applyBorder="1" applyAlignment="1" applyProtection="1">
      <protection locked="0"/>
    </xf>
    <xf numFmtId="44" fontId="66" fillId="63" borderId="1" xfId="67" applyFont="1" applyFill="1" applyBorder="1" applyAlignment="1" applyProtection="1">
      <protection locked="0"/>
    </xf>
    <xf numFmtId="0" fontId="66" fillId="62" borderId="1" xfId="11" applyFont="1" applyFill="1" applyBorder="1" applyAlignment="1"/>
    <xf numFmtId="0" fontId="66" fillId="62" borderId="2" xfId="11" applyFont="1" applyFill="1" applyBorder="1" applyAlignment="1"/>
    <xf numFmtId="179" fontId="99" fillId="62" borderId="1" xfId="11" applyNumberFormat="1" applyFont="1" applyFill="1" applyBorder="1" applyAlignment="1"/>
    <xf numFmtId="0" fontId="66" fillId="62" borderId="6" xfId="11" applyFont="1" applyFill="1" applyBorder="1" applyAlignment="1"/>
    <xf numFmtId="0" fontId="66" fillId="62" borderId="5" xfId="11" applyFont="1" applyFill="1" applyBorder="1" applyAlignment="1"/>
    <xf numFmtId="179" fontId="99" fillId="62" borderId="1" xfId="11" applyNumberFormat="1" applyFont="1" applyFill="1" applyBorder="1"/>
    <xf numFmtId="2" fontId="66" fillId="62" borderId="1" xfId="13" applyNumberFormat="1" applyFont="1" applyFill="1" applyBorder="1" applyAlignment="1"/>
    <xf numFmtId="0" fontId="66" fillId="62" borderId="1" xfId="11" applyFont="1" applyFill="1" applyBorder="1"/>
    <xf numFmtId="167" fontId="66" fillId="0" borderId="1" xfId="9" applyFont="1" applyBorder="1"/>
    <xf numFmtId="167" fontId="71" fillId="0" borderId="1" xfId="9" applyFont="1" applyBorder="1"/>
    <xf numFmtId="3" fontId="66" fillId="0" borderId="1" xfId="9" applyNumberFormat="1" applyFont="1" applyFill="1" applyBorder="1" applyAlignment="1">
      <alignment horizontal="center" vertical="top" wrapText="1"/>
    </xf>
    <xf numFmtId="2" fontId="66" fillId="0" borderId="0" xfId="14" applyNumberFormat="1" applyFont="1" applyFill="1" applyBorder="1" applyAlignment="1" applyProtection="1">
      <protection hidden="1"/>
    </xf>
    <xf numFmtId="166" fontId="66" fillId="0" borderId="0" xfId="19" applyFont="1" applyFill="1" applyBorder="1" applyAlignment="1" applyProtection="1">
      <protection hidden="1"/>
    </xf>
    <xf numFmtId="2" fontId="66" fillId="0" borderId="5" xfId="14" applyNumberFormat="1" applyFont="1" applyFill="1" applyBorder="1" applyAlignment="1" applyProtection="1">
      <alignment vertical="center"/>
      <protection hidden="1"/>
    </xf>
    <xf numFmtId="1" fontId="71" fillId="0" borderId="1" xfId="14" applyNumberFormat="1" applyFont="1" applyFill="1" applyBorder="1" applyAlignment="1" applyProtection="1">
      <alignment horizontal="center" vertical="center"/>
      <protection hidden="1"/>
    </xf>
    <xf numFmtId="9" fontId="71" fillId="0" borderId="1" xfId="0" applyNumberFormat="1" applyFont="1" applyBorder="1" applyAlignment="1">
      <alignment horizontal="center"/>
    </xf>
    <xf numFmtId="9" fontId="71" fillId="0" borderId="1" xfId="17" applyFont="1" applyBorder="1" applyAlignment="1">
      <alignment horizontal="center"/>
    </xf>
    <xf numFmtId="166" fontId="66" fillId="0" borderId="1" xfId="19" applyFont="1" applyBorder="1" applyAlignment="1">
      <alignment horizontal="center" vertical="top" wrapText="1"/>
    </xf>
    <xf numFmtId="2" fontId="80" fillId="61" borderId="4" xfId="85" applyNumberFormat="1" applyFont="1" applyFill="1" applyBorder="1" applyAlignment="1">
      <alignment horizontal="left" vertical="top" wrapText="1"/>
    </xf>
    <xf numFmtId="2" fontId="80" fillId="61" borderId="4" xfId="85" applyNumberFormat="1" applyFont="1" applyFill="1" applyBorder="1" applyAlignment="1">
      <alignment vertical="top" wrapText="1"/>
    </xf>
    <xf numFmtId="0" fontId="71" fillId="0" borderId="0" xfId="104" applyFont="1"/>
    <xf numFmtId="2" fontId="80" fillId="64" borderId="4" xfId="85" applyNumberFormat="1" applyFont="1" applyFill="1" applyBorder="1" applyAlignment="1">
      <alignment vertical="top" wrapText="1"/>
    </xf>
    <xf numFmtId="195" fontId="66" fillId="62" borderId="1" xfId="9" applyNumberFormat="1" applyFont="1" applyFill="1" applyBorder="1" applyAlignment="1">
      <alignment horizontal="center"/>
    </xf>
    <xf numFmtId="0" fontId="69" fillId="0" borderId="45" xfId="0" applyFont="1" applyBorder="1"/>
    <xf numFmtId="2" fontId="102" fillId="61" borderId="46" xfId="14" applyNumberFormat="1" applyFont="1" applyFill="1" applyBorder="1" applyAlignment="1" applyProtection="1">
      <alignment horizontal="left" vertical="center" wrapText="1"/>
      <protection hidden="1"/>
    </xf>
    <xf numFmtId="2" fontId="66" fillId="0" borderId="46" xfId="14" applyNumberFormat="1" applyFont="1" applyFill="1" applyBorder="1" applyAlignment="1" applyProtection="1">
      <protection hidden="1"/>
    </xf>
    <xf numFmtId="1" fontId="71" fillId="0" borderId="47" xfId="14" applyNumberFormat="1" applyFont="1" applyFill="1" applyBorder="1" applyAlignment="1" applyProtection="1">
      <alignment horizontal="center"/>
      <protection hidden="1"/>
    </xf>
    <xf numFmtId="166" fontId="66" fillId="0" borderId="46" xfId="19" applyFont="1" applyFill="1" applyBorder="1" applyAlignment="1" applyProtection="1">
      <protection hidden="1"/>
    </xf>
    <xf numFmtId="166" fontId="66" fillId="0" borderId="47" xfId="19" applyFont="1" applyFill="1" applyBorder="1" applyAlignment="1" applyProtection="1">
      <protection hidden="1"/>
    </xf>
    <xf numFmtId="0" fontId="71" fillId="0" borderId="47" xfId="0" applyFont="1" applyBorder="1"/>
    <xf numFmtId="166" fontId="71" fillId="0" borderId="47" xfId="19" applyFont="1" applyBorder="1"/>
    <xf numFmtId="2" fontId="87" fillId="61" borderId="38" xfId="0" applyNumberFormat="1" applyFont="1" applyFill="1" applyBorder="1" applyAlignment="1">
      <alignment horizontal="center" vertical="top" wrapText="1"/>
    </xf>
    <xf numFmtId="173" fontId="71" fillId="0" borderId="1" xfId="9" applyNumberFormat="1" applyFont="1" applyFill="1" applyBorder="1" applyAlignment="1">
      <alignment horizontal="center"/>
    </xf>
    <xf numFmtId="0" fontId="66" fillId="2" borderId="1" xfId="0" applyFont="1" applyFill="1" applyBorder="1" applyAlignment="1">
      <alignment vertical="center"/>
    </xf>
    <xf numFmtId="9" fontId="66" fillId="2" borderId="1" xfId="66" applyFont="1" applyFill="1" applyBorder="1" applyAlignment="1">
      <alignment horizontal="center"/>
    </xf>
    <xf numFmtId="0" fontId="107" fillId="0" borderId="0" xfId="64" applyFont="1" applyFill="1" applyAlignment="1"/>
    <xf numFmtId="0" fontId="69" fillId="0" borderId="0" xfId="64" applyFont="1" applyFill="1" applyAlignment="1"/>
    <xf numFmtId="0" fontId="87" fillId="2" borderId="0" xfId="0" applyFont="1" applyFill="1" applyAlignment="1">
      <alignment horizontal="center"/>
    </xf>
    <xf numFmtId="0" fontId="87" fillId="0" borderId="0" xfId="14" applyFont="1" applyFill="1" applyProtection="1">
      <protection hidden="1"/>
    </xf>
    <xf numFmtId="177" fontId="71" fillId="62" borderId="1" xfId="12" applyNumberFormat="1" applyFont="1" applyFill="1" applyBorder="1" applyAlignment="1" applyProtection="1">
      <alignment horizontal="center" vertical="center"/>
      <protection hidden="1"/>
    </xf>
    <xf numFmtId="0" fontId="94" fillId="2" borderId="6" xfId="14" applyFont="1" applyFill="1" applyBorder="1" applyAlignment="1" applyProtection="1">
      <protection hidden="1"/>
    </xf>
    <xf numFmtId="0" fontId="94" fillId="62" borderId="6" xfId="14" applyFont="1" applyFill="1" applyBorder="1" applyAlignment="1" applyProtection="1">
      <alignment horizontal="center"/>
      <protection hidden="1"/>
    </xf>
    <xf numFmtId="0" fontId="94" fillId="62" borderId="7" xfId="14" applyFont="1" applyFill="1" applyBorder="1" applyAlignment="1" applyProtection="1">
      <alignment horizontal="right"/>
      <protection hidden="1"/>
    </xf>
    <xf numFmtId="10" fontId="94" fillId="62" borderId="7" xfId="17" applyNumberFormat="1" applyFont="1" applyFill="1" applyBorder="1" applyAlignment="1" applyProtection="1">
      <alignment horizontal="right"/>
      <protection hidden="1"/>
    </xf>
    <xf numFmtId="0" fontId="87" fillId="0" borderId="0" xfId="14" applyFont="1" applyFill="1" applyBorder="1" applyAlignment="1" applyProtection="1">
      <alignment horizontal="right" vertical="center"/>
      <protection hidden="1"/>
    </xf>
    <xf numFmtId="2" fontId="87" fillId="0" borderId="0" xfId="14" applyNumberFormat="1" applyFont="1" applyFill="1" applyAlignment="1" applyProtection="1">
      <alignment vertical="center"/>
      <protection hidden="1"/>
    </xf>
    <xf numFmtId="0" fontId="87" fillId="0" borderId="0" xfId="14" applyFont="1" applyFill="1" applyBorder="1" applyAlignment="1" applyProtection="1">
      <alignment vertical="center"/>
      <protection hidden="1"/>
    </xf>
    <xf numFmtId="0" fontId="87" fillId="0" borderId="0" xfId="0" applyFont="1"/>
    <xf numFmtId="0" fontId="66" fillId="0" borderId="52" xfId="0" applyFont="1" applyBorder="1"/>
    <xf numFmtId="0" fontId="80" fillId="61" borderId="53" xfId="0" applyFont="1" applyFill="1" applyBorder="1" applyAlignment="1">
      <alignment wrapText="1"/>
    </xf>
    <xf numFmtId="0" fontId="66" fillId="0" borderId="54" xfId="0" applyFont="1" applyBorder="1"/>
    <xf numFmtId="0" fontId="66" fillId="0" borderId="55" xfId="0" applyFont="1" applyBorder="1"/>
    <xf numFmtId="166" fontId="66" fillId="62" borderId="46" xfId="19" applyFont="1" applyFill="1" applyBorder="1" applyAlignment="1" applyProtection="1">
      <alignment vertical="center"/>
      <protection hidden="1"/>
    </xf>
    <xf numFmtId="166" fontId="66" fillId="62" borderId="47" xfId="19" applyFont="1" applyFill="1" applyBorder="1" applyAlignment="1" applyProtection="1">
      <alignment vertical="center"/>
      <protection hidden="1"/>
    </xf>
    <xf numFmtId="0" fontId="66" fillId="0" borderId="45" xfId="0" applyFont="1" applyFill="1" applyBorder="1" applyAlignment="1">
      <alignment horizontal="left"/>
    </xf>
    <xf numFmtId="177" fontId="66" fillId="62" borderId="47" xfId="12" applyNumberFormat="1" applyFont="1" applyFill="1" applyBorder="1" applyAlignment="1" applyProtection="1">
      <alignment vertical="center"/>
      <protection hidden="1"/>
    </xf>
    <xf numFmtId="0" fontId="66" fillId="0" borderId="46" xfId="0" applyFont="1" applyBorder="1"/>
    <xf numFmtId="169" fontId="97" fillId="2" borderId="1" xfId="4" applyFont="1" applyFill="1" applyBorder="1" applyAlignment="1" applyProtection="1">
      <alignment horizontal="right"/>
      <protection locked="0"/>
    </xf>
    <xf numFmtId="175" fontId="109" fillId="0" borderId="10" xfId="0" applyNumberFormat="1" applyFont="1" applyFill="1" applyBorder="1" applyAlignment="1">
      <alignment horizontal="center" vertical="center"/>
    </xf>
    <xf numFmtId="0" fontId="87" fillId="0" borderId="0" xfId="0" applyFont="1" applyFill="1" applyAlignment="1">
      <alignment horizontal="left" vertical="center"/>
    </xf>
    <xf numFmtId="0" fontId="66" fillId="0" borderId="0" xfId="0" applyFont="1" applyFill="1" applyAlignment="1">
      <alignment horizontal="center" vertical="center"/>
    </xf>
    <xf numFmtId="4" fontId="70" fillId="62" borderId="1" xfId="63" applyNumberFormat="1" applyFont="1" applyFill="1" applyBorder="1" applyAlignment="1" applyProtection="1">
      <alignment horizontal="center"/>
      <protection hidden="1"/>
    </xf>
    <xf numFmtId="0" fontId="108" fillId="0" borderId="0" xfId="85" applyFont="1" applyFill="1"/>
    <xf numFmtId="0" fontId="108" fillId="0" borderId="0" xfId="85" applyFont="1" applyFill="1" applyBorder="1"/>
    <xf numFmtId="49" fontId="83" fillId="0" borderId="0" xfId="64" applyNumberFormat="1" applyFont="1" applyFill="1" applyBorder="1" applyAlignment="1"/>
    <xf numFmtId="49" fontId="71" fillId="65" borderId="6" xfId="64" applyNumberFormat="1" applyFont="1" applyFill="1" applyBorder="1" applyAlignment="1"/>
    <xf numFmtId="166" fontId="71" fillId="65" borderId="7" xfId="19" applyFont="1" applyFill="1" applyBorder="1" applyAlignment="1"/>
    <xf numFmtId="0" fontId="66" fillId="0" borderId="47" xfId="104" applyFont="1" applyBorder="1"/>
    <xf numFmtId="1" fontId="66" fillId="0" borderId="0" xfId="0" applyNumberFormat="1" applyFont="1"/>
    <xf numFmtId="1" fontId="80" fillId="61" borderId="4" xfId="9" applyNumberFormat="1" applyFont="1" applyFill="1" applyBorder="1" applyAlignment="1">
      <alignment horizontal="left" vertical="top" wrapText="1"/>
    </xf>
    <xf numFmtId="1" fontId="66" fillId="0" borderId="7" xfId="0" applyNumberFormat="1" applyFont="1" applyFill="1" applyBorder="1" applyAlignment="1">
      <alignment horizontal="right"/>
    </xf>
    <xf numFmtId="1" fontId="66" fillId="0" borderId="21" xfId="0" applyNumberFormat="1" applyFont="1" applyBorder="1" applyAlignment="1">
      <alignment wrapText="1"/>
    </xf>
    <xf numFmtId="1" fontId="66" fillId="0" borderId="0" xfId="0" applyNumberFormat="1" applyFont="1" applyFill="1" applyBorder="1" applyAlignment="1">
      <alignment horizontal="right"/>
    </xf>
    <xf numFmtId="1" fontId="66" fillId="0" borderId="0" xfId="0" applyNumberFormat="1" applyFont="1" applyFill="1" applyBorder="1"/>
    <xf numFmtId="49" fontId="86" fillId="63" borderId="47" xfId="63" applyNumberFormat="1" applyFont="1" applyFill="1" applyBorder="1" applyAlignment="1" applyProtection="1">
      <alignment horizontal="left" vertical="top"/>
      <protection hidden="1"/>
    </xf>
    <xf numFmtId="167" fontId="66" fillId="0" borderId="0" xfId="9" applyFont="1"/>
    <xf numFmtId="2" fontId="81" fillId="0" borderId="0" xfId="13" applyNumberFormat="1" applyFont="1"/>
    <xf numFmtId="2" fontId="82" fillId="0" borderId="0" xfId="13" applyNumberFormat="1" applyFont="1"/>
    <xf numFmtId="173" fontId="71" fillId="0" borderId="0" xfId="9" applyNumberFormat="1" applyFont="1" applyAlignment="1">
      <alignment horizontal="center"/>
    </xf>
    <xf numFmtId="187" fontId="83" fillId="0" borderId="0" xfId="64" applyNumberFormat="1" applyFont="1" applyAlignment="1">
      <alignment horizontal="left"/>
    </xf>
    <xf numFmtId="2" fontId="80" fillId="61" borderId="47" xfId="90" applyNumberFormat="1" applyFont="1" applyFill="1" applyBorder="1" applyAlignment="1">
      <alignment vertical="top" wrapText="1"/>
    </xf>
    <xf numFmtId="173" fontId="80" fillId="61" borderId="47" xfId="9" applyNumberFormat="1" applyFont="1" applyFill="1" applyBorder="1" applyAlignment="1">
      <alignment vertical="top" wrapText="1"/>
    </xf>
    <xf numFmtId="167" fontId="80" fillId="61" borderId="47" xfId="9" applyFont="1" applyFill="1" applyBorder="1" applyAlignment="1">
      <alignment horizontal="center" vertical="top" wrapText="1"/>
    </xf>
    <xf numFmtId="2" fontId="66" fillId="0" borderId="47" xfId="90" applyNumberFormat="1" applyFont="1" applyBorder="1"/>
    <xf numFmtId="173" fontId="66" fillId="2" borderId="47" xfId="9" applyNumberFormat="1" applyFont="1" applyFill="1" applyBorder="1" applyAlignment="1">
      <alignment horizontal="right"/>
    </xf>
    <xf numFmtId="167" fontId="66" fillId="2" borderId="47" xfId="9" applyFont="1" applyFill="1" applyBorder="1" applyAlignment="1">
      <alignment horizontal="center"/>
    </xf>
    <xf numFmtId="10" fontId="66" fillId="62" borderId="47" xfId="17" applyNumberFormat="1" applyFont="1" applyFill="1" applyBorder="1" applyAlignment="1">
      <alignment horizontal="center"/>
    </xf>
    <xf numFmtId="0" fontId="68" fillId="0" borderId="0" xfId="90" applyFont="1"/>
    <xf numFmtId="0" fontId="71" fillId="0" borderId="47" xfId="90" applyFont="1" applyBorder="1"/>
    <xf numFmtId="167" fontId="71" fillId="2" borderId="47" xfId="9" applyFont="1" applyFill="1" applyBorder="1"/>
    <xf numFmtId="0" fontId="71" fillId="0" borderId="0" xfId="90" applyFont="1"/>
    <xf numFmtId="167" fontId="80" fillId="61" borderId="38" xfId="9" applyFont="1" applyFill="1" applyBorder="1" applyAlignment="1">
      <alignment horizontal="center" vertical="top" wrapText="1"/>
    </xf>
    <xf numFmtId="166" fontId="71" fillId="2" borderId="47" xfId="19" applyFont="1" applyFill="1" applyBorder="1"/>
    <xf numFmtId="2" fontId="71" fillId="0" borderId="0" xfId="90" applyNumberFormat="1" applyFont="1" applyAlignment="1">
      <alignment wrapText="1"/>
    </xf>
    <xf numFmtId="173" fontId="71" fillId="0" borderId="0" xfId="9" applyNumberFormat="1" applyFont="1" applyAlignment="1">
      <alignment horizontal="center" wrapText="1"/>
    </xf>
    <xf numFmtId="0" fontId="66" fillId="0" borderId="0" xfId="90" applyFont="1" applyAlignment="1">
      <alignment wrapText="1"/>
    </xf>
    <xf numFmtId="10" fontId="66" fillId="2" borderId="47" xfId="17" applyNumberFormat="1" applyFont="1" applyFill="1" applyBorder="1" applyAlignment="1">
      <alignment horizontal="center"/>
    </xf>
    <xf numFmtId="0" fontId="66" fillId="0" borderId="47" xfId="90" applyFont="1" applyBorder="1"/>
    <xf numFmtId="166" fontId="66" fillId="0" borderId="47" xfId="19" applyFont="1" applyBorder="1"/>
    <xf numFmtId="9" fontId="83" fillId="0" borderId="0" xfId="17" applyFont="1" applyFill="1" applyBorder="1" applyAlignment="1"/>
    <xf numFmtId="166" fontId="71" fillId="66" borderId="1" xfId="19" applyFont="1" applyFill="1" applyBorder="1" applyAlignment="1"/>
    <xf numFmtId="0" fontId="69" fillId="0" borderId="0" xfId="0" applyFont="1" applyFill="1"/>
    <xf numFmtId="2" fontId="71" fillId="2" borderId="1" xfId="85" applyNumberFormat="1" applyFont="1" applyFill="1" applyBorder="1" applyAlignment="1">
      <alignment vertical="top" wrapText="1"/>
    </xf>
    <xf numFmtId="3" fontId="71" fillId="2" borderId="1" xfId="9" applyNumberFormat="1" applyFont="1" applyFill="1" applyBorder="1" applyAlignment="1">
      <alignment horizontal="center" vertical="top" wrapText="1"/>
    </xf>
    <xf numFmtId="180" fontId="71" fillId="2" borderId="1" xfId="85" applyNumberFormat="1" applyFont="1" applyFill="1" applyBorder="1" applyAlignment="1">
      <alignment vertical="top" wrapText="1"/>
    </xf>
    <xf numFmtId="0" fontId="66" fillId="0" borderId="0" xfId="0" applyFont="1" applyFill="1" applyBorder="1" applyAlignment="1">
      <alignment horizontal="left" vertical="top" wrapText="1"/>
    </xf>
    <xf numFmtId="0" fontId="69" fillId="0" borderId="0" xfId="14" applyFont="1" applyFill="1" applyBorder="1" applyAlignment="1" applyProtection="1">
      <alignment horizontal="left" vertical="top" wrapText="1"/>
      <protection hidden="1"/>
    </xf>
    <xf numFmtId="2" fontId="82" fillId="62" borderId="0" xfId="64" applyNumberFormat="1" applyFont="1" applyFill="1" applyBorder="1" applyAlignment="1"/>
    <xf numFmtId="0" fontId="66" fillId="62" borderId="0" xfId="65" applyFont="1" applyFill="1" applyAlignment="1"/>
    <xf numFmtId="49" fontId="79" fillId="61" borderId="39" xfId="64" applyNumberFormat="1" applyFont="1" applyFill="1" applyBorder="1" applyAlignment="1">
      <alignment horizontal="left" vertical="top" wrapText="1"/>
    </xf>
    <xf numFmtId="49" fontId="79" fillId="61" borderId="49" xfId="64" applyNumberFormat="1" applyFont="1" applyFill="1" applyBorder="1" applyAlignment="1">
      <alignment horizontal="left" vertical="top" wrapText="1"/>
    </xf>
    <xf numFmtId="49" fontId="79" fillId="61" borderId="50" xfId="64" applyNumberFormat="1" applyFont="1" applyFill="1" applyBorder="1" applyAlignment="1">
      <alignment horizontal="left" vertical="top" wrapText="1"/>
    </xf>
    <xf numFmtId="49" fontId="79" fillId="61" borderId="51" xfId="64" applyNumberFormat="1" applyFont="1" applyFill="1" applyBorder="1" applyAlignment="1">
      <alignment horizontal="left" vertical="top" wrapText="1"/>
    </xf>
    <xf numFmtId="49" fontId="79" fillId="61" borderId="0" xfId="64" applyNumberFormat="1" applyFont="1" applyFill="1" applyBorder="1" applyAlignment="1">
      <alignment horizontal="left" vertical="top" wrapText="1"/>
    </xf>
    <xf numFmtId="49" fontId="79" fillId="61" borderId="10" xfId="64" applyNumberFormat="1" applyFont="1" applyFill="1" applyBorder="1" applyAlignment="1">
      <alignment horizontal="left" vertical="top" wrapText="1"/>
    </xf>
    <xf numFmtId="49" fontId="79" fillId="61" borderId="40" xfId="64" applyNumberFormat="1" applyFont="1" applyFill="1" applyBorder="1" applyAlignment="1">
      <alignment horizontal="left" vertical="top" wrapText="1"/>
    </xf>
    <xf numFmtId="49" fontId="79" fillId="61" borderId="2" xfId="64" applyNumberFormat="1" applyFont="1" applyFill="1" applyBorder="1" applyAlignment="1">
      <alignment horizontal="left" vertical="top" wrapText="1"/>
    </xf>
    <xf numFmtId="49" fontId="79" fillId="61" borderId="11" xfId="64" applyNumberFormat="1" applyFont="1" applyFill="1" applyBorder="1" applyAlignment="1">
      <alignment horizontal="left" vertical="top" wrapText="1"/>
    </xf>
    <xf numFmtId="167" fontId="80" fillId="61" borderId="46" xfId="9" applyFont="1" applyFill="1" applyBorder="1" applyAlignment="1">
      <alignment horizontal="center" vertical="top" wrapText="1"/>
    </xf>
    <xf numFmtId="167" fontId="80" fillId="61" borderId="48" xfId="9" applyFont="1" applyFill="1" applyBorder="1" applyAlignment="1">
      <alignment horizontal="center" vertical="top" wrapText="1"/>
    </xf>
    <xf numFmtId="167" fontId="80" fillId="61" borderId="45" xfId="9" applyFont="1" applyFill="1" applyBorder="1" applyAlignment="1">
      <alignment horizontal="center" vertical="top" wrapText="1"/>
    </xf>
    <xf numFmtId="2" fontId="80" fillId="61" borderId="5" xfId="0" applyNumberFormat="1" applyFont="1" applyFill="1" applyBorder="1" applyAlignment="1">
      <alignment horizontal="center" vertical="center" wrapText="1"/>
    </xf>
    <xf numFmtId="2" fontId="80" fillId="61" borderId="6" xfId="0" applyNumberFormat="1" applyFont="1" applyFill="1" applyBorder="1" applyAlignment="1">
      <alignment horizontal="center" vertical="center" wrapText="1"/>
    </xf>
    <xf numFmtId="2" fontId="80" fillId="61" borderId="7" xfId="0" applyNumberFormat="1" applyFont="1" applyFill="1" applyBorder="1" applyAlignment="1">
      <alignment horizontal="center" vertical="center" wrapText="1"/>
    </xf>
    <xf numFmtId="0" fontId="66" fillId="0" borderId="5" xfId="0" applyFont="1" applyFill="1" applyBorder="1" applyAlignment="1">
      <alignment horizontal="left"/>
    </xf>
    <xf numFmtId="0" fontId="66" fillId="0" borderId="7" xfId="0" applyFont="1" applyFill="1" applyBorder="1" applyAlignment="1">
      <alignment horizontal="left"/>
    </xf>
    <xf numFmtId="0" fontId="71" fillId="0" borderId="5" xfId="14" applyFont="1" applyFill="1" applyBorder="1" applyAlignment="1" applyProtection="1">
      <alignment horizontal="left" vertical="center"/>
      <protection hidden="1"/>
    </xf>
    <xf numFmtId="0" fontId="71" fillId="0" borderId="7" xfId="14" applyFont="1" applyFill="1" applyBorder="1" applyAlignment="1" applyProtection="1">
      <alignment horizontal="left" vertical="center"/>
      <protection hidden="1"/>
    </xf>
    <xf numFmtId="2" fontId="102" fillId="61" borderId="47" xfId="14" applyNumberFormat="1" applyFont="1" applyFill="1" applyBorder="1" applyAlignment="1" applyProtection="1">
      <alignment horizontal="center" vertical="center" wrapText="1"/>
      <protection hidden="1"/>
    </xf>
    <xf numFmtId="2" fontId="102" fillId="61" borderId="5" xfId="4" applyNumberFormat="1" applyFont="1" applyFill="1" applyBorder="1" applyAlignment="1" applyProtection="1">
      <alignment horizontal="center" vertical="center" wrapText="1"/>
      <protection hidden="1"/>
    </xf>
    <xf numFmtId="0" fontId="80" fillId="61" borderId="7" xfId="0" applyFont="1" applyFill="1" applyBorder="1" applyAlignment="1">
      <alignment horizontal="center" vertical="center" wrapText="1"/>
    </xf>
    <xf numFmtId="0" fontId="66" fillId="0" borderId="0" xfId="0" applyFont="1" applyAlignment="1">
      <alignment horizontal="left" vertical="top" wrapText="1"/>
    </xf>
    <xf numFmtId="2" fontId="102" fillId="61" borderId="1" xfId="14" applyNumberFormat="1" applyFont="1" applyFill="1" applyBorder="1" applyAlignment="1" applyProtection="1">
      <alignment horizontal="center" vertical="center" wrapText="1"/>
      <protection hidden="1"/>
    </xf>
    <xf numFmtId="2" fontId="102" fillId="61" borderId="46" xfId="14" applyNumberFormat="1" applyFont="1" applyFill="1" applyBorder="1" applyAlignment="1" applyProtection="1">
      <alignment horizontal="center" vertical="center" wrapText="1"/>
      <protection hidden="1"/>
    </xf>
    <xf numFmtId="2" fontId="102" fillId="61" borderId="48" xfId="14" applyNumberFormat="1" applyFont="1" applyFill="1" applyBorder="1" applyAlignment="1" applyProtection="1">
      <alignment horizontal="center" vertical="center" wrapText="1"/>
      <protection hidden="1"/>
    </xf>
    <xf numFmtId="2" fontId="102" fillId="61" borderId="45" xfId="14" applyNumberFormat="1" applyFont="1" applyFill="1" applyBorder="1" applyAlignment="1" applyProtection="1">
      <alignment horizontal="center" vertical="center" wrapText="1"/>
      <protection hidden="1"/>
    </xf>
    <xf numFmtId="0" fontId="84" fillId="61" borderId="7" xfId="0" applyFont="1" applyFill="1" applyBorder="1" applyAlignment="1">
      <alignment horizontal="center" vertical="center" wrapText="1"/>
    </xf>
    <xf numFmtId="0" fontId="66" fillId="62" borderId="5" xfId="10" applyFont="1" applyFill="1" applyBorder="1" applyAlignment="1" applyProtection="1">
      <alignment horizontal="left"/>
      <protection hidden="1"/>
    </xf>
    <xf numFmtId="0" fontId="66" fillId="62" borderId="6" xfId="10" applyFont="1" applyFill="1" applyBorder="1" applyAlignment="1" applyProtection="1">
      <alignment horizontal="left"/>
      <protection hidden="1"/>
    </xf>
    <xf numFmtId="0" fontId="66" fillId="62" borderId="7" xfId="10" applyFont="1" applyFill="1" applyBorder="1" applyAlignment="1" applyProtection="1">
      <alignment horizontal="left"/>
      <protection hidden="1"/>
    </xf>
    <xf numFmtId="0" fontId="66" fillId="0" borderId="5" xfId="10" applyFont="1" applyFill="1" applyBorder="1" applyAlignment="1" applyProtection="1">
      <alignment horizontal="center"/>
      <protection hidden="1"/>
    </xf>
    <xf numFmtId="0" fontId="66" fillId="0" borderId="6" xfId="10" applyFont="1" applyFill="1" applyBorder="1" applyAlignment="1" applyProtection="1">
      <alignment horizontal="center"/>
      <protection hidden="1"/>
    </xf>
    <xf numFmtId="0" fontId="66" fillId="0" borderId="7" xfId="10" applyFont="1" applyFill="1" applyBorder="1" applyAlignment="1" applyProtection="1">
      <alignment horizontal="center"/>
      <protection hidden="1"/>
    </xf>
    <xf numFmtId="0" fontId="66" fillId="0" borderId="5" xfId="10" applyFont="1" applyFill="1" applyBorder="1" applyAlignment="1" applyProtection="1">
      <alignment horizontal="left" vertical="center"/>
      <protection hidden="1"/>
    </xf>
    <xf numFmtId="0" fontId="66" fillId="0" borderId="6" xfId="10" applyFont="1" applyFill="1" applyBorder="1" applyAlignment="1" applyProtection="1">
      <alignment horizontal="left" vertical="center"/>
      <protection hidden="1"/>
    </xf>
    <xf numFmtId="0" fontId="66" fillId="0" borderId="7" xfId="10" applyFont="1" applyFill="1" applyBorder="1" applyAlignment="1" applyProtection="1">
      <alignment horizontal="left" vertical="center"/>
      <protection hidden="1"/>
    </xf>
  </cellXfs>
  <cellStyles count="52887">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le" xfId="190" xr:uid="{00000000-0005-0000-0000-00007FCE0000}"/>
    <cellStyle name="Totaal" xfId="35" builtinId="25" customBuiltin="1"/>
    <cellStyle name="Totaal 2" xfId="191" xr:uid="{00000000-0005-0000-0000-000081CE0000}"/>
    <cellStyle name="Total" xfId="192" xr:uid="{00000000-0005-0000-0000-000082CE0000}"/>
    <cellStyle name="Uitvoer" xfId="29" builtinId="21" customBuiltin="1"/>
    <cellStyle name="Uitvoer 2" xfId="193" xr:uid="{00000000-0005-0000-0000-000084CE0000}"/>
    <cellStyle name="Valuta" xfId="19" builtinId="4"/>
    <cellStyle name="Valuta 2" xfId="67" xr:uid="{00000000-0005-0000-0000-000086CE0000}"/>
    <cellStyle name="Valuta 2 2" xfId="103" xr:uid="{00000000-0005-0000-0000-000087CE0000}"/>
    <cellStyle name="Valuta 2 3" xfId="52883" xr:uid="{00000000-0005-0000-0000-000088CE0000}"/>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Waarschuwingstekst" xfId="33" builtinId="11" customBuiltin="1"/>
    <cellStyle name="Waarschuwingstekst 2" xfId="198" xr:uid="{00000000-0005-0000-0000-000095CE0000}"/>
    <cellStyle name="Warning Text" xfId="199" xr:uid="{00000000-0005-0000-0000-000096CE0000}"/>
  </cellStyles>
  <dxfs count="16">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0</xdr:colOff>
      <xdr:row>20</xdr:row>
      <xdr:rowOff>152400</xdr:rowOff>
    </xdr:from>
    <xdr:to>
      <xdr:col>15</xdr:col>
      <xdr:colOff>561975</xdr:colOff>
      <xdr:row>31</xdr:row>
      <xdr:rowOff>9526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9601200" y="10553700"/>
          <a:ext cx="2886075" cy="14763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s>
    <sheetDataSet>
      <sheetData sheetId="0" refreshError="1"/>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cell r="G14">
            <v>8.417945380980342E-2</v>
          </cell>
          <cell r="H14"/>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cell r="G15"/>
          <cell r="H15"/>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cell r="G18">
            <v>1.4666666666666666</v>
          </cell>
          <cell r="H18"/>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cell r="G19"/>
          <cell r="H19"/>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cell r="G20"/>
          <cell r="H20"/>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cell r="G21"/>
          <cell r="H21"/>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cell r="G22"/>
          <cell r="H22"/>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cell r="G25">
            <v>0.15714285714285714</v>
          </cell>
          <cell r="H25"/>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cell r="G28">
            <v>3.1428571428571428</v>
          </cell>
          <cell r="H28"/>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cell r="G29"/>
          <cell r="H29"/>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cell r="G30"/>
          <cell r="H30"/>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cell r="G33">
            <v>0.33671781523921368</v>
          </cell>
          <cell r="H33"/>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cell r="G34"/>
          <cell r="H34"/>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cell r="G37">
            <v>0.14965236232853943</v>
          </cell>
          <cell r="H37"/>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cell r="G38"/>
          <cell r="H38"/>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cell r="G39"/>
          <cell r="H39"/>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cell r="G40"/>
          <cell r="H40"/>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cell r="G45">
            <v>0.62857142857142856</v>
          </cell>
          <cell r="H45"/>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cell r="G46"/>
          <cell r="H46"/>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cell r="G48">
            <v>8.417945380980342E-2</v>
          </cell>
          <cell r="H48"/>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cell r="G49"/>
          <cell r="H49"/>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cell r="G50"/>
          <cell r="H50"/>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cell r="G51"/>
          <cell r="H51"/>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cell r="G54"/>
          <cell r="H54"/>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cell r="G55"/>
          <cell r="H55"/>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cell r="G58">
            <v>0.29333333333333333</v>
          </cell>
          <cell r="H58"/>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cell r="G59"/>
          <cell r="H59"/>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cell r="G60"/>
          <cell r="H60"/>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cell r="F61"/>
          <cell r="G61"/>
          <cell r="H61"/>
          <cell r="I61"/>
          <cell r="J61">
            <v>81</v>
          </cell>
          <cell r="K61"/>
          <cell r="L61"/>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cell r="F62"/>
          <cell r="G62"/>
          <cell r="H62"/>
          <cell r="I62"/>
          <cell r="J62">
            <v>1742</v>
          </cell>
          <cell r="K62"/>
          <cell r="L62"/>
          <cell r="M62" t="str">
            <v>o.a.</v>
          </cell>
          <cell r="N62" t="str">
            <v>o.a.</v>
          </cell>
          <cell r="O62" t="str">
            <v>o.a.</v>
          </cell>
          <cell r="P62" t="str">
            <v>o.a.</v>
          </cell>
          <cell r="Q62" t="str">
            <v>o.a.</v>
          </cell>
          <cell r="R62" t="str">
            <v>o.a.</v>
          </cell>
          <cell r="S62" t="str">
            <v>o.a.</v>
          </cell>
        </row>
        <row r="63">
          <cell r="A63"/>
          <cell r="B63"/>
          <cell r="C63"/>
          <cell r="D63"/>
          <cell r="E63"/>
          <cell r="F63"/>
          <cell r="G63"/>
          <cell r="H63"/>
          <cell r="I63"/>
          <cell r="J63"/>
          <cell r="K63"/>
          <cell r="L63"/>
          <cell r="M63"/>
          <cell r="N63"/>
          <cell r="O63"/>
          <cell r="P63"/>
          <cell r="Q63"/>
          <cell r="R63"/>
          <cell r="S63"/>
        </row>
        <row r="64">
          <cell r="A64"/>
          <cell r="B64"/>
          <cell r="C64"/>
          <cell r="D64"/>
          <cell r="E64"/>
          <cell r="F64"/>
          <cell r="G64"/>
          <cell r="H64"/>
          <cell r="I64"/>
          <cell r="J64"/>
          <cell r="K64"/>
          <cell r="L64"/>
          <cell r="Q64"/>
          <cell r="R64"/>
          <cell r="S64"/>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cell r="H10">
            <v>8.75</v>
          </cell>
          <cell r="I10">
            <v>11.81</v>
          </cell>
          <cell r="J10"/>
          <cell r="K10"/>
          <cell r="L10">
            <v>11.81</v>
          </cell>
        </row>
        <row r="11">
          <cell r="A11" t="str">
            <v>Mw. Raven</v>
          </cell>
          <cell r="B11" t="str">
            <v>gymzaal de Helt</v>
          </cell>
          <cell r="C11" t="str">
            <v>21.00-22.00</v>
          </cell>
          <cell r="D11">
            <v>22919</v>
          </cell>
          <cell r="E11" t="str">
            <v>nee</v>
          </cell>
          <cell r="F11">
            <v>38283</v>
          </cell>
          <cell r="G11"/>
          <cell r="H11">
            <v>5</v>
          </cell>
          <cell r="I11">
            <v>11.81</v>
          </cell>
          <cell r="J11"/>
          <cell r="K11"/>
          <cell r="L11">
            <v>11.81</v>
          </cell>
        </row>
        <row r="12">
          <cell r="A12" t="str">
            <v>Mw. Raven</v>
          </cell>
          <cell r="B12" t="str">
            <v>Gymzaal Oostesluis</v>
          </cell>
          <cell r="C12" t="str">
            <v>20.00-21.00</v>
          </cell>
          <cell r="D12">
            <v>22919</v>
          </cell>
          <cell r="E12" t="str">
            <v>nee</v>
          </cell>
          <cell r="F12">
            <v>38283</v>
          </cell>
          <cell r="G12"/>
          <cell r="H12">
            <v>5</v>
          </cell>
          <cell r="I12">
            <v>11.81</v>
          </cell>
          <cell r="J12"/>
          <cell r="K12"/>
          <cell r="L12">
            <v>11.81</v>
          </cell>
        </row>
        <row r="13">
          <cell r="A13" t="str">
            <v>Diana Roos</v>
          </cell>
          <cell r="B13" t="str">
            <v>Gymzaal de Woud</v>
          </cell>
          <cell r="C13" t="str">
            <v>21.00-22.00</v>
          </cell>
          <cell r="D13" t="str">
            <v>eigenaar Streekclean</v>
          </cell>
          <cell r="E13"/>
          <cell r="F13"/>
          <cell r="G13"/>
          <cell r="H13"/>
          <cell r="I13"/>
          <cell r="J13"/>
          <cell r="K13"/>
          <cell r="L13">
            <v>0</v>
          </cell>
        </row>
        <row r="14">
          <cell r="A14" t="str">
            <v>Diana Roos</v>
          </cell>
          <cell r="B14" t="str">
            <v>Gymzaal de Horn</v>
          </cell>
          <cell r="C14" t="str">
            <v>20.00-21.00</v>
          </cell>
          <cell r="D14"/>
          <cell r="E14"/>
          <cell r="F14"/>
          <cell r="G14"/>
          <cell r="H14"/>
          <cell r="I14"/>
          <cell r="J14"/>
          <cell r="K14"/>
          <cell r="L14">
            <v>0</v>
          </cell>
        </row>
        <row r="15">
          <cell r="A15" t="str">
            <v>Olga Roos</v>
          </cell>
          <cell r="B15" t="str">
            <v>gymzaal Rozenboom</v>
          </cell>
          <cell r="C15" t="str">
            <v>21.00-22.00</v>
          </cell>
          <cell r="D15" t="str">
            <v>eigenaar Streekclean</v>
          </cell>
          <cell r="E15"/>
          <cell r="F15"/>
          <cell r="G15"/>
          <cell r="H15"/>
          <cell r="I15"/>
          <cell r="J15"/>
          <cell r="K15"/>
          <cell r="L15">
            <v>0</v>
          </cell>
        </row>
        <row r="16">
          <cell r="A16"/>
          <cell r="B16"/>
          <cell r="C16"/>
          <cell r="D16"/>
          <cell r="E16"/>
          <cell r="F16"/>
          <cell r="G16"/>
          <cell r="H16"/>
          <cell r="I16"/>
          <cell r="J16"/>
          <cell r="K16"/>
          <cell r="L16">
            <v>0</v>
          </cell>
        </row>
        <row r="17">
          <cell r="A17"/>
          <cell r="B17"/>
          <cell r="C17"/>
          <cell r="D17"/>
          <cell r="E17"/>
          <cell r="F17"/>
          <cell r="G17"/>
          <cell r="H17"/>
          <cell r="I17"/>
          <cell r="J17"/>
          <cell r="K17"/>
          <cell r="L17">
            <v>0</v>
          </cell>
        </row>
        <row r="18">
          <cell r="A18"/>
          <cell r="B18"/>
          <cell r="C18"/>
          <cell r="D18"/>
          <cell r="E18"/>
          <cell r="F18"/>
          <cell r="G18"/>
          <cell r="H18"/>
          <cell r="I18"/>
          <cell r="J18"/>
          <cell r="K18"/>
          <cell r="L18">
            <v>0</v>
          </cell>
        </row>
        <row r="19">
          <cell r="A19"/>
          <cell r="B19"/>
          <cell r="C19"/>
          <cell r="D19"/>
          <cell r="E19"/>
          <cell r="F19"/>
          <cell r="G19"/>
          <cell r="H19"/>
          <cell r="I19"/>
          <cell r="J19"/>
          <cell r="K19"/>
          <cell r="L19">
            <v>0</v>
          </cell>
        </row>
        <row r="20">
          <cell r="A20"/>
          <cell r="B20"/>
          <cell r="C20"/>
          <cell r="D20"/>
          <cell r="E20"/>
          <cell r="F20"/>
          <cell r="G20"/>
          <cell r="H20"/>
          <cell r="I20"/>
          <cell r="J20"/>
          <cell r="K20"/>
          <cell r="L20">
            <v>0</v>
          </cell>
        </row>
        <row r="21">
          <cell r="A21"/>
          <cell r="B21"/>
          <cell r="C21"/>
          <cell r="D21"/>
          <cell r="E21"/>
          <cell r="F21"/>
          <cell r="G21"/>
          <cell r="H21"/>
          <cell r="I21"/>
          <cell r="J21"/>
          <cell r="K21"/>
          <cell r="L21">
            <v>0</v>
          </cell>
        </row>
        <row r="22">
          <cell r="A22"/>
          <cell r="B22"/>
          <cell r="C22"/>
          <cell r="D22"/>
          <cell r="E22"/>
          <cell r="F22"/>
          <cell r="G22"/>
          <cell r="H22"/>
          <cell r="I22"/>
          <cell r="J22"/>
          <cell r="K22"/>
          <cell r="L22">
            <v>0</v>
          </cell>
        </row>
        <row r="23">
          <cell r="A23"/>
          <cell r="B23"/>
          <cell r="C23"/>
          <cell r="D23"/>
          <cell r="E23"/>
          <cell r="F23"/>
          <cell r="G23"/>
          <cell r="H23"/>
          <cell r="I23"/>
          <cell r="J23"/>
          <cell r="K23"/>
          <cell r="L23">
            <v>0</v>
          </cell>
        </row>
        <row r="24">
          <cell r="A24"/>
          <cell r="B24"/>
          <cell r="C24"/>
          <cell r="D24"/>
          <cell r="E24"/>
          <cell r="F24"/>
          <cell r="G24"/>
          <cell r="H24"/>
          <cell r="I24"/>
          <cell r="J24"/>
          <cell r="K24"/>
          <cell r="L24"/>
        </row>
        <row r="25">
          <cell r="A25" t="str">
            <v>Subtotaal loonkosten</v>
          </cell>
          <cell r="B25"/>
          <cell r="C25"/>
          <cell r="D25"/>
          <cell r="E25"/>
          <cell r="F25"/>
          <cell r="G25"/>
          <cell r="H25"/>
          <cell r="I25"/>
          <cell r="J25"/>
          <cell r="K25"/>
          <cell r="L25"/>
        </row>
        <row r="26">
          <cell r="F26"/>
          <cell r="G26"/>
          <cell r="H26"/>
          <cell r="I26"/>
        </row>
        <row r="27">
          <cell r="A27" t="str">
            <v>Vakantietoeslag</v>
          </cell>
          <cell r="B27"/>
          <cell r="C27"/>
          <cell r="D27"/>
          <cell r="E27"/>
          <cell r="F27"/>
          <cell r="G27"/>
          <cell r="H27"/>
          <cell r="I27"/>
          <cell r="J27"/>
          <cell r="K27"/>
          <cell r="L27"/>
        </row>
        <row r="28">
          <cell r="A28" t="str">
            <v>Sociale lasten</v>
          </cell>
          <cell r="B28"/>
          <cell r="C28"/>
          <cell r="D28"/>
          <cell r="E28"/>
          <cell r="F28"/>
          <cell r="G28"/>
          <cell r="H28"/>
          <cell r="I28"/>
          <cell r="J28"/>
          <cell r="K28"/>
          <cell r="L28"/>
        </row>
        <row r="29">
          <cell r="F29"/>
          <cell r="G29"/>
          <cell r="H29"/>
          <cell r="I29"/>
        </row>
        <row r="30">
          <cell r="A30" t="str">
            <v>Loonkosten overname personeel</v>
          </cell>
          <cell r="B30"/>
          <cell r="C30"/>
          <cell r="D30"/>
          <cell r="E30"/>
          <cell r="F30"/>
          <cell r="G30"/>
          <cell r="H30"/>
          <cell r="I30"/>
          <cell r="J30"/>
          <cell r="K30"/>
          <cell r="L30"/>
        </row>
        <row r="31">
          <cell r="F31"/>
          <cell r="G31"/>
          <cell r="H31"/>
          <cell r="I31"/>
        </row>
        <row r="32">
          <cell r="A32" t="str">
            <v>Toelichting:</v>
          </cell>
          <cell r="B32"/>
          <cell r="C32"/>
          <cell r="F32"/>
          <cell r="G32"/>
          <cell r="H32"/>
          <cell r="I32"/>
        </row>
        <row r="33">
          <cell r="A33" t="str">
            <v>Bij gunning dient de leverancier de werkgelegenheidsclausule bij contractwisseling volgens de geldende CAO voor het Schoonmaak- en Glazenwassersbedrijf (artikel 38) toe te passen. In</v>
          </cell>
          <cell r="F33"/>
          <cell r="G33"/>
          <cell r="H33"/>
          <cell r="I33"/>
        </row>
        <row r="34">
          <cell r="A34" t="str">
            <v xml:space="preserve">genoemd artikel staat onder andere dat bij contractwisseling het schoonmaakbedrijf, dat de opdracht verwerft, verplicht is 100% van het aantal onder de regeling vallende werknemers over te nemen. Dit betreft: </v>
          </cell>
          <cell r="F34"/>
          <cell r="G34"/>
          <cell r="H34"/>
          <cell r="I34"/>
        </row>
        <row r="35">
          <cell r="A35" t="str">
            <v>- de werknemer die minimaal anderhalf jaar op het betreffende object werkzaam is;</v>
          </cell>
          <cell r="F35"/>
          <cell r="G35"/>
          <cell r="H35"/>
          <cell r="I35"/>
        </row>
        <row r="36">
          <cell r="A36" t="str">
            <v>- de werknemer die op of na januari 2012 nieuw* in dienst is getreden, anders dan door contractwisseling, beschikt over een door de branche erkend diploma.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tabSelected="1" showOutlineSymbols="0" zoomScaleNormal="100" workbookViewId="0">
      <pane ySplit="5" topLeftCell="A6" activePane="bottomLeft" state="frozen"/>
      <selection activeCell="E32" sqref="E32"/>
      <selection pane="bottomLeft" activeCell="E32" sqref="E32"/>
    </sheetView>
  </sheetViews>
  <sheetFormatPr defaultColWidth="9.28515625" defaultRowHeight="13.5"/>
  <cols>
    <col min="1" max="1" width="36.7109375" style="4" bestFit="1" customWidth="1"/>
    <col min="2" max="4" width="15.7109375" style="4" customWidth="1"/>
    <col min="5" max="5" width="9.7109375" style="4" customWidth="1"/>
    <col min="6" max="6" width="13.85546875" style="4" customWidth="1"/>
    <col min="7" max="7" width="3.140625" style="4" customWidth="1"/>
    <col min="8" max="8" width="7.85546875" style="4" customWidth="1"/>
    <col min="9" max="9" width="27" style="4" bestFit="1" customWidth="1"/>
    <col min="10" max="16384" width="9.28515625" style="4"/>
  </cols>
  <sheetData>
    <row r="1" spans="1:8">
      <c r="A1" s="48" t="s">
        <v>64</v>
      </c>
      <c r="B1" s="2"/>
      <c r="C1" s="2"/>
      <c r="D1" s="2"/>
      <c r="E1" s="2"/>
      <c r="F1" s="3"/>
      <c r="G1" s="3"/>
      <c r="H1" s="3"/>
    </row>
    <row r="2" spans="1:8" ht="26.1" customHeight="1">
      <c r="A2" s="48" t="s">
        <v>23</v>
      </c>
      <c r="B2" s="5"/>
      <c r="C2" s="5"/>
      <c r="D2" s="5"/>
      <c r="E2" s="5"/>
      <c r="F2" s="6"/>
      <c r="G2" s="6"/>
      <c r="H2" s="6"/>
    </row>
    <row r="3" spans="1:8">
      <c r="A3" s="5"/>
      <c r="B3" s="5"/>
      <c r="C3" s="5"/>
      <c r="D3" s="5"/>
      <c r="E3" s="5"/>
      <c r="F3" s="7"/>
      <c r="G3" s="8"/>
      <c r="H3" s="6"/>
    </row>
    <row r="4" spans="1:8" ht="17.25" customHeight="1">
      <c r="A4" s="9" t="s">
        <v>213</v>
      </c>
      <c r="B4" s="10"/>
      <c r="C4" s="10"/>
      <c r="F4" s="499" t="s">
        <v>20</v>
      </c>
      <c r="H4" s="6"/>
    </row>
    <row r="5" spans="1:8" ht="33.75" customHeight="1">
      <c r="A5" s="565" t="s">
        <v>133</v>
      </c>
      <c r="B5" s="565"/>
      <c r="C5" s="565"/>
      <c r="D5" s="565"/>
      <c r="E5" s="565"/>
      <c r="F5" s="565"/>
      <c r="G5" s="8"/>
      <c r="H5" s="6"/>
    </row>
    <row r="6" spans="1:8" ht="18" customHeight="1">
      <c r="A6" s="566"/>
      <c r="B6" s="566"/>
      <c r="C6" s="566"/>
      <c r="D6" s="566"/>
      <c r="E6" s="566"/>
      <c r="F6" s="566"/>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39"/>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9"/>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69"/>
  <sheetViews>
    <sheetView showGridLines="0" showZeros="0" zoomScale="96" zoomScaleNormal="96" zoomScaleSheetLayoutView="75" zoomScalePageLayoutView="50" workbookViewId="0">
      <pane ySplit="10" topLeftCell="A11" activePane="bottomLeft" state="frozen"/>
      <selection activeCell="E32" sqref="E32"/>
      <selection pane="bottomLeft" activeCell="N33" sqref="N33"/>
    </sheetView>
  </sheetViews>
  <sheetFormatPr defaultColWidth="11.42578125" defaultRowHeight="13.5"/>
  <cols>
    <col min="1" max="1" width="39" style="4" customWidth="1"/>
    <col min="2" max="2" width="20.28515625" style="4" customWidth="1"/>
    <col min="3" max="6" width="17.5703125" style="4" customWidth="1"/>
    <col min="7" max="16384" width="11.42578125" style="4"/>
  </cols>
  <sheetData>
    <row r="1" spans="1:7" ht="14.25">
      <c r="A1" s="457" t="s">
        <v>26</v>
      </c>
      <c r="B1" s="332"/>
      <c r="C1" s="333"/>
      <c r="D1" s="334"/>
    </row>
    <row r="3" spans="1:7" ht="17.25">
      <c r="A3" s="112" t="str">
        <f>'1-Contractblad totaal'!A3</f>
        <v>Naam opdrachtgever</v>
      </c>
      <c r="B3" s="141" t="str">
        <f>'1-Contractblad totaal'!B3</f>
        <v>Gemeente Smallingerland</v>
      </c>
      <c r="C3" s="335"/>
      <c r="D3" s="335"/>
    </row>
    <row r="4" spans="1:7" ht="17.25">
      <c r="A4" s="112" t="str">
        <f>'1-Contractblad totaal'!A4</f>
        <v>Calculatie onderdeel</v>
      </c>
      <c r="B4" s="141" t="str">
        <f ca="1">MID(CELL("bestandsnaam",$C$9),SEARCH("]",CELL("bestandsnaam",$C$9),1)+1,256)</f>
        <v>9-Afroepprijs</v>
      </c>
      <c r="C4" s="336"/>
      <c r="D4" s="337"/>
    </row>
    <row r="5" spans="1:7" ht="17.25">
      <c r="A5" s="112" t="str">
        <f>'1-Contractblad totaal'!A5</f>
        <v>Gebouw/plaats</v>
      </c>
      <c r="B5" s="141" t="str">
        <f>'1-Contractblad totaal'!B5</f>
        <v>Drachten</v>
      </c>
      <c r="C5" s="336"/>
      <c r="D5" s="337"/>
    </row>
    <row r="6" spans="1:7" ht="17.25">
      <c r="A6" s="112" t="str">
        <f>'1-Contractblad totaal'!A6</f>
        <v>Referentie nummer</v>
      </c>
      <c r="B6" s="141" t="str">
        <f>'1-Contractblad totaal'!B6</f>
        <v>GS-EA-AS-2020</v>
      </c>
      <c r="C6" s="336"/>
      <c r="D6" s="337"/>
      <c r="E6" s="561"/>
      <c r="F6" s="561"/>
      <c r="G6" s="561"/>
    </row>
    <row r="7" spans="1:7" ht="17.25">
      <c r="A7" s="112" t="str">
        <f>'1-Contractblad totaal'!A8</f>
        <v>Naam dienstverlener</v>
      </c>
      <c r="B7" s="141">
        <f>'1-Contractblad totaal'!B8</f>
        <v>0</v>
      </c>
      <c r="C7" s="336"/>
      <c r="D7" s="337"/>
      <c r="E7" s="561"/>
      <c r="F7" s="561"/>
      <c r="G7" s="561"/>
    </row>
    <row r="8" spans="1:7" ht="15.75">
      <c r="A8" s="112" t="str">
        <f>'1-Contractblad totaal'!A9</f>
        <v>Prijspeil</v>
      </c>
      <c r="B8" s="113">
        <f>'1-Contractblad totaal'!B9</f>
        <v>44013</v>
      </c>
      <c r="C8" s="336"/>
      <c r="D8" s="337"/>
    </row>
    <row r="9" spans="1:7" ht="17.25">
      <c r="A9" s="111"/>
      <c r="B9" s="338"/>
      <c r="C9" s="336"/>
      <c r="D9" s="337"/>
    </row>
    <row r="10" spans="1:7">
      <c r="A10" s="339"/>
      <c r="B10" s="340"/>
      <c r="C10" s="340"/>
      <c r="D10" s="340"/>
    </row>
    <row r="11" spans="1:7" ht="15">
      <c r="A11" s="369" t="s">
        <v>172</v>
      </c>
      <c r="B11" s="370"/>
      <c r="C11" s="370"/>
      <c r="D11" s="371"/>
      <c r="E11" s="371"/>
      <c r="F11" s="372"/>
    </row>
    <row r="13" spans="1:7">
      <c r="A13" s="349"/>
      <c r="B13" s="350"/>
      <c r="C13" s="600" t="s">
        <v>127</v>
      </c>
      <c r="D13" s="601"/>
      <c r="E13" s="601"/>
      <c r="F13" s="602"/>
    </row>
    <row r="14" spans="1:7">
      <c r="A14" s="351" t="s">
        <v>56</v>
      </c>
      <c r="B14" s="351" t="s">
        <v>12</v>
      </c>
      <c r="C14" s="352" t="s">
        <v>123</v>
      </c>
      <c r="D14" s="327" t="s">
        <v>124</v>
      </c>
      <c r="E14" s="327" t="s">
        <v>125</v>
      </c>
      <c r="F14" s="327" t="s">
        <v>126</v>
      </c>
    </row>
    <row r="15" spans="1:7" ht="14.25">
      <c r="A15" s="341" t="s">
        <v>83</v>
      </c>
      <c r="B15" s="341" t="s">
        <v>38</v>
      </c>
      <c r="C15" s="465">
        <v>0</v>
      </c>
      <c r="D15" s="465">
        <v>0</v>
      </c>
      <c r="E15" s="465">
        <v>0</v>
      </c>
      <c r="F15" s="465">
        <v>0</v>
      </c>
    </row>
    <row r="16" spans="1:7" ht="14.25">
      <c r="A16" s="341" t="s">
        <v>84</v>
      </c>
      <c r="B16" s="341" t="s">
        <v>39</v>
      </c>
      <c r="C16" s="465">
        <v>0</v>
      </c>
      <c r="D16" s="465">
        <v>0</v>
      </c>
      <c r="E16" s="465">
        <v>0</v>
      </c>
      <c r="F16" s="465">
        <v>0</v>
      </c>
    </row>
    <row r="17" spans="1:7" ht="14.25">
      <c r="A17" s="353" t="s">
        <v>85</v>
      </c>
      <c r="B17" s="467"/>
      <c r="C17" s="465">
        <v>0</v>
      </c>
      <c r="D17" s="465">
        <v>0</v>
      </c>
      <c r="E17" s="465">
        <v>0</v>
      </c>
      <c r="F17" s="465">
        <v>0</v>
      </c>
    </row>
    <row r="18" spans="1:7" ht="14.25">
      <c r="A18" s="353" t="s">
        <v>7</v>
      </c>
      <c r="B18" s="467"/>
      <c r="C18" s="465">
        <v>0</v>
      </c>
      <c r="D18" s="465">
        <v>0</v>
      </c>
      <c r="E18" s="465">
        <v>0</v>
      </c>
      <c r="F18" s="465">
        <v>0</v>
      </c>
    </row>
    <row r="19" spans="1:7" ht="14.25">
      <c r="A19" s="342"/>
      <c r="B19" s="342"/>
      <c r="C19" s="342"/>
      <c r="D19" s="343"/>
    </row>
    <row r="20" spans="1:7" ht="15">
      <c r="A20" s="369" t="s">
        <v>200</v>
      </c>
      <c r="B20" s="373"/>
      <c r="C20" s="373"/>
      <c r="D20" s="373"/>
      <c r="E20" s="373"/>
      <c r="F20" s="374"/>
    </row>
    <row r="21" spans="1:7" ht="14.25">
      <c r="A21" s="354"/>
      <c r="B21" s="342"/>
      <c r="C21" s="342"/>
      <c r="D21" s="343"/>
      <c r="E21" s="600" t="s">
        <v>24</v>
      </c>
      <c r="F21" s="602"/>
    </row>
    <row r="22" spans="1:7">
      <c r="A22" s="353" t="s">
        <v>174</v>
      </c>
      <c r="B22" s="355" t="s">
        <v>12</v>
      </c>
      <c r="C22" s="356"/>
      <c r="D22" s="357"/>
      <c r="E22" s="352" t="s">
        <v>175</v>
      </c>
      <c r="F22" s="352" t="s">
        <v>176</v>
      </c>
    </row>
    <row r="23" spans="1:7" ht="14.25">
      <c r="A23" s="344" t="s">
        <v>177</v>
      </c>
      <c r="B23" s="460" t="s">
        <v>19</v>
      </c>
      <c r="C23" s="461"/>
      <c r="D23" s="461"/>
      <c r="E23" s="462">
        <v>0</v>
      </c>
      <c r="F23" s="462">
        <v>0</v>
      </c>
    </row>
    <row r="24" spans="1:7" ht="14.25">
      <c r="A24" s="344" t="s">
        <v>178</v>
      </c>
      <c r="B24" s="460" t="s">
        <v>19</v>
      </c>
      <c r="C24" s="463"/>
      <c r="D24" s="463"/>
      <c r="E24" s="462">
        <v>0</v>
      </c>
      <c r="F24" s="462">
        <v>0</v>
      </c>
    </row>
    <row r="25" spans="1:7" ht="14.25">
      <c r="A25" s="344" t="s">
        <v>179</v>
      </c>
      <c r="B25" s="460" t="s">
        <v>19</v>
      </c>
      <c r="C25" s="463"/>
      <c r="D25" s="463"/>
      <c r="E25" s="462">
        <v>0</v>
      </c>
      <c r="F25" s="462">
        <v>0</v>
      </c>
    </row>
    <row r="26" spans="1:7" ht="14.25">
      <c r="A26" s="344" t="s">
        <v>180</v>
      </c>
      <c r="B26" s="460" t="s">
        <v>19</v>
      </c>
      <c r="C26" s="464"/>
      <c r="D26" s="463"/>
      <c r="E26" s="462">
        <v>0</v>
      </c>
      <c r="F26" s="462">
        <v>0</v>
      </c>
    </row>
    <row r="27" spans="1:7" ht="14.25">
      <c r="A27" s="344" t="s">
        <v>181</v>
      </c>
      <c r="B27" s="460" t="s">
        <v>19</v>
      </c>
      <c r="C27" s="464"/>
      <c r="D27" s="463"/>
      <c r="E27" s="462">
        <v>0</v>
      </c>
      <c r="F27" s="462">
        <v>0</v>
      </c>
    </row>
    <row r="28" spans="1:7">
      <c r="A28" s="358"/>
      <c r="B28" s="359"/>
      <c r="C28" s="359"/>
      <c r="D28" s="360"/>
    </row>
    <row r="29" spans="1:7" ht="15">
      <c r="A29" s="369" t="s">
        <v>173</v>
      </c>
      <c r="B29" s="373"/>
      <c r="C29" s="373"/>
      <c r="D29" s="373"/>
      <c r="E29" s="373"/>
      <c r="F29" s="374"/>
    </row>
    <row r="30" spans="1:7">
      <c r="A30" s="345"/>
      <c r="B30" s="345"/>
      <c r="C30" s="345"/>
      <c r="D30" s="345"/>
      <c r="E30" s="191"/>
      <c r="F30" s="191"/>
      <c r="G30" s="191"/>
    </row>
    <row r="31" spans="1:7" ht="27">
      <c r="A31" s="361" t="s">
        <v>56</v>
      </c>
      <c r="B31" s="362" t="s">
        <v>12</v>
      </c>
      <c r="C31" s="356"/>
      <c r="D31" s="357"/>
      <c r="E31" s="363" t="s">
        <v>121</v>
      </c>
      <c r="F31" s="364" t="s">
        <v>122</v>
      </c>
    </row>
    <row r="32" spans="1:7" ht="14.25">
      <c r="A32" s="344" t="s">
        <v>182</v>
      </c>
      <c r="B32" s="460" t="s">
        <v>19</v>
      </c>
      <c r="C32" s="461"/>
      <c r="D32" s="461"/>
      <c r="E32" s="462">
        <v>0</v>
      </c>
      <c r="F32" s="462">
        <v>0</v>
      </c>
    </row>
    <row r="33" spans="1:6" ht="14.25">
      <c r="A33" s="344" t="s">
        <v>183</v>
      </c>
      <c r="B33" s="460" t="s">
        <v>19</v>
      </c>
      <c r="C33" s="463"/>
      <c r="D33" s="463"/>
      <c r="E33" s="462">
        <v>0</v>
      </c>
      <c r="F33" s="462">
        <v>0</v>
      </c>
    </row>
    <row r="34" spans="1:6" ht="14.25">
      <c r="A34" s="344" t="s">
        <v>184</v>
      </c>
      <c r="B34" s="460" t="s">
        <v>19</v>
      </c>
      <c r="C34" s="464"/>
      <c r="D34" s="463"/>
      <c r="E34" s="462">
        <v>0</v>
      </c>
      <c r="F34" s="462">
        <v>0</v>
      </c>
    </row>
    <row r="35" spans="1:6" ht="14.25">
      <c r="A35" s="344" t="s">
        <v>185</v>
      </c>
      <c r="B35" s="460" t="s">
        <v>19</v>
      </c>
      <c r="C35" s="464"/>
      <c r="D35" s="463"/>
      <c r="E35" s="462">
        <v>0</v>
      </c>
      <c r="F35" s="462">
        <v>0</v>
      </c>
    </row>
    <row r="36" spans="1:6" ht="14.25">
      <c r="A36" s="344" t="s">
        <v>186</v>
      </c>
      <c r="B36" s="460" t="s">
        <v>19</v>
      </c>
      <c r="C36" s="464"/>
      <c r="D36" s="463"/>
      <c r="E36" s="462">
        <v>0</v>
      </c>
      <c r="F36" s="462">
        <v>0</v>
      </c>
    </row>
    <row r="38" spans="1:6" ht="15">
      <c r="A38" s="369" t="s">
        <v>187</v>
      </c>
      <c r="B38" s="373"/>
      <c r="C38" s="373"/>
      <c r="D38" s="373"/>
      <c r="E38" s="373"/>
      <c r="F38" s="374"/>
    </row>
    <row r="39" spans="1:6" ht="14.25">
      <c r="A39" s="354"/>
      <c r="B39" s="342"/>
      <c r="C39" s="342"/>
      <c r="D39" s="343"/>
    </row>
    <row r="40" spans="1:6">
      <c r="A40" s="351" t="s">
        <v>56</v>
      </c>
      <c r="B40" s="349" t="s">
        <v>12</v>
      </c>
      <c r="C40" s="345"/>
      <c r="D40" s="345"/>
      <c r="E40" s="345"/>
      <c r="F40" s="365" t="s">
        <v>128</v>
      </c>
    </row>
    <row r="41" spans="1:6" ht="14.25">
      <c r="A41" s="344" t="s">
        <v>188</v>
      </c>
      <c r="B41" s="346" t="s">
        <v>129</v>
      </c>
      <c r="C41" s="346"/>
      <c r="D41" s="346"/>
      <c r="E41" s="346"/>
      <c r="F41" s="465">
        <v>0</v>
      </c>
    </row>
    <row r="42" spans="1:6" ht="14.25">
      <c r="A42" s="344" t="s">
        <v>188</v>
      </c>
      <c r="B42" s="346" t="s">
        <v>131</v>
      </c>
      <c r="C42" s="346"/>
      <c r="D42" s="346"/>
      <c r="E42" s="346"/>
      <c r="F42" s="465">
        <v>0</v>
      </c>
    </row>
    <row r="43" spans="1:6" ht="14.25">
      <c r="A43" s="344" t="s">
        <v>188</v>
      </c>
      <c r="B43" s="346" t="s">
        <v>130</v>
      </c>
      <c r="C43" s="346"/>
      <c r="D43" s="346"/>
      <c r="E43" s="346"/>
      <c r="F43" s="465">
        <v>0</v>
      </c>
    </row>
    <row r="44" spans="1:6" ht="14.25">
      <c r="A44" s="344" t="s">
        <v>159</v>
      </c>
      <c r="B44" s="346" t="s">
        <v>129</v>
      </c>
      <c r="C44" s="346"/>
      <c r="D44" s="346"/>
      <c r="E44" s="346"/>
      <c r="F44" s="465">
        <v>0</v>
      </c>
    </row>
    <row r="45" spans="1:6" ht="14.25">
      <c r="A45" s="342"/>
      <c r="B45" s="343"/>
      <c r="C45" s="343"/>
      <c r="D45" s="342"/>
    </row>
    <row r="46" spans="1:6" s="110" customFormat="1" ht="15">
      <c r="A46" s="375" t="s">
        <v>196</v>
      </c>
      <c r="B46" s="376"/>
      <c r="C46" s="376"/>
      <c r="D46" s="373"/>
      <c r="E46" s="374"/>
    </row>
    <row r="47" spans="1:6" s="110" customFormat="1" ht="27" customHeight="1">
      <c r="A47" s="366" t="s">
        <v>189</v>
      </c>
      <c r="B47" s="603" t="s">
        <v>12</v>
      </c>
      <c r="C47" s="604"/>
      <c r="D47" s="605"/>
      <c r="E47" s="367" t="s">
        <v>24</v>
      </c>
    </row>
    <row r="48" spans="1:6" s="110" customFormat="1" ht="14.25">
      <c r="A48" s="341" t="s">
        <v>190</v>
      </c>
      <c r="B48" s="597" t="s">
        <v>191</v>
      </c>
      <c r="C48" s="598"/>
      <c r="D48" s="599"/>
      <c r="E48" s="465">
        <v>0</v>
      </c>
    </row>
    <row r="49" spans="1:5" s="110" customFormat="1" ht="14.25">
      <c r="A49" s="341" t="s">
        <v>192</v>
      </c>
      <c r="B49" s="597" t="s">
        <v>191</v>
      </c>
      <c r="C49" s="598"/>
      <c r="D49" s="599"/>
      <c r="E49" s="465">
        <v>0</v>
      </c>
    </row>
    <row r="50" spans="1:5" s="110" customFormat="1" ht="14.25">
      <c r="A50" s="466" t="s">
        <v>198</v>
      </c>
      <c r="B50" s="597" t="s">
        <v>191</v>
      </c>
      <c r="C50" s="598"/>
      <c r="D50" s="599"/>
      <c r="E50" s="465">
        <v>0</v>
      </c>
    </row>
    <row r="51" spans="1:5" s="110" customFormat="1" ht="14.25">
      <c r="A51" s="466" t="s">
        <v>198</v>
      </c>
      <c r="B51" s="597" t="s">
        <v>191</v>
      </c>
      <c r="C51" s="598"/>
      <c r="D51" s="599"/>
      <c r="E51" s="465">
        <v>0</v>
      </c>
    </row>
    <row r="52" spans="1:5" s="110" customFormat="1" ht="14.25">
      <c r="A52" s="466" t="s">
        <v>198</v>
      </c>
      <c r="B52" s="597" t="s">
        <v>191</v>
      </c>
      <c r="C52" s="598"/>
      <c r="D52" s="599"/>
      <c r="E52" s="465">
        <v>0</v>
      </c>
    </row>
    <row r="53" spans="1:5" s="110" customFormat="1"/>
    <row r="54" spans="1:5" s="110" customFormat="1" ht="15">
      <c r="A54" s="375" t="s">
        <v>197</v>
      </c>
      <c r="B54" s="374"/>
    </row>
    <row r="55" spans="1:5" s="110" customFormat="1">
      <c r="A55" s="353" t="s">
        <v>193</v>
      </c>
      <c r="B55" s="367" t="s">
        <v>128</v>
      </c>
    </row>
    <row r="56" spans="1:5" s="110" customFormat="1" ht="14.25">
      <c r="A56" s="341" t="s">
        <v>194</v>
      </c>
      <c r="B56" s="465">
        <v>0</v>
      </c>
    </row>
    <row r="57" spans="1:5" s="110" customFormat="1" ht="14.25">
      <c r="A57" s="341" t="s">
        <v>195</v>
      </c>
      <c r="B57" s="465">
        <v>0</v>
      </c>
    </row>
    <row r="58" spans="1:5" s="110" customFormat="1">
      <c r="A58" s="347"/>
      <c r="B58" s="347"/>
    </row>
    <row r="59" spans="1:5" ht="15">
      <c r="A59" s="368" t="s">
        <v>1</v>
      </c>
      <c r="B59" s="343"/>
      <c r="C59" s="343"/>
      <c r="D59" s="342"/>
    </row>
    <row r="60" spans="1:5">
      <c r="A60" s="342" t="s">
        <v>42</v>
      </c>
    </row>
    <row r="61" spans="1:5" ht="14.25">
      <c r="A61" s="342" t="s">
        <v>199</v>
      </c>
      <c r="B61" s="343"/>
      <c r="C61" s="343"/>
      <c r="D61" s="342"/>
    </row>
    <row r="62" spans="1:5" ht="12.75" customHeight="1">
      <c r="A62" s="342"/>
      <c r="B62" s="343"/>
      <c r="C62" s="343"/>
      <c r="D62" s="342"/>
    </row>
    <row r="63" spans="1:5" ht="14.25">
      <c r="A63" s="342"/>
      <c r="B63" s="343"/>
      <c r="C63" s="343"/>
      <c r="D63" s="342"/>
    </row>
    <row r="64" spans="1:5" ht="14.25">
      <c r="A64" s="342"/>
      <c r="B64" s="343"/>
      <c r="C64" s="343"/>
      <c r="D64" s="342"/>
    </row>
    <row r="66" spans="1:4" ht="14.25">
      <c r="A66" s="348"/>
      <c r="B66" s="332"/>
      <c r="C66" s="332"/>
      <c r="D66" s="332"/>
    </row>
    <row r="67" spans="1:4">
      <c r="A67" s="348"/>
    </row>
    <row r="68" spans="1:4">
      <c r="A68" s="348"/>
    </row>
    <row r="69" spans="1:4">
      <c r="A69" s="348"/>
    </row>
  </sheetData>
  <mergeCells count="8">
    <mergeCell ref="B50:D50"/>
    <mergeCell ref="B51:D51"/>
    <mergeCell ref="B52:D52"/>
    <mergeCell ref="C13:F13"/>
    <mergeCell ref="E21:F21"/>
    <mergeCell ref="B47:D47"/>
    <mergeCell ref="B48:D48"/>
    <mergeCell ref="B49:D49"/>
  </mergeCells>
  <phoneticPr fontId="11"/>
  <conditionalFormatting sqref="E36:F36">
    <cfRule type="cellIs" dxfId="9" priority="19" stopIfTrue="1" operator="equal">
      <formula>"nvt"</formula>
    </cfRule>
  </conditionalFormatting>
  <conditionalFormatting sqref="F23 E26:F26 F25 E23:E25">
    <cfRule type="cellIs" dxfId="8" priority="8" stopIfTrue="1" operator="equal">
      <formula>"nvt"</formula>
    </cfRule>
  </conditionalFormatting>
  <conditionalFormatting sqref="F24">
    <cfRule type="cellIs" dxfId="7" priority="7" stopIfTrue="1" operator="equal">
      <formula>"nvt"</formula>
    </cfRule>
  </conditionalFormatting>
  <conditionalFormatting sqref="F41:F44">
    <cfRule type="cellIs" dxfId="6" priority="9" stopIfTrue="1" operator="equal">
      <formula>"nvt"</formula>
    </cfRule>
  </conditionalFormatting>
  <conditionalFormatting sqref="E27:F27">
    <cfRule type="cellIs" dxfId="5" priority="6" stopIfTrue="1" operator="equal">
      <formula>"nvt"</formula>
    </cfRule>
  </conditionalFormatting>
  <conditionalFormatting sqref="F32 E32:E33 E35:F35">
    <cfRule type="cellIs" dxfId="4" priority="5" stopIfTrue="1" operator="equal">
      <formula>"nvt"</formula>
    </cfRule>
  </conditionalFormatting>
  <conditionalFormatting sqref="F33">
    <cfRule type="cellIs" dxfId="3" priority="4" stopIfTrue="1" operator="equal">
      <formula>"nvt"</formula>
    </cfRule>
  </conditionalFormatting>
  <conditionalFormatting sqref="E34:F34">
    <cfRule type="cellIs" dxfId="2" priority="3" stopIfTrue="1" operator="equal">
      <formula>"nvt"</formula>
    </cfRule>
  </conditionalFormatting>
  <conditionalFormatting sqref="E48:E52">
    <cfRule type="cellIs" dxfId="1" priority="2" stopIfTrue="1" operator="equal">
      <formula>"nvt"</formula>
    </cfRule>
  </conditionalFormatting>
  <conditionalFormatting sqref="B56:B57">
    <cfRule type="cellIs" dxfId="0" priority="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C21"/>
  <sheetViews>
    <sheetView showGridLines="0" zoomScaleNormal="100" zoomScaleSheetLayoutView="50" zoomScalePageLayoutView="50" workbookViewId="0">
      <pane ySplit="12" topLeftCell="A13" activePane="bottomLeft" state="frozen"/>
      <selection activeCell="E32" sqref="E32"/>
      <selection pane="bottomLeft" activeCell="F3" sqref="F3:F7"/>
    </sheetView>
  </sheetViews>
  <sheetFormatPr defaultColWidth="13.7109375" defaultRowHeight="13.5"/>
  <cols>
    <col min="1" max="1" width="46.140625" style="390" customWidth="1"/>
    <col min="2" max="2" width="27.5703125" style="396" customWidth="1"/>
    <col min="3" max="3" width="19.140625" style="396" customWidth="1"/>
    <col min="4" max="4" width="12.140625" style="390" customWidth="1"/>
    <col min="5" max="5" width="25.85546875" style="397" customWidth="1"/>
    <col min="6" max="7" width="13.7109375" style="398" customWidth="1"/>
    <col min="8" max="8" width="15.85546875" style="398" customWidth="1"/>
    <col min="9" max="250" width="13.7109375" style="390"/>
    <col min="251" max="251" width="22.140625" style="390" customWidth="1"/>
    <col min="252" max="258" width="13.7109375" style="390" customWidth="1"/>
    <col min="259" max="259" width="15.85546875" style="390" customWidth="1"/>
    <col min="260" max="260" width="16.5703125" style="390" bestFit="1" customWidth="1"/>
    <col min="261" max="261" width="13.7109375" style="390" customWidth="1"/>
    <col min="262" max="262" width="17.140625" style="390" bestFit="1" customWidth="1"/>
    <col min="263" max="263" width="4" style="390" customWidth="1"/>
    <col min="264" max="264" width="13.7109375" style="390" customWidth="1"/>
    <col min="265" max="506" width="13.7109375" style="390"/>
    <col min="507" max="507" width="22.140625" style="390" customWidth="1"/>
    <col min="508" max="514" width="13.7109375" style="390" customWidth="1"/>
    <col min="515" max="515" width="15.85546875" style="390" customWidth="1"/>
    <col min="516" max="516" width="16.5703125" style="390" bestFit="1" customWidth="1"/>
    <col min="517" max="517" width="13.7109375" style="390" customWidth="1"/>
    <col min="518" max="518" width="17.140625" style="390" bestFit="1" customWidth="1"/>
    <col min="519" max="519" width="4" style="390" customWidth="1"/>
    <col min="520" max="520" width="13.7109375" style="390" customWidth="1"/>
    <col min="521" max="762" width="13.7109375" style="390"/>
    <col min="763" max="763" width="22.140625" style="390" customWidth="1"/>
    <col min="764" max="770" width="13.7109375" style="390" customWidth="1"/>
    <col min="771" max="771" width="15.85546875" style="390" customWidth="1"/>
    <col min="772" max="772" width="16.5703125" style="390" bestFit="1" customWidth="1"/>
    <col min="773" max="773" width="13.7109375" style="390" customWidth="1"/>
    <col min="774" max="774" width="17.140625" style="390" bestFit="1" customWidth="1"/>
    <col min="775" max="775" width="4" style="390" customWidth="1"/>
    <col min="776" max="776" width="13.7109375" style="390" customWidth="1"/>
    <col min="777" max="1018" width="13.7109375" style="390"/>
    <col min="1019" max="1019" width="22.140625" style="390" customWidth="1"/>
    <col min="1020" max="1026" width="13.7109375" style="390" customWidth="1"/>
    <col min="1027" max="1027" width="15.85546875" style="390" customWidth="1"/>
    <col min="1028" max="1028" width="16.5703125" style="390" bestFit="1" customWidth="1"/>
    <col min="1029" max="1029" width="13.7109375" style="390" customWidth="1"/>
    <col min="1030" max="1030" width="17.140625" style="390" bestFit="1" customWidth="1"/>
    <col min="1031" max="1031" width="4" style="390" customWidth="1"/>
    <col min="1032" max="1032" width="13.7109375" style="390" customWidth="1"/>
    <col min="1033" max="1274" width="13.7109375" style="390"/>
    <col min="1275" max="1275" width="22.140625" style="390" customWidth="1"/>
    <col min="1276" max="1282" width="13.7109375" style="390" customWidth="1"/>
    <col min="1283" max="1283" width="15.85546875" style="390" customWidth="1"/>
    <col min="1284" max="1284" width="16.5703125" style="390" bestFit="1" customWidth="1"/>
    <col min="1285" max="1285" width="13.7109375" style="390" customWidth="1"/>
    <col min="1286" max="1286" width="17.140625" style="390" bestFit="1" customWidth="1"/>
    <col min="1287" max="1287" width="4" style="390" customWidth="1"/>
    <col min="1288" max="1288" width="13.7109375" style="390" customWidth="1"/>
    <col min="1289" max="1530" width="13.7109375" style="390"/>
    <col min="1531" max="1531" width="22.140625" style="390" customWidth="1"/>
    <col min="1532" max="1538" width="13.7109375" style="390" customWidth="1"/>
    <col min="1539" max="1539" width="15.85546875" style="390" customWidth="1"/>
    <col min="1540" max="1540" width="16.5703125" style="390" bestFit="1" customWidth="1"/>
    <col min="1541" max="1541" width="13.7109375" style="390" customWidth="1"/>
    <col min="1542" max="1542" width="17.140625" style="390" bestFit="1" customWidth="1"/>
    <col min="1543" max="1543" width="4" style="390" customWidth="1"/>
    <col min="1544" max="1544" width="13.7109375" style="390" customWidth="1"/>
    <col min="1545" max="1786" width="13.7109375" style="390"/>
    <col min="1787" max="1787" width="22.140625" style="390" customWidth="1"/>
    <col min="1788" max="1794" width="13.7109375" style="390" customWidth="1"/>
    <col min="1795" max="1795" width="15.85546875" style="390" customWidth="1"/>
    <col min="1796" max="1796" width="16.5703125" style="390" bestFit="1" customWidth="1"/>
    <col min="1797" max="1797" width="13.7109375" style="390" customWidth="1"/>
    <col min="1798" max="1798" width="17.140625" style="390" bestFit="1" customWidth="1"/>
    <col min="1799" max="1799" width="4" style="390" customWidth="1"/>
    <col min="1800" max="1800" width="13.7109375" style="390" customWidth="1"/>
    <col min="1801" max="2042" width="13.7109375" style="390"/>
    <col min="2043" max="2043" width="22.140625" style="390" customWidth="1"/>
    <col min="2044" max="2050" width="13.7109375" style="390" customWidth="1"/>
    <col min="2051" max="2051" width="15.85546875" style="390" customWidth="1"/>
    <col min="2052" max="2052" width="16.5703125" style="390" bestFit="1" customWidth="1"/>
    <col min="2053" max="2053" width="13.7109375" style="390" customWidth="1"/>
    <col min="2054" max="2054" width="17.140625" style="390" bestFit="1" customWidth="1"/>
    <col min="2055" max="2055" width="4" style="390" customWidth="1"/>
    <col min="2056" max="2056" width="13.7109375" style="390" customWidth="1"/>
    <col min="2057" max="2298" width="13.7109375" style="390"/>
    <col min="2299" max="2299" width="22.140625" style="390" customWidth="1"/>
    <col min="2300" max="2306" width="13.7109375" style="390" customWidth="1"/>
    <col min="2307" max="2307" width="15.85546875" style="390" customWidth="1"/>
    <col min="2308" max="2308" width="16.5703125" style="390" bestFit="1" customWidth="1"/>
    <col min="2309" max="2309" width="13.7109375" style="390" customWidth="1"/>
    <col min="2310" max="2310" width="17.140625" style="390" bestFit="1" customWidth="1"/>
    <col min="2311" max="2311" width="4" style="390" customWidth="1"/>
    <col min="2312" max="2312" width="13.7109375" style="390" customWidth="1"/>
    <col min="2313" max="2554" width="13.7109375" style="390"/>
    <col min="2555" max="2555" width="22.140625" style="390" customWidth="1"/>
    <col min="2556" max="2562" width="13.7109375" style="390" customWidth="1"/>
    <col min="2563" max="2563" width="15.85546875" style="390" customWidth="1"/>
    <col min="2564" max="2564" width="16.5703125" style="390" bestFit="1" customWidth="1"/>
    <col min="2565" max="2565" width="13.7109375" style="390" customWidth="1"/>
    <col min="2566" max="2566" width="17.140625" style="390" bestFit="1" customWidth="1"/>
    <col min="2567" max="2567" width="4" style="390" customWidth="1"/>
    <col min="2568" max="2568" width="13.7109375" style="390" customWidth="1"/>
    <col min="2569" max="2810" width="13.7109375" style="390"/>
    <col min="2811" max="2811" width="22.140625" style="390" customWidth="1"/>
    <col min="2812" max="2818" width="13.7109375" style="390" customWidth="1"/>
    <col min="2819" max="2819" width="15.85546875" style="390" customWidth="1"/>
    <col min="2820" max="2820" width="16.5703125" style="390" bestFit="1" customWidth="1"/>
    <col min="2821" max="2821" width="13.7109375" style="390" customWidth="1"/>
    <col min="2822" max="2822" width="17.140625" style="390" bestFit="1" customWidth="1"/>
    <col min="2823" max="2823" width="4" style="390" customWidth="1"/>
    <col min="2824" max="2824" width="13.7109375" style="390" customWidth="1"/>
    <col min="2825" max="3066" width="13.7109375" style="390"/>
    <col min="3067" max="3067" width="22.140625" style="390" customWidth="1"/>
    <col min="3068" max="3074" width="13.7109375" style="390" customWidth="1"/>
    <col min="3075" max="3075" width="15.85546875" style="390" customWidth="1"/>
    <col min="3076" max="3076" width="16.5703125" style="390" bestFit="1" customWidth="1"/>
    <col min="3077" max="3077" width="13.7109375" style="390" customWidth="1"/>
    <col min="3078" max="3078" width="17.140625" style="390" bestFit="1" customWidth="1"/>
    <col min="3079" max="3079" width="4" style="390" customWidth="1"/>
    <col min="3080" max="3080" width="13.7109375" style="390" customWidth="1"/>
    <col min="3081" max="3322" width="13.7109375" style="390"/>
    <col min="3323" max="3323" width="22.140625" style="390" customWidth="1"/>
    <col min="3324" max="3330" width="13.7109375" style="390" customWidth="1"/>
    <col min="3331" max="3331" width="15.85546875" style="390" customWidth="1"/>
    <col min="3332" max="3332" width="16.5703125" style="390" bestFit="1" customWidth="1"/>
    <col min="3333" max="3333" width="13.7109375" style="390" customWidth="1"/>
    <col min="3334" max="3334" width="17.140625" style="390" bestFit="1" customWidth="1"/>
    <col min="3335" max="3335" width="4" style="390" customWidth="1"/>
    <col min="3336" max="3336" width="13.7109375" style="390" customWidth="1"/>
    <col min="3337" max="3578" width="13.7109375" style="390"/>
    <col min="3579" max="3579" width="22.140625" style="390" customWidth="1"/>
    <col min="3580" max="3586" width="13.7109375" style="390" customWidth="1"/>
    <col min="3587" max="3587" width="15.85546875" style="390" customWidth="1"/>
    <col min="3588" max="3588" width="16.5703125" style="390" bestFit="1" customWidth="1"/>
    <col min="3589" max="3589" width="13.7109375" style="390" customWidth="1"/>
    <col min="3590" max="3590" width="17.140625" style="390" bestFit="1" customWidth="1"/>
    <col min="3591" max="3591" width="4" style="390" customWidth="1"/>
    <col min="3592" max="3592" width="13.7109375" style="390" customWidth="1"/>
    <col min="3593" max="3834" width="13.7109375" style="390"/>
    <col min="3835" max="3835" width="22.140625" style="390" customWidth="1"/>
    <col min="3836" max="3842" width="13.7109375" style="390" customWidth="1"/>
    <col min="3843" max="3843" width="15.85546875" style="390" customWidth="1"/>
    <col min="3844" max="3844" width="16.5703125" style="390" bestFit="1" customWidth="1"/>
    <col min="3845" max="3845" width="13.7109375" style="390" customWidth="1"/>
    <col min="3846" max="3846" width="17.140625" style="390" bestFit="1" customWidth="1"/>
    <col min="3847" max="3847" width="4" style="390" customWidth="1"/>
    <col min="3848" max="3848" width="13.7109375" style="390" customWidth="1"/>
    <col min="3849" max="4090" width="13.7109375" style="390"/>
    <col min="4091" max="4091" width="22.140625" style="390" customWidth="1"/>
    <col min="4092" max="4098" width="13.7109375" style="390" customWidth="1"/>
    <col min="4099" max="4099" width="15.85546875" style="390" customWidth="1"/>
    <col min="4100" max="4100" width="16.5703125" style="390" bestFit="1" customWidth="1"/>
    <col min="4101" max="4101" width="13.7109375" style="390" customWidth="1"/>
    <col min="4102" max="4102" width="17.140625" style="390" bestFit="1" customWidth="1"/>
    <col min="4103" max="4103" width="4" style="390" customWidth="1"/>
    <col min="4104" max="4104" width="13.7109375" style="390" customWidth="1"/>
    <col min="4105" max="4346" width="13.7109375" style="390"/>
    <col min="4347" max="4347" width="22.140625" style="390" customWidth="1"/>
    <col min="4348" max="4354" width="13.7109375" style="390" customWidth="1"/>
    <col min="4355" max="4355" width="15.85546875" style="390" customWidth="1"/>
    <col min="4356" max="4356" width="16.5703125" style="390" bestFit="1" customWidth="1"/>
    <col min="4357" max="4357" width="13.7109375" style="390" customWidth="1"/>
    <col min="4358" max="4358" width="17.140625" style="390" bestFit="1" customWidth="1"/>
    <col min="4359" max="4359" width="4" style="390" customWidth="1"/>
    <col min="4360" max="4360" width="13.7109375" style="390" customWidth="1"/>
    <col min="4361" max="4602" width="13.7109375" style="390"/>
    <col min="4603" max="4603" width="22.140625" style="390" customWidth="1"/>
    <col min="4604" max="4610" width="13.7109375" style="390" customWidth="1"/>
    <col min="4611" max="4611" width="15.85546875" style="390" customWidth="1"/>
    <col min="4612" max="4612" width="16.5703125" style="390" bestFit="1" customWidth="1"/>
    <col min="4613" max="4613" width="13.7109375" style="390" customWidth="1"/>
    <col min="4614" max="4614" width="17.140625" style="390" bestFit="1" customWidth="1"/>
    <col min="4615" max="4615" width="4" style="390" customWidth="1"/>
    <col min="4616" max="4616" width="13.7109375" style="390" customWidth="1"/>
    <col min="4617" max="4858" width="13.7109375" style="390"/>
    <col min="4859" max="4859" width="22.140625" style="390" customWidth="1"/>
    <col min="4860" max="4866" width="13.7109375" style="390" customWidth="1"/>
    <col min="4867" max="4867" width="15.85546875" style="390" customWidth="1"/>
    <col min="4868" max="4868" width="16.5703125" style="390" bestFit="1" customWidth="1"/>
    <col min="4869" max="4869" width="13.7109375" style="390" customWidth="1"/>
    <col min="4870" max="4870" width="17.140625" style="390" bestFit="1" customWidth="1"/>
    <col min="4871" max="4871" width="4" style="390" customWidth="1"/>
    <col min="4872" max="4872" width="13.7109375" style="390" customWidth="1"/>
    <col min="4873" max="5114" width="13.7109375" style="390"/>
    <col min="5115" max="5115" width="22.140625" style="390" customWidth="1"/>
    <col min="5116" max="5122" width="13.7109375" style="390" customWidth="1"/>
    <col min="5123" max="5123" width="15.85546875" style="390" customWidth="1"/>
    <col min="5124" max="5124" width="16.5703125" style="390" bestFit="1" customWidth="1"/>
    <col min="5125" max="5125" width="13.7109375" style="390" customWidth="1"/>
    <col min="5126" max="5126" width="17.140625" style="390" bestFit="1" customWidth="1"/>
    <col min="5127" max="5127" width="4" style="390" customWidth="1"/>
    <col min="5128" max="5128" width="13.7109375" style="390" customWidth="1"/>
    <col min="5129" max="5370" width="13.7109375" style="390"/>
    <col min="5371" max="5371" width="22.140625" style="390" customWidth="1"/>
    <col min="5372" max="5378" width="13.7109375" style="390" customWidth="1"/>
    <col min="5379" max="5379" width="15.85546875" style="390" customWidth="1"/>
    <col min="5380" max="5380" width="16.5703125" style="390" bestFit="1" customWidth="1"/>
    <col min="5381" max="5381" width="13.7109375" style="390" customWidth="1"/>
    <col min="5382" max="5382" width="17.140625" style="390" bestFit="1" customWidth="1"/>
    <col min="5383" max="5383" width="4" style="390" customWidth="1"/>
    <col min="5384" max="5384" width="13.7109375" style="390" customWidth="1"/>
    <col min="5385" max="5626" width="13.7109375" style="390"/>
    <col min="5627" max="5627" width="22.140625" style="390" customWidth="1"/>
    <col min="5628" max="5634" width="13.7109375" style="390" customWidth="1"/>
    <col min="5635" max="5635" width="15.85546875" style="390" customWidth="1"/>
    <col min="5636" max="5636" width="16.5703125" style="390" bestFit="1" customWidth="1"/>
    <col min="5637" max="5637" width="13.7109375" style="390" customWidth="1"/>
    <col min="5638" max="5638" width="17.140625" style="390" bestFit="1" customWidth="1"/>
    <col min="5639" max="5639" width="4" style="390" customWidth="1"/>
    <col min="5640" max="5640" width="13.7109375" style="390" customWidth="1"/>
    <col min="5641" max="5882" width="13.7109375" style="390"/>
    <col min="5883" max="5883" width="22.140625" style="390" customWidth="1"/>
    <col min="5884" max="5890" width="13.7109375" style="390" customWidth="1"/>
    <col min="5891" max="5891" width="15.85546875" style="390" customWidth="1"/>
    <col min="5892" max="5892" width="16.5703125" style="390" bestFit="1" customWidth="1"/>
    <col min="5893" max="5893" width="13.7109375" style="390" customWidth="1"/>
    <col min="5894" max="5894" width="17.140625" style="390" bestFit="1" customWidth="1"/>
    <col min="5895" max="5895" width="4" style="390" customWidth="1"/>
    <col min="5896" max="5896" width="13.7109375" style="390" customWidth="1"/>
    <col min="5897" max="6138" width="13.7109375" style="390"/>
    <col min="6139" max="6139" width="22.140625" style="390" customWidth="1"/>
    <col min="6140" max="6146" width="13.7109375" style="390" customWidth="1"/>
    <col min="6147" max="6147" width="15.85546875" style="390" customWidth="1"/>
    <col min="6148" max="6148" width="16.5703125" style="390" bestFit="1" customWidth="1"/>
    <col min="6149" max="6149" width="13.7109375" style="390" customWidth="1"/>
    <col min="6150" max="6150" width="17.140625" style="390" bestFit="1" customWidth="1"/>
    <col min="6151" max="6151" width="4" style="390" customWidth="1"/>
    <col min="6152" max="6152" width="13.7109375" style="390" customWidth="1"/>
    <col min="6153" max="6394" width="13.7109375" style="390"/>
    <col min="6395" max="6395" width="22.140625" style="390" customWidth="1"/>
    <col min="6396" max="6402" width="13.7109375" style="390" customWidth="1"/>
    <col min="6403" max="6403" width="15.85546875" style="390" customWidth="1"/>
    <col min="6404" max="6404" width="16.5703125" style="390" bestFit="1" customWidth="1"/>
    <col min="6405" max="6405" width="13.7109375" style="390" customWidth="1"/>
    <col min="6406" max="6406" width="17.140625" style="390" bestFit="1" customWidth="1"/>
    <col min="6407" max="6407" width="4" style="390" customWidth="1"/>
    <col min="6408" max="6408" width="13.7109375" style="390" customWidth="1"/>
    <col min="6409" max="6650" width="13.7109375" style="390"/>
    <col min="6651" max="6651" width="22.140625" style="390" customWidth="1"/>
    <col min="6652" max="6658" width="13.7109375" style="390" customWidth="1"/>
    <col min="6659" max="6659" width="15.85546875" style="390" customWidth="1"/>
    <col min="6660" max="6660" width="16.5703125" style="390" bestFit="1" customWidth="1"/>
    <col min="6661" max="6661" width="13.7109375" style="390" customWidth="1"/>
    <col min="6662" max="6662" width="17.140625" style="390" bestFit="1" customWidth="1"/>
    <col min="6663" max="6663" width="4" style="390" customWidth="1"/>
    <col min="6664" max="6664" width="13.7109375" style="390" customWidth="1"/>
    <col min="6665" max="6906" width="13.7109375" style="390"/>
    <col min="6907" max="6907" width="22.140625" style="390" customWidth="1"/>
    <col min="6908" max="6914" width="13.7109375" style="390" customWidth="1"/>
    <col min="6915" max="6915" width="15.85546875" style="390" customWidth="1"/>
    <col min="6916" max="6916" width="16.5703125" style="390" bestFit="1" customWidth="1"/>
    <col min="6917" max="6917" width="13.7109375" style="390" customWidth="1"/>
    <col min="6918" max="6918" width="17.140625" style="390" bestFit="1" customWidth="1"/>
    <col min="6919" max="6919" width="4" style="390" customWidth="1"/>
    <col min="6920" max="6920" width="13.7109375" style="390" customWidth="1"/>
    <col min="6921" max="7162" width="13.7109375" style="390"/>
    <col min="7163" max="7163" width="22.140625" style="390" customWidth="1"/>
    <col min="7164" max="7170" width="13.7109375" style="390" customWidth="1"/>
    <col min="7171" max="7171" width="15.85546875" style="390" customWidth="1"/>
    <col min="7172" max="7172" width="16.5703125" style="390" bestFit="1" customWidth="1"/>
    <col min="7173" max="7173" width="13.7109375" style="390" customWidth="1"/>
    <col min="7174" max="7174" width="17.140625" style="390" bestFit="1" customWidth="1"/>
    <col min="7175" max="7175" width="4" style="390" customWidth="1"/>
    <col min="7176" max="7176" width="13.7109375" style="390" customWidth="1"/>
    <col min="7177" max="7418" width="13.7109375" style="390"/>
    <col min="7419" max="7419" width="22.140625" style="390" customWidth="1"/>
    <col min="7420" max="7426" width="13.7109375" style="390" customWidth="1"/>
    <col min="7427" max="7427" width="15.85546875" style="390" customWidth="1"/>
    <col min="7428" max="7428" width="16.5703125" style="390" bestFit="1" customWidth="1"/>
    <col min="7429" max="7429" width="13.7109375" style="390" customWidth="1"/>
    <col min="7430" max="7430" width="17.140625" style="390" bestFit="1" customWidth="1"/>
    <col min="7431" max="7431" width="4" style="390" customWidth="1"/>
    <col min="7432" max="7432" width="13.7109375" style="390" customWidth="1"/>
    <col min="7433" max="7674" width="13.7109375" style="390"/>
    <col min="7675" max="7675" width="22.140625" style="390" customWidth="1"/>
    <col min="7676" max="7682" width="13.7109375" style="390" customWidth="1"/>
    <col min="7683" max="7683" width="15.85546875" style="390" customWidth="1"/>
    <col min="7684" max="7684" width="16.5703125" style="390" bestFit="1" customWidth="1"/>
    <col min="7685" max="7685" width="13.7109375" style="390" customWidth="1"/>
    <col min="7686" max="7686" width="17.140625" style="390" bestFit="1" customWidth="1"/>
    <col min="7687" max="7687" width="4" style="390" customWidth="1"/>
    <col min="7688" max="7688" width="13.7109375" style="390" customWidth="1"/>
    <col min="7689" max="7930" width="13.7109375" style="390"/>
    <col min="7931" max="7931" width="22.140625" style="390" customWidth="1"/>
    <col min="7932" max="7938" width="13.7109375" style="390" customWidth="1"/>
    <col min="7939" max="7939" width="15.85546875" style="390" customWidth="1"/>
    <col min="7940" max="7940" width="16.5703125" style="390" bestFit="1" customWidth="1"/>
    <col min="7941" max="7941" width="13.7109375" style="390" customWidth="1"/>
    <col min="7942" max="7942" width="17.140625" style="390" bestFit="1" customWidth="1"/>
    <col min="7943" max="7943" width="4" style="390" customWidth="1"/>
    <col min="7944" max="7944" width="13.7109375" style="390" customWidth="1"/>
    <col min="7945" max="8186" width="13.7109375" style="390"/>
    <col min="8187" max="8187" width="22.140625" style="390" customWidth="1"/>
    <col min="8188" max="8194" width="13.7109375" style="390" customWidth="1"/>
    <col min="8195" max="8195" width="15.85546875" style="390" customWidth="1"/>
    <col min="8196" max="8196" width="16.5703125" style="390" bestFit="1" customWidth="1"/>
    <col min="8197" max="8197" width="13.7109375" style="390" customWidth="1"/>
    <col min="8198" max="8198" width="17.140625" style="390" bestFit="1" customWidth="1"/>
    <col min="8199" max="8199" width="4" style="390" customWidth="1"/>
    <col min="8200" max="8200" width="13.7109375" style="390" customWidth="1"/>
    <col min="8201" max="8442" width="13.7109375" style="390"/>
    <col min="8443" max="8443" width="22.140625" style="390" customWidth="1"/>
    <col min="8444" max="8450" width="13.7109375" style="390" customWidth="1"/>
    <col min="8451" max="8451" width="15.85546875" style="390" customWidth="1"/>
    <col min="8452" max="8452" width="16.5703125" style="390" bestFit="1" customWidth="1"/>
    <col min="8453" max="8453" width="13.7109375" style="390" customWidth="1"/>
    <col min="8454" max="8454" width="17.140625" style="390" bestFit="1" customWidth="1"/>
    <col min="8455" max="8455" width="4" style="390" customWidth="1"/>
    <col min="8456" max="8456" width="13.7109375" style="390" customWidth="1"/>
    <col min="8457" max="8698" width="13.7109375" style="390"/>
    <col min="8699" max="8699" width="22.140625" style="390" customWidth="1"/>
    <col min="8700" max="8706" width="13.7109375" style="390" customWidth="1"/>
    <col min="8707" max="8707" width="15.85546875" style="390" customWidth="1"/>
    <col min="8708" max="8708" width="16.5703125" style="390" bestFit="1" customWidth="1"/>
    <col min="8709" max="8709" width="13.7109375" style="390" customWidth="1"/>
    <col min="8710" max="8710" width="17.140625" style="390" bestFit="1" customWidth="1"/>
    <col min="8711" max="8711" width="4" style="390" customWidth="1"/>
    <col min="8712" max="8712" width="13.7109375" style="390" customWidth="1"/>
    <col min="8713" max="8954" width="13.7109375" style="390"/>
    <col min="8955" max="8955" width="22.140625" style="390" customWidth="1"/>
    <col min="8956" max="8962" width="13.7109375" style="390" customWidth="1"/>
    <col min="8963" max="8963" width="15.85546875" style="390" customWidth="1"/>
    <col min="8964" max="8964" width="16.5703125" style="390" bestFit="1" customWidth="1"/>
    <col min="8965" max="8965" width="13.7109375" style="390" customWidth="1"/>
    <col min="8966" max="8966" width="17.140625" style="390" bestFit="1" customWidth="1"/>
    <col min="8967" max="8967" width="4" style="390" customWidth="1"/>
    <col min="8968" max="8968" width="13.7109375" style="390" customWidth="1"/>
    <col min="8969" max="9210" width="13.7109375" style="390"/>
    <col min="9211" max="9211" width="22.140625" style="390" customWidth="1"/>
    <col min="9212" max="9218" width="13.7109375" style="390" customWidth="1"/>
    <col min="9219" max="9219" width="15.85546875" style="390" customWidth="1"/>
    <col min="9220" max="9220" width="16.5703125" style="390" bestFit="1" customWidth="1"/>
    <col min="9221" max="9221" width="13.7109375" style="390" customWidth="1"/>
    <col min="9222" max="9222" width="17.140625" style="390" bestFit="1" customWidth="1"/>
    <col min="9223" max="9223" width="4" style="390" customWidth="1"/>
    <col min="9224" max="9224" width="13.7109375" style="390" customWidth="1"/>
    <col min="9225" max="9466" width="13.7109375" style="390"/>
    <col min="9467" max="9467" width="22.140625" style="390" customWidth="1"/>
    <col min="9468" max="9474" width="13.7109375" style="390" customWidth="1"/>
    <col min="9475" max="9475" width="15.85546875" style="390" customWidth="1"/>
    <col min="9476" max="9476" width="16.5703125" style="390" bestFit="1" customWidth="1"/>
    <col min="9477" max="9477" width="13.7109375" style="390" customWidth="1"/>
    <col min="9478" max="9478" width="17.140625" style="390" bestFit="1" customWidth="1"/>
    <col min="9479" max="9479" width="4" style="390" customWidth="1"/>
    <col min="9480" max="9480" width="13.7109375" style="390" customWidth="1"/>
    <col min="9481" max="9722" width="13.7109375" style="390"/>
    <col min="9723" max="9723" width="22.140625" style="390" customWidth="1"/>
    <col min="9724" max="9730" width="13.7109375" style="390" customWidth="1"/>
    <col min="9731" max="9731" width="15.85546875" style="390" customWidth="1"/>
    <col min="9732" max="9732" width="16.5703125" style="390" bestFit="1" customWidth="1"/>
    <col min="9733" max="9733" width="13.7109375" style="390" customWidth="1"/>
    <col min="9734" max="9734" width="17.140625" style="390" bestFit="1" customWidth="1"/>
    <col min="9735" max="9735" width="4" style="390" customWidth="1"/>
    <col min="9736" max="9736" width="13.7109375" style="390" customWidth="1"/>
    <col min="9737" max="9978" width="13.7109375" style="390"/>
    <col min="9979" max="9979" width="22.140625" style="390" customWidth="1"/>
    <col min="9980" max="9986" width="13.7109375" style="390" customWidth="1"/>
    <col min="9987" max="9987" width="15.85546875" style="390" customWidth="1"/>
    <col min="9988" max="9988" width="16.5703125" style="390" bestFit="1" customWidth="1"/>
    <col min="9989" max="9989" width="13.7109375" style="390" customWidth="1"/>
    <col min="9990" max="9990" width="17.140625" style="390" bestFit="1" customWidth="1"/>
    <col min="9991" max="9991" width="4" style="390" customWidth="1"/>
    <col min="9992" max="9992" width="13.7109375" style="390" customWidth="1"/>
    <col min="9993" max="10234" width="13.7109375" style="390"/>
    <col min="10235" max="10235" width="22.140625" style="390" customWidth="1"/>
    <col min="10236" max="10242" width="13.7109375" style="390" customWidth="1"/>
    <col min="10243" max="10243" width="15.85546875" style="390" customWidth="1"/>
    <col min="10244" max="10244" width="16.5703125" style="390" bestFit="1" customWidth="1"/>
    <col min="10245" max="10245" width="13.7109375" style="390" customWidth="1"/>
    <col min="10246" max="10246" width="17.140625" style="390" bestFit="1" customWidth="1"/>
    <col min="10247" max="10247" width="4" style="390" customWidth="1"/>
    <col min="10248" max="10248" width="13.7109375" style="390" customWidth="1"/>
    <col min="10249" max="10490" width="13.7109375" style="390"/>
    <col min="10491" max="10491" width="22.140625" style="390" customWidth="1"/>
    <col min="10492" max="10498" width="13.7109375" style="390" customWidth="1"/>
    <col min="10499" max="10499" width="15.85546875" style="390" customWidth="1"/>
    <col min="10500" max="10500" width="16.5703125" style="390" bestFit="1" customWidth="1"/>
    <col min="10501" max="10501" width="13.7109375" style="390" customWidth="1"/>
    <col min="10502" max="10502" width="17.140625" style="390" bestFit="1" customWidth="1"/>
    <col min="10503" max="10503" width="4" style="390" customWidth="1"/>
    <col min="10504" max="10504" width="13.7109375" style="390" customWidth="1"/>
    <col min="10505" max="10746" width="13.7109375" style="390"/>
    <col min="10747" max="10747" width="22.140625" style="390" customWidth="1"/>
    <col min="10748" max="10754" width="13.7109375" style="390" customWidth="1"/>
    <col min="10755" max="10755" width="15.85546875" style="390" customWidth="1"/>
    <col min="10756" max="10756" width="16.5703125" style="390" bestFit="1" customWidth="1"/>
    <col min="10757" max="10757" width="13.7109375" style="390" customWidth="1"/>
    <col min="10758" max="10758" width="17.140625" style="390" bestFit="1" customWidth="1"/>
    <col min="10759" max="10759" width="4" style="390" customWidth="1"/>
    <col min="10760" max="10760" width="13.7109375" style="390" customWidth="1"/>
    <col min="10761" max="11002" width="13.7109375" style="390"/>
    <col min="11003" max="11003" width="22.140625" style="390" customWidth="1"/>
    <col min="11004" max="11010" width="13.7109375" style="390" customWidth="1"/>
    <col min="11011" max="11011" width="15.85546875" style="390" customWidth="1"/>
    <col min="11012" max="11012" width="16.5703125" style="390" bestFit="1" customWidth="1"/>
    <col min="11013" max="11013" width="13.7109375" style="390" customWidth="1"/>
    <col min="11014" max="11014" width="17.140625" style="390" bestFit="1" customWidth="1"/>
    <col min="11015" max="11015" width="4" style="390" customWidth="1"/>
    <col min="11016" max="11016" width="13.7109375" style="390" customWidth="1"/>
    <col min="11017" max="11258" width="13.7109375" style="390"/>
    <col min="11259" max="11259" width="22.140625" style="390" customWidth="1"/>
    <col min="11260" max="11266" width="13.7109375" style="390" customWidth="1"/>
    <col min="11267" max="11267" width="15.85546875" style="390" customWidth="1"/>
    <col min="11268" max="11268" width="16.5703125" style="390" bestFit="1" customWidth="1"/>
    <col min="11269" max="11269" width="13.7109375" style="390" customWidth="1"/>
    <col min="11270" max="11270" width="17.140625" style="390" bestFit="1" customWidth="1"/>
    <col min="11271" max="11271" width="4" style="390" customWidth="1"/>
    <col min="11272" max="11272" width="13.7109375" style="390" customWidth="1"/>
    <col min="11273" max="11514" width="13.7109375" style="390"/>
    <col min="11515" max="11515" width="22.140625" style="390" customWidth="1"/>
    <col min="11516" max="11522" width="13.7109375" style="390" customWidth="1"/>
    <col min="11523" max="11523" width="15.85546875" style="390" customWidth="1"/>
    <col min="11524" max="11524" width="16.5703125" style="390" bestFit="1" customWidth="1"/>
    <col min="11525" max="11525" width="13.7109375" style="390" customWidth="1"/>
    <col min="11526" max="11526" width="17.140625" style="390" bestFit="1" customWidth="1"/>
    <col min="11527" max="11527" width="4" style="390" customWidth="1"/>
    <col min="11528" max="11528" width="13.7109375" style="390" customWidth="1"/>
    <col min="11529" max="11770" width="13.7109375" style="390"/>
    <col min="11771" max="11771" width="22.140625" style="390" customWidth="1"/>
    <col min="11772" max="11778" width="13.7109375" style="390" customWidth="1"/>
    <col min="11779" max="11779" width="15.85546875" style="390" customWidth="1"/>
    <col min="11780" max="11780" width="16.5703125" style="390" bestFit="1" customWidth="1"/>
    <col min="11781" max="11781" width="13.7109375" style="390" customWidth="1"/>
    <col min="11782" max="11782" width="17.140625" style="390" bestFit="1" customWidth="1"/>
    <col min="11783" max="11783" width="4" style="390" customWidth="1"/>
    <col min="11784" max="11784" width="13.7109375" style="390" customWidth="1"/>
    <col min="11785" max="12026" width="13.7109375" style="390"/>
    <col min="12027" max="12027" width="22.140625" style="390" customWidth="1"/>
    <col min="12028" max="12034" width="13.7109375" style="390" customWidth="1"/>
    <col min="12035" max="12035" width="15.85546875" style="390" customWidth="1"/>
    <col min="12036" max="12036" width="16.5703125" style="390" bestFit="1" customWidth="1"/>
    <col min="12037" max="12037" width="13.7109375" style="390" customWidth="1"/>
    <col min="12038" max="12038" width="17.140625" style="390" bestFit="1" customWidth="1"/>
    <col min="12039" max="12039" width="4" style="390" customWidth="1"/>
    <col min="12040" max="12040" width="13.7109375" style="390" customWidth="1"/>
    <col min="12041" max="12282" width="13.7109375" style="390"/>
    <col min="12283" max="12283" width="22.140625" style="390" customWidth="1"/>
    <col min="12284" max="12290" width="13.7109375" style="390" customWidth="1"/>
    <col min="12291" max="12291" width="15.85546875" style="390" customWidth="1"/>
    <col min="12292" max="12292" width="16.5703125" style="390" bestFit="1" customWidth="1"/>
    <col min="12293" max="12293" width="13.7109375" style="390" customWidth="1"/>
    <col min="12294" max="12294" width="17.140625" style="390" bestFit="1" customWidth="1"/>
    <col min="12295" max="12295" width="4" style="390" customWidth="1"/>
    <col min="12296" max="12296" width="13.7109375" style="390" customWidth="1"/>
    <col min="12297" max="12538" width="13.7109375" style="390"/>
    <col min="12539" max="12539" width="22.140625" style="390" customWidth="1"/>
    <col min="12540" max="12546" width="13.7109375" style="390" customWidth="1"/>
    <col min="12547" max="12547" width="15.85546875" style="390" customWidth="1"/>
    <col min="12548" max="12548" width="16.5703125" style="390" bestFit="1" customWidth="1"/>
    <col min="12549" max="12549" width="13.7109375" style="390" customWidth="1"/>
    <col min="12550" max="12550" width="17.140625" style="390" bestFit="1" customWidth="1"/>
    <col min="12551" max="12551" width="4" style="390" customWidth="1"/>
    <col min="12552" max="12552" width="13.7109375" style="390" customWidth="1"/>
    <col min="12553" max="12794" width="13.7109375" style="390"/>
    <col min="12795" max="12795" width="22.140625" style="390" customWidth="1"/>
    <col min="12796" max="12802" width="13.7109375" style="390" customWidth="1"/>
    <col min="12803" max="12803" width="15.85546875" style="390" customWidth="1"/>
    <col min="12804" max="12804" width="16.5703125" style="390" bestFit="1" customWidth="1"/>
    <col min="12805" max="12805" width="13.7109375" style="390" customWidth="1"/>
    <col min="12806" max="12806" width="17.140625" style="390" bestFit="1" customWidth="1"/>
    <col min="12807" max="12807" width="4" style="390" customWidth="1"/>
    <col min="12808" max="12808" width="13.7109375" style="390" customWidth="1"/>
    <col min="12809" max="13050" width="13.7109375" style="390"/>
    <col min="13051" max="13051" width="22.140625" style="390" customWidth="1"/>
    <col min="13052" max="13058" width="13.7109375" style="390" customWidth="1"/>
    <col min="13059" max="13059" width="15.85546875" style="390" customWidth="1"/>
    <col min="13060" max="13060" width="16.5703125" style="390" bestFit="1" customWidth="1"/>
    <col min="13061" max="13061" width="13.7109375" style="390" customWidth="1"/>
    <col min="13062" max="13062" width="17.140625" style="390" bestFit="1" customWidth="1"/>
    <col min="13063" max="13063" width="4" style="390" customWidth="1"/>
    <col min="13064" max="13064" width="13.7109375" style="390" customWidth="1"/>
    <col min="13065" max="13306" width="13.7109375" style="390"/>
    <col min="13307" max="13307" width="22.140625" style="390" customWidth="1"/>
    <col min="13308" max="13314" width="13.7109375" style="390" customWidth="1"/>
    <col min="13315" max="13315" width="15.85546875" style="390" customWidth="1"/>
    <col min="13316" max="13316" width="16.5703125" style="390" bestFit="1" customWidth="1"/>
    <col min="13317" max="13317" width="13.7109375" style="390" customWidth="1"/>
    <col min="13318" max="13318" width="17.140625" style="390" bestFit="1" customWidth="1"/>
    <col min="13319" max="13319" width="4" style="390" customWidth="1"/>
    <col min="13320" max="13320" width="13.7109375" style="390" customWidth="1"/>
    <col min="13321" max="13562" width="13.7109375" style="390"/>
    <col min="13563" max="13563" width="22.140625" style="390" customWidth="1"/>
    <col min="13564" max="13570" width="13.7109375" style="390" customWidth="1"/>
    <col min="13571" max="13571" width="15.85546875" style="390" customWidth="1"/>
    <col min="13572" max="13572" width="16.5703125" style="390" bestFit="1" customWidth="1"/>
    <col min="13573" max="13573" width="13.7109375" style="390" customWidth="1"/>
    <col min="13574" max="13574" width="17.140625" style="390" bestFit="1" customWidth="1"/>
    <col min="13575" max="13575" width="4" style="390" customWidth="1"/>
    <col min="13576" max="13576" width="13.7109375" style="390" customWidth="1"/>
    <col min="13577" max="13818" width="13.7109375" style="390"/>
    <col min="13819" max="13819" width="22.140625" style="390" customWidth="1"/>
    <col min="13820" max="13826" width="13.7109375" style="390" customWidth="1"/>
    <col min="13827" max="13827" width="15.85546875" style="390" customWidth="1"/>
    <col min="13828" max="13828" width="16.5703125" style="390" bestFit="1" customWidth="1"/>
    <col min="13829" max="13829" width="13.7109375" style="390" customWidth="1"/>
    <col min="13830" max="13830" width="17.140625" style="390" bestFit="1" customWidth="1"/>
    <col min="13831" max="13831" width="4" style="390" customWidth="1"/>
    <col min="13832" max="13832" width="13.7109375" style="390" customWidth="1"/>
    <col min="13833" max="14074" width="13.7109375" style="390"/>
    <col min="14075" max="14075" width="22.140625" style="390" customWidth="1"/>
    <col min="14076" max="14082" width="13.7109375" style="390" customWidth="1"/>
    <col min="14083" max="14083" width="15.85546875" style="390" customWidth="1"/>
    <col min="14084" max="14084" width="16.5703125" style="390" bestFit="1" customWidth="1"/>
    <col min="14085" max="14085" width="13.7109375" style="390" customWidth="1"/>
    <col min="14086" max="14086" width="17.140625" style="390" bestFit="1" customWidth="1"/>
    <col min="14087" max="14087" width="4" style="390" customWidth="1"/>
    <col min="14088" max="14088" width="13.7109375" style="390" customWidth="1"/>
    <col min="14089" max="14330" width="13.7109375" style="390"/>
    <col min="14331" max="14331" width="22.140625" style="390" customWidth="1"/>
    <col min="14332" max="14338" width="13.7109375" style="390" customWidth="1"/>
    <col min="14339" max="14339" width="15.85546875" style="390" customWidth="1"/>
    <col min="14340" max="14340" width="16.5703125" style="390" bestFit="1" customWidth="1"/>
    <col min="14341" max="14341" width="13.7109375" style="390" customWidth="1"/>
    <col min="14342" max="14342" width="17.140625" style="390" bestFit="1" customWidth="1"/>
    <col min="14343" max="14343" width="4" style="390" customWidth="1"/>
    <col min="14344" max="14344" width="13.7109375" style="390" customWidth="1"/>
    <col min="14345" max="14586" width="13.7109375" style="390"/>
    <col min="14587" max="14587" width="22.140625" style="390" customWidth="1"/>
    <col min="14588" max="14594" width="13.7109375" style="390" customWidth="1"/>
    <col min="14595" max="14595" width="15.85546875" style="390" customWidth="1"/>
    <col min="14596" max="14596" width="16.5703125" style="390" bestFit="1" customWidth="1"/>
    <col min="14597" max="14597" width="13.7109375" style="390" customWidth="1"/>
    <col min="14598" max="14598" width="17.140625" style="390" bestFit="1" customWidth="1"/>
    <col min="14599" max="14599" width="4" style="390" customWidth="1"/>
    <col min="14600" max="14600" width="13.7109375" style="390" customWidth="1"/>
    <col min="14601" max="14842" width="13.7109375" style="390"/>
    <col min="14843" max="14843" width="22.140625" style="390" customWidth="1"/>
    <col min="14844" max="14850" width="13.7109375" style="390" customWidth="1"/>
    <col min="14851" max="14851" width="15.85546875" style="390" customWidth="1"/>
    <col min="14852" max="14852" width="16.5703125" style="390" bestFit="1" customWidth="1"/>
    <col min="14853" max="14853" width="13.7109375" style="390" customWidth="1"/>
    <col min="14854" max="14854" width="17.140625" style="390" bestFit="1" customWidth="1"/>
    <col min="14855" max="14855" width="4" style="390" customWidth="1"/>
    <col min="14856" max="14856" width="13.7109375" style="390" customWidth="1"/>
    <col min="14857" max="15098" width="13.7109375" style="390"/>
    <col min="15099" max="15099" width="22.140625" style="390" customWidth="1"/>
    <col min="15100" max="15106" width="13.7109375" style="390" customWidth="1"/>
    <col min="15107" max="15107" width="15.85546875" style="390" customWidth="1"/>
    <col min="15108" max="15108" width="16.5703125" style="390" bestFit="1" customWidth="1"/>
    <col min="15109" max="15109" width="13.7109375" style="390" customWidth="1"/>
    <col min="15110" max="15110" width="17.140625" style="390" bestFit="1" customWidth="1"/>
    <col min="15111" max="15111" width="4" style="390" customWidth="1"/>
    <col min="15112" max="15112" width="13.7109375" style="390" customWidth="1"/>
    <col min="15113" max="15354" width="13.7109375" style="390"/>
    <col min="15355" max="15355" width="22.140625" style="390" customWidth="1"/>
    <col min="15356" max="15362" width="13.7109375" style="390" customWidth="1"/>
    <col min="15363" max="15363" width="15.85546875" style="390" customWidth="1"/>
    <col min="15364" max="15364" width="16.5703125" style="390" bestFit="1" customWidth="1"/>
    <col min="15365" max="15365" width="13.7109375" style="390" customWidth="1"/>
    <col min="15366" max="15366" width="17.140625" style="390" bestFit="1" customWidth="1"/>
    <col min="15367" max="15367" width="4" style="390" customWidth="1"/>
    <col min="15368" max="15368" width="13.7109375" style="390" customWidth="1"/>
    <col min="15369" max="15610" width="13.7109375" style="390"/>
    <col min="15611" max="15611" width="22.140625" style="390" customWidth="1"/>
    <col min="15612" max="15618" width="13.7109375" style="390" customWidth="1"/>
    <col min="15619" max="15619" width="15.85546875" style="390" customWidth="1"/>
    <col min="15620" max="15620" width="16.5703125" style="390" bestFit="1" customWidth="1"/>
    <col min="15621" max="15621" width="13.7109375" style="390" customWidth="1"/>
    <col min="15622" max="15622" width="17.140625" style="390" bestFit="1" customWidth="1"/>
    <col min="15623" max="15623" width="4" style="390" customWidth="1"/>
    <col min="15624" max="15624" width="13.7109375" style="390" customWidth="1"/>
    <col min="15625" max="15866" width="13.7109375" style="390"/>
    <col min="15867" max="15867" width="22.140625" style="390" customWidth="1"/>
    <col min="15868" max="15874" width="13.7109375" style="390" customWidth="1"/>
    <col min="15875" max="15875" width="15.85546875" style="390" customWidth="1"/>
    <col min="15876" max="15876" width="16.5703125" style="390" bestFit="1" customWidth="1"/>
    <col min="15877" max="15877" width="13.7109375" style="390" customWidth="1"/>
    <col min="15878" max="15878" width="17.140625" style="390" bestFit="1" customWidth="1"/>
    <col min="15879" max="15879" width="4" style="390" customWidth="1"/>
    <col min="15880" max="15880" width="13.7109375" style="390" customWidth="1"/>
    <col min="15881" max="16122" width="13.7109375" style="390"/>
    <col min="16123" max="16123" width="22.140625" style="390" customWidth="1"/>
    <col min="16124" max="16130" width="13.7109375" style="390" customWidth="1"/>
    <col min="16131" max="16131" width="15.85546875" style="390" customWidth="1"/>
    <col min="16132" max="16132" width="16.5703125" style="390" bestFit="1" customWidth="1"/>
    <col min="16133" max="16133" width="13.7109375" style="390" customWidth="1"/>
    <col min="16134" max="16134" width="17.140625" style="390" bestFit="1" customWidth="1"/>
    <col min="16135" max="16135" width="4" style="390" customWidth="1"/>
    <col min="16136" max="16136" width="13.7109375" style="390" customWidth="1"/>
    <col min="16137" max="16384" width="13.7109375" style="390"/>
  </cols>
  <sheetData>
    <row r="1" spans="1:29" s="379" customFormat="1">
      <c r="A1" s="448" t="s">
        <v>26</v>
      </c>
      <c r="B1" s="377"/>
      <c r="C1" s="377"/>
      <c r="D1" s="46"/>
      <c r="E1" s="378"/>
      <c r="F1" s="46"/>
      <c r="G1" s="46"/>
      <c r="H1" s="3"/>
    </row>
    <row r="2" spans="1:29" s="379" customFormat="1">
      <c r="A2" s="380"/>
      <c r="B2" s="377"/>
      <c r="C2" s="377"/>
      <c r="D2" s="46"/>
      <c r="E2" s="402" t="s">
        <v>160</v>
      </c>
      <c r="F2" s="402" t="s">
        <v>117</v>
      </c>
      <c r="G2" s="46"/>
      <c r="H2" s="3"/>
    </row>
    <row r="3" spans="1:29" s="379" customFormat="1" ht="17.25">
      <c r="A3" s="83" t="str">
        <f>'1-Contractblad totaal'!A3</f>
        <v>Naam opdrachtgever</v>
      </c>
      <c r="B3" s="84" t="str">
        <f>'1-Contractblad totaal'!B3</f>
        <v>Gemeente Smallingerland</v>
      </c>
      <c r="C3" s="84"/>
      <c r="D3" s="46"/>
      <c r="E3" s="381" t="s">
        <v>162</v>
      </c>
      <c r="F3" s="459"/>
      <c r="G3" s="46"/>
      <c r="H3" s="3"/>
    </row>
    <row r="4" spans="1:29" s="379" customFormat="1" ht="17.25">
      <c r="A4" s="83" t="str">
        <f>'1-Contractblad totaal'!A4</f>
        <v>Calculatie onderdeel</v>
      </c>
      <c r="B4" s="84" t="str">
        <f ca="1">MID(CELL("bestandsnaam",$D$9),SEARCH("]",CELL("bestandsnaam",$D$9),1)+1,256)</f>
        <v>10-Glasbewassing</v>
      </c>
      <c r="C4" s="84"/>
      <c r="D4" s="46"/>
      <c r="E4" s="381" t="s">
        <v>161</v>
      </c>
      <c r="F4" s="459"/>
      <c r="G4" s="46"/>
      <c r="H4" s="3"/>
    </row>
    <row r="5" spans="1:29" s="379" customFormat="1" ht="17.25">
      <c r="A5" s="83" t="str">
        <f>'1-Contractblad totaal'!A5</f>
        <v>Gebouw/plaats</v>
      </c>
      <c r="B5" s="84" t="str">
        <f>'1-Contractblad totaal'!B5</f>
        <v>Drachten</v>
      </c>
      <c r="C5" s="84"/>
      <c r="D5" s="399"/>
      <c r="E5" s="395" t="s">
        <v>163</v>
      </c>
      <c r="F5" s="459"/>
      <c r="G5" s="46"/>
      <c r="H5" s="382"/>
      <c r="I5" s="384"/>
      <c r="J5" s="383"/>
      <c r="K5" s="382"/>
      <c r="L5" s="383"/>
      <c r="M5" s="383"/>
      <c r="N5" s="382"/>
      <c r="O5" s="383"/>
      <c r="P5" s="383"/>
      <c r="Q5" s="382"/>
      <c r="R5" s="384"/>
      <c r="S5" s="383"/>
      <c r="T5" s="382"/>
      <c r="U5" s="383"/>
      <c r="V5" s="383"/>
      <c r="W5" s="382"/>
      <c r="X5" s="383"/>
      <c r="Y5" s="383"/>
      <c r="Z5" s="382"/>
      <c r="AA5" s="383"/>
      <c r="AB5" s="383"/>
      <c r="AC5" s="382"/>
    </row>
    <row r="6" spans="1:29" s="379" customFormat="1" ht="17.25" customHeight="1">
      <c r="A6" s="83" t="str">
        <f>'1-Contractblad totaal'!A6</f>
        <v>Referentie nummer</v>
      </c>
      <c r="B6" s="84" t="str">
        <f>'1-Contractblad totaal'!B6</f>
        <v>GS-EA-AS-2020</v>
      </c>
      <c r="C6" s="84"/>
      <c r="D6" s="399"/>
      <c r="E6" s="381" t="s">
        <v>533</v>
      </c>
      <c r="F6" s="459"/>
      <c r="G6" s="46"/>
      <c r="H6" s="382"/>
      <c r="I6" s="384"/>
      <c r="J6" s="385"/>
      <c r="K6" s="386"/>
      <c r="L6" s="383"/>
      <c r="M6" s="385"/>
      <c r="N6" s="386"/>
      <c r="O6" s="383"/>
      <c r="P6" s="385"/>
      <c r="Q6" s="386"/>
      <c r="R6" s="384"/>
      <c r="S6" s="385"/>
      <c r="T6" s="386"/>
      <c r="U6" s="383"/>
      <c r="V6" s="385"/>
      <c r="W6" s="386"/>
      <c r="X6" s="383"/>
      <c r="Y6" s="385"/>
      <c r="Z6" s="386"/>
      <c r="AA6" s="383"/>
      <c r="AB6" s="385"/>
      <c r="AC6" s="386"/>
    </row>
    <row r="7" spans="1:29" s="379" customFormat="1" ht="17.25" customHeight="1">
      <c r="A7" s="83" t="str">
        <f>'1-Contractblad totaal'!A8</f>
        <v>Naam dienstverlener</v>
      </c>
      <c r="B7" s="312">
        <f>'1-Contractblad totaal'!B8</f>
        <v>0</v>
      </c>
      <c r="C7" s="312"/>
      <c r="D7" s="400"/>
      <c r="E7" s="527" t="s">
        <v>606</v>
      </c>
      <c r="F7" s="459"/>
      <c r="G7" s="382"/>
      <c r="H7" s="382"/>
      <c r="I7" s="382"/>
      <c r="J7" s="382"/>
    </row>
    <row r="8" spans="1:29" s="379" customFormat="1" ht="17.25" customHeight="1">
      <c r="A8" s="83" t="str">
        <f>'1-Contractblad totaal'!A9</f>
        <v>Prijspeil</v>
      </c>
      <c r="B8" s="113">
        <f>'1-Contractblad totaal'!B9</f>
        <v>44013</v>
      </c>
      <c r="C8" s="113"/>
      <c r="D8" s="401"/>
      <c r="E8" s="46"/>
      <c r="F8" s="382"/>
      <c r="G8" s="522"/>
      <c r="H8" s="522"/>
    </row>
    <row r="9" spans="1:29" s="387" customFormat="1" ht="17.25" customHeight="1">
      <c r="D9" s="401"/>
      <c r="E9" s="46"/>
      <c r="F9" s="382"/>
      <c r="G9" s="523"/>
      <c r="H9" s="523"/>
    </row>
    <row r="10" spans="1:29" s="379" customFormat="1" ht="17.25" customHeight="1">
      <c r="D10" s="401"/>
      <c r="E10" s="46"/>
      <c r="F10" s="382"/>
      <c r="G10" s="522"/>
      <c r="H10" s="522"/>
    </row>
    <row r="11" spans="1:29" s="379" customFormat="1" ht="15.75">
      <c r="A11" s="388"/>
      <c r="E11" s="389"/>
      <c r="F11" s="383"/>
      <c r="G11" s="383"/>
      <c r="H11" s="382"/>
    </row>
    <row r="12" spans="1:29" s="480" customFormat="1" ht="43.5" customHeight="1">
      <c r="A12" s="478" t="s">
        <v>109</v>
      </c>
      <c r="B12" s="479" t="s">
        <v>160</v>
      </c>
      <c r="C12" s="481" t="s">
        <v>210</v>
      </c>
      <c r="D12" s="402" t="s">
        <v>164</v>
      </c>
      <c r="E12" s="479" t="s">
        <v>110</v>
      </c>
      <c r="F12" s="479" t="s">
        <v>59</v>
      </c>
      <c r="G12" s="479" t="s">
        <v>211</v>
      </c>
      <c r="H12" s="479" t="s">
        <v>165</v>
      </c>
    </row>
    <row r="13" spans="1:29">
      <c r="A13" s="391" t="s">
        <v>240</v>
      </c>
      <c r="B13" s="381" t="s">
        <v>162</v>
      </c>
      <c r="C13" s="381"/>
      <c r="D13" s="470">
        <v>1610</v>
      </c>
      <c r="E13" s="392">
        <f>D13*G13</f>
        <v>0</v>
      </c>
      <c r="F13" s="393" t="s">
        <v>534</v>
      </c>
      <c r="G13" s="477">
        <f>VLOOKUP(B13,$E$3:$F$6,2,FALSE)</f>
        <v>0</v>
      </c>
      <c r="H13" s="392">
        <f t="shared" ref="H13:H17" si="0">F13*E13</f>
        <v>0</v>
      </c>
    </row>
    <row r="14" spans="1:29">
      <c r="A14" s="391" t="s">
        <v>240</v>
      </c>
      <c r="B14" s="381" t="s">
        <v>161</v>
      </c>
      <c r="C14" s="381"/>
      <c r="D14" s="470">
        <v>1610</v>
      </c>
      <c r="E14" s="392">
        <f t="shared" ref="E14:E15" si="1">D14*G14</f>
        <v>0</v>
      </c>
      <c r="F14" s="393" t="s">
        <v>534</v>
      </c>
      <c r="G14" s="477">
        <f>VLOOKUP(B14,$E$3:$F$6,2,FALSE)</f>
        <v>0</v>
      </c>
      <c r="H14" s="392">
        <f t="shared" si="0"/>
        <v>0</v>
      </c>
    </row>
    <row r="15" spans="1:29">
      <c r="A15" s="394" t="s">
        <v>240</v>
      </c>
      <c r="B15" s="395" t="s">
        <v>163</v>
      </c>
      <c r="C15" s="395"/>
      <c r="D15" s="470">
        <v>868</v>
      </c>
      <c r="E15" s="392">
        <f t="shared" si="1"/>
        <v>0</v>
      </c>
      <c r="F15" s="393" t="s">
        <v>534</v>
      </c>
      <c r="G15" s="477">
        <f>VLOOKUP(B15,$E$3:$F$6,2,FALSE)</f>
        <v>0</v>
      </c>
      <c r="H15" s="392">
        <f t="shared" si="0"/>
        <v>0</v>
      </c>
    </row>
    <row r="16" spans="1:29">
      <c r="A16" s="394" t="s">
        <v>240</v>
      </c>
      <c r="B16" s="381" t="s">
        <v>533</v>
      </c>
      <c r="C16" s="381"/>
      <c r="D16" s="470">
        <v>783</v>
      </c>
      <c r="E16" s="392">
        <f>D16*G16</f>
        <v>0</v>
      </c>
      <c r="F16" s="393" t="s">
        <v>534</v>
      </c>
      <c r="G16" s="477">
        <f>VLOOKUP(B16,$E$3:$F$7,2,FALSE)</f>
        <v>0</v>
      </c>
      <c r="H16" s="392">
        <f t="shared" si="0"/>
        <v>0</v>
      </c>
    </row>
    <row r="17" spans="1:8">
      <c r="A17" s="527" t="s">
        <v>240</v>
      </c>
      <c r="B17" s="527" t="s">
        <v>606</v>
      </c>
      <c r="C17" s="527"/>
      <c r="D17" s="470">
        <v>26</v>
      </c>
      <c r="E17" s="392">
        <f>D17*G17</f>
        <v>0</v>
      </c>
      <c r="F17" s="393">
        <v>2</v>
      </c>
      <c r="G17" s="477">
        <f>VLOOKUP(B17,$E$3:$F$7,2,FALSE)</f>
        <v>0</v>
      </c>
      <c r="H17" s="392">
        <f t="shared" si="0"/>
        <v>0</v>
      </c>
    </row>
    <row r="18" spans="1:8">
      <c r="A18" s="165" t="s">
        <v>539</v>
      </c>
      <c r="B18" s="527" t="s">
        <v>162</v>
      </c>
      <c r="C18" s="527"/>
      <c r="D18" s="470">
        <v>314</v>
      </c>
      <c r="E18" s="392">
        <f>D18*G18</f>
        <v>0</v>
      </c>
      <c r="F18" s="393">
        <v>2</v>
      </c>
      <c r="G18" s="477">
        <f>VLOOKUP(B18,$E$3:$F$7,2,FALSE)</f>
        <v>0</v>
      </c>
      <c r="H18" s="392">
        <f t="shared" ref="H18:H19" si="2">F18*E18</f>
        <v>0</v>
      </c>
    </row>
    <row r="19" spans="1:8">
      <c r="A19" s="165" t="s">
        <v>539</v>
      </c>
      <c r="B19" s="527" t="s">
        <v>161</v>
      </c>
      <c r="C19" s="527"/>
      <c r="D19" s="470">
        <v>314</v>
      </c>
      <c r="E19" s="392">
        <f>D19*G19</f>
        <v>0</v>
      </c>
      <c r="F19" s="393">
        <v>2</v>
      </c>
      <c r="G19" s="477">
        <f>VLOOKUP(B19,$E$3:$F$7,2,FALSE)</f>
        <v>0</v>
      </c>
      <c r="H19" s="392">
        <f t="shared" si="2"/>
        <v>0</v>
      </c>
    </row>
    <row r="20" spans="1:8">
      <c r="A20" s="165" t="s">
        <v>539</v>
      </c>
      <c r="B20" s="527" t="s">
        <v>163</v>
      </c>
      <c r="C20" s="527"/>
      <c r="D20" s="470">
        <v>77</v>
      </c>
      <c r="E20" s="392">
        <f>D20*G20</f>
        <v>0</v>
      </c>
      <c r="F20" s="393">
        <v>2</v>
      </c>
      <c r="G20" s="477">
        <f>VLOOKUP(B20,$E$3:$F$7,2,FALSE)</f>
        <v>0</v>
      </c>
      <c r="H20" s="392">
        <f t="shared" ref="H20" si="3">F20*E20</f>
        <v>0</v>
      </c>
    </row>
    <row r="21" spans="1:8">
      <c r="A21" s="562" t="s">
        <v>8</v>
      </c>
      <c r="B21" s="562"/>
      <c r="C21" s="562"/>
      <c r="D21" s="563">
        <f>SUM(D13:D20)</f>
        <v>5602</v>
      </c>
      <c r="E21" s="564">
        <f>SUM(E13:E20)</f>
        <v>0</v>
      </c>
      <c r="F21" s="562"/>
      <c r="G21" s="562"/>
      <c r="H21" s="564">
        <f>SUM(H13:H20)</f>
        <v>0</v>
      </c>
    </row>
  </sheetData>
  <autoFilter ref="A12:AC21" xr:uid="{00000000-0009-0000-0000-00000A000000}"/>
  <printOptions horizontalCentered="1"/>
  <pageMargins left="0.7" right="0.7" top="0.75" bottom="0.75" header="0.3" footer="0.3"/>
  <pageSetup paperSize="9" scale="76"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0"/>
  <sheetViews>
    <sheetView showGridLines="0" zoomScale="86" zoomScaleNormal="86" workbookViewId="0">
      <pane ySplit="10" topLeftCell="A23" activePane="bottomLeft" state="frozen"/>
      <selection activeCell="E32" sqref="E32"/>
      <selection pane="bottomLeft" activeCell="J38" sqref="J38"/>
    </sheetView>
  </sheetViews>
  <sheetFormatPr defaultColWidth="9.28515625" defaultRowHeight="13.5"/>
  <cols>
    <col min="1" max="1" width="35.5703125" style="50" customWidth="1"/>
    <col min="2" max="2" width="22.85546875" style="50" bestFit="1" customWidth="1"/>
    <col min="3" max="3" width="16.140625" style="50" customWidth="1"/>
    <col min="4" max="4" width="3.7109375" style="50" customWidth="1"/>
    <col min="5" max="7" width="12.7109375" style="50" customWidth="1"/>
    <col min="8" max="8" width="17.7109375" style="50" customWidth="1"/>
    <col min="9" max="9" width="2.42578125" style="50" customWidth="1"/>
    <col min="10" max="10" width="17.7109375" style="50" customWidth="1"/>
    <col min="11" max="11" width="12.85546875" style="50" bestFit="1" customWidth="1"/>
    <col min="12" max="12" width="13.28515625" style="50" customWidth="1"/>
    <col min="13" max="15" width="9.28515625" style="50"/>
    <col min="16" max="16" width="10.28515625" style="50" bestFit="1" customWidth="1"/>
    <col min="17" max="16384" width="9.28515625" style="50"/>
  </cols>
  <sheetData>
    <row r="1" spans="1:18">
      <c r="A1" s="440" t="s">
        <v>26</v>
      </c>
      <c r="B1" s="49"/>
      <c r="C1" s="49"/>
    </row>
    <row r="2" spans="1:18">
      <c r="A2" s="51"/>
      <c r="B2" s="49"/>
      <c r="C2" s="49"/>
    </row>
    <row r="3" spans="1:18" s="53" customFormat="1" ht="17.25">
      <c r="A3" s="83" t="s">
        <v>30</v>
      </c>
      <c r="B3" s="84" t="s">
        <v>535</v>
      </c>
      <c r="C3" s="84"/>
      <c r="D3" s="85"/>
      <c r="E3" s="52"/>
      <c r="F3" s="52"/>
      <c r="G3" s="50"/>
      <c r="H3" s="50"/>
      <c r="I3" s="50"/>
      <c r="J3" s="50"/>
      <c r="K3" s="50"/>
      <c r="L3" s="50"/>
    </row>
    <row r="4" spans="1:18" s="53" customFormat="1" ht="17.25">
      <c r="A4" s="83" t="s">
        <v>14</v>
      </c>
      <c r="B4" s="84" t="str">
        <f ca="1">MID(CELL("bestandsnaam",$D$10),SEARCH("]",CELL("bestandsnaam",$D$10),1)+1,256)</f>
        <v>1-Contractblad totaal</v>
      </c>
      <c r="C4" s="84"/>
      <c r="D4" s="85"/>
      <c r="E4" s="52"/>
      <c r="F4" s="52"/>
      <c r="G4" s="50"/>
      <c r="H4" s="50"/>
      <c r="I4" s="50"/>
      <c r="J4" s="50"/>
      <c r="K4" s="50"/>
      <c r="L4" s="50"/>
    </row>
    <row r="5" spans="1:18" s="53" customFormat="1" ht="17.25">
      <c r="A5" s="83" t="s">
        <v>87</v>
      </c>
      <c r="B5" s="84" t="s">
        <v>536</v>
      </c>
      <c r="C5" s="84"/>
      <c r="D5" s="85"/>
      <c r="E5" s="52"/>
      <c r="F5" s="52"/>
      <c r="G5" s="54"/>
      <c r="H5" s="54"/>
    </row>
    <row r="6" spans="1:18" s="53" customFormat="1" ht="17.25">
      <c r="A6" s="83" t="s">
        <v>237</v>
      </c>
      <c r="B6" s="84" t="s">
        <v>537</v>
      </c>
      <c r="C6" s="84"/>
      <c r="D6" s="85"/>
      <c r="E6" s="52"/>
      <c r="F6" s="52"/>
      <c r="G6" s="54"/>
      <c r="H6" s="54"/>
    </row>
    <row r="7" spans="1:18" s="53" customFormat="1" ht="17.25">
      <c r="A7" s="83" t="s">
        <v>212</v>
      </c>
      <c r="B7" s="524" t="s">
        <v>538</v>
      </c>
      <c r="C7" s="84"/>
      <c r="D7" s="85"/>
      <c r="E7" s="52"/>
      <c r="F7" s="52"/>
      <c r="G7" s="54"/>
      <c r="H7" s="54"/>
    </row>
    <row r="8" spans="1:18" s="53" customFormat="1" ht="17.25">
      <c r="A8" s="83" t="s">
        <v>214</v>
      </c>
      <c r="B8" s="567"/>
      <c r="C8" s="567"/>
      <c r="D8" s="568"/>
      <c r="E8" s="52"/>
      <c r="F8" s="52"/>
      <c r="G8" s="54"/>
      <c r="H8" s="54"/>
    </row>
    <row r="9" spans="1:18" s="53" customFormat="1" ht="17.25">
      <c r="A9" s="83" t="s">
        <v>10</v>
      </c>
      <c r="B9" s="113">
        <v>44013</v>
      </c>
      <c r="C9" s="86"/>
      <c r="D9" s="85"/>
      <c r="E9" s="52"/>
      <c r="F9" s="52"/>
      <c r="G9" s="54"/>
      <c r="H9" s="54"/>
      <c r="I9" s="54"/>
      <c r="J9" s="54"/>
      <c r="K9" s="54"/>
      <c r="L9" s="54"/>
      <c r="M9" s="54"/>
      <c r="N9" s="54"/>
      <c r="O9" s="54"/>
      <c r="P9" s="54"/>
      <c r="Q9" s="54"/>
      <c r="R9" s="54"/>
    </row>
    <row r="10" spans="1:18" s="53" customFormat="1" ht="17.25">
      <c r="A10" s="55"/>
      <c r="G10" s="56"/>
      <c r="H10" s="56"/>
    </row>
    <row r="11" spans="1:18" s="53" customFormat="1" ht="17.25">
      <c r="A11" s="57" t="s">
        <v>143</v>
      </c>
      <c r="B11" s="58"/>
      <c r="C11" s="58"/>
      <c r="D11" s="58"/>
      <c r="E11" s="58"/>
      <c r="F11" s="58"/>
      <c r="G11" s="59"/>
      <c r="H11" s="60"/>
    </row>
    <row r="12" spans="1:18" ht="17.25">
      <c r="J12" s="53"/>
      <c r="K12" s="53"/>
      <c r="L12" s="53"/>
      <c r="M12" s="53"/>
      <c r="N12" s="53"/>
      <c r="O12" s="53"/>
      <c r="P12" s="53"/>
    </row>
    <row r="13" spans="1:18" ht="27">
      <c r="A13" s="87" t="s">
        <v>11</v>
      </c>
      <c r="D13" s="88"/>
      <c r="E13" s="88" t="s">
        <v>80</v>
      </c>
      <c r="F13" s="88" t="s">
        <v>50</v>
      </c>
      <c r="G13" s="88" t="s">
        <v>134</v>
      </c>
      <c r="H13" s="89" t="s">
        <v>44</v>
      </c>
      <c r="I13" s="61"/>
      <c r="J13" s="90"/>
      <c r="K13" s="53"/>
      <c r="L13" s="53"/>
      <c r="M13" s="53"/>
      <c r="N13" s="53"/>
      <c r="O13" s="53"/>
      <c r="P13" s="53"/>
    </row>
    <row r="14" spans="1:18" ht="17.25">
      <c r="A14" s="91" t="s">
        <v>135</v>
      </c>
      <c r="B14" s="91" t="s">
        <v>136</v>
      </c>
      <c r="C14" s="91" t="s">
        <v>137</v>
      </c>
      <c r="D14" s="92"/>
      <c r="E14" s="494">
        <v>1</v>
      </c>
      <c r="F14" s="62" t="e">
        <f>SUM('4-Basis ruimtestaat'!L:L)*E14</f>
        <v>#DIV/0!</v>
      </c>
      <c r="G14" s="63" t="e">
        <f>'6-Opbouw uurtarief productie'!E48</f>
        <v>#DIV/0!</v>
      </c>
      <c r="H14" s="64" t="e">
        <f>G14*F14</f>
        <v>#DIV/0!</v>
      </c>
      <c r="I14" s="61"/>
      <c r="J14" s="495"/>
      <c r="K14" s="53"/>
      <c r="L14" s="53"/>
      <c r="M14" s="53"/>
      <c r="N14" s="53"/>
      <c r="O14" s="53"/>
      <c r="P14" s="53"/>
    </row>
    <row r="15" spans="1:18" ht="17.25">
      <c r="A15" s="91"/>
      <c r="B15" s="94"/>
      <c r="C15" s="94"/>
      <c r="D15" s="94"/>
      <c r="E15" s="94"/>
      <c r="F15" s="95"/>
      <c r="G15" s="94"/>
      <c r="H15" s="94"/>
      <c r="I15" s="94"/>
      <c r="J15" s="90"/>
      <c r="K15" s="53"/>
      <c r="L15" s="53"/>
      <c r="M15" s="53"/>
      <c r="N15" s="53"/>
      <c r="O15" s="53"/>
      <c r="P15" s="53"/>
    </row>
    <row r="16" spans="1:18" ht="17.25">
      <c r="A16" s="91" t="s">
        <v>139</v>
      </c>
      <c r="B16" s="91" t="s">
        <v>136</v>
      </c>
      <c r="C16" s="91" t="s">
        <v>137</v>
      </c>
      <c r="D16" s="94"/>
      <c r="E16" s="447"/>
      <c r="F16" s="66" t="e">
        <f>SUM(F14:F14)*E16</f>
        <v>#DIV/0!</v>
      </c>
      <c r="G16" s="63" t="e">
        <f>'7-Opbouw uurtarief toezicht'!E48</f>
        <v>#DIV/0!</v>
      </c>
      <c r="H16" s="64" t="e">
        <f>G16*F16</f>
        <v>#DIV/0!</v>
      </c>
      <c r="J16" s="90"/>
      <c r="K16" s="53"/>
      <c r="L16" s="53"/>
      <c r="M16" s="53"/>
      <c r="N16" s="53"/>
      <c r="O16" s="53"/>
      <c r="P16" s="53"/>
    </row>
    <row r="17" spans="1:16" ht="17.25">
      <c r="A17" s="91"/>
      <c r="B17" s="91"/>
      <c r="C17" s="93" t="s">
        <v>138</v>
      </c>
      <c r="D17" s="96"/>
      <c r="E17" s="97"/>
      <c r="F17" s="98"/>
      <c r="G17" s="91"/>
      <c r="H17" s="91"/>
      <c r="I17" s="91"/>
      <c r="J17" s="90"/>
      <c r="K17" s="53"/>
      <c r="L17" s="53"/>
      <c r="M17" s="53"/>
      <c r="N17" s="53"/>
      <c r="O17" s="53"/>
      <c r="P17" s="53"/>
    </row>
    <row r="18" spans="1:16" ht="17.25">
      <c r="A18" s="91"/>
      <c r="B18" s="91"/>
      <c r="C18" s="99"/>
      <c r="D18" s="91"/>
      <c r="E18" s="100"/>
      <c r="F18" s="98"/>
      <c r="G18" s="91"/>
      <c r="H18" s="91"/>
      <c r="I18" s="91"/>
      <c r="J18" s="90"/>
      <c r="K18" s="53"/>
      <c r="L18" s="53"/>
      <c r="M18" s="53"/>
      <c r="N18" s="53"/>
      <c r="O18" s="53"/>
      <c r="P18" s="53"/>
    </row>
    <row r="19" spans="1:16" ht="17.25">
      <c r="A19" s="101" t="s">
        <v>207</v>
      </c>
      <c r="B19" s="96" t="s">
        <v>136</v>
      </c>
      <c r="C19" s="96" t="s">
        <v>137</v>
      </c>
      <c r="D19" s="96"/>
      <c r="E19" s="67"/>
      <c r="F19" s="102"/>
      <c r="G19" s="68" t="e">
        <f>(H16+H14)/F14</f>
        <v>#DIV/0!</v>
      </c>
      <c r="H19" s="91"/>
      <c r="I19" s="91"/>
      <c r="J19" s="90"/>
      <c r="K19" s="53"/>
      <c r="L19" s="53"/>
      <c r="M19" s="53"/>
      <c r="N19" s="53"/>
      <c r="O19" s="53"/>
      <c r="P19" s="53"/>
    </row>
    <row r="20" spans="1:16" ht="17.25">
      <c r="A20" s="99"/>
      <c r="D20" s="94"/>
      <c r="E20" s="103"/>
      <c r="F20" s="104"/>
      <c r="G20" s="69"/>
      <c r="H20" s="105"/>
      <c r="J20" s="90"/>
      <c r="K20" s="53"/>
      <c r="L20" s="53"/>
      <c r="M20" s="53"/>
      <c r="N20" s="53"/>
      <c r="O20" s="53"/>
      <c r="P20" s="53"/>
    </row>
    <row r="21" spans="1:16" ht="17.25">
      <c r="A21" s="91"/>
      <c r="B21" s="91"/>
      <c r="C21" s="99"/>
      <c r="D21" s="99"/>
      <c r="E21" s="100"/>
      <c r="F21" s="70"/>
      <c r="G21" s="70"/>
      <c r="H21" s="64"/>
      <c r="J21" s="90"/>
      <c r="K21" s="53"/>
      <c r="L21" s="53"/>
      <c r="M21" s="53"/>
      <c r="N21" s="53"/>
      <c r="O21" s="53"/>
      <c r="P21" s="53"/>
    </row>
    <row r="22" spans="1:16" ht="17.25">
      <c r="A22" s="91"/>
      <c r="B22" s="91"/>
      <c r="C22" s="91"/>
      <c r="D22" s="91"/>
      <c r="E22" s="91"/>
      <c r="F22" s="91"/>
      <c r="G22" s="91"/>
      <c r="H22" s="91"/>
      <c r="J22" s="90"/>
      <c r="K22" s="53"/>
      <c r="L22" s="53"/>
      <c r="M22" s="53"/>
      <c r="N22" s="53"/>
      <c r="O22" s="53"/>
      <c r="P22" s="53"/>
    </row>
    <row r="23" spans="1:16" ht="17.25">
      <c r="A23" s="106" t="s">
        <v>140</v>
      </c>
      <c r="H23" s="107" t="e">
        <f>SUM(H14:H22)</f>
        <v>#DIV/0!</v>
      </c>
      <c r="I23" s="69"/>
      <c r="J23" s="90"/>
      <c r="K23" s="53"/>
      <c r="L23" s="53"/>
      <c r="M23" s="53"/>
      <c r="N23" s="53"/>
      <c r="O23" s="53"/>
      <c r="P23" s="53"/>
    </row>
    <row r="24" spans="1:16" ht="17.25">
      <c r="A24" s="72" t="s">
        <v>9</v>
      </c>
      <c r="G24" s="73">
        <v>0.21</v>
      </c>
      <c r="H24" s="74" t="e">
        <f>G24*H23</f>
        <v>#DIV/0!</v>
      </c>
      <c r="I24" s="69"/>
      <c r="J24" s="90"/>
      <c r="K24" s="53"/>
      <c r="L24" s="53"/>
      <c r="M24" s="53"/>
      <c r="N24" s="53"/>
      <c r="O24" s="53"/>
      <c r="P24" s="53"/>
    </row>
    <row r="25" spans="1:16" ht="17.25">
      <c r="A25" s="72" t="s">
        <v>27</v>
      </c>
      <c r="G25" s="61" t="s">
        <v>63</v>
      </c>
      <c r="H25" s="64" t="e">
        <f>H24+H23</f>
        <v>#DIV/0!</v>
      </c>
      <c r="I25" s="69"/>
      <c r="J25" s="90"/>
      <c r="K25" s="53"/>
      <c r="L25" s="53"/>
      <c r="M25" s="53"/>
      <c r="N25" s="53"/>
      <c r="O25" s="53"/>
      <c r="P25" s="53"/>
    </row>
    <row r="26" spans="1:16" ht="17.25">
      <c r="A26" s="72"/>
      <c r="G26" s="61"/>
      <c r="H26" s="64"/>
      <c r="I26" s="71"/>
      <c r="J26" s="53"/>
      <c r="K26" s="53"/>
      <c r="L26" s="53"/>
      <c r="M26" s="53"/>
      <c r="N26" s="53"/>
      <c r="O26" s="53"/>
      <c r="P26" s="53"/>
    </row>
    <row r="27" spans="1:16" s="53" customFormat="1" ht="17.25">
      <c r="A27" s="57" t="s">
        <v>144</v>
      </c>
      <c r="B27" s="58"/>
      <c r="C27" s="58"/>
      <c r="D27" s="58"/>
      <c r="E27" s="58"/>
      <c r="F27" s="58"/>
      <c r="G27" s="59"/>
      <c r="H27" s="60"/>
    </row>
    <row r="28" spans="1:16" ht="17.25">
      <c r="J28" s="53"/>
      <c r="K28" s="53"/>
      <c r="L28" s="53"/>
      <c r="M28" s="53"/>
      <c r="N28" s="53"/>
      <c r="O28" s="53"/>
      <c r="P28" s="53"/>
    </row>
    <row r="29" spans="1:16">
      <c r="A29" s="91" t="str">
        <f ca="1">'8-Additionele werkzaamheden'!B4</f>
        <v>8-Additionele werkzaamheden</v>
      </c>
      <c r="B29" s="75"/>
      <c r="C29" s="75"/>
      <c r="D29" s="75"/>
      <c r="E29" s="75"/>
      <c r="F29" s="75"/>
      <c r="G29" s="75"/>
      <c r="H29" s="76" t="e">
        <f>'8-Additionele werkzaamheden'!H14</f>
        <v>#DIV/0!</v>
      </c>
      <c r="J29" s="496"/>
    </row>
    <row r="30" spans="1:16">
      <c r="A30" s="75"/>
      <c r="B30" s="75"/>
      <c r="C30" s="75"/>
      <c r="D30" s="75"/>
      <c r="E30" s="75"/>
      <c r="F30" s="75"/>
      <c r="G30" s="75"/>
      <c r="H30" s="75"/>
    </row>
    <row r="31" spans="1:16">
      <c r="A31" s="91" t="str">
        <f ca="1">'10-Glasbewassing'!B4</f>
        <v>10-Glasbewassing</v>
      </c>
      <c r="B31" s="75"/>
      <c r="C31" s="75"/>
      <c r="D31" s="75"/>
      <c r="E31" s="75"/>
      <c r="F31" s="75"/>
      <c r="G31" s="75"/>
      <c r="H31" s="76">
        <f>'10-Glasbewassing'!H21</f>
        <v>0</v>
      </c>
    </row>
    <row r="32" spans="1:16" s="75" customFormat="1"/>
    <row r="33" spans="1:12">
      <c r="A33" s="106" t="s">
        <v>141</v>
      </c>
      <c r="H33" s="78" t="e">
        <f>SUM(H28:H32)</f>
        <v>#DIV/0!</v>
      </c>
    </row>
    <row r="34" spans="1:12">
      <c r="A34" s="72" t="s">
        <v>9</v>
      </c>
      <c r="G34" s="73">
        <v>0.21</v>
      </c>
      <c r="H34" s="74" t="e">
        <f>G34*H33</f>
        <v>#DIV/0!</v>
      </c>
    </row>
    <row r="35" spans="1:12">
      <c r="A35" s="72" t="s">
        <v>27</v>
      </c>
      <c r="H35" s="78" t="e">
        <f>H33+H34</f>
        <v>#DIV/0!</v>
      </c>
    </row>
    <row r="36" spans="1:12" s="75" customFormat="1">
      <c r="A36" s="98"/>
      <c r="H36" s="77"/>
    </row>
    <row r="38" spans="1:12">
      <c r="A38" s="108" t="s">
        <v>142</v>
      </c>
      <c r="B38" s="67"/>
      <c r="C38" s="67"/>
      <c r="D38" s="67"/>
      <c r="E38" s="109"/>
      <c r="F38" s="525" t="s">
        <v>145</v>
      </c>
      <c r="G38" s="525"/>
      <c r="H38" s="526" t="e">
        <f>H33+H23</f>
        <v>#DIV/0!</v>
      </c>
      <c r="I38" s="50" t="s">
        <v>608</v>
      </c>
      <c r="J38" s="560">
        <v>199500</v>
      </c>
    </row>
    <row r="39" spans="1:12">
      <c r="A39" s="72" t="s">
        <v>9</v>
      </c>
      <c r="G39" s="73">
        <v>0.21</v>
      </c>
      <c r="H39" s="74" t="e">
        <f>G39*H38</f>
        <v>#DIV/0!</v>
      </c>
    </row>
    <row r="40" spans="1:12">
      <c r="A40" s="72" t="s">
        <v>27</v>
      </c>
      <c r="H40" s="78" t="e">
        <f>H38+H39</f>
        <v>#DIV/0!</v>
      </c>
    </row>
    <row r="42" spans="1:12" ht="15.75">
      <c r="A42" s="79" t="s">
        <v>224</v>
      </c>
      <c r="B42" s="80"/>
      <c r="C42" s="80"/>
      <c r="D42" s="80"/>
      <c r="E42" s="81"/>
      <c r="F42" s="80"/>
      <c r="G42" s="80"/>
      <c r="H42" s="82">
        <v>179550</v>
      </c>
      <c r="J42" s="559">
        <f>H42/J38</f>
        <v>0.9</v>
      </c>
      <c r="K42" s="78"/>
      <c r="L42" s="78"/>
    </row>
    <row r="43" spans="1:12">
      <c r="A43" s="72"/>
      <c r="H43" s="78"/>
    </row>
    <row r="44" spans="1:12" ht="13.15" customHeight="1">
      <c r="A44" s="569" t="s">
        <v>225</v>
      </c>
      <c r="B44" s="570"/>
      <c r="C44" s="570"/>
      <c r="D44" s="570"/>
      <c r="E44" s="570"/>
      <c r="F44" s="570"/>
      <c r="G44" s="570"/>
      <c r="H44" s="571"/>
    </row>
    <row r="45" spans="1:12">
      <c r="A45" s="572"/>
      <c r="B45" s="573"/>
      <c r="C45" s="573"/>
      <c r="D45" s="573"/>
      <c r="E45" s="573"/>
      <c r="F45" s="573"/>
      <c r="G45" s="573"/>
      <c r="H45" s="574"/>
    </row>
    <row r="46" spans="1:12">
      <c r="A46" s="575"/>
      <c r="B46" s="576"/>
      <c r="C46" s="576"/>
      <c r="D46" s="576"/>
      <c r="E46" s="576"/>
      <c r="F46" s="576"/>
      <c r="G46" s="576"/>
      <c r="H46" s="577"/>
    </row>
    <row r="48" spans="1:12">
      <c r="A48" s="569" t="s">
        <v>226</v>
      </c>
      <c r="B48" s="570"/>
      <c r="C48" s="570"/>
      <c r="D48" s="570"/>
      <c r="E48" s="570"/>
      <c r="F48" s="570"/>
      <c r="G48" s="570"/>
      <c r="H48" s="571"/>
    </row>
    <row r="49" spans="1:8">
      <c r="A49" s="572"/>
      <c r="B49" s="573"/>
      <c r="C49" s="573"/>
      <c r="D49" s="573"/>
      <c r="E49" s="573"/>
      <c r="F49" s="573"/>
      <c r="G49" s="573"/>
      <c r="H49" s="574"/>
    </row>
    <row r="50" spans="1:8">
      <c r="A50" s="575"/>
      <c r="B50" s="576"/>
      <c r="C50" s="576"/>
      <c r="D50" s="576"/>
      <c r="E50" s="576"/>
      <c r="F50" s="576"/>
      <c r="G50" s="576"/>
      <c r="H50" s="577"/>
    </row>
  </sheetData>
  <mergeCells count="3">
    <mergeCell ref="B8:D8"/>
    <mergeCell ref="A44:H46"/>
    <mergeCell ref="A48:H50"/>
  </mergeCells>
  <pageMargins left="0.7" right="0.7" top="0.75" bottom="0.75" header="0.3" footer="0.3"/>
  <pageSetup paperSize="9" scale="66"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C1239-4629-4E2F-ABD6-B5A09BB917A8}">
  <sheetPr>
    <pageSetUpPr fitToPage="1"/>
  </sheetPr>
  <dimension ref="A1:V15"/>
  <sheetViews>
    <sheetView showGridLines="0" showZeros="0" zoomScaleNormal="100" workbookViewId="0">
      <pane ySplit="10" topLeftCell="A11" activePane="bottomLeft" state="frozen"/>
      <selection activeCell="B3" sqref="B3:D9"/>
      <selection pane="bottomLeft" activeCell="D12" sqref="D12"/>
    </sheetView>
  </sheetViews>
  <sheetFormatPr defaultColWidth="8.7109375" defaultRowHeight="14.1" customHeight="1"/>
  <cols>
    <col min="1" max="1" width="34.7109375" style="110" customWidth="1"/>
    <col min="2" max="2" width="16" style="110" customWidth="1"/>
    <col min="3" max="8" width="13.7109375" style="535" customWidth="1"/>
    <col min="9" max="9" width="15" style="535" customWidth="1"/>
    <col min="10" max="10" width="17.42578125" style="535" customWidth="1"/>
    <col min="11" max="12" width="13.7109375" style="535" customWidth="1"/>
    <col min="13" max="21" width="13.28515625" style="535" customWidth="1"/>
    <col min="22" max="16384" width="8.7109375" style="110"/>
  </cols>
  <sheetData>
    <row r="1" spans="1:22" ht="14.1" customHeight="1">
      <c r="A1" s="534" t="s">
        <v>26</v>
      </c>
    </row>
    <row r="2" spans="1:22" ht="14.1" customHeight="1">
      <c r="E2" s="110"/>
    </row>
    <row r="3" spans="1:22" ht="14.1" customHeight="1">
      <c r="A3" s="536" t="s">
        <v>30</v>
      </c>
      <c r="B3" s="537" t="str">
        <f>'1-Contractblad totaal'!B3</f>
        <v>Gemeente Smallingerland</v>
      </c>
      <c r="C3" s="538"/>
      <c r="D3" s="538"/>
      <c r="E3" s="538"/>
      <c r="F3" s="538"/>
      <c r="G3" s="538"/>
      <c r="H3" s="538"/>
      <c r="I3" s="538"/>
      <c r="J3" s="538"/>
      <c r="K3" s="538"/>
      <c r="L3" s="538"/>
      <c r="M3" s="538"/>
      <c r="N3" s="538"/>
      <c r="O3" s="538"/>
      <c r="P3" s="538"/>
      <c r="Q3" s="538"/>
      <c r="R3" s="538"/>
      <c r="S3" s="538"/>
      <c r="T3" s="538"/>
      <c r="U3" s="538"/>
    </row>
    <row r="4" spans="1:22" ht="14.1" customHeight="1">
      <c r="A4" s="536" t="s">
        <v>14</v>
      </c>
      <c r="B4" s="537" t="str">
        <f ca="1">MID(CELL("bestandsnaam",$B$9),SEARCH("]",CELL("bestandsnaam",$B$9),1)+1,256)</f>
        <v>2-Kosten per locatie</v>
      </c>
      <c r="C4" s="538"/>
      <c r="D4" s="538"/>
      <c r="E4" s="538"/>
      <c r="F4" s="538"/>
      <c r="G4" s="538"/>
      <c r="H4" s="538"/>
      <c r="I4" s="538"/>
      <c r="J4" s="538"/>
      <c r="K4" s="538"/>
      <c r="L4" s="538"/>
      <c r="M4" s="538"/>
      <c r="N4" s="538"/>
      <c r="O4" s="538"/>
      <c r="P4" s="538"/>
      <c r="Q4" s="538"/>
      <c r="R4" s="538"/>
      <c r="S4" s="538"/>
      <c r="T4" s="538"/>
      <c r="U4" s="538"/>
    </row>
    <row r="5" spans="1:22" ht="14.1" customHeight="1">
      <c r="A5" s="536" t="s">
        <v>87</v>
      </c>
      <c r="B5" s="537" t="str">
        <f>'1-Contractblad totaal'!B5</f>
        <v>Drachten</v>
      </c>
      <c r="C5" s="538"/>
      <c r="D5" s="538"/>
      <c r="E5" s="538"/>
      <c r="F5" s="538"/>
      <c r="G5" s="538"/>
      <c r="H5" s="538"/>
      <c r="I5" s="538"/>
      <c r="J5" s="538"/>
      <c r="K5" s="538"/>
      <c r="L5" s="538"/>
      <c r="M5" s="538"/>
      <c r="N5" s="538"/>
      <c r="O5" s="538"/>
      <c r="P5" s="538"/>
      <c r="Q5" s="538"/>
      <c r="R5" s="538"/>
      <c r="S5" s="538"/>
      <c r="T5" s="538"/>
      <c r="U5" s="538"/>
    </row>
    <row r="6" spans="1:22" ht="14.1" customHeight="1">
      <c r="A6" s="536" t="s">
        <v>237</v>
      </c>
      <c r="B6" s="537" t="str">
        <f>'1-Contractblad totaal'!B6</f>
        <v>GS-EA-AS-2020</v>
      </c>
      <c r="C6" s="538"/>
      <c r="D6" s="538"/>
      <c r="E6" s="538"/>
      <c r="F6" s="538"/>
      <c r="G6" s="538"/>
      <c r="H6" s="538"/>
      <c r="I6" s="538"/>
      <c r="J6" s="538"/>
      <c r="K6" s="538"/>
      <c r="L6" s="538"/>
      <c r="M6" s="538"/>
      <c r="N6" s="538"/>
      <c r="O6" s="538"/>
      <c r="P6" s="538"/>
      <c r="Q6" s="538"/>
      <c r="R6" s="538"/>
      <c r="S6" s="538"/>
      <c r="T6" s="538"/>
      <c r="U6" s="538"/>
    </row>
    <row r="7" spans="1:22" ht="14.1" customHeight="1">
      <c r="A7" s="536" t="s">
        <v>214</v>
      </c>
      <c r="B7" s="536" cm="1">
        <f t="array" ref="B7:D7">'1-Contractblad totaal'!B8:D8</f>
        <v>0</v>
      </c>
      <c r="C7" s="538">
        <v>0</v>
      </c>
      <c r="D7" s="110">
        <v>0</v>
      </c>
      <c r="E7" s="538"/>
      <c r="F7" s="538"/>
      <c r="G7" s="538"/>
      <c r="H7" s="538"/>
      <c r="I7" s="538"/>
      <c r="J7" s="538"/>
      <c r="K7" s="538"/>
      <c r="L7" s="538"/>
      <c r="M7" s="538"/>
      <c r="N7" s="538"/>
      <c r="O7" s="538"/>
      <c r="P7" s="538"/>
      <c r="Q7" s="538"/>
      <c r="R7" s="538"/>
      <c r="S7" s="538"/>
      <c r="T7" s="538"/>
      <c r="U7" s="538"/>
    </row>
    <row r="8" spans="1:22" ht="14.1" customHeight="1">
      <c r="A8" s="536" t="s">
        <v>10</v>
      </c>
      <c r="B8" s="539">
        <v>44013</v>
      </c>
      <c r="O8" s="538"/>
      <c r="P8" s="538"/>
      <c r="Q8" s="538"/>
      <c r="R8" s="538"/>
      <c r="S8" s="538"/>
      <c r="T8" s="538"/>
      <c r="U8" s="538"/>
    </row>
    <row r="9" spans="1:22" s="555" customFormat="1" ht="13.5">
      <c r="A9" s="553"/>
      <c r="B9" s="553"/>
      <c r="C9" s="578" t="s">
        <v>604</v>
      </c>
      <c r="D9" s="579"/>
      <c r="E9" s="580"/>
      <c r="F9" s="578" t="s">
        <v>605</v>
      </c>
      <c r="G9" s="579"/>
      <c r="H9" s="579"/>
      <c r="I9" s="579"/>
      <c r="J9" s="554"/>
      <c r="K9" s="554"/>
      <c r="L9" s="554"/>
      <c r="M9" s="554"/>
    </row>
    <row r="10" spans="1:22" ht="64.5" customHeight="1">
      <c r="A10" s="540" t="s">
        <v>109</v>
      </c>
      <c r="B10" s="541" t="s">
        <v>595</v>
      </c>
      <c r="C10" s="542" t="s">
        <v>603</v>
      </c>
      <c r="D10" s="542" t="s">
        <v>596</v>
      </c>
      <c r="E10" s="542" t="s">
        <v>597</v>
      </c>
      <c r="F10" s="551" t="s">
        <v>598</v>
      </c>
      <c r="G10" s="551" t="s">
        <v>607</v>
      </c>
      <c r="H10" s="542" t="s">
        <v>599</v>
      </c>
      <c r="I10" s="542" t="s">
        <v>600</v>
      </c>
      <c r="J10" s="542" t="s">
        <v>601</v>
      </c>
      <c r="K10" s="542" t="s">
        <v>602</v>
      </c>
      <c r="L10" s="110"/>
      <c r="M10" s="110"/>
      <c r="N10" s="110"/>
      <c r="O10" s="110"/>
      <c r="P10" s="110"/>
      <c r="Q10" s="110"/>
      <c r="R10" s="110"/>
      <c r="S10" s="110"/>
      <c r="T10" s="110"/>
      <c r="U10" s="110"/>
    </row>
    <row r="11" spans="1:22" s="547" customFormat="1" ht="15" customHeight="1">
      <c r="A11" s="165" t="s">
        <v>240</v>
      </c>
      <c r="B11" s="544">
        <f>SUMIF(gebouw,'2-Kosten per locatie'!A11,'4-Basis ruimtestaat'!I:I)</f>
        <v>9302.0400000000027</v>
      </c>
      <c r="C11" s="545" t="e">
        <f>SUMIF(gebouw,'2-Kosten per locatie'!A11,uren_mavr)</f>
        <v>#DIV/0!</v>
      </c>
      <c r="D11" s="546">
        <f>'1-Contractblad totaal'!$E$16</f>
        <v>0</v>
      </c>
      <c r="E11" s="545" t="e">
        <f>C11*D11</f>
        <v>#DIV/0!</v>
      </c>
      <c r="F11" s="558" t="e">
        <f>C11*'1-Contractblad totaal'!$G$14</f>
        <v>#DIV/0!</v>
      </c>
      <c r="G11" s="558" t="e">
        <f>E11*'1-Contractblad totaal'!$G$16</f>
        <v>#DIV/0!</v>
      </c>
      <c r="H11" s="558" t="e">
        <f>SUMIF('8-Additionele werkzaamheden'!A:A,'2-Kosten per locatie'!A11,'8-Additionele werkzaamheden'!H:H)</f>
        <v>#DIV/0!</v>
      </c>
      <c r="I11" s="558">
        <f>SUMIF('10-Glasbewassing'!A:A,'2-Kosten per locatie'!A11,'10-Glasbewassing'!H:H)</f>
        <v>0</v>
      </c>
      <c r="J11" s="558" t="e">
        <f>SUM(I11,H11,G11,F11)</f>
        <v>#DIV/0!</v>
      </c>
      <c r="K11" s="558" t="e">
        <f>J11/12</f>
        <v>#DIV/0!</v>
      </c>
    </row>
    <row r="12" spans="1:22" ht="15" customHeight="1">
      <c r="A12" s="165" t="s">
        <v>539</v>
      </c>
      <c r="B12" s="544">
        <f>SUMIF(gebouw,'2-Kosten per locatie'!A12,'4-Basis ruimtestaat'!I:I)</f>
        <v>1436.0200000000002</v>
      </c>
      <c r="C12" s="545" t="e">
        <f>SUMIF(gebouw,'2-Kosten per locatie'!A12,uren_mavr)</f>
        <v>#DIV/0!</v>
      </c>
      <c r="D12" s="546">
        <f>'1-Contractblad totaal'!$E$16</f>
        <v>0</v>
      </c>
      <c r="E12" s="545" t="e">
        <f>C12*D12</f>
        <v>#DIV/0!</v>
      </c>
      <c r="F12" s="558" t="e">
        <f>C12*'1-Contractblad totaal'!$G$14</f>
        <v>#DIV/0!</v>
      </c>
      <c r="G12" s="558" t="e">
        <f>E12*'1-Contractblad totaal'!$G$16</f>
        <v>#DIV/0!</v>
      </c>
      <c r="H12" s="558">
        <f>SUMIF('8-Additionele werkzaamheden'!A:A,'2-Kosten per locatie'!A12,'8-Additionele werkzaamheden'!H:H)</f>
        <v>0</v>
      </c>
      <c r="I12" s="558">
        <f>SUMIF('10-Glasbewassing'!A:A,'2-Kosten per locatie'!A12,'10-Glasbewassing'!H:H)</f>
        <v>0</v>
      </c>
      <c r="J12" s="558" t="e">
        <f>SUM(I12,H12,G12,F12)</f>
        <v>#DIV/0!</v>
      </c>
      <c r="K12" s="558" t="e">
        <f>J12/12</f>
        <v>#DIV/0!</v>
      </c>
      <c r="L12" s="110"/>
      <c r="M12" s="110"/>
      <c r="N12" s="110"/>
      <c r="O12" s="110"/>
      <c r="P12" s="110"/>
      <c r="Q12" s="110"/>
      <c r="R12" s="110"/>
      <c r="S12" s="110"/>
      <c r="T12" s="110"/>
      <c r="U12" s="110"/>
    </row>
    <row r="13" spans="1:22" ht="15" customHeight="1">
      <c r="A13" s="543"/>
      <c r="B13" s="544"/>
      <c r="C13" s="545"/>
      <c r="D13" s="556"/>
      <c r="E13" s="545"/>
      <c r="F13" s="557"/>
      <c r="G13" s="557"/>
      <c r="H13" s="557"/>
      <c r="I13" s="557"/>
      <c r="J13" s="557"/>
      <c r="K13" s="557"/>
      <c r="L13" s="110"/>
      <c r="M13" s="110"/>
      <c r="N13" s="110"/>
      <c r="O13" s="110"/>
      <c r="P13" s="110"/>
      <c r="Q13" s="110"/>
      <c r="R13" s="110"/>
      <c r="S13" s="110"/>
      <c r="T13" s="110"/>
      <c r="U13" s="110"/>
    </row>
    <row r="14" spans="1:22" s="550" customFormat="1" ht="15" customHeight="1">
      <c r="A14" s="548" t="s">
        <v>8</v>
      </c>
      <c r="B14" s="549">
        <f>SUM(B11:B13)</f>
        <v>10738.060000000003</v>
      </c>
      <c r="C14" s="549" t="e">
        <f>SUM(C11:C13)</f>
        <v>#DIV/0!</v>
      </c>
      <c r="D14" s="549"/>
      <c r="E14" s="549" t="e">
        <f t="shared" ref="E14:K14" si="0">SUM(E11:E13)</f>
        <v>#DIV/0!</v>
      </c>
      <c r="F14" s="552" t="e">
        <f t="shared" si="0"/>
        <v>#DIV/0!</v>
      </c>
      <c r="G14" s="552" t="e">
        <f t="shared" si="0"/>
        <v>#DIV/0!</v>
      </c>
      <c r="H14" s="552" t="e">
        <f t="shared" si="0"/>
        <v>#DIV/0!</v>
      </c>
      <c r="I14" s="552">
        <f t="shared" si="0"/>
        <v>0</v>
      </c>
      <c r="J14" s="552" t="e">
        <f t="shared" si="0"/>
        <v>#DIV/0!</v>
      </c>
      <c r="K14" s="552" t="e">
        <f t="shared" si="0"/>
        <v>#DIV/0!</v>
      </c>
    </row>
    <row r="15" spans="1:22" s="547" customFormat="1" ht="14.1" customHeight="1">
      <c r="V15" s="110"/>
    </row>
  </sheetData>
  <mergeCells count="2">
    <mergeCell ref="C9:E9"/>
    <mergeCell ref="F9:I9"/>
  </mergeCells>
  <printOptions horizontalCentered="1" gridLinesSet="0"/>
  <pageMargins left="0.19685039370078741" right="0.19685039370078741" top="0.59055118110236227" bottom="0.78740157480314965" header="0.39370078740157483" footer="0.19685039370078741"/>
  <pageSetup paperSize="9" scale="59"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5"/>
  <sheetViews>
    <sheetView showGridLines="0" zoomScaleNormal="100" workbookViewId="0">
      <pane ySplit="9" topLeftCell="A10" activePane="bottomLeft" state="frozen"/>
      <selection activeCell="D33" sqref="D33"/>
      <selection pane="bottomLeft" activeCell="D10" sqref="D10:H21"/>
    </sheetView>
  </sheetViews>
  <sheetFormatPr defaultColWidth="9.140625" defaultRowHeight="13.5"/>
  <cols>
    <col min="1" max="1" width="29.7109375" style="4" customWidth="1"/>
    <col min="2" max="2" width="9.140625" style="4" customWidth="1"/>
    <col min="3" max="6" width="9.140625" style="4"/>
    <col min="7" max="7" width="8.5703125" style="4" customWidth="1"/>
    <col min="8" max="8" width="9.140625" style="4"/>
    <col min="9" max="9" width="2.140625" style="4" customWidth="1"/>
    <col min="10" max="10" width="9.140625" style="114"/>
    <col min="11" max="11" width="2.28515625" style="4" customWidth="1"/>
    <col min="12" max="12" width="9.140625" style="114"/>
    <col min="13" max="13" width="9.140625" style="4"/>
    <col min="14" max="14" width="16.140625" style="4" customWidth="1"/>
    <col min="15" max="16" width="9.140625" style="4"/>
    <col min="17" max="17" width="30.42578125" style="4" customWidth="1"/>
    <col min="18" max="16384" width="9.140625" style="4"/>
  </cols>
  <sheetData>
    <row r="1" spans="1:17">
      <c r="A1" s="438" t="s">
        <v>26</v>
      </c>
    </row>
    <row r="3" spans="1:17" ht="17.25">
      <c r="A3" s="140" t="s">
        <v>30</v>
      </c>
      <c r="B3" s="141" t="str">
        <f>'1-Contractblad totaal'!B3</f>
        <v>Gemeente Smallingerland</v>
      </c>
      <c r="C3" s="437"/>
    </row>
    <row r="4" spans="1:17" ht="17.25">
      <c r="A4" s="140" t="s">
        <v>14</v>
      </c>
      <c r="B4" s="141" t="str">
        <f ca="1">MID(CELL("bestandsnaam",$B$7),SEARCH("]",CELL("bestandsnaam",$B$7),1)+1,256)</f>
        <v>3-Productie normen</v>
      </c>
      <c r="C4" s="142"/>
    </row>
    <row r="5" spans="1:17" ht="17.25">
      <c r="A5" s="140" t="s">
        <v>87</v>
      </c>
      <c r="B5" s="141" t="str">
        <f>'1-Contractblad totaal'!B5</f>
        <v>Drachten</v>
      </c>
      <c r="C5" s="142"/>
    </row>
    <row r="6" spans="1:17" ht="17.25">
      <c r="A6" s="140" t="s">
        <v>67</v>
      </c>
      <c r="B6" s="141" t="str">
        <f>'1-Contractblad totaal'!B6</f>
        <v>GS-EA-AS-2020</v>
      </c>
      <c r="C6" s="142"/>
      <c r="E6" s="435" t="s">
        <v>204</v>
      </c>
      <c r="F6" s="436"/>
      <c r="G6" s="138" t="e">
        <f>SUM('4-Basis ruimtestaat'!Q:Q)/SUM('4-Basis ruimtestaat'!L:L)</f>
        <v>#DIV/0!</v>
      </c>
      <c r="H6" s="139" t="s">
        <v>205</v>
      </c>
    </row>
    <row r="7" spans="1:17">
      <c r="A7" s="115"/>
      <c r="B7" s="116"/>
      <c r="C7" s="116"/>
      <c r="D7" s="117"/>
      <c r="E7" s="118"/>
      <c r="F7" s="118"/>
      <c r="G7" s="119"/>
      <c r="H7" s="120"/>
      <c r="I7" s="121"/>
      <c r="J7" s="122"/>
      <c r="K7" s="121"/>
      <c r="L7" s="122"/>
      <c r="M7" s="121"/>
      <c r="N7" s="121"/>
      <c r="O7" s="121"/>
    </row>
    <row r="8" spans="1:17" ht="27.75" customHeight="1">
      <c r="A8" s="136" t="s">
        <v>112</v>
      </c>
      <c r="B8" s="137">
        <v>2</v>
      </c>
      <c r="C8" s="137">
        <v>4</v>
      </c>
      <c r="D8" s="137">
        <v>12</v>
      </c>
      <c r="E8" s="137">
        <v>52</v>
      </c>
      <c r="F8" s="137">
        <v>104</v>
      </c>
      <c r="G8" s="137">
        <v>156</v>
      </c>
      <c r="H8" s="137">
        <v>255</v>
      </c>
      <c r="I8" s="121"/>
      <c r="J8" s="519"/>
      <c r="K8" s="126"/>
      <c r="L8" s="520"/>
      <c r="M8" s="123"/>
      <c r="N8" s="123"/>
      <c r="O8" s="123"/>
    </row>
    <row r="9" spans="1:17" ht="30" customHeight="1">
      <c r="A9" s="428" t="s">
        <v>62</v>
      </c>
      <c r="B9" s="581" t="s">
        <v>132</v>
      </c>
      <c r="C9" s="582"/>
      <c r="D9" s="582"/>
      <c r="E9" s="582"/>
      <c r="F9" s="582"/>
      <c r="G9" s="582"/>
      <c r="H9" s="583"/>
      <c r="I9" s="121"/>
      <c r="J9" s="426" t="s">
        <v>113</v>
      </c>
      <c r="K9" s="427"/>
      <c r="L9" s="426" t="s">
        <v>208</v>
      </c>
      <c r="M9" s="123"/>
    </row>
    <row r="10" spans="1:17" ht="14.25" thickBot="1">
      <c r="A10" s="493" t="s">
        <v>217</v>
      </c>
      <c r="B10" s="492"/>
      <c r="C10" s="492"/>
      <c r="D10" s="441"/>
      <c r="E10" s="441"/>
      <c r="F10" s="441"/>
      <c r="G10" s="441"/>
      <c r="H10" s="441"/>
      <c r="I10" s="121"/>
      <c r="J10" s="125" t="s">
        <v>118</v>
      </c>
      <c r="K10" s="121"/>
      <c r="L10" s="429">
        <f>SUMIF('4-Basis ruimtestaat'!G:G,'3-Productie normen'!A10,'4-Basis ruimtestaat'!I:I)</f>
        <v>5270.4500000000025</v>
      </c>
      <c r="M10" s="419"/>
      <c r="N10" s="419"/>
      <c r="O10" s="419"/>
      <c r="P10" s="420"/>
    </row>
    <row r="11" spans="1:17" ht="14.25" thickTop="1">
      <c r="A11" s="493" t="s">
        <v>17</v>
      </c>
      <c r="B11" s="492"/>
      <c r="C11" s="492"/>
      <c r="D11" s="492"/>
      <c r="E11" s="441"/>
      <c r="F11" s="441"/>
      <c r="G11" s="441"/>
      <c r="H11" s="441"/>
      <c r="I11" s="121"/>
      <c r="J11" s="125" t="s">
        <v>120</v>
      </c>
      <c r="K11" s="121"/>
      <c r="L11" s="429">
        <f>SUMIF('4-Basis ruimtestaat'!G:G,'3-Productie normen'!A11,'4-Basis ruimtestaat'!I:I)</f>
        <v>338.98</v>
      </c>
      <c r="M11" s="418"/>
      <c r="N11" s="418"/>
      <c r="O11" s="418"/>
      <c r="P11" s="421"/>
      <c r="Q11" s="508"/>
    </row>
    <row r="12" spans="1:17">
      <c r="A12" s="493" t="s">
        <v>288</v>
      </c>
      <c r="B12" s="492"/>
      <c r="C12" s="492"/>
      <c r="D12" s="441"/>
      <c r="E12" s="441"/>
      <c r="F12" s="441"/>
      <c r="G12" s="441"/>
      <c r="H12" s="441"/>
      <c r="I12" s="121"/>
      <c r="J12" s="125" t="s">
        <v>119</v>
      </c>
      <c r="K12" s="121"/>
      <c r="L12" s="429">
        <f>SUMIF('4-Basis ruimtestaat'!G:G,'3-Productie normen'!A12,'4-Basis ruimtestaat'!I:I)</f>
        <v>2195.15</v>
      </c>
      <c r="M12" s="9"/>
      <c r="N12" s="143" t="s">
        <v>114</v>
      </c>
      <c r="O12" s="144" t="s">
        <v>202</v>
      </c>
      <c r="P12" s="422"/>
      <c r="Q12" s="509" t="s">
        <v>228</v>
      </c>
    </row>
    <row r="13" spans="1:17">
      <c r="A13" s="493" t="s">
        <v>218</v>
      </c>
      <c r="B13" s="492"/>
      <c r="C13" s="492"/>
      <c r="D13" s="492"/>
      <c r="E13" s="441"/>
      <c r="F13" s="441"/>
      <c r="G13" s="441"/>
      <c r="H13" s="441"/>
      <c r="I13" s="121"/>
      <c r="J13" s="125" t="s">
        <v>119</v>
      </c>
      <c r="K13" s="121"/>
      <c r="L13" s="429">
        <f>SUMIF('4-Basis ruimtestaat'!G:G,'3-Productie normen'!A13,'4-Basis ruimtestaat'!I:I)</f>
        <v>16.97</v>
      </c>
      <c r="M13" s="9"/>
      <c r="N13" s="128">
        <v>2</v>
      </c>
      <c r="O13" s="145">
        <v>2</v>
      </c>
      <c r="P13" s="422"/>
      <c r="Q13" s="510" t="s">
        <v>229</v>
      </c>
    </row>
    <row r="14" spans="1:17">
      <c r="A14" s="124" t="s">
        <v>108</v>
      </c>
      <c r="B14" s="492"/>
      <c r="C14" s="492"/>
      <c r="D14" s="492"/>
      <c r="E14" s="492"/>
      <c r="F14" s="492"/>
      <c r="G14" s="492"/>
      <c r="H14" s="441"/>
      <c r="I14" s="121"/>
      <c r="J14" s="125" t="s">
        <v>119</v>
      </c>
      <c r="K14" s="121"/>
      <c r="L14" s="429">
        <f>SUMIF('4-Basis ruimtestaat'!G:G,'3-Productie normen'!A14,'4-Basis ruimtestaat'!I:I)</f>
        <v>237.94</v>
      </c>
      <c r="M14" s="9"/>
      <c r="N14" s="128">
        <v>4</v>
      </c>
      <c r="O14" s="145">
        <v>3</v>
      </c>
      <c r="P14" s="422"/>
      <c r="Q14" s="510" t="s">
        <v>230</v>
      </c>
    </row>
    <row r="15" spans="1:17">
      <c r="A15" s="493" t="s">
        <v>247</v>
      </c>
      <c r="B15" s="492"/>
      <c r="C15" s="492"/>
      <c r="D15" s="492"/>
      <c r="E15" s="492"/>
      <c r="F15" s="492"/>
      <c r="G15" s="492"/>
      <c r="H15" s="441"/>
      <c r="I15" s="121"/>
      <c r="J15" s="125" t="s">
        <v>119</v>
      </c>
      <c r="K15" s="121"/>
      <c r="L15" s="429">
        <f>SUMIF('4-Basis ruimtestaat'!G:G,'3-Productie normen'!A15,'4-Basis ruimtestaat'!I:I)</f>
        <v>657.48</v>
      </c>
      <c r="M15" s="9"/>
      <c r="N15" s="128">
        <v>12</v>
      </c>
      <c r="O15" s="145">
        <v>4</v>
      </c>
      <c r="P15" s="422"/>
      <c r="Q15" s="510" t="s">
        <v>231</v>
      </c>
    </row>
    <row r="16" spans="1:17">
      <c r="A16" s="493" t="s">
        <v>285</v>
      </c>
      <c r="B16" s="492"/>
      <c r="C16" s="492"/>
      <c r="D16" s="441"/>
      <c r="E16" s="441"/>
      <c r="F16" s="492"/>
      <c r="G16" s="492"/>
      <c r="H16" s="441"/>
      <c r="I16" s="121"/>
      <c r="J16" s="125" t="s">
        <v>119</v>
      </c>
      <c r="K16" s="121"/>
      <c r="L16" s="429">
        <f>SUMIF('4-Basis ruimtestaat'!G:G,'3-Productie normen'!A16,'4-Basis ruimtestaat'!I:I)</f>
        <v>866.0200000000001</v>
      </c>
      <c r="M16" s="9"/>
      <c r="N16" s="128">
        <v>52</v>
      </c>
      <c r="O16" s="145">
        <v>5</v>
      </c>
      <c r="P16" s="422"/>
      <c r="Q16" s="510" t="s">
        <v>232</v>
      </c>
    </row>
    <row r="17" spans="1:17">
      <c r="A17" s="493" t="s">
        <v>527</v>
      </c>
      <c r="B17" s="492"/>
      <c r="C17" s="492"/>
      <c r="D17" s="441"/>
      <c r="E17" s="492"/>
      <c r="F17" s="492"/>
      <c r="G17" s="492"/>
      <c r="H17" s="492"/>
      <c r="I17" s="121"/>
      <c r="J17" s="125" t="s">
        <v>119</v>
      </c>
      <c r="K17" s="121"/>
      <c r="L17" s="429">
        <f>SUMIF('4-Basis ruimtestaat'!G:G,'3-Productie normen'!A17,'4-Basis ruimtestaat'!I:I)</f>
        <v>21.09</v>
      </c>
      <c r="M17" s="9"/>
      <c r="N17" s="128">
        <v>104</v>
      </c>
      <c r="O17" s="145">
        <v>6</v>
      </c>
      <c r="P17" s="422"/>
      <c r="Q17" s="510" t="s">
        <v>234</v>
      </c>
    </row>
    <row r="18" spans="1:17">
      <c r="A18" s="493" t="s">
        <v>328</v>
      </c>
      <c r="B18" s="492"/>
      <c r="C18" s="492"/>
      <c r="D18" s="441"/>
      <c r="E18" s="441"/>
      <c r="F18" s="441"/>
      <c r="G18" s="441"/>
      <c r="H18" s="441"/>
      <c r="I18" s="121"/>
      <c r="J18" s="125" t="s">
        <v>119</v>
      </c>
      <c r="K18" s="121"/>
      <c r="L18" s="429">
        <f>SUMIF('4-Basis ruimtestaat'!G:G,'3-Productie normen'!A18,'4-Basis ruimtestaat'!I:I)</f>
        <v>446.09000000000003</v>
      </c>
      <c r="M18" s="9"/>
      <c r="N18" s="129">
        <v>156</v>
      </c>
      <c r="O18" s="145">
        <v>7</v>
      </c>
      <c r="P18" s="422"/>
      <c r="Q18" s="510" t="s">
        <v>235</v>
      </c>
    </row>
    <row r="19" spans="1:17">
      <c r="A19" s="124" t="s">
        <v>105</v>
      </c>
      <c r="B19" s="492"/>
      <c r="C19" s="492"/>
      <c r="D19" s="492"/>
      <c r="E19" s="492"/>
      <c r="F19" s="492"/>
      <c r="G19" s="492"/>
      <c r="H19" s="441"/>
      <c r="I19" s="121"/>
      <c r="J19" s="125" t="s">
        <v>119</v>
      </c>
      <c r="K19" s="121"/>
      <c r="L19" s="429">
        <f>SUMIF('4-Basis ruimtestaat'!G:G,'3-Productie normen'!A19,'4-Basis ruimtestaat'!I:I)</f>
        <v>32.81</v>
      </c>
      <c r="M19" s="9"/>
      <c r="N19" s="129">
        <v>255</v>
      </c>
      <c r="O19" s="145">
        <v>8</v>
      </c>
      <c r="P19" s="422"/>
      <c r="Q19" s="510" t="s">
        <v>233</v>
      </c>
    </row>
    <row r="20" spans="1:17" ht="14.25" thickBot="1">
      <c r="A20" s="124" t="s">
        <v>351</v>
      </c>
      <c r="B20" s="492"/>
      <c r="C20" s="492"/>
      <c r="D20" s="492"/>
      <c r="E20" s="441"/>
      <c r="F20" s="492"/>
      <c r="G20" s="492"/>
      <c r="H20" s="492"/>
      <c r="I20" s="121"/>
      <c r="J20" s="125" t="s">
        <v>119</v>
      </c>
      <c r="K20" s="121"/>
      <c r="L20" s="429">
        <f>SUMIF('4-Basis ruimtestaat'!G:G,'3-Productie normen'!A20,'4-Basis ruimtestaat'!I:I)</f>
        <v>40</v>
      </c>
      <c r="M20" s="423"/>
      <c r="N20" s="423"/>
      <c r="O20" s="423"/>
      <c r="P20" s="424"/>
      <c r="Q20" s="511"/>
    </row>
    <row r="21" spans="1:17">
      <c r="A21" s="124" t="s">
        <v>340</v>
      </c>
      <c r="B21" s="492"/>
      <c r="C21" s="492"/>
      <c r="D21" s="492"/>
      <c r="E21" s="492"/>
      <c r="F21" s="492"/>
      <c r="G21" s="492"/>
      <c r="H21" s="441"/>
      <c r="I21" s="121"/>
      <c r="J21" s="125" t="s">
        <v>119</v>
      </c>
      <c r="K21" s="121"/>
      <c r="L21" s="429">
        <f>SUMIF('4-Basis ruimtestaat'!G:G,'3-Productie normen'!A21,'4-Basis ruimtestaat'!I:I)</f>
        <v>7.88</v>
      </c>
    </row>
    <row r="22" spans="1:17">
      <c r="A22" s="124" t="s">
        <v>115</v>
      </c>
      <c r="B22" s="492"/>
      <c r="C22" s="492"/>
      <c r="D22" s="492"/>
      <c r="E22" s="492"/>
      <c r="F22" s="492"/>
      <c r="G22" s="492"/>
      <c r="H22" s="131"/>
      <c r="I22" s="126"/>
      <c r="J22" s="125">
        <v>0</v>
      </c>
      <c r="K22" s="126"/>
      <c r="L22" s="429">
        <f>SUMIF('4-Basis ruimtestaat'!G:G,'3-Productie normen'!A22,'4-Basis ruimtestaat'!I:I)</f>
        <v>607.19999999999993</v>
      </c>
    </row>
    <row r="23" spans="1:17">
      <c r="A23" s="430" t="s">
        <v>8</v>
      </c>
      <c r="B23" s="431"/>
      <c r="C23" s="431"/>
      <c r="D23" s="431"/>
      <c r="E23" s="431"/>
      <c r="F23" s="431"/>
      <c r="G23" s="431"/>
      <c r="H23" s="132"/>
      <c r="I23" s="432"/>
      <c r="J23" s="433"/>
      <c r="K23" s="432"/>
      <c r="L23" s="434">
        <f>SUM(L10:L22)</f>
        <v>10738.060000000001</v>
      </c>
    </row>
    <row r="24" spans="1:17">
      <c r="J24" s="4"/>
      <c r="L24" s="4"/>
    </row>
    <row r="25" spans="1:17">
      <c r="J25" s="4"/>
      <c r="L25" s="4"/>
    </row>
    <row r="26" spans="1:17">
      <c r="A26" s="134" t="s">
        <v>203</v>
      </c>
      <c r="B26" s="135">
        <v>2</v>
      </c>
      <c r="C26" s="135">
        <v>3</v>
      </c>
      <c r="D26" s="135">
        <v>4</v>
      </c>
      <c r="E26" s="135">
        <v>5</v>
      </c>
      <c r="F26" s="135">
        <v>6</v>
      </c>
      <c r="G26" s="135">
        <v>7</v>
      </c>
      <c r="H26" s="135">
        <v>8</v>
      </c>
      <c r="I26" s="126"/>
      <c r="K26" s="126"/>
    </row>
    <row r="27" spans="1:17">
      <c r="I27" s="126"/>
      <c r="K27" s="126"/>
    </row>
    <row r="32" spans="1:17">
      <c r="M32" s="123"/>
      <c r="N32" s="126"/>
      <c r="O32" s="126"/>
    </row>
    <row r="33" spans="13:15">
      <c r="M33" s="126"/>
      <c r="N33" s="126"/>
      <c r="O33" s="126"/>
    </row>
    <row r="34" spans="13:15">
      <c r="M34" s="126"/>
      <c r="N34" s="126"/>
      <c r="O34" s="126"/>
    </row>
    <row r="35" spans="13:15">
      <c r="M35" s="126"/>
      <c r="N35" s="126"/>
      <c r="O35" s="126"/>
    </row>
  </sheetData>
  <mergeCells count="1">
    <mergeCell ref="B9:H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661"/>
  <sheetViews>
    <sheetView showGridLines="0" showZeros="0" zoomScaleNormal="100" zoomScalePageLayoutView="75" workbookViewId="0">
      <pane xSplit="1" ySplit="9" topLeftCell="B10" activePane="bottomRight" state="frozen"/>
      <selection activeCell="E32" sqref="E32"/>
      <selection pane="topRight" activeCell="E32" sqref="E32"/>
      <selection pane="bottomLeft" activeCell="E32" sqref="E32"/>
      <selection pane="bottomRight" activeCell="J10" sqref="J10:J279"/>
    </sheetView>
  </sheetViews>
  <sheetFormatPr defaultColWidth="8.7109375" defaultRowHeight="14.1" customHeight="1"/>
  <cols>
    <col min="1" max="1" width="5" style="4" bestFit="1" customWidth="1"/>
    <col min="2" max="2" width="27.5703125" style="4" customWidth="1"/>
    <col min="3" max="3" width="35.42578125" style="4" customWidth="1"/>
    <col min="4" max="4" width="12" style="4" customWidth="1"/>
    <col min="5" max="5" width="10.140625" style="44" customWidth="1"/>
    <col min="6" max="6" width="23.42578125" style="4" customWidth="1"/>
    <col min="7" max="7" width="24.28515625" style="4" bestFit="1" customWidth="1"/>
    <col min="8" max="8" width="17.5703125" style="4" bestFit="1" customWidth="1"/>
    <col min="9" max="9" width="8" style="528" bestFit="1" customWidth="1"/>
    <col min="10" max="10" width="10.28515625" style="445" customWidth="1"/>
    <col min="11" max="11" width="9.140625" style="194" customWidth="1"/>
    <col min="12" max="12" width="12.5703125" style="4" bestFit="1" customWidth="1"/>
    <col min="13" max="13" width="12" style="4" bestFit="1" customWidth="1"/>
    <col min="14" max="14" width="9.28515625" style="4" customWidth="1"/>
    <col min="15" max="15" width="35.140625" style="4" customWidth="1"/>
    <col min="16" max="16" width="3" style="4" customWidth="1"/>
    <col min="17" max="17" width="11.140625" style="4" customWidth="1"/>
    <col min="18" max="18" width="15.5703125" style="4" bestFit="1" customWidth="1"/>
    <col min="19" max="16384" width="8.7109375" style="4"/>
  </cols>
  <sheetData>
    <row r="1" spans="1:17" ht="13.5">
      <c r="B1" s="438" t="s">
        <v>26</v>
      </c>
      <c r="E1" s="4"/>
      <c r="J1" s="114"/>
      <c r="K1" s="4"/>
    </row>
    <row r="2" spans="1:17" ht="14.1" customHeight="1">
      <c r="A2" s="147">
        <v>2</v>
      </c>
      <c r="B2" s="148"/>
      <c r="C2" s="148"/>
      <c r="D2" s="149"/>
      <c r="E2" s="150"/>
      <c r="F2" s="151"/>
      <c r="G2" s="151"/>
      <c r="H2" s="152"/>
      <c r="I2" s="153"/>
      <c r="J2" s="442"/>
      <c r="K2" s="154"/>
      <c r="L2" s="155"/>
      <c r="M2" s="156"/>
      <c r="N2" s="157"/>
      <c r="O2" s="157"/>
    </row>
    <row r="3" spans="1:17" ht="14.1" customHeight="1">
      <c r="A3" s="147">
        <v>3</v>
      </c>
      <c r="B3" s="112" t="str">
        <f>'1-Contractblad totaal'!A3</f>
        <v>Naam opdrachtgever</v>
      </c>
      <c r="C3" s="141" t="str">
        <f>'1-Contractblad totaal'!B3</f>
        <v>Gemeente Smallingerland</v>
      </c>
      <c r="E3" s="158"/>
      <c r="H3" s="152"/>
      <c r="I3" s="153"/>
      <c r="J3" s="442"/>
      <c r="K3" s="154"/>
      <c r="L3" s="155"/>
      <c r="M3" s="156"/>
      <c r="N3" s="157"/>
      <c r="O3" s="157"/>
    </row>
    <row r="4" spans="1:17" ht="14.1" customHeight="1">
      <c r="A4" s="147">
        <v>4</v>
      </c>
      <c r="B4" s="112" t="str">
        <f>'1-Contractblad totaal'!A4</f>
        <v>Calculatie onderdeel</v>
      </c>
      <c r="C4" s="141" t="str">
        <f ca="1">MID(CELL("bestandsnaam",$D$9),SEARCH("]",CELL("bestandsnaam",$D$9),1)+1,256)</f>
        <v>4-Basis ruimtestaat</v>
      </c>
      <c r="E4" s="159"/>
      <c r="H4" s="152"/>
      <c r="I4" s="153"/>
      <c r="J4" s="442"/>
      <c r="K4" s="154"/>
      <c r="L4" s="155"/>
      <c r="M4" s="156"/>
      <c r="N4" s="157"/>
      <c r="O4" s="157"/>
    </row>
    <row r="5" spans="1:17" ht="14.1" customHeight="1">
      <c r="A5" s="147">
        <v>5</v>
      </c>
      <c r="B5" s="112" t="str">
        <f>'1-Contractblad totaal'!A5</f>
        <v>Gebouw/plaats</v>
      </c>
      <c r="C5" s="141" t="str">
        <f>'1-Contractblad totaal'!B5</f>
        <v>Drachten</v>
      </c>
      <c r="E5" s="158"/>
      <c r="H5" s="152"/>
      <c r="I5" s="153"/>
      <c r="J5" s="442"/>
      <c r="K5" s="154"/>
      <c r="L5" s="155"/>
      <c r="M5" s="156"/>
      <c r="N5" s="157"/>
      <c r="O5" s="157"/>
    </row>
    <row r="6" spans="1:17" ht="14.1" customHeight="1">
      <c r="A6" s="147">
        <v>6</v>
      </c>
      <c r="B6" s="112" t="str">
        <f>'1-Contractblad totaal'!A6</f>
        <v>Referentie nummer</v>
      </c>
      <c r="C6" s="141" t="str">
        <f>'1-Contractblad totaal'!B6</f>
        <v>GS-EA-AS-2020</v>
      </c>
      <c r="E6" s="158"/>
      <c r="H6" s="152"/>
      <c r="I6" s="153"/>
      <c r="J6" s="442"/>
      <c r="K6" s="154"/>
      <c r="L6" s="155"/>
      <c r="M6" s="156"/>
      <c r="N6" s="157"/>
      <c r="O6" s="157"/>
    </row>
    <row r="7" spans="1:17" ht="12.75" customHeight="1">
      <c r="A7" s="147">
        <v>7</v>
      </c>
      <c r="B7" s="112" t="str">
        <f>'1-Contractblad totaal'!A8</f>
        <v>Naam dienstverlener</v>
      </c>
      <c r="C7" s="141">
        <f>'1-Contractblad totaal'!B8</f>
        <v>0</v>
      </c>
      <c r="E7" s="158"/>
      <c r="H7" s="152"/>
      <c r="I7" s="153"/>
      <c r="J7" s="497"/>
      <c r="K7" s="154"/>
      <c r="L7" s="155"/>
      <c r="M7" s="156"/>
      <c r="N7" s="157"/>
      <c r="O7" s="157"/>
    </row>
    <row r="8" spans="1:17" ht="14.1" customHeight="1">
      <c r="A8" s="147">
        <v>8</v>
      </c>
      <c r="B8" s="151"/>
      <c r="C8" s="151"/>
      <c r="D8" s="149"/>
      <c r="E8" s="150"/>
      <c r="F8" s="151"/>
      <c r="G8" s="151"/>
      <c r="H8" s="152"/>
      <c r="I8" s="153"/>
      <c r="J8" s="497"/>
      <c r="K8" s="154"/>
      <c r="L8" s="155"/>
      <c r="M8" s="155"/>
      <c r="N8" s="157"/>
      <c r="O8" s="157"/>
    </row>
    <row r="9" spans="1:17" ht="44.1" customHeight="1">
      <c r="A9" s="147">
        <v>9</v>
      </c>
      <c r="B9" s="160" t="s">
        <v>90</v>
      </c>
      <c r="C9" s="160" t="s">
        <v>111</v>
      </c>
      <c r="D9" s="160" t="s">
        <v>91</v>
      </c>
      <c r="E9" s="161" t="s">
        <v>96</v>
      </c>
      <c r="F9" s="160" t="s">
        <v>97</v>
      </c>
      <c r="G9" s="160" t="s">
        <v>98</v>
      </c>
      <c r="H9" s="162" t="s">
        <v>99</v>
      </c>
      <c r="I9" s="529" t="s">
        <v>100</v>
      </c>
      <c r="J9" s="163" t="s">
        <v>223</v>
      </c>
      <c r="K9" s="163" t="s">
        <v>201</v>
      </c>
      <c r="L9" s="164" t="s">
        <v>101</v>
      </c>
      <c r="M9" s="164" t="s">
        <v>116</v>
      </c>
      <c r="N9" s="446" t="s">
        <v>102</v>
      </c>
      <c r="O9" s="491" t="s">
        <v>216</v>
      </c>
      <c r="P9" s="146"/>
      <c r="Q9" s="446" t="s">
        <v>103</v>
      </c>
    </row>
    <row r="10" spans="1:17" s="172" customFormat="1" ht="14.1" customHeight="1">
      <c r="A10" s="147">
        <v>10</v>
      </c>
      <c r="B10" s="165" t="s">
        <v>240</v>
      </c>
      <c r="C10" s="165" t="s">
        <v>529</v>
      </c>
      <c r="D10" s="133" t="s">
        <v>104</v>
      </c>
      <c r="E10" s="166" t="s">
        <v>241</v>
      </c>
      <c r="F10" s="165" t="s">
        <v>242</v>
      </c>
      <c r="G10" s="165" t="s">
        <v>217</v>
      </c>
      <c r="H10" s="167" t="s">
        <v>243</v>
      </c>
      <c r="I10" s="178">
        <v>91.44</v>
      </c>
      <c r="J10" s="482"/>
      <c r="K10" s="168">
        <v>255</v>
      </c>
      <c r="L10" s="169" t="e">
        <f t="shared" ref="L10:L73" si="0">IF(K10="nio",0,IF(K10&gt;0,K10*I10/M10,0))*J10</f>
        <v>#DIV/0!</v>
      </c>
      <c r="M10" s="170">
        <f>IF(K10="nio",0,IF(K10&gt;0,VLOOKUP(G10,'3-Productie normen'!A:L,VLOOKUP(K10,'3-Productie normen'!N:O,2,FALSE),FALSE)))</f>
        <v>0</v>
      </c>
      <c r="N10" s="171" t="str">
        <f>VLOOKUP(G10,'3-Productie normen'!A:L,10,FALSE)</f>
        <v>B</v>
      </c>
      <c r="O10" s="171"/>
      <c r="P10" s="4"/>
      <c r="Q10" s="130">
        <f t="shared" ref="Q10:Q73" si="1">SUM(K10:K10)*I10</f>
        <v>23317.200000000001</v>
      </c>
    </row>
    <row r="11" spans="1:17" ht="14.1" customHeight="1">
      <c r="A11" s="147">
        <v>11</v>
      </c>
      <c r="B11" s="165" t="s">
        <v>240</v>
      </c>
      <c r="C11" s="165" t="s">
        <v>529</v>
      </c>
      <c r="D11" s="133" t="s">
        <v>104</v>
      </c>
      <c r="E11" s="166" t="s">
        <v>244</v>
      </c>
      <c r="F11" s="165" t="s">
        <v>242</v>
      </c>
      <c r="G11" s="165" t="s">
        <v>217</v>
      </c>
      <c r="H11" s="167" t="s">
        <v>243</v>
      </c>
      <c r="I11" s="178">
        <v>98.75</v>
      </c>
      <c r="J11" s="482"/>
      <c r="K11" s="168">
        <v>255</v>
      </c>
      <c r="L11" s="169" t="e">
        <f t="shared" si="0"/>
        <v>#DIV/0!</v>
      </c>
      <c r="M11" s="170">
        <f>IF(K11="nio",0,IF(K11&gt;0,VLOOKUP(G11,'3-Productie normen'!A:L,VLOOKUP(K11,'3-Productie normen'!N:O,2,FALSE),FALSE)))</f>
        <v>0</v>
      </c>
      <c r="N11" s="171" t="str">
        <f>VLOOKUP(G11,'3-Productie normen'!A:L,10,FALSE)</f>
        <v>B</v>
      </c>
      <c r="O11" s="171"/>
      <c r="Q11" s="130">
        <f t="shared" si="1"/>
        <v>25181.25</v>
      </c>
    </row>
    <row r="12" spans="1:17" ht="14.1" customHeight="1">
      <c r="A12" s="147">
        <v>12</v>
      </c>
      <c r="B12" s="165" t="s">
        <v>240</v>
      </c>
      <c r="C12" s="165" t="s">
        <v>529</v>
      </c>
      <c r="D12" s="133" t="s">
        <v>104</v>
      </c>
      <c r="E12" s="166" t="s">
        <v>245</v>
      </c>
      <c r="F12" s="165" t="s">
        <v>246</v>
      </c>
      <c r="G12" s="165" t="s">
        <v>247</v>
      </c>
      <c r="H12" s="167" t="s">
        <v>243</v>
      </c>
      <c r="I12" s="178">
        <v>17.87</v>
      </c>
      <c r="J12" s="482"/>
      <c r="K12" s="168">
        <v>255</v>
      </c>
      <c r="L12" s="169" t="e">
        <f t="shared" si="0"/>
        <v>#DIV/0!</v>
      </c>
      <c r="M12" s="170">
        <f>IF(K12="nio",0,IF(K12&gt;0,VLOOKUP(G12,'3-Productie normen'!A:L,VLOOKUP(K12,'3-Productie normen'!N:O,2,FALSE),FALSE)))</f>
        <v>0</v>
      </c>
      <c r="N12" s="171" t="str">
        <f>VLOOKUP(G12,'3-Productie normen'!A:L,10,FALSE)</f>
        <v>V</v>
      </c>
      <c r="O12" s="171"/>
      <c r="Q12" s="130">
        <f t="shared" si="1"/>
        <v>4556.8500000000004</v>
      </c>
    </row>
    <row r="13" spans="1:17" ht="14.1" customHeight="1">
      <c r="A13" s="147">
        <v>13</v>
      </c>
      <c r="B13" s="165" t="s">
        <v>240</v>
      </c>
      <c r="C13" s="165" t="s">
        <v>529</v>
      </c>
      <c r="D13" s="133" t="s">
        <v>104</v>
      </c>
      <c r="E13" s="166" t="s">
        <v>248</v>
      </c>
      <c r="F13" s="167" t="s">
        <v>242</v>
      </c>
      <c r="G13" s="167" t="s">
        <v>217</v>
      </c>
      <c r="H13" s="167" t="s">
        <v>243</v>
      </c>
      <c r="I13" s="178">
        <v>17.149999999999999</v>
      </c>
      <c r="J13" s="482"/>
      <c r="K13" s="168">
        <v>255</v>
      </c>
      <c r="L13" s="169" t="e">
        <f t="shared" si="0"/>
        <v>#DIV/0!</v>
      </c>
      <c r="M13" s="170">
        <f>IF(K13="nio",0,IF(K13&gt;0,VLOOKUP(G13,'3-Productie normen'!A:L,VLOOKUP(K13,'3-Productie normen'!N:O,2,FALSE),FALSE)))</f>
        <v>0</v>
      </c>
      <c r="N13" s="171" t="str">
        <f>VLOOKUP(G13,'3-Productie normen'!A:L,10,FALSE)</f>
        <v>B</v>
      </c>
      <c r="O13" s="171"/>
      <c r="Q13" s="130">
        <f t="shared" si="1"/>
        <v>4373.25</v>
      </c>
    </row>
    <row r="14" spans="1:17" ht="14.1" customHeight="1">
      <c r="A14" s="147">
        <v>14</v>
      </c>
      <c r="B14" s="165" t="s">
        <v>240</v>
      </c>
      <c r="C14" s="165" t="s">
        <v>529</v>
      </c>
      <c r="D14" s="133" t="s">
        <v>104</v>
      </c>
      <c r="E14" s="176" t="s">
        <v>249</v>
      </c>
      <c r="F14" s="177" t="s">
        <v>242</v>
      </c>
      <c r="G14" s="177" t="s">
        <v>217</v>
      </c>
      <c r="H14" s="167" t="s">
        <v>243</v>
      </c>
      <c r="I14" s="178">
        <v>25.85</v>
      </c>
      <c r="J14" s="482"/>
      <c r="K14" s="168">
        <v>255</v>
      </c>
      <c r="L14" s="169" t="e">
        <f t="shared" si="0"/>
        <v>#DIV/0!</v>
      </c>
      <c r="M14" s="170">
        <f>IF(K14="nio",0,IF(K14&gt;0,VLOOKUP(G14,'3-Productie normen'!A:L,VLOOKUP(K14,'3-Productie normen'!N:O,2,FALSE),FALSE)))</f>
        <v>0</v>
      </c>
      <c r="N14" s="171" t="str">
        <f>VLOOKUP(G14,'3-Productie normen'!A:L,10,FALSE)</f>
        <v>B</v>
      </c>
      <c r="O14" s="171"/>
      <c r="Q14" s="130">
        <f t="shared" si="1"/>
        <v>6591.75</v>
      </c>
    </row>
    <row r="15" spans="1:17" ht="14.1" customHeight="1">
      <c r="A15" s="147">
        <v>15</v>
      </c>
      <c r="B15" s="165" t="s">
        <v>240</v>
      </c>
      <c r="C15" s="165" t="s">
        <v>529</v>
      </c>
      <c r="D15" s="133" t="s">
        <v>104</v>
      </c>
      <c r="E15" s="166" t="s">
        <v>250</v>
      </c>
      <c r="F15" s="167" t="s">
        <v>242</v>
      </c>
      <c r="G15" s="167" t="s">
        <v>217</v>
      </c>
      <c r="H15" s="167" t="s">
        <v>243</v>
      </c>
      <c r="I15" s="178">
        <v>17.11</v>
      </c>
      <c r="J15" s="482"/>
      <c r="K15" s="168">
        <v>255</v>
      </c>
      <c r="L15" s="169" t="e">
        <f t="shared" si="0"/>
        <v>#DIV/0!</v>
      </c>
      <c r="M15" s="170">
        <f>IF(K15="nio",0,IF(K15&gt;0,VLOOKUP(G15,'3-Productie normen'!A:L,VLOOKUP(K15,'3-Productie normen'!N:O,2,FALSE),FALSE)))</f>
        <v>0</v>
      </c>
      <c r="N15" s="171" t="str">
        <f>VLOOKUP(G15,'3-Productie normen'!A:L,10,FALSE)</f>
        <v>B</v>
      </c>
      <c r="O15" s="171"/>
      <c r="Q15" s="130">
        <f t="shared" si="1"/>
        <v>4363.05</v>
      </c>
    </row>
    <row r="16" spans="1:17" ht="14.1" customHeight="1">
      <c r="A16" s="147">
        <v>16</v>
      </c>
      <c r="B16" s="165" t="s">
        <v>240</v>
      </c>
      <c r="C16" s="165" t="s">
        <v>529</v>
      </c>
      <c r="D16" s="133" t="s">
        <v>104</v>
      </c>
      <c r="E16" s="166" t="s">
        <v>251</v>
      </c>
      <c r="F16" s="127" t="s">
        <v>242</v>
      </c>
      <c r="G16" s="127" t="s">
        <v>217</v>
      </c>
      <c r="H16" s="167" t="s">
        <v>243</v>
      </c>
      <c r="I16" s="178">
        <v>25.91</v>
      </c>
      <c r="J16" s="482"/>
      <c r="K16" s="168">
        <v>255</v>
      </c>
      <c r="L16" s="169" t="e">
        <f t="shared" si="0"/>
        <v>#DIV/0!</v>
      </c>
      <c r="M16" s="170">
        <f>IF(K16="nio",0,IF(K16&gt;0,VLOOKUP(G16,'3-Productie normen'!A:L,VLOOKUP(K16,'3-Productie normen'!N:O,2,FALSE),FALSE)))</f>
        <v>0</v>
      </c>
      <c r="N16" s="171" t="str">
        <f>VLOOKUP(G16,'3-Productie normen'!A:L,10,FALSE)</f>
        <v>B</v>
      </c>
      <c r="O16" s="171"/>
      <c r="Q16" s="130">
        <f t="shared" si="1"/>
        <v>6607.05</v>
      </c>
    </row>
    <row r="17" spans="1:17" ht="14.1" customHeight="1">
      <c r="A17" s="147">
        <v>17</v>
      </c>
      <c r="B17" s="165" t="s">
        <v>240</v>
      </c>
      <c r="C17" s="165" t="s">
        <v>529</v>
      </c>
      <c r="D17" s="133" t="s">
        <v>104</v>
      </c>
      <c r="E17" s="166" t="s">
        <v>252</v>
      </c>
      <c r="F17" s="127" t="s">
        <v>242</v>
      </c>
      <c r="G17" s="127" t="s">
        <v>217</v>
      </c>
      <c r="H17" s="167" t="s">
        <v>243</v>
      </c>
      <c r="I17" s="178">
        <v>43.94</v>
      </c>
      <c r="J17" s="482"/>
      <c r="K17" s="168">
        <v>255</v>
      </c>
      <c r="L17" s="169" t="e">
        <f t="shared" si="0"/>
        <v>#DIV/0!</v>
      </c>
      <c r="M17" s="170">
        <f>IF(K17="nio",0,IF(K17&gt;0,VLOOKUP(G17,'3-Productie normen'!A:L,VLOOKUP(K17,'3-Productie normen'!N:O,2,FALSE),FALSE)))</f>
        <v>0</v>
      </c>
      <c r="N17" s="171" t="str">
        <f>VLOOKUP(G17,'3-Productie normen'!A:L,10,FALSE)</f>
        <v>B</v>
      </c>
      <c r="O17" s="171"/>
      <c r="Q17" s="130">
        <f t="shared" si="1"/>
        <v>11204.699999999999</v>
      </c>
    </row>
    <row r="18" spans="1:17" ht="14.1" customHeight="1">
      <c r="A18" s="147">
        <v>18</v>
      </c>
      <c r="B18" s="165" t="s">
        <v>240</v>
      </c>
      <c r="C18" s="165" t="s">
        <v>529</v>
      </c>
      <c r="D18" s="133" t="s">
        <v>104</v>
      </c>
      <c r="E18" s="166" t="s">
        <v>253</v>
      </c>
      <c r="F18" s="127" t="s">
        <v>242</v>
      </c>
      <c r="G18" s="127" t="s">
        <v>217</v>
      </c>
      <c r="H18" s="167" t="s">
        <v>243</v>
      </c>
      <c r="I18" s="178">
        <v>35.49</v>
      </c>
      <c r="J18" s="482"/>
      <c r="K18" s="168">
        <v>255</v>
      </c>
      <c r="L18" s="169" t="e">
        <f t="shared" si="0"/>
        <v>#DIV/0!</v>
      </c>
      <c r="M18" s="170">
        <f>IF(K18="nio",0,IF(K18&gt;0,VLOOKUP(G18,'3-Productie normen'!A:L,VLOOKUP(K18,'3-Productie normen'!N:O,2,FALSE),FALSE)))</f>
        <v>0</v>
      </c>
      <c r="N18" s="171" t="str">
        <f>VLOOKUP(G18,'3-Productie normen'!A:L,10,FALSE)</f>
        <v>B</v>
      </c>
      <c r="O18" s="171"/>
      <c r="Q18" s="130">
        <f t="shared" si="1"/>
        <v>9049.9500000000007</v>
      </c>
    </row>
    <row r="19" spans="1:17" ht="14.1" customHeight="1">
      <c r="A19" s="147">
        <v>19</v>
      </c>
      <c r="B19" s="165" t="s">
        <v>240</v>
      </c>
      <c r="C19" s="165" t="s">
        <v>529</v>
      </c>
      <c r="D19" s="133" t="s">
        <v>104</v>
      </c>
      <c r="E19" s="166" t="s">
        <v>254</v>
      </c>
      <c r="F19" s="127" t="s">
        <v>242</v>
      </c>
      <c r="G19" s="127" t="s">
        <v>217</v>
      </c>
      <c r="H19" s="167" t="s">
        <v>243</v>
      </c>
      <c r="I19" s="178">
        <v>26.72</v>
      </c>
      <c r="J19" s="482"/>
      <c r="K19" s="168">
        <v>255</v>
      </c>
      <c r="L19" s="169" t="e">
        <f t="shared" si="0"/>
        <v>#DIV/0!</v>
      </c>
      <c r="M19" s="170">
        <f>IF(K19="nio",0,IF(K19&gt;0,VLOOKUP(G19,'3-Productie normen'!A:L,VLOOKUP(K19,'3-Productie normen'!N:O,2,FALSE),FALSE)))</f>
        <v>0</v>
      </c>
      <c r="N19" s="171" t="str">
        <f>VLOOKUP(G19,'3-Productie normen'!A:L,10,FALSE)</f>
        <v>B</v>
      </c>
      <c r="O19" s="171"/>
      <c r="Q19" s="130">
        <f t="shared" si="1"/>
        <v>6813.5999999999995</v>
      </c>
    </row>
    <row r="20" spans="1:17" ht="14.1" customHeight="1">
      <c r="A20" s="147">
        <v>20</v>
      </c>
      <c r="B20" s="165" t="s">
        <v>240</v>
      </c>
      <c r="C20" s="165" t="s">
        <v>529</v>
      </c>
      <c r="D20" s="133" t="s">
        <v>104</v>
      </c>
      <c r="E20" s="166" t="s">
        <v>255</v>
      </c>
      <c r="F20" s="127" t="s">
        <v>242</v>
      </c>
      <c r="G20" s="127" t="s">
        <v>217</v>
      </c>
      <c r="H20" s="167" t="s">
        <v>243</v>
      </c>
      <c r="I20" s="178">
        <v>17.55</v>
      </c>
      <c r="J20" s="482"/>
      <c r="K20" s="168">
        <v>255</v>
      </c>
      <c r="L20" s="169" t="e">
        <f t="shared" si="0"/>
        <v>#DIV/0!</v>
      </c>
      <c r="M20" s="170">
        <f>IF(K20="nio",0,IF(K20&gt;0,VLOOKUP(G20,'3-Productie normen'!A:L,VLOOKUP(K20,'3-Productie normen'!N:O,2,FALSE),FALSE)))</f>
        <v>0</v>
      </c>
      <c r="N20" s="171" t="str">
        <f>VLOOKUP(G20,'3-Productie normen'!A:L,10,FALSE)</f>
        <v>B</v>
      </c>
      <c r="O20" s="171"/>
      <c r="Q20" s="130">
        <f t="shared" si="1"/>
        <v>4475.25</v>
      </c>
    </row>
    <row r="21" spans="1:17" ht="14.1" customHeight="1">
      <c r="A21" s="147">
        <v>21</v>
      </c>
      <c r="B21" s="165" t="s">
        <v>240</v>
      </c>
      <c r="C21" s="165" t="s">
        <v>529</v>
      </c>
      <c r="D21" s="133" t="s">
        <v>104</v>
      </c>
      <c r="E21" s="166" t="s">
        <v>256</v>
      </c>
      <c r="F21" s="127" t="s">
        <v>242</v>
      </c>
      <c r="G21" s="127" t="s">
        <v>217</v>
      </c>
      <c r="H21" s="167" t="s">
        <v>243</v>
      </c>
      <c r="I21" s="178">
        <v>24.69</v>
      </c>
      <c r="J21" s="482"/>
      <c r="K21" s="168">
        <v>255</v>
      </c>
      <c r="L21" s="169" t="e">
        <f t="shared" si="0"/>
        <v>#DIV/0!</v>
      </c>
      <c r="M21" s="170">
        <f>IF(K21="nio",0,IF(K21&gt;0,VLOOKUP(G21,'3-Productie normen'!A:L,VLOOKUP(K21,'3-Productie normen'!N:O,2,FALSE),FALSE)))</f>
        <v>0</v>
      </c>
      <c r="N21" s="171" t="str">
        <f>VLOOKUP(G21,'3-Productie normen'!A:L,10,FALSE)</f>
        <v>B</v>
      </c>
      <c r="O21" s="171"/>
      <c r="Q21" s="130">
        <f t="shared" si="1"/>
        <v>6295.9500000000007</v>
      </c>
    </row>
    <row r="22" spans="1:17" ht="14.1" customHeight="1">
      <c r="A22" s="147">
        <v>22</v>
      </c>
      <c r="B22" s="165" t="s">
        <v>240</v>
      </c>
      <c r="C22" s="165" t="s">
        <v>529</v>
      </c>
      <c r="D22" s="133" t="s">
        <v>104</v>
      </c>
      <c r="E22" s="166" t="s">
        <v>257</v>
      </c>
      <c r="F22" s="127" t="s">
        <v>242</v>
      </c>
      <c r="G22" s="127" t="s">
        <v>217</v>
      </c>
      <c r="H22" s="167" t="s">
        <v>243</v>
      </c>
      <c r="I22" s="178">
        <v>64.8</v>
      </c>
      <c r="J22" s="482"/>
      <c r="K22" s="168">
        <v>255</v>
      </c>
      <c r="L22" s="169" t="e">
        <f t="shared" si="0"/>
        <v>#DIV/0!</v>
      </c>
      <c r="M22" s="170">
        <f>IF(K22="nio",0,IF(K22&gt;0,VLOOKUP(G22,'3-Productie normen'!A:L,VLOOKUP(K22,'3-Productie normen'!N:O,2,FALSE),FALSE)))</f>
        <v>0</v>
      </c>
      <c r="N22" s="171" t="str">
        <f>VLOOKUP(G22,'3-Productie normen'!A:L,10,FALSE)</f>
        <v>B</v>
      </c>
      <c r="O22" s="171"/>
      <c r="Q22" s="130">
        <f t="shared" si="1"/>
        <v>16524</v>
      </c>
    </row>
    <row r="23" spans="1:17" ht="14.1" customHeight="1">
      <c r="A23" s="147">
        <v>23</v>
      </c>
      <c r="B23" s="165" t="s">
        <v>240</v>
      </c>
      <c r="C23" s="165" t="s">
        <v>529</v>
      </c>
      <c r="D23" s="133" t="s">
        <v>104</v>
      </c>
      <c r="E23" s="166" t="s">
        <v>258</v>
      </c>
      <c r="F23" s="127" t="s">
        <v>242</v>
      </c>
      <c r="G23" s="127" t="s">
        <v>217</v>
      </c>
      <c r="H23" s="167" t="s">
        <v>243</v>
      </c>
      <c r="I23" s="178">
        <v>42.83</v>
      </c>
      <c r="J23" s="482"/>
      <c r="K23" s="168">
        <v>255</v>
      </c>
      <c r="L23" s="169" t="e">
        <f t="shared" si="0"/>
        <v>#DIV/0!</v>
      </c>
      <c r="M23" s="170">
        <f>IF(K23="nio",0,IF(K23&gt;0,VLOOKUP(G23,'3-Productie normen'!A:L,VLOOKUP(K23,'3-Productie normen'!N:O,2,FALSE),FALSE)))</f>
        <v>0</v>
      </c>
      <c r="N23" s="171" t="str">
        <f>VLOOKUP(G23,'3-Productie normen'!A:L,10,FALSE)</f>
        <v>B</v>
      </c>
      <c r="O23" s="171"/>
      <c r="Q23" s="130">
        <f t="shared" si="1"/>
        <v>10921.65</v>
      </c>
    </row>
    <row r="24" spans="1:17" ht="14.1" customHeight="1">
      <c r="A24" s="147">
        <v>24</v>
      </c>
      <c r="B24" s="165" t="s">
        <v>240</v>
      </c>
      <c r="C24" s="165" t="s">
        <v>529</v>
      </c>
      <c r="D24" s="133" t="s">
        <v>104</v>
      </c>
      <c r="E24" s="166" t="s">
        <v>259</v>
      </c>
      <c r="F24" s="165" t="s">
        <v>242</v>
      </c>
      <c r="G24" s="165" t="s">
        <v>217</v>
      </c>
      <c r="H24" s="167" t="s">
        <v>243</v>
      </c>
      <c r="I24" s="178">
        <v>26.31</v>
      </c>
      <c r="J24" s="482"/>
      <c r="K24" s="168">
        <v>255</v>
      </c>
      <c r="L24" s="169" t="e">
        <f t="shared" si="0"/>
        <v>#DIV/0!</v>
      </c>
      <c r="M24" s="170">
        <f>IF(K24="nio",0,IF(K24&gt;0,VLOOKUP(G24,'3-Productie normen'!A:L,VLOOKUP(K24,'3-Productie normen'!N:O,2,FALSE),FALSE)))</f>
        <v>0</v>
      </c>
      <c r="N24" s="171" t="str">
        <f>VLOOKUP(G24,'3-Productie normen'!A:L,10,FALSE)</f>
        <v>B</v>
      </c>
      <c r="O24" s="171"/>
      <c r="Q24" s="130">
        <f t="shared" si="1"/>
        <v>6709.0499999999993</v>
      </c>
    </row>
    <row r="25" spans="1:17" ht="14.1" customHeight="1">
      <c r="A25" s="147">
        <v>25</v>
      </c>
      <c r="B25" s="165" t="s">
        <v>240</v>
      </c>
      <c r="C25" s="165" t="s">
        <v>529</v>
      </c>
      <c r="D25" s="133" t="s">
        <v>104</v>
      </c>
      <c r="E25" s="166" t="s">
        <v>260</v>
      </c>
      <c r="F25" s="167" t="s">
        <v>242</v>
      </c>
      <c r="G25" s="167" t="s">
        <v>217</v>
      </c>
      <c r="H25" s="167" t="s">
        <v>243</v>
      </c>
      <c r="I25" s="178">
        <v>41.6</v>
      </c>
      <c r="J25" s="482"/>
      <c r="K25" s="168">
        <v>255</v>
      </c>
      <c r="L25" s="169" t="e">
        <f t="shared" si="0"/>
        <v>#DIV/0!</v>
      </c>
      <c r="M25" s="170">
        <f>IF(K25="nio",0,IF(K25&gt;0,VLOOKUP(G25,'3-Productie normen'!A:L,VLOOKUP(K25,'3-Productie normen'!N:O,2,FALSE),FALSE)))</f>
        <v>0</v>
      </c>
      <c r="N25" s="171" t="str">
        <f>VLOOKUP(G25,'3-Productie normen'!A:L,10,FALSE)</f>
        <v>B</v>
      </c>
      <c r="O25" s="171"/>
      <c r="Q25" s="130">
        <f t="shared" si="1"/>
        <v>10608</v>
      </c>
    </row>
    <row r="26" spans="1:17" ht="14.1" customHeight="1">
      <c r="A26" s="147">
        <v>26</v>
      </c>
      <c r="B26" s="165" t="s">
        <v>240</v>
      </c>
      <c r="C26" s="165" t="s">
        <v>529</v>
      </c>
      <c r="D26" s="133" t="s">
        <v>104</v>
      </c>
      <c r="E26" s="166" t="s">
        <v>261</v>
      </c>
      <c r="F26" s="167" t="s">
        <v>242</v>
      </c>
      <c r="G26" s="167" t="s">
        <v>217</v>
      </c>
      <c r="H26" s="167" t="s">
        <v>243</v>
      </c>
      <c r="I26" s="178">
        <v>56.29</v>
      </c>
      <c r="J26" s="482"/>
      <c r="K26" s="168">
        <v>255</v>
      </c>
      <c r="L26" s="169" t="e">
        <f t="shared" si="0"/>
        <v>#DIV/0!</v>
      </c>
      <c r="M26" s="170">
        <f>IF(K26="nio",0,IF(K26&gt;0,VLOOKUP(G26,'3-Productie normen'!A:L,VLOOKUP(K26,'3-Productie normen'!N:O,2,FALSE),FALSE)))</f>
        <v>0</v>
      </c>
      <c r="N26" s="171" t="str">
        <f>VLOOKUP(G26,'3-Productie normen'!A:L,10,FALSE)</f>
        <v>B</v>
      </c>
      <c r="O26" s="171"/>
      <c r="Q26" s="130">
        <f t="shared" si="1"/>
        <v>14353.949999999999</v>
      </c>
    </row>
    <row r="27" spans="1:17" ht="14.1" customHeight="1">
      <c r="A27" s="147">
        <v>27</v>
      </c>
      <c r="B27" s="165" t="s">
        <v>240</v>
      </c>
      <c r="C27" s="165" t="s">
        <v>529</v>
      </c>
      <c r="D27" s="133" t="s">
        <v>104</v>
      </c>
      <c r="E27" s="166" t="s">
        <v>262</v>
      </c>
      <c r="F27" s="167" t="s">
        <v>242</v>
      </c>
      <c r="G27" s="167" t="s">
        <v>217</v>
      </c>
      <c r="H27" s="167" t="s">
        <v>243</v>
      </c>
      <c r="I27" s="178">
        <v>24.83</v>
      </c>
      <c r="J27" s="482"/>
      <c r="K27" s="168">
        <v>255</v>
      </c>
      <c r="L27" s="169" t="e">
        <f t="shared" si="0"/>
        <v>#DIV/0!</v>
      </c>
      <c r="M27" s="170">
        <f>IF(K27="nio",0,IF(K27&gt;0,VLOOKUP(G27,'3-Productie normen'!A:L,VLOOKUP(K27,'3-Productie normen'!N:O,2,FALSE),FALSE)))</f>
        <v>0</v>
      </c>
      <c r="N27" s="171" t="str">
        <f>VLOOKUP(G27,'3-Productie normen'!A:L,10,FALSE)</f>
        <v>B</v>
      </c>
      <c r="O27" s="171"/>
      <c r="Q27" s="130">
        <f t="shared" si="1"/>
        <v>6331.65</v>
      </c>
    </row>
    <row r="28" spans="1:17" ht="14.1" customHeight="1">
      <c r="A28" s="147">
        <v>28</v>
      </c>
      <c r="B28" s="165" t="s">
        <v>240</v>
      </c>
      <c r="C28" s="165" t="s">
        <v>529</v>
      </c>
      <c r="D28" s="133" t="s">
        <v>104</v>
      </c>
      <c r="E28" s="166" t="s">
        <v>263</v>
      </c>
      <c r="F28" s="167" t="s">
        <v>242</v>
      </c>
      <c r="G28" s="167" t="s">
        <v>217</v>
      </c>
      <c r="H28" s="167" t="s">
        <v>243</v>
      </c>
      <c r="I28" s="178">
        <v>688.1</v>
      </c>
      <c r="J28" s="482"/>
      <c r="K28" s="168">
        <v>255</v>
      </c>
      <c r="L28" s="169" t="e">
        <f t="shared" si="0"/>
        <v>#DIV/0!</v>
      </c>
      <c r="M28" s="170">
        <f>IF(K28="nio",0,IF(K28&gt;0,VLOOKUP(G28,'3-Productie normen'!A:L,VLOOKUP(K28,'3-Productie normen'!N:O,2,FALSE),FALSE)))</f>
        <v>0</v>
      </c>
      <c r="N28" s="171" t="str">
        <f>VLOOKUP(G28,'3-Productie normen'!A:L,10,FALSE)</f>
        <v>B</v>
      </c>
      <c r="O28" s="171"/>
      <c r="Q28" s="130">
        <f t="shared" si="1"/>
        <v>175465.5</v>
      </c>
    </row>
    <row r="29" spans="1:17" ht="14.1" customHeight="1">
      <c r="A29" s="147">
        <v>29</v>
      </c>
      <c r="B29" s="165" t="s">
        <v>240</v>
      </c>
      <c r="C29" s="165" t="s">
        <v>529</v>
      </c>
      <c r="D29" s="133" t="s">
        <v>104</v>
      </c>
      <c r="E29" s="166" t="s">
        <v>263</v>
      </c>
      <c r="F29" s="173" t="s">
        <v>242</v>
      </c>
      <c r="G29" s="173" t="s">
        <v>217</v>
      </c>
      <c r="H29" s="167" t="s">
        <v>264</v>
      </c>
      <c r="I29" s="178">
        <v>47.93</v>
      </c>
      <c r="J29" s="482"/>
      <c r="K29" s="168">
        <v>255</v>
      </c>
      <c r="L29" s="169" t="e">
        <f t="shared" si="0"/>
        <v>#DIV/0!</v>
      </c>
      <c r="M29" s="170">
        <f>IF(K29="nio",0,IF(K29&gt;0,VLOOKUP(G29,'3-Productie normen'!A:L,VLOOKUP(K29,'3-Productie normen'!N:O,2,FALSE),FALSE)))</f>
        <v>0</v>
      </c>
      <c r="N29" s="171" t="str">
        <f>VLOOKUP(G29,'3-Productie normen'!A:L,10,FALSE)</f>
        <v>B</v>
      </c>
      <c r="O29" s="171"/>
      <c r="Q29" s="130">
        <f t="shared" si="1"/>
        <v>12222.15</v>
      </c>
    </row>
    <row r="30" spans="1:17" ht="14.1" customHeight="1">
      <c r="A30" s="147">
        <v>30</v>
      </c>
      <c r="B30" s="165" t="s">
        <v>240</v>
      </c>
      <c r="C30" s="165" t="s">
        <v>529</v>
      </c>
      <c r="D30" s="133" t="s">
        <v>104</v>
      </c>
      <c r="E30" s="166" t="s">
        <v>265</v>
      </c>
      <c r="F30" s="174" t="s">
        <v>266</v>
      </c>
      <c r="G30" s="174" t="s">
        <v>217</v>
      </c>
      <c r="H30" s="175" t="s">
        <v>243</v>
      </c>
      <c r="I30" s="178">
        <v>16.760000000000002</v>
      </c>
      <c r="J30" s="482"/>
      <c r="K30" s="168">
        <v>255</v>
      </c>
      <c r="L30" s="169" t="e">
        <f t="shared" si="0"/>
        <v>#DIV/0!</v>
      </c>
      <c r="M30" s="170">
        <f>IF(K30="nio",0,IF(K30&gt;0,VLOOKUP(G30,'3-Productie normen'!A:L,VLOOKUP(K30,'3-Productie normen'!N:O,2,FALSE),FALSE)))</f>
        <v>0</v>
      </c>
      <c r="N30" s="171" t="str">
        <f>VLOOKUP(G30,'3-Productie normen'!A:L,10,FALSE)</f>
        <v>B</v>
      </c>
      <c r="O30" s="171"/>
      <c r="Q30" s="130">
        <f t="shared" si="1"/>
        <v>4273.8</v>
      </c>
    </row>
    <row r="31" spans="1:17" ht="14.1" customHeight="1">
      <c r="A31" s="147">
        <v>31</v>
      </c>
      <c r="B31" s="165" t="s">
        <v>240</v>
      </c>
      <c r="C31" s="165" t="s">
        <v>529</v>
      </c>
      <c r="D31" s="179" t="s">
        <v>104</v>
      </c>
      <c r="E31" s="176" t="s">
        <v>267</v>
      </c>
      <c r="F31" s="177" t="s">
        <v>268</v>
      </c>
      <c r="G31" s="177" t="s">
        <v>247</v>
      </c>
      <c r="H31" s="167" t="s">
        <v>243</v>
      </c>
      <c r="I31" s="178">
        <v>14.2</v>
      </c>
      <c r="J31" s="482"/>
      <c r="K31" s="168">
        <v>255</v>
      </c>
      <c r="L31" s="169" t="e">
        <f t="shared" si="0"/>
        <v>#DIV/0!</v>
      </c>
      <c r="M31" s="170">
        <f>IF(K31="nio",0,IF(K31&gt;0,VLOOKUP(G31,'3-Productie normen'!A:L,VLOOKUP(K31,'3-Productie normen'!N:O,2,FALSE),FALSE)))</f>
        <v>0</v>
      </c>
      <c r="N31" s="171" t="str">
        <f>VLOOKUP(G31,'3-Productie normen'!A:L,10,FALSE)</f>
        <v>V</v>
      </c>
      <c r="O31" s="171"/>
      <c r="Q31" s="130">
        <f t="shared" si="1"/>
        <v>3621</v>
      </c>
    </row>
    <row r="32" spans="1:17" ht="14.1" customHeight="1">
      <c r="A32" s="147">
        <v>32</v>
      </c>
      <c r="B32" s="165" t="s">
        <v>240</v>
      </c>
      <c r="C32" s="165" t="s">
        <v>529</v>
      </c>
      <c r="D32" s="133" t="s">
        <v>104</v>
      </c>
      <c r="E32" s="166" t="s">
        <v>269</v>
      </c>
      <c r="F32" s="167" t="s">
        <v>268</v>
      </c>
      <c r="G32" s="167" t="s">
        <v>247</v>
      </c>
      <c r="H32" s="167" t="s">
        <v>243</v>
      </c>
      <c r="I32" s="178">
        <v>11.63</v>
      </c>
      <c r="J32" s="482"/>
      <c r="K32" s="168">
        <v>255</v>
      </c>
      <c r="L32" s="169" t="e">
        <f t="shared" si="0"/>
        <v>#DIV/0!</v>
      </c>
      <c r="M32" s="170">
        <f>IF(K32="nio",0,IF(K32&gt;0,VLOOKUP(G32,'3-Productie normen'!A:L,VLOOKUP(K32,'3-Productie normen'!N:O,2,FALSE),FALSE)))</f>
        <v>0</v>
      </c>
      <c r="N32" s="171" t="str">
        <f>VLOOKUP(G32,'3-Productie normen'!A:L,10,FALSE)</f>
        <v>V</v>
      </c>
      <c r="O32" s="171"/>
      <c r="Q32" s="130">
        <f t="shared" si="1"/>
        <v>2965.65</v>
      </c>
    </row>
    <row r="33" spans="1:17" ht="14.1" customHeight="1">
      <c r="A33" s="147">
        <v>33</v>
      </c>
      <c r="B33" s="165" t="s">
        <v>240</v>
      </c>
      <c r="C33" s="165" t="s">
        <v>529</v>
      </c>
      <c r="D33" s="133" t="s">
        <v>104</v>
      </c>
      <c r="E33" s="166" t="s">
        <v>270</v>
      </c>
      <c r="F33" s="127" t="s">
        <v>268</v>
      </c>
      <c r="G33" s="127" t="s">
        <v>247</v>
      </c>
      <c r="H33" s="167" t="s">
        <v>243</v>
      </c>
      <c r="I33" s="178">
        <v>11.69</v>
      </c>
      <c r="J33" s="482"/>
      <c r="K33" s="168">
        <v>255</v>
      </c>
      <c r="L33" s="169" t="e">
        <f t="shared" si="0"/>
        <v>#DIV/0!</v>
      </c>
      <c r="M33" s="170">
        <f>IF(K33="nio",0,IF(K33&gt;0,VLOOKUP(G33,'3-Productie normen'!A:L,VLOOKUP(K33,'3-Productie normen'!N:O,2,FALSE),FALSE)))</f>
        <v>0</v>
      </c>
      <c r="N33" s="171" t="str">
        <f>VLOOKUP(G33,'3-Productie normen'!A:L,10,FALSE)</f>
        <v>V</v>
      </c>
      <c r="O33" s="171"/>
      <c r="Q33" s="130">
        <f t="shared" si="1"/>
        <v>2980.95</v>
      </c>
    </row>
    <row r="34" spans="1:17" ht="14.1" customHeight="1">
      <c r="A34" s="147">
        <v>34</v>
      </c>
      <c r="B34" s="165" t="s">
        <v>240</v>
      </c>
      <c r="C34" s="165" t="s">
        <v>529</v>
      </c>
      <c r="D34" s="133" t="s">
        <v>104</v>
      </c>
      <c r="E34" s="166" t="s">
        <v>271</v>
      </c>
      <c r="F34" s="127" t="s">
        <v>268</v>
      </c>
      <c r="G34" s="127" t="s">
        <v>247</v>
      </c>
      <c r="H34" s="167" t="s">
        <v>243</v>
      </c>
      <c r="I34" s="178">
        <v>11.63</v>
      </c>
      <c r="J34" s="482"/>
      <c r="K34" s="168">
        <v>255</v>
      </c>
      <c r="L34" s="169" t="e">
        <f t="shared" si="0"/>
        <v>#DIV/0!</v>
      </c>
      <c r="M34" s="170">
        <f>IF(K34="nio",0,IF(K34&gt;0,VLOOKUP(G34,'3-Productie normen'!A:L,VLOOKUP(K34,'3-Productie normen'!N:O,2,FALSE),FALSE)))</f>
        <v>0</v>
      </c>
      <c r="N34" s="171" t="str">
        <f>VLOOKUP(G34,'3-Productie normen'!A:L,10,FALSE)</f>
        <v>V</v>
      </c>
      <c r="O34" s="171"/>
      <c r="Q34" s="130">
        <f t="shared" si="1"/>
        <v>2965.65</v>
      </c>
    </row>
    <row r="35" spans="1:17" ht="14.1" customHeight="1">
      <c r="A35" s="147">
        <v>35</v>
      </c>
      <c r="B35" s="165" t="s">
        <v>240</v>
      </c>
      <c r="C35" s="165" t="s">
        <v>529</v>
      </c>
      <c r="D35" s="133" t="s">
        <v>104</v>
      </c>
      <c r="E35" s="166" t="s">
        <v>272</v>
      </c>
      <c r="F35" s="127" t="s">
        <v>273</v>
      </c>
      <c r="G35" s="127" t="s">
        <v>217</v>
      </c>
      <c r="H35" s="167" t="s">
        <v>243</v>
      </c>
      <c r="I35" s="178">
        <v>15.42</v>
      </c>
      <c r="J35" s="482"/>
      <c r="K35" s="168">
        <v>255</v>
      </c>
      <c r="L35" s="169" t="e">
        <f t="shared" si="0"/>
        <v>#DIV/0!</v>
      </c>
      <c r="M35" s="170">
        <f>IF(K35="nio",0,IF(K35&gt;0,VLOOKUP(G35,'3-Productie normen'!A:L,VLOOKUP(K35,'3-Productie normen'!N:O,2,FALSE),FALSE)))</f>
        <v>0</v>
      </c>
      <c r="N35" s="171" t="str">
        <f>VLOOKUP(G35,'3-Productie normen'!A:L,10,FALSE)</f>
        <v>B</v>
      </c>
      <c r="O35" s="171"/>
      <c r="Q35" s="130">
        <f t="shared" si="1"/>
        <v>3932.1</v>
      </c>
    </row>
    <row r="36" spans="1:17" ht="14.1" customHeight="1">
      <c r="A36" s="147">
        <v>36</v>
      </c>
      <c r="B36" s="165" t="s">
        <v>240</v>
      </c>
      <c r="C36" s="165" t="s">
        <v>529</v>
      </c>
      <c r="D36" s="133" t="s">
        <v>104</v>
      </c>
      <c r="E36" s="166" t="s">
        <v>274</v>
      </c>
      <c r="F36" s="127" t="s">
        <v>275</v>
      </c>
      <c r="G36" s="127" t="s">
        <v>217</v>
      </c>
      <c r="H36" s="167" t="s">
        <v>243</v>
      </c>
      <c r="I36" s="178">
        <v>11.5</v>
      </c>
      <c r="J36" s="482"/>
      <c r="K36" s="168">
        <v>255</v>
      </c>
      <c r="L36" s="169" t="e">
        <f t="shared" si="0"/>
        <v>#DIV/0!</v>
      </c>
      <c r="M36" s="170">
        <f>IF(K36="nio",0,IF(K36&gt;0,VLOOKUP(G36,'3-Productie normen'!A:L,VLOOKUP(K36,'3-Productie normen'!N:O,2,FALSE),FALSE)))</f>
        <v>0</v>
      </c>
      <c r="N36" s="171" t="str">
        <f>VLOOKUP(G36,'3-Productie normen'!A:L,10,FALSE)</f>
        <v>B</v>
      </c>
      <c r="O36" s="171"/>
      <c r="Q36" s="130">
        <f t="shared" si="1"/>
        <v>2932.5</v>
      </c>
    </row>
    <row r="37" spans="1:17" ht="14.1" customHeight="1">
      <c r="A37" s="147">
        <v>37</v>
      </c>
      <c r="B37" s="165" t="s">
        <v>240</v>
      </c>
      <c r="C37" s="165" t="s">
        <v>529</v>
      </c>
      <c r="D37" s="133" t="s">
        <v>104</v>
      </c>
      <c r="E37" s="166" t="s">
        <v>276</v>
      </c>
      <c r="F37" s="127" t="s">
        <v>277</v>
      </c>
      <c r="G37" s="127" t="s">
        <v>217</v>
      </c>
      <c r="H37" s="167" t="s">
        <v>243</v>
      </c>
      <c r="I37" s="178">
        <v>17.3</v>
      </c>
      <c r="J37" s="482"/>
      <c r="K37" s="168">
        <v>255</v>
      </c>
      <c r="L37" s="169" t="e">
        <f t="shared" si="0"/>
        <v>#DIV/0!</v>
      </c>
      <c r="M37" s="170">
        <f>IF(K37="nio",0,IF(K37&gt;0,VLOOKUP(G37,'3-Productie normen'!A:L,VLOOKUP(K37,'3-Productie normen'!N:O,2,FALSE),FALSE)))</f>
        <v>0</v>
      </c>
      <c r="N37" s="171" t="str">
        <f>VLOOKUP(G37,'3-Productie normen'!A:L,10,FALSE)</f>
        <v>B</v>
      </c>
      <c r="O37" s="171"/>
      <c r="Q37" s="130">
        <f t="shared" si="1"/>
        <v>4411.5</v>
      </c>
    </row>
    <row r="38" spans="1:17" ht="14.1" customHeight="1">
      <c r="A38" s="147">
        <v>38</v>
      </c>
      <c r="B38" s="165" t="s">
        <v>240</v>
      </c>
      <c r="C38" s="165" t="s">
        <v>529</v>
      </c>
      <c r="D38" s="133" t="s">
        <v>104</v>
      </c>
      <c r="E38" s="166" t="s">
        <v>278</v>
      </c>
      <c r="F38" s="127" t="s">
        <v>279</v>
      </c>
      <c r="G38" s="127" t="s">
        <v>217</v>
      </c>
      <c r="H38" s="167" t="s">
        <v>243</v>
      </c>
      <c r="I38" s="178">
        <v>21.64</v>
      </c>
      <c r="J38" s="482"/>
      <c r="K38" s="168">
        <v>255</v>
      </c>
      <c r="L38" s="169" t="e">
        <f t="shared" si="0"/>
        <v>#DIV/0!</v>
      </c>
      <c r="M38" s="170">
        <f>IF(K38="nio",0,IF(K38&gt;0,VLOOKUP(G38,'3-Productie normen'!A:L,VLOOKUP(K38,'3-Productie normen'!N:O,2,FALSE),FALSE)))</f>
        <v>0</v>
      </c>
      <c r="N38" s="171" t="str">
        <f>VLOOKUP(G38,'3-Productie normen'!A:L,10,FALSE)</f>
        <v>B</v>
      </c>
      <c r="O38" s="171"/>
      <c r="Q38" s="130">
        <f t="shared" si="1"/>
        <v>5518.2</v>
      </c>
    </row>
    <row r="39" spans="1:17" ht="14.1" customHeight="1">
      <c r="A39" s="147">
        <v>39</v>
      </c>
      <c r="B39" s="165" t="s">
        <v>240</v>
      </c>
      <c r="C39" s="165" t="s">
        <v>529</v>
      </c>
      <c r="D39" s="133" t="s">
        <v>104</v>
      </c>
      <c r="E39" s="166" t="s">
        <v>280</v>
      </c>
      <c r="F39" s="127" t="s">
        <v>242</v>
      </c>
      <c r="G39" s="127" t="s">
        <v>217</v>
      </c>
      <c r="H39" s="167" t="s">
        <v>243</v>
      </c>
      <c r="I39" s="178">
        <v>121.77</v>
      </c>
      <c r="J39" s="482"/>
      <c r="K39" s="168">
        <v>255</v>
      </c>
      <c r="L39" s="169" t="e">
        <f t="shared" si="0"/>
        <v>#DIV/0!</v>
      </c>
      <c r="M39" s="170">
        <f>IF(K39="nio",0,IF(K39&gt;0,VLOOKUP(G39,'3-Productie normen'!A:L,VLOOKUP(K39,'3-Productie normen'!N:O,2,FALSE),FALSE)))</f>
        <v>0</v>
      </c>
      <c r="N39" s="171" t="str">
        <f>VLOOKUP(G39,'3-Productie normen'!A:L,10,FALSE)</f>
        <v>B</v>
      </c>
      <c r="O39" s="171"/>
      <c r="Q39" s="130">
        <f t="shared" si="1"/>
        <v>31051.35</v>
      </c>
    </row>
    <row r="40" spans="1:17" ht="14.1" customHeight="1">
      <c r="A40" s="147">
        <v>40</v>
      </c>
      <c r="B40" s="165" t="s">
        <v>240</v>
      </c>
      <c r="C40" s="165" t="s">
        <v>529</v>
      </c>
      <c r="D40" s="133" t="s">
        <v>104</v>
      </c>
      <c r="E40" s="166" t="s">
        <v>281</v>
      </c>
      <c r="F40" s="127" t="s">
        <v>242</v>
      </c>
      <c r="G40" s="127" t="s">
        <v>217</v>
      </c>
      <c r="H40" s="167" t="s">
        <v>243</v>
      </c>
      <c r="I40" s="178">
        <v>17.809999999999999</v>
      </c>
      <c r="J40" s="482"/>
      <c r="K40" s="168">
        <v>255</v>
      </c>
      <c r="L40" s="169" t="e">
        <f t="shared" si="0"/>
        <v>#DIV/0!</v>
      </c>
      <c r="M40" s="170">
        <f>IF(K40="nio",0,IF(K40&gt;0,VLOOKUP(G40,'3-Productie normen'!A:L,VLOOKUP(K40,'3-Productie normen'!N:O,2,FALSE),FALSE)))</f>
        <v>0</v>
      </c>
      <c r="N40" s="171" t="str">
        <f>VLOOKUP(G40,'3-Productie normen'!A:L,10,FALSE)</f>
        <v>B</v>
      </c>
      <c r="O40" s="171"/>
      <c r="Q40" s="130">
        <f t="shared" si="1"/>
        <v>4541.5499999999993</v>
      </c>
    </row>
    <row r="41" spans="1:17" ht="14.1" customHeight="1">
      <c r="A41" s="147">
        <v>41</v>
      </c>
      <c r="B41" s="165" t="s">
        <v>240</v>
      </c>
      <c r="C41" s="165" t="s">
        <v>529</v>
      </c>
      <c r="D41" s="133" t="s">
        <v>104</v>
      </c>
      <c r="E41" s="166" t="s">
        <v>282</v>
      </c>
      <c r="F41" s="127" t="s">
        <v>242</v>
      </c>
      <c r="G41" s="127" t="s">
        <v>217</v>
      </c>
      <c r="H41" s="167" t="s">
        <v>243</v>
      </c>
      <c r="I41" s="178">
        <v>17.62</v>
      </c>
      <c r="J41" s="482"/>
      <c r="K41" s="168">
        <v>255</v>
      </c>
      <c r="L41" s="169" t="e">
        <f t="shared" si="0"/>
        <v>#DIV/0!</v>
      </c>
      <c r="M41" s="170">
        <f>IF(K41="nio",0,IF(K41&gt;0,VLOOKUP(G41,'3-Productie normen'!A:L,VLOOKUP(K41,'3-Productie normen'!N:O,2,FALSE),FALSE)))</f>
        <v>0</v>
      </c>
      <c r="N41" s="171" t="str">
        <f>VLOOKUP(G41,'3-Productie normen'!A:L,10,FALSE)</f>
        <v>B</v>
      </c>
      <c r="O41" s="171"/>
      <c r="Q41" s="130">
        <f t="shared" si="1"/>
        <v>4493.1000000000004</v>
      </c>
    </row>
    <row r="42" spans="1:17" ht="14.1" customHeight="1">
      <c r="A42" s="147">
        <v>42</v>
      </c>
      <c r="B42" s="165" t="s">
        <v>240</v>
      </c>
      <c r="C42" s="165" t="s">
        <v>529</v>
      </c>
      <c r="D42" s="133" t="s">
        <v>104</v>
      </c>
      <c r="E42" s="166" t="s">
        <v>283</v>
      </c>
      <c r="F42" s="127" t="s">
        <v>284</v>
      </c>
      <c r="G42" s="127" t="s">
        <v>285</v>
      </c>
      <c r="H42" s="167" t="s">
        <v>264</v>
      </c>
      <c r="I42" s="178">
        <v>6.06</v>
      </c>
      <c r="J42" s="482"/>
      <c r="K42" s="168">
        <v>12</v>
      </c>
      <c r="L42" s="169" t="e">
        <f t="shared" si="0"/>
        <v>#DIV/0!</v>
      </c>
      <c r="M42" s="170">
        <f>IF(K42="nio",0,IF(K42&gt;0,VLOOKUP(G42,'3-Productie normen'!A:L,VLOOKUP(K42,'3-Productie normen'!N:O,2,FALSE),FALSE)))</f>
        <v>0</v>
      </c>
      <c r="N42" s="171" t="str">
        <f>VLOOKUP(G42,'3-Productie normen'!A:L,10,FALSE)</f>
        <v>V</v>
      </c>
      <c r="O42" s="171"/>
      <c r="Q42" s="130">
        <f t="shared" si="1"/>
        <v>72.72</v>
      </c>
    </row>
    <row r="43" spans="1:17" ht="14.1" customHeight="1">
      <c r="A43" s="147">
        <v>43</v>
      </c>
      <c r="B43" s="165" t="s">
        <v>240</v>
      </c>
      <c r="C43" s="165" t="s">
        <v>529</v>
      </c>
      <c r="D43" s="133" t="s">
        <v>104</v>
      </c>
      <c r="E43" s="166" t="s">
        <v>286</v>
      </c>
      <c r="F43" s="127" t="s">
        <v>287</v>
      </c>
      <c r="G43" s="127" t="s">
        <v>288</v>
      </c>
      <c r="H43" s="167" t="s">
        <v>243</v>
      </c>
      <c r="I43" s="178">
        <v>6.57</v>
      </c>
      <c r="J43" s="482"/>
      <c r="K43" s="168">
        <v>255</v>
      </c>
      <c r="L43" s="169" t="e">
        <f t="shared" si="0"/>
        <v>#DIV/0!</v>
      </c>
      <c r="M43" s="170">
        <f>IF(K43="nio",0,IF(K43&gt;0,VLOOKUP(G43,'3-Productie normen'!A:L,VLOOKUP(K43,'3-Productie normen'!N:O,2,FALSE),FALSE)))</f>
        <v>0</v>
      </c>
      <c r="N43" s="171" t="str">
        <f>VLOOKUP(G43,'3-Productie normen'!A:L,10,FALSE)</f>
        <v>V</v>
      </c>
      <c r="O43" s="171"/>
      <c r="Q43" s="130">
        <f t="shared" si="1"/>
        <v>1675.3500000000001</v>
      </c>
    </row>
    <row r="44" spans="1:17" ht="14.1" customHeight="1">
      <c r="A44" s="147">
        <v>44</v>
      </c>
      <c r="B44" s="165" t="s">
        <v>240</v>
      </c>
      <c r="C44" s="165" t="s">
        <v>529</v>
      </c>
      <c r="D44" s="133" t="s">
        <v>104</v>
      </c>
      <c r="E44" s="166" t="s">
        <v>289</v>
      </c>
      <c r="F44" s="127" t="s">
        <v>290</v>
      </c>
      <c r="G44" s="127" t="s">
        <v>285</v>
      </c>
      <c r="H44" s="167" t="s">
        <v>264</v>
      </c>
      <c r="I44" s="178">
        <v>16.57</v>
      </c>
      <c r="J44" s="482"/>
      <c r="K44" s="168">
        <v>12</v>
      </c>
      <c r="L44" s="169" t="e">
        <f t="shared" si="0"/>
        <v>#DIV/0!</v>
      </c>
      <c r="M44" s="170">
        <f>IF(K44="nio",0,IF(K44&gt;0,VLOOKUP(G44,'3-Productie normen'!A:L,VLOOKUP(K44,'3-Productie normen'!N:O,2,FALSE),FALSE)))</f>
        <v>0</v>
      </c>
      <c r="N44" s="171" t="str">
        <f>VLOOKUP(G44,'3-Productie normen'!A:L,10,FALSE)</f>
        <v>V</v>
      </c>
      <c r="O44" s="171"/>
      <c r="Q44" s="130">
        <f t="shared" si="1"/>
        <v>198.84</v>
      </c>
    </row>
    <row r="45" spans="1:17" ht="14.1" customHeight="1">
      <c r="A45" s="147">
        <v>45</v>
      </c>
      <c r="B45" s="165" t="s">
        <v>240</v>
      </c>
      <c r="C45" s="165" t="s">
        <v>529</v>
      </c>
      <c r="D45" s="133" t="s">
        <v>104</v>
      </c>
      <c r="E45" s="166" t="s">
        <v>291</v>
      </c>
      <c r="F45" s="165" t="s">
        <v>292</v>
      </c>
      <c r="G45" s="165" t="s">
        <v>105</v>
      </c>
      <c r="H45" s="167" t="s">
        <v>293</v>
      </c>
      <c r="I45" s="178">
        <v>10.9</v>
      </c>
      <c r="J45" s="482"/>
      <c r="K45" s="168">
        <v>255</v>
      </c>
      <c r="L45" s="169" t="e">
        <f t="shared" si="0"/>
        <v>#DIV/0!</v>
      </c>
      <c r="M45" s="170">
        <f>IF(K45="nio",0,IF(K45&gt;0,VLOOKUP(G45,'3-Productie normen'!A:L,VLOOKUP(K45,'3-Productie normen'!N:O,2,FALSE),FALSE)))</f>
        <v>0</v>
      </c>
      <c r="N45" s="171" t="str">
        <f>VLOOKUP(G45,'3-Productie normen'!A:L,10,FALSE)</f>
        <v>V</v>
      </c>
      <c r="O45" s="171"/>
      <c r="Q45" s="130">
        <f t="shared" si="1"/>
        <v>2779.5</v>
      </c>
    </row>
    <row r="46" spans="1:17" ht="14.1" customHeight="1">
      <c r="A46" s="147">
        <v>46</v>
      </c>
      <c r="B46" s="165" t="s">
        <v>240</v>
      </c>
      <c r="C46" s="165" t="s">
        <v>529</v>
      </c>
      <c r="D46" s="133" t="s">
        <v>104</v>
      </c>
      <c r="E46" s="166" t="s">
        <v>294</v>
      </c>
      <c r="F46" s="165" t="s">
        <v>295</v>
      </c>
      <c r="G46" s="165" t="s">
        <v>105</v>
      </c>
      <c r="H46" s="167" t="s">
        <v>296</v>
      </c>
      <c r="I46" s="178">
        <v>7.5</v>
      </c>
      <c r="J46" s="482"/>
      <c r="K46" s="168">
        <v>255</v>
      </c>
      <c r="L46" s="169" t="e">
        <f t="shared" si="0"/>
        <v>#DIV/0!</v>
      </c>
      <c r="M46" s="170">
        <f>IF(K46="nio",0,IF(K46&gt;0,VLOOKUP(G46,'3-Productie normen'!A:L,VLOOKUP(K46,'3-Productie normen'!N:O,2,FALSE),FALSE)))</f>
        <v>0</v>
      </c>
      <c r="N46" s="171" t="str">
        <f>VLOOKUP(G46,'3-Productie normen'!A:L,10,FALSE)</f>
        <v>V</v>
      </c>
      <c r="O46" s="171"/>
      <c r="Q46" s="130">
        <f t="shared" si="1"/>
        <v>1912.5</v>
      </c>
    </row>
    <row r="47" spans="1:17" ht="14.1" customHeight="1">
      <c r="A47" s="147">
        <v>47</v>
      </c>
      <c r="B47" s="165" t="s">
        <v>240</v>
      </c>
      <c r="C47" s="165" t="s">
        <v>529</v>
      </c>
      <c r="D47" s="133" t="s">
        <v>104</v>
      </c>
      <c r="E47" s="166" t="s">
        <v>297</v>
      </c>
      <c r="F47" s="165" t="s">
        <v>298</v>
      </c>
      <c r="G47" s="165" t="s">
        <v>217</v>
      </c>
      <c r="H47" s="167" t="s">
        <v>243</v>
      </c>
      <c r="I47" s="178">
        <v>10.63</v>
      </c>
      <c r="J47" s="482"/>
      <c r="K47" s="168">
        <v>255</v>
      </c>
      <c r="L47" s="169" t="e">
        <f t="shared" si="0"/>
        <v>#DIV/0!</v>
      </c>
      <c r="M47" s="170">
        <f>IF(K47="nio",0,IF(K47&gt;0,VLOOKUP(G47,'3-Productie normen'!A:L,VLOOKUP(K47,'3-Productie normen'!N:O,2,FALSE),FALSE)))</f>
        <v>0</v>
      </c>
      <c r="N47" s="171" t="str">
        <f>VLOOKUP(G47,'3-Productie normen'!A:L,10,FALSE)</f>
        <v>B</v>
      </c>
      <c r="O47" s="171"/>
      <c r="Q47" s="130">
        <f t="shared" si="1"/>
        <v>2710.65</v>
      </c>
    </row>
    <row r="48" spans="1:17" ht="14.1" customHeight="1">
      <c r="A48" s="147">
        <v>48</v>
      </c>
      <c r="B48" s="165" t="s">
        <v>240</v>
      </c>
      <c r="C48" s="165" t="s">
        <v>529</v>
      </c>
      <c r="D48" s="133" t="s">
        <v>104</v>
      </c>
      <c r="E48" s="166" t="s">
        <v>299</v>
      </c>
      <c r="F48" s="167" t="s">
        <v>300</v>
      </c>
      <c r="G48" s="167" t="s">
        <v>217</v>
      </c>
      <c r="H48" s="167" t="s">
        <v>243</v>
      </c>
      <c r="I48" s="178">
        <v>51.7</v>
      </c>
      <c r="J48" s="482"/>
      <c r="K48" s="168">
        <v>255</v>
      </c>
      <c r="L48" s="169" t="e">
        <f t="shared" si="0"/>
        <v>#DIV/0!</v>
      </c>
      <c r="M48" s="170">
        <f>IF(K48="nio",0,IF(K48&gt;0,VLOOKUP(G48,'3-Productie normen'!A:L,VLOOKUP(K48,'3-Productie normen'!N:O,2,FALSE),FALSE)))</f>
        <v>0</v>
      </c>
      <c r="N48" s="171" t="str">
        <f>VLOOKUP(G48,'3-Productie normen'!A:L,10,FALSE)</f>
        <v>B</v>
      </c>
      <c r="O48" s="171"/>
      <c r="Q48" s="130">
        <f t="shared" si="1"/>
        <v>13183.5</v>
      </c>
    </row>
    <row r="49" spans="1:17" ht="14.1" customHeight="1">
      <c r="A49" s="147">
        <v>49</v>
      </c>
      <c r="B49" s="165" t="s">
        <v>240</v>
      </c>
      <c r="C49" s="165" t="s">
        <v>529</v>
      </c>
      <c r="D49" s="133" t="s">
        <v>104</v>
      </c>
      <c r="E49" s="166" t="s">
        <v>301</v>
      </c>
      <c r="F49" s="167" t="s">
        <v>302</v>
      </c>
      <c r="G49" s="167" t="s">
        <v>285</v>
      </c>
      <c r="H49" s="167" t="s">
        <v>243</v>
      </c>
      <c r="I49" s="178">
        <v>18.170000000000002</v>
      </c>
      <c r="J49" s="482"/>
      <c r="K49" s="168">
        <v>255</v>
      </c>
      <c r="L49" s="169" t="e">
        <f t="shared" si="0"/>
        <v>#DIV/0!</v>
      </c>
      <c r="M49" s="170">
        <f>IF(K49="nio",0,IF(K49&gt;0,VLOOKUP(G49,'3-Productie normen'!A:L,VLOOKUP(K49,'3-Productie normen'!N:O,2,FALSE),FALSE)))</f>
        <v>0</v>
      </c>
      <c r="N49" s="171" t="str">
        <f>VLOOKUP(G49,'3-Productie normen'!A:L,10,FALSE)</f>
        <v>V</v>
      </c>
      <c r="O49" s="171"/>
      <c r="Q49" s="130">
        <f t="shared" si="1"/>
        <v>4633.3500000000004</v>
      </c>
    </row>
    <row r="50" spans="1:17" ht="14.1" customHeight="1">
      <c r="A50" s="147">
        <v>50</v>
      </c>
      <c r="B50" s="165" t="s">
        <v>240</v>
      </c>
      <c r="C50" s="165" t="s">
        <v>529</v>
      </c>
      <c r="D50" s="133" t="s">
        <v>104</v>
      </c>
      <c r="E50" s="166" t="s">
        <v>303</v>
      </c>
      <c r="F50" s="167" t="s">
        <v>304</v>
      </c>
      <c r="G50" s="167" t="s">
        <v>217</v>
      </c>
      <c r="H50" s="167" t="s">
        <v>243</v>
      </c>
      <c r="I50" s="178">
        <v>8.5399999999999991</v>
      </c>
      <c r="J50" s="482"/>
      <c r="K50" s="168">
        <v>255</v>
      </c>
      <c r="L50" s="169" t="e">
        <f t="shared" si="0"/>
        <v>#DIV/0!</v>
      </c>
      <c r="M50" s="170">
        <f>IF(K50="nio",0,IF(K50&gt;0,VLOOKUP(G50,'3-Productie normen'!A:L,VLOOKUP(K50,'3-Productie normen'!N:O,2,FALSE),FALSE)))</f>
        <v>0</v>
      </c>
      <c r="N50" s="171" t="str">
        <f>VLOOKUP(G50,'3-Productie normen'!A:L,10,FALSE)</f>
        <v>B</v>
      </c>
      <c r="O50" s="171"/>
      <c r="Q50" s="130">
        <f t="shared" si="1"/>
        <v>2177.6999999999998</v>
      </c>
    </row>
    <row r="51" spans="1:17" ht="14.1" customHeight="1">
      <c r="A51" s="147">
        <v>51</v>
      </c>
      <c r="B51" s="165" t="s">
        <v>240</v>
      </c>
      <c r="C51" s="165" t="s">
        <v>529</v>
      </c>
      <c r="D51" s="133" t="s">
        <v>104</v>
      </c>
      <c r="E51" s="166" t="s">
        <v>305</v>
      </c>
      <c r="F51" s="167" t="s">
        <v>306</v>
      </c>
      <c r="G51" s="167" t="s">
        <v>247</v>
      </c>
      <c r="H51" s="167" t="s">
        <v>243</v>
      </c>
      <c r="I51" s="178">
        <v>128.94</v>
      </c>
      <c r="J51" s="482"/>
      <c r="K51" s="168">
        <v>255</v>
      </c>
      <c r="L51" s="169" t="e">
        <f t="shared" si="0"/>
        <v>#DIV/0!</v>
      </c>
      <c r="M51" s="170">
        <f>IF(K51="nio",0,IF(K51&gt;0,VLOOKUP(G51,'3-Productie normen'!A:L,VLOOKUP(K51,'3-Productie normen'!N:O,2,FALSE),FALSE)))</f>
        <v>0</v>
      </c>
      <c r="N51" s="171" t="str">
        <f>VLOOKUP(G51,'3-Productie normen'!A:L,10,FALSE)</f>
        <v>V</v>
      </c>
      <c r="O51" s="171"/>
      <c r="Q51" s="130">
        <f t="shared" si="1"/>
        <v>32879.699999999997</v>
      </c>
    </row>
    <row r="52" spans="1:17" ht="14.1" customHeight="1">
      <c r="A52" s="147">
        <v>52</v>
      </c>
      <c r="B52" s="165" t="s">
        <v>240</v>
      </c>
      <c r="C52" s="165" t="s">
        <v>529</v>
      </c>
      <c r="D52" s="133" t="s">
        <v>104</v>
      </c>
      <c r="E52" s="166" t="s">
        <v>305</v>
      </c>
      <c r="F52" s="173" t="s">
        <v>307</v>
      </c>
      <c r="G52" s="173" t="s">
        <v>247</v>
      </c>
      <c r="H52" s="167" t="s">
        <v>308</v>
      </c>
      <c r="I52" s="178">
        <v>22.04</v>
      </c>
      <c r="J52" s="482"/>
      <c r="K52" s="168">
        <v>255</v>
      </c>
      <c r="L52" s="169" t="e">
        <f t="shared" si="0"/>
        <v>#DIV/0!</v>
      </c>
      <c r="M52" s="170">
        <f>IF(K52="nio",0,IF(K52&gt;0,VLOOKUP(G52,'3-Productie normen'!A:L,VLOOKUP(K52,'3-Productie normen'!N:O,2,FALSE),FALSE)))</f>
        <v>0</v>
      </c>
      <c r="N52" s="171" t="str">
        <f>VLOOKUP(G52,'3-Productie normen'!A:L,10,FALSE)</f>
        <v>V</v>
      </c>
      <c r="O52" s="171"/>
      <c r="Q52" s="130">
        <f t="shared" si="1"/>
        <v>5620.2</v>
      </c>
    </row>
    <row r="53" spans="1:17" ht="14.1" customHeight="1">
      <c r="A53" s="147">
        <v>53</v>
      </c>
      <c r="B53" s="165" t="s">
        <v>240</v>
      </c>
      <c r="C53" s="165" t="s">
        <v>529</v>
      </c>
      <c r="D53" s="133" t="s">
        <v>104</v>
      </c>
      <c r="E53" s="166" t="s">
        <v>309</v>
      </c>
      <c r="F53" s="174" t="s">
        <v>310</v>
      </c>
      <c r="G53" s="174" t="s">
        <v>288</v>
      </c>
      <c r="H53" s="175" t="s">
        <v>308</v>
      </c>
      <c r="I53" s="178">
        <v>966.75</v>
      </c>
      <c r="J53" s="482"/>
      <c r="K53" s="168">
        <v>255</v>
      </c>
      <c r="L53" s="169" t="e">
        <f t="shared" si="0"/>
        <v>#DIV/0!</v>
      </c>
      <c r="M53" s="170">
        <f>IF(K53="nio",0,IF(K53&gt;0,VLOOKUP(G53,'3-Productie normen'!A:L,VLOOKUP(K53,'3-Productie normen'!N:O,2,FALSE),FALSE)))</f>
        <v>0</v>
      </c>
      <c r="N53" s="171" t="str">
        <f>VLOOKUP(G53,'3-Productie normen'!A:L,10,FALSE)</f>
        <v>V</v>
      </c>
      <c r="O53" s="171"/>
      <c r="Q53" s="130">
        <f t="shared" si="1"/>
        <v>246521.25</v>
      </c>
    </row>
    <row r="54" spans="1:17" ht="14.1" customHeight="1">
      <c r="A54" s="147">
        <v>54</v>
      </c>
      <c r="B54" s="165" t="s">
        <v>240</v>
      </c>
      <c r="C54" s="165" t="s">
        <v>529</v>
      </c>
      <c r="D54" s="179" t="s">
        <v>104</v>
      </c>
      <c r="E54" s="176" t="s">
        <v>311</v>
      </c>
      <c r="F54" s="177" t="s">
        <v>310</v>
      </c>
      <c r="G54" s="177" t="s">
        <v>288</v>
      </c>
      <c r="H54" s="167" t="s">
        <v>243</v>
      </c>
      <c r="I54" s="178">
        <v>17.04</v>
      </c>
      <c r="J54" s="482"/>
      <c r="K54" s="168">
        <v>255</v>
      </c>
      <c r="L54" s="169" t="e">
        <f t="shared" si="0"/>
        <v>#DIV/0!</v>
      </c>
      <c r="M54" s="170">
        <f>IF(K54="nio",0,IF(K54&gt;0,VLOOKUP(G54,'3-Productie normen'!A:L,VLOOKUP(K54,'3-Productie normen'!N:O,2,FALSE),FALSE)))</f>
        <v>0</v>
      </c>
      <c r="N54" s="171" t="str">
        <f>VLOOKUP(G54,'3-Productie normen'!A:L,10,FALSE)</f>
        <v>V</v>
      </c>
      <c r="O54" s="171"/>
      <c r="Q54" s="130">
        <f t="shared" si="1"/>
        <v>4345.2</v>
      </c>
    </row>
    <row r="55" spans="1:17" ht="14.1" customHeight="1">
      <c r="A55" s="147">
        <v>55</v>
      </c>
      <c r="B55" s="165" t="s">
        <v>240</v>
      </c>
      <c r="C55" s="165" t="s">
        <v>529</v>
      </c>
      <c r="D55" s="133" t="s">
        <v>104</v>
      </c>
      <c r="E55" s="166" t="s">
        <v>312</v>
      </c>
      <c r="F55" s="167" t="s">
        <v>310</v>
      </c>
      <c r="G55" s="167" t="s">
        <v>288</v>
      </c>
      <c r="H55" s="167" t="s">
        <v>308</v>
      </c>
      <c r="I55" s="178">
        <v>12.27</v>
      </c>
      <c r="J55" s="482"/>
      <c r="K55" s="168">
        <v>255</v>
      </c>
      <c r="L55" s="169" t="e">
        <f t="shared" si="0"/>
        <v>#DIV/0!</v>
      </c>
      <c r="M55" s="170">
        <f>IF(K55="nio",0,IF(K55&gt;0,VLOOKUP(G55,'3-Productie normen'!A:L,VLOOKUP(K55,'3-Productie normen'!N:O,2,FALSE),FALSE)))</f>
        <v>0</v>
      </c>
      <c r="N55" s="171" t="str">
        <f>VLOOKUP(G55,'3-Productie normen'!A:L,10,FALSE)</f>
        <v>V</v>
      </c>
      <c r="O55" s="171"/>
      <c r="Q55" s="130">
        <f t="shared" si="1"/>
        <v>3128.85</v>
      </c>
    </row>
    <row r="56" spans="1:17" ht="14.1" customHeight="1">
      <c r="A56" s="147">
        <v>56</v>
      </c>
      <c r="B56" s="165" t="s">
        <v>240</v>
      </c>
      <c r="C56" s="165" t="s">
        <v>529</v>
      </c>
      <c r="D56" s="133" t="s">
        <v>104</v>
      </c>
      <c r="E56" s="166" t="s">
        <v>313</v>
      </c>
      <c r="F56" s="127" t="s">
        <v>310</v>
      </c>
      <c r="G56" s="127" t="s">
        <v>288</v>
      </c>
      <c r="H56" s="167" t="s">
        <v>243</v>
      </c>
      <c r="I56" s="178">
        <v>7.57</v>
      </c>
      <c r="J56" s="482"/>
      <c r="K56" s="168">
        <v>255</v>
      </c>
      <c r="L56" s="169" t="e">
        <f t="shared" si="0"/>
        <v>#DIV/0!</v>
      </c>
      <c r="M56" s="170">
        <f>IF(K56="nio",0,IF(K56&gt;0,VLOOKUP(G56,'3-Productie normen'!A:L,VLOOKUP(K56,'3-Productie normen'!N:O,2,FALSE),FALSE)))</f>
        <v>0</v>
      </c>
      <c r="N56" s="171" t="str">
        <f>VLOOKUP(G56,'3-Productie normen'!A:L,10,FALSE)</f>
        <v>V</v>
      </c>
      <c r="O56" s="171"/>
      <c r="Q56" s="130">
        <f t="shared" si="1"/>
        <v>1930.3500000000001</v>
      </c>
    </row>
    <row r="57" spans="1:17" ht="14.1" customHeight="1">
      <c r="A57" s="147">
        <v>57</v>
      </c>
      <c r="B57" s="165" t="s">
        <v>240</v>
      </c>
      <c r="C57" s="165" t="s">
        <v>529</v>
      </c>
      <c r="D57" s="133" t="s">
        <v>104</v>
      </c>
      <c r="E57" s="166" t="s">
        <v>314</v>
      </c>
      <c r="F57" s="127" t="s">
        <v>310</v>
      </c>
      <c r="G57" s="127" t="s">
        <v>288</v>
      </c>
      <c r="H57" s="167" t="s">
        <v>243</v>
      </c>
      <c r="I57" s="178">
        <v>10.44</v>
      </c>
      <c r="J57" s="482"/>
      <c r="K57" s="168">
        <v>255</v>
      </c>
      <c r="L57" s="169" t="e">
        <f t="shared" si="0"/>
        <v>#DIV/0!</v>
      </c>
      <c r="M57" s="170">
        <f>IF(K57="nio",0,IF(K57&gt;0,VLOOKUP(G57,'3-Productie normen'!A:L,VLOOKUP(K57,'3-Productie normen'!N:O,2,FALSE),FALSE)))</f>
        <v>0</v>
      </c>
      <c r="N57" s="171" t="str">
        <f>VLOOKUP(G57,'3-Productie normen'!A:L,10,FALSE)</f>
        <v>V</v>
      </c>
      <c r="O57" s="171"/>
      <c r="Q57" s="130">
        <f t="shared" si="1"/>
        <v>2662.2</v>
      </c>
    </row>
    <row r="58" spans="1:17" ht="14.1" customHeight="1">
      <c r="A58" s="147">
        <v>58</v>
      </c>
      <c r="B58" s="165" t="s">
        <v>240</v>
      </c>
      <c r="C58" s="165" t="s">
        <v>529</v>
      </c>
      <c r="D58" s="133" t="s">
        <v>104</v>
      </c>
      <c r="E58" s="166" t="s">
        <v>315</v>
      </c>
      <c r="F58" s="127" t="s">
        <v>316</v>
      </c>
      <c r="G58" s="127" t="s">
        <v>17</v>
      </c>
      <c r="H58" s="167" t="s">
        <v>308</v>
      </c>
      <c r="I58" s="178">
        <v>15.65</v>
      </c>
      <c r="J58" s="482"/>
      <c r="K58" s="168">
        <v>255</v>
      </c>
      <c r="L58" s="169" t="e">
        <f t="shared" si="0"/>
        <v>#DIV/0!</v>
      </c>
      <c r="M58" s="170">
        <f>IF(K58="nio",0,IF(K58&gt;0,VLOOKUP(G58,'3-Productie normen'!A:L,VLOOKUP(K58,'3-Productie normen'!N:O,2,FALSE),FALSE)))</f>
        <v>0</v>
      </c>
      <c r="N58" s="171" t="str">
        <f>VLOOKUP(G58,'3-Productie normen'!A:L,10,FALSE)</f>
        <v>S</v>
      </c>
      <c r="O58" s="171"/>
      <c r="Q58" s="130">
        <f t="shared" si="1"/>
        <v>3990.75</v>
      </c>
    </row>
    <row r="59" spans="1:17" ht="14.1" customHeight="1">
      <c r="A59" s="147">
        <v>59</v>
      </c>
      <c r="B59" s="165" t="s">
        <v>240</v>
      </c>
      <c r="C59" s="165" t="s">
        <v>529</v>
      </c>
      <c r="D59" s="133" t="s">
        <v>104</v>
      </c>
      <c r="E59" s="166" t="s">
        <v>317</v>
      </c>
      <c r="F59" s="127" t="s">
        <v>316</v>
      </c>
      <c r="G59" s="127" t="s">
        <v>17</v>
      </c>
      <c r="H59" s="167" t="s">
        <v>308</v>
      </c>
      <c r="I59" s="178">
        <v>11.8</v>
      </c>
      <c r="J59" s="482"/>
      <c r="K59" s="168">
        <v>255</v>
      </c>
      <c r="L59" s="169" t="e">
        <f t="shared" si="0"/>
        <v>#DIV/0!</v>
      </c>
      <c r="M59" s="170">
        <f>IF(K59="nio",0,IF(K59&gt;0,VLOOKUP(G59,'3-Productie normen'!A:L,VLOOKUP(K59,'3-Productie normen'!N:O,2,FALSE),FALSE)))</f>
        <v>0</v>
      </c>
      <c r="N59" s="171" t="str">
        <f>VLOOKUP(G59,'3-Productie normen'!A:L,10,FALSE)</f>
        <v>S</v>
      </c>
      <c r="O59" s="171"/>
      <c r="Q59" s="130">
        <f t="shared" si="1"/>
        <v>3009</v>
      </c>
    </row>
    <row r="60" spans="1:17" ht="14.1" customHeight="1">
      <c r="A60" s="147">
        <v>60</v>
      </c>
      <c r="B60" s="165" t="s">
        <v>240</v>
      </c>
      <c r="C60" s="165" t="s">
        <v>529</v>
      </c>
      <c r="D60" s="133" t="s">
        <v>104</v>
      </c>
      <c r="E60" s="166" t="s">
        <v>318</v>
      </c>
      <c r="F60" s="127" t="s">
        <v>316</v>
      </c>
      <c r="G60" s="127" t="s">
        <v>17</v>
      </c>
      <c r="H60" s="167" t="s">
        <v>308</v>
      </c>
      <c r="I60" s="178">
        <v>8.82</v>
      </c>
      <c r="J60" s="482"/>
      <c r="K60" s="168">
        <v>255</v>
      </c>
      <c r="L60" s="169" t="e">
        <f t="shared" si="0"/>
        <v>#DIV/0!</v>
      </c>
      <c r="M60" s="170">
        <f>IF(K60="nio",0,IF(K60&gt;0,VLOOKUP(G60,'3-Productie normen'!A:L,VLOOKUP(K60,'3-Productie normen'!N:O,2,FALSE),FALSE)))</f>
        <v>0</v>
      </c>
      <c r="N60" s="171" t="str">
        <f>VLOOKUP(G60,'3-Productie normen'!A:L,10,FALSE)</f>
        <v>S</v>
      </c>
      <c r="O60" s="171"/>
      <c r="Q60" s="130">
        <f t="shared" si="1"/>
        <v>2249.1</v>
      </c>
    </row>
    <row r="61" spans="1:17" ht="14.1" customHeight="1">
      <c r="A61" s="147">
        <v>61</v>
      </c>
      <c r="B61" s="165" t="s">
        <v>240</v>
      </c>
      <c r="C61" s="165" t="s">
        <v>529</v>
      </c>
      <c r="D61" s="133" t="s">
        <v>104</v>
      </c>
      <c r="E61" s="166" t="s">
        <v>319</v>
      </c>
      <c r="F61" s="127" t="s">
        <v>316</v>
      </c>
      <c r="G61" s="127" t="s">
        <v>17</v>
      </c>
      <c r="H61" s="167" t="s">
        <v>308</v>
      </c>
      <c r="I61" s="178">
        <v>18.13</v>
      </c>
      <c r="J61" s="482"/>
      <c r="K61" s="168">
        <v>255</v>
      </c>
      <c r="L61" s="169" t="e">
        <f t="shared" si="0"/>
        <v>#DIV/0!</v>
      </c>
      <c r="M61" s="170">
        <f>IF(K61="nio",0,IF(K61&gt;0,VLOOKUP(G61,'3-Productie normen'!A:L,VLOOKUP(K61,'3-Productie normen'!N:O,2,FALSE),FALSE)))</f>
        <v>0</v>
      </c>
      <c r="N61" s="171" t="str">
        <f>VLOOKUP(G61,'3-Productie normen'!A:L,10,FALSE)</f>
        <v>S</v>
      </c>
      <c r="O61" s="171"/>
      <c r="Q61" s="130">
        <f t="shared" si="1"/>
        <v>4623.1499999999996</v>
      </c>
    </row>
    <row r="62" spans="1:17" ht="14.1" customHeight="1">
      <c r="A62" s="147">
        <v>62</v>
      </c>
      <c r="B62" s="165" t="s">
        <v>240</v>
      </c>
      <c r="C62" s="165" t="s">
        <v>529</v>
      </c>
      <c r="D62" s="133" t="s">
        <v>104</v>
      </c>
      <c r="E62" s="166" t="s">
        <v>320</v>
      </c>
      <c r="F62" s="127" t="s">
        <v>316</v>
      </c>
      <c r="G62" s="127" t="s">
        <v>17</v>
      </c>
      <c r="H62" s="167" t="s">
        <v>308</v>
      </c>
      <c r="I62" s="178">
        <v>16.41</v>
      </c>
      <c r="J62" s="482"/>
      <c r="K62" s="168">
        <v>255</v>
      </c>
      <c r="L62" s="169" t="e">
        <f t="shared" si="0"/>
        <v>#DIV/0!</v>
      </c>
      <c r="M62" s="170">
        <f>IF(K62="nio",0,IF(K62&gt;0,VLOOKUP(G62,'3-Productie normen'!A:L,VLOOKUP(K62,'3-Productie normen'!N:O,2,FALSE),FALSE)))</f>
        <v>0</v>
      </c>
      <c r="N62" s="171" t="str">
        <f>VLOOKUP(G62,'3-Productie normen'!A:L,10,FALSE)</f>
        <v>S</v>
      </c>
      <c r="O62" s="171"/>
      <c r="Q62" s="130">
        <f t="shared" si="1"/>
        <v>4184.55</v>
      </c>
    </row>
    <row r="63" spans="1:17" ht="14.1" customHeight="1">
      <c r="A63" s="147">
        <v>63</v>
      </c>
      <c r="B63" s="165" t="s">
        <v>240</v>
      </c>
      <c r="C63" s="165" t="s">
        <v>529</v>
      </c>
      <c r="D63" s="133" t="s">
        <v>104</v>
      </c>
      <c r="E63" s="166" t="s">
        <v>321</v>
      </c>
      <c r="F63" s="127" t="s">
        <v>287</v>
      </c>
      <c r="G63" s="127" t="s">
        <v>288</v>
      </c>
      <c r="H63" s="167" t="s">
        <v>243</v>
      </c>
      <c r="I63" s="178">
        <v>66.67</v>
      </c>
      <c r="J63" s="482"/>
      <c r="K63" s="168">
        <v>255</v>
      </c>
      <c r="L63" s="169" t="e">
        <f t="shared" si="0"/>
        <v>#DIV/0!</v>
      </c>
      <c r="M63" s="170">
        <f>IF(K63="nio",0,IF(K63&gt;0,VLOOKUP(G63,'3-Productie normen'!A:L,VLOOKUP(K63,'3-Productie normen'!N:O,2,FALSE),FALSE)))</f>
        <v>0</v>
      </c>
      <c r="N63" s="171" t="str">
        <f>VLOOKUP(G63,'3-Productie normen'!A:L,10,FALSE)</f>
        <v>V</v>
      </c>
      <c r="O63" s="171"/>
      <c r="Q63" s="130">
        <f t="shared" si="1"/>
        <v>17000.850000000002</v>
      </c>
    </row>
    <row r="64" spans="1:17" ht="14.1" customHeight="1">
      <c r="A64" s="147">
        <v>64</v>
      </c>
      <c r="B64" s="165" t="s">
        <v>240</v>
      </c>
      <c r="C64" s="165" t="s">
        <v>529</v>
      </c>
      <c r="D64" s="133" t="s">
        <v>104</v>
      </c>
      <c r="E64" s="166" t="s">
        <v>322</v>
      </c>
      <c r="F64" s="127" t="s">
        <v>287</v>
      </c>
      <c r="G64" s="127" t="s">
        <v>288</v>
      </c>
      <c r="H64" s="167" t="s">
        <v>264</v>
      </c>
      <c r="I64" s="178">
        <v>17.72</v>
      </c>
      <c r="J64" s="482"/>
      <c r="K64" s="168">
        <v>255</v>
      </c>
      <c r="L64" s="169" t="e">
        <f t="shared" si="0"/>
        <v>#DIV/0!</v>
      </c>
      <c r="M64" s="170">
        <f>IF(K64="nio",0,IF(K64&gt;0,VLOOKUP(G64,'3-Productie normen'!A:L,VLOOKUP(K64,'3-Productie normen'!N:O,2,FALSE),FALSE)))</f>
        <v>0</v>
      </c>
      <c r="N64" s="171" t="str">
        <f>VLOOKUP(G64,'3-Productie normen'!A:L,10,FALSE)</f>
        <v>V</v>
      </c>
      <c r="O64" s="171"/>
      <c r="Q64" s="130">
        <f t="shared" si="1"/>
        <v>4518.5999999999995</v>
      </c>
    </row>
    <row r="65" spans="1:17" ht="14.1" customHeight="1">
      <c r="A65" s="147">
        <v>65</v>
      </c>
      <c r="B65" s="165" t="s">
        <v>240</v>
      </c>
      <c r="C65" s="165" t="s">
        <v>529</v>
      </c>
      <c r="D65" s="133" t="s">
        <v>104</v>
      </c>
      <c r="E65" s="166" t="s">
        <v>323</v>
      </c>
      <c r="F65" s="127" t="s">
        <v>287</v>
      </c>
      <c r="G65" s="127" t="s">
        <v>288</v>
      </c>
      <c r="H65" s="167" t="s">
        <v>243</v>
      </c>
      <c r="I65" s="178">
        <v>33.31</v>
      </c>
      <c r="J65" s="482"/>
      <c r="K65" s="168">
        <v>255</v>
      </c>
      <c r="L65" s="169" t="e">
        <f t="shared" si="0"/>
        <v>#DIV/0!</v>
      </c>
      <c r="M65" s="170">
        <f>IF(K65="nio",0,IF(K65&gt;0,VLOOKUP(G65,'3-Productie normen'!A:L,VLOOKUP(K65,'3-Productie normen'!N:O,2,FALSE),FALSE)))</f>
        <v>0</v>
      </c>
      <c r="N65" s="171" t="str">
        <f>VLOOKUP(G65,'3-Productie normen'!A:L,10,FALSE)</f>
        <v>V</v>
      </c>
      <c r="O65" s="171"/>
      <c r="Q65" s="130">
        <f t="shared" si="1"/>
        <v>8494.0500000000011</v>
      </c>
    </row>
    <row r="66" spans="1:17" ht="14.1" customHeight="1">
      <c r="A66" s="147">
        <v>66</v>
      </c>
      <c r="B66" s="165" t="s">
        <v>240</v>
      </c>
      <c r="C66" s="165" t="s">
        <v>529</v>
      </c>
      <c r="D66" s="133" t="s">
        <v>104</v>
      </c>
      <c r="E66" s="166" t="s">
        <v>324</v>
      </c>
      <c r="F66" s="127" t="s">
        <v>287</v>
      </c>
      <c r="G66" s="127" t="s">
        <v>288</v>
      </c>
      <c r="H66" s="167" t="s">
        <v>243</v>
      </c>
      <c r="I66" s="178">
        <v>47.85</v>
      </c>
      <c r="J66" s="482"/>
      <c r="K66" s="168">
        <v>255</v>
      </c>
      <c r="L66" s="169" t="e">
        <f t="shared" si="0"/>
        <v>#DIV/0!</v>
      </c>
      <c r="M66" s="170">
        <f>IF(K66="nio",0,IF(K66&gt;0,VLOOKUP(G66,'3-Productie normen'!A:L,VLOOKUP(K66,'3-Productie normen'!N:O,2,FALSE),FALSE)))</f>
        <v>0</v>
      </c>
      <c r="N66" s="171" t="str">
        <f>VLOOKUP(G66,'3-Productie normen'!A:L,10,FALSE)</f>
        <v>V</v>
      </c>
      <c r="O66" s="171"/>
      <c r="Q66" s="130">
        <f t="shared" si="1"/>
        <v>12201.75</v>
      </c>
    </row>
    <row r="67" spans="1:17" ht="14.1" customHeight="1">
      <c r="A67" s="147">
        <v>67</v>
      </c>
      <c r="B67" s="165" t="s">
        <v>240</v>
      </c>
      <c r="C67" s="165" t="s">
        <v>529</v>
      </c>
      <c r="D67" s="133" t="s">
        <v>104</v>
      </c>
      <c r="E67" s="166" t="s">
        <v>325</v>
      </c>
      <c r="F67" s="127" t="s">
        <v>287</v>
      </c>
      <c r="G67" s="127" t="s">
        <v>288</v>
      </c>
      <c r="H67" s="167" t="s">
        <v>308</v>
      </c>
      <c r="I67" s="178">
        <v>118.4</v>
      </c>
      <c r="J67" s="482"/>
      <c r="K67" s="168">
        <v>255</v>
      </c>
      <c r="L67" s="169" t="e">
        <f t="shared" si="0"/>
        <v>#DIV/0!</v>
      </c>
      <c r="M67" s="170">
        <f>IF(K67="nio",0,IF(K67&gt;0,VLOOKUP(G67,'3-Productie normen'!A:L,VLOOKUP(K67,'3-Productie normen'!N:O,2,FALSE),FALSE)))</f>
        <v>0</v>
      </c>
      <c r="N67" s="171" t="str">
        <f>VLOOKUP(G67,'3-Productie normen'!A:L,10,FALSE)</f>
        <v>V</v>
      </c>
      <c r="O67" s="171"/>
      <c r="Q67" s="130">
        <f t="shared" si="1"/>
        <v>30192</v>
      </c>
    </row>
    <row r="68" spans="1:17" ht="14.1" customHeight="1">
      <c r="A68" s="147">
        <v>68</v>
      </c>
      <c r="B68" s="165" t="s">
        <v>240</v>
      </c>
      <c r="C68" s="165" t="s">
        <v>529</v>
      </c>
      <c r="D68" s="133" t="s">
        <v>104</v>
      </c>
      <c r="E68" s="166" t="s">
        <v>326</v>
      </c>
      <c r="F68" s="127" t="s">
        <v>327</v>
      </c>
      <c r="G68" s="127" t="s">
        <v>328</v>
      </c>
      <c r="H68" s="167" t="s">
        <v>329</v>
      </c>
      <c r="I68" s="178">
        <v>15.28</v>
      </c>
      <c r="J68" s="482"/>
      <c r="K68" s="168">
        <v>52</v>
      </c>
      <c r="L68" s="169" t="e">
        <f t="shared" si="0"/>
        <v>#DIV/0!</v>
      </c>
      <c r="M68" s="170">
        <f>IF(K68="nio",0,IF(K68&gt;0,VLOOKUP(G68,'3-Productie normen'!A:L,VLOOKUP(K68,'3-Productie normen'!N:O,2,FALSE),FALSE)))</f>
        <v>0</v>
      </c>
      <c r="N68" s="171" t="str">
        <f>VLOOKUP(G68,'3-Productie normen'!A:L,10,FALSE)</f>
        <v>V</v>
      </c>
      <c r="O68" s="171"/>
      <c r="Q68" s="130">
        <f t="shared" si="1"/>
        <v>794.56</v>
      </c>
    </row>
    <row r="69" spans="1:17" ht="14.1" customHeight="1">
      <c r="A69" s="147">
        <v>69</v>
      </c>
      <c r="B69" s="165" t="s">
        <v>240</v>
      </c>
      <c r="C69" s="165" t="s">
        <v>529</v>
      </c>
      <c r="D69" s="133" t="s">
        <v>104</v>
      </c>
      <c r="E69" s="166" t="s">
        <v>330</v>
      </c>
      <c r="F69" s="127" t="s">
        <v>327</v>
      </c>
      <c r="G69" s="127" t="s">
        <v>328</v>
      </c>
      <c r="H69" s="167" t="s">
        <v>329</v>
      </c>
      <c r="I69" s="178">
        <v>11.69</v>
      </c>
      <c r="J69" s="482"/>
      <c r="K69" s="168">
        <v>52</v>
      </c>
      <c r="L69" s="169" t="e">
        <f t="shared" si="0"/>
        <v>#DIV/0!</v>
      </c>
      <c r="M69" s="170">
        <f>IF(K69="nio",0,IF(K69&gt;0,VLOOKUP(G69,'3-Productie normen'!A:L,VLOOKUP(K69,'3-Productie normen'!N:O,2,FALSE),FALSE)))</f>
        <v>0</v>
      </c>
      <c r="N69" s="171" t="str">
        <f>VLOOKUP(G69,'3-Productie normen'!A:L,10,FALSE)</f>
        <v>V</v>
      </c>
      <c r="O69" s="171"/>
      <c r="Q69" s="130">
        <f t="shared" si="1"/>
        <v>607.88</v>
      </c>
    </row>
    <row r="70" spans="1:17" ht="14.1" customHeight="1">
      <c r="A70" s="147">
        <v>70</v>
      </c>
      <c r="B70" s="165" t="s">
        <v>240</v>
      </c>
      <c r="C70" s="165" t="s">
        <v>529</v>
      </c>
      <c r="D70" s="133" t="s">
        <v>104</v>
      </c>
      <c r="E70" s="166" t="s">
        <v>331</v>
      </c>
      <c r="F70" s="127" t="s">
        <v>327</v>
      </c>
      <c r="G70" s="127" t="s">
        <v>328</v>
      </c>
      <c r="H70" s="167" t="s">
        <v>329</v>
      </c>
      <c r="I70" s="178">
        <v>24.45</v>
      </c>
      <c r="J70" s="482"/>
      <c r="K70" s="168">
        <v>52</v>
      </c>
      <c r="L70" s="169" t="e">
        <f t="shared" si="0"/>
        <v>#DIV/0!</v>
      </c>
      <c r="M70" s="170">
        <f>IF(K70="nio",0,IF(K70&gt;0,VLOOKUP(G70,'3-Productie normen'!A:L,VLOOKUP(K70,'3-Productie normen'!N:O,2,FALSE),FALSE)))</f>
        <v>0</v>
      </c>
      <c r="N70" s="171" t="str">
        <f>VLOOKUP(G70,'3-Productie normen'!A:L,10,FALSE)</f>
        <v>V</v>
      </c>
      <c r="O70" s="171"/>
      <c r="Q70" s="130">
        <f t="shared" si="1"/>
        <v>1271.3999999999999</v>
      </c>
    </row>
    <row r="71" spans="1:17" ht="14.1" customHeight="1">
      <c r="A71" s="147">
        <v>71</v>
      </c>
      <c r="B71" s="165" t="s">
        <v>240</v>
      </c>
      <c r="C71" s="165" t="s">
        <v>529</v>
      </c>
      <c r="D71" s="133" t="s">
        <v>104</v>
      </c>
      <c r="E71" s="166" t="s">
        <v>332</v>
      </c>
      <c r="F71" s="127" t="s">
        <v>333</v>
      </c>
      <c r="G71" s="127" t="s">
        <v>328</v>
      </c>
      <c r="H71" s="167" t="s">
        <v>329</v>
      </c>
      <c r="I71" s="178">
        <v>21.740000000000002</v>
      </c>
      <c r="J71" s="482"/>
      <c r="K71" s="168">
        <v>255</v>
      </c>
      <c r="L71" s="169" t="e">
        <f t="shared" si="0"/>
        <v>#DIV/0!</v>
      </c>
      <c r="M71" s="170">
        <f>IF(K71="nio",0,IF(K71&gt;0,VLOOKUP(G71,'3-Productie normen'!A:L,VLOOKUP(K71,'3-Productie normen'!N:O,2,FALSE),FALSE)))</f>
        <v>0</v>
      </c>
      <c r="N71" s="171" t="str">
        <f>VLOOKUP(G71,'3-Productie normen'!A:L,10,FALSE)</f>
        <v>V</v>
      </c>
      <c r="O71" s="171"/>
      <c r="Q71" s="130">
        <f t="shared" si="1"/>
        <v>5543.7000000000007</v>
      </c>
    </row>
    <row r="72" spans="1:17" ht="14.1" customHeight="1">
      <c r="A72" s="147">
        <v>72</v>
      </c>
      <c r="B72" s="165" t="s">
        <v>240</v>
      </c>
      <c r="C72" s="165" t="s">
        <v>529</v>
      </c>
      <c r="D72" s="133" t="s">
        <v>104</v>
      </c>
      <c r="E72" s="166" t="s">
        <v>334</v>
      </c>
      <c r="F72" s="127" t="s">
        <v>333</v>
      </c>
      <c r="G72" s="127" t="s">
        <v>328</v>
      </c>
      <c r="H72" s="167" t="s">
        <v>243</v>
      </c>
      <c r="I72" s="178">
        <v>22.16</v>
      </c>
      <c r="J72" s="482"/>
      <c r="K72" s="168">
        <v>255</v>
      </c>
      <c r="L72" s="169" t="e">
        <f t="shared" si="0"/>
        <v>#DIV/0!</v>
      </c>
      <c r="M72" s="170">
        <f>IF(K72="nio",0,IF(K72&gt;0,VLOOKUP(G72,'3-Productie normen'!A:L,VLOOKUP(K72,'3-Productie normen'!N:O,2,FALSE),FALSE)))</f>
        <v>0</v>
      </c>
      <c r="N72" s="171" t="str">
        <f>VLOOKUP(G72,'3-Productie normen'!A:L,10,FALSE)</f>
        <v>V</v>
      </c>
      <c r="O72" s="171"/>
      <c r="Q72" s="130">
        <f t="shared" si="1"/>
        <v>5650.8</v>
      </c>
    </row>
    <row r="73" spans="1:17" ht="14.1" customHeight="1">
      <c r="A73" s="147">
        <v>73</v>
      </c>
      <c r="B73" s="165" t="s">
        <v>240</v>
      </c>
      <c r="C73" s="165" t="s">
        <v>529</v>
      </c>
      <c r="D73" s="133" t="s">
        <v>104</v>
      </c>
      <c r="E73" s="166" t="s">
        <v>335</v>
      </c>
      <c r="F73" s="127" t="s">
        <v>333</v>
      </c>
      <c r="G73" s="127" t="s">
        <v>328</v>
      </c>
      <c r="H73" s="167" t="s">
        <v>264</v>
      </c>
      <c r="I73" s="178">
        <v>15.34</v>
      </c>
      <c r="J73" s="482"/>
      <c r="K73" s="168">
        <v>255</v>
      </c>
      <c r="L73" s="169" t="e">
        <f t="shared" si="0"/>
        <v>#DIV/0!</v>
      </c>
      <c r="M73" s="170">
        <f>IF(K73="nio",0,IF(K73&gt;0,VLOOKUP(G73,'3-Productie normen'!A:L,VLOOKUP(K73,'3-Productie normen'!N:O,2,FALSE),FALSE)))</f>
        <v>0</v>
      </c>
      <c r="N73" s="171" t="str">
        <f>VLOOKUP(G73,'3-Productie normen'!A:L,10,FALSE)</f>
        <v>V</v>
      </c>
      <c r="O73" s="171"/>
      <c r="Q73" s="130">
        <f t="shared" si="1"/>
        <v>3911.7</v>
      </c>
    </row>
    <row r="74" spans="1:17" ht="14.1" customHeight="1">
      <c r="A74" s="147">
        <v>74</v>
      </c>
      <c r="B74" s="165" t="s">
        <v>240</v>
      </c>
      <c r="C74" s="165" t="s">
        <v>529</v>
      </c>
      <c r="D74" s="133" t="s">
        <v>104</v>
      </c>
      <c r="E74" s="166" t="s">
        <v>336</v>
      </c>
      <c r="F74" s="127" t="s">
        <v>333</v>
      </c>
      <c r="G74" s="127" t="s">
        <v>328</v>
      </c>
      <c r="H74" s="167" t="s">
        <v>243</v>
      </c>
      <c r="I74" s="178">
        <v>3.82</v>
      </c>
      <c r="J74" s="482"/>
      <c r="K74" s="168">
        <v>255</v>
      </c>
      <c r="L74" s="169" t="e">
        <f t="shared" ref="L74:L137" si="2">IF(K74="nio",0,IF(K74&gt;0,K74*I74/M74,0))*J74</f>
        <v>#DIV/0!</v>
      </c>
      <c r="M74" s="170">
        <f>IF(K74="nio",0,IF(K74&gt;0,VLOOKUP(G74,'3-Productie normen'!A:L,VLOOKUP(K74,'3-Productie normen'!N:O,2,FALSE),FALSE)))</f>
        <v>0</v>
      </c>
      <c r="N74" s="171" t="str">
        <f>VLOOKUP(G74,'3-Productie normen'!A:L,10,FALSE)</f>
        <v>V</v>
      </c>
      <c r="O74" s="171"/>
      <c r="Q74" s="130">
        <f t="shared" ref="Q74:Q137" si="3">SUM(K74:K74)*I74</f>
        <v>974.09999999999991</v>
      </c>
    </row>
    <row r="75" spans="1:17" ht="14.1" customHeight="1">
      <c r="A75" s="147">
        <v>75</v>
      </c>
      <c r="B75" s="165" t="s">
        <v>240</v>
      </c>
      <c r="C75" s="165" t="s">
        <v>529</v>
      </c>
      <c r="D75" s="133" t="s">
        <v>104</v>
      </c>
      <c r="E75" s="166" t="s">
        <v>337</v>
      </c>
      <c r="F75" s="127" t="s">
        <v>333</v>
      </c>
      <c r="G75" s="127" t="s">
        <v>328</v>
      </c>
      <c r="H75" s="167" t="s">
        <v>243</v>
      </c>
      <c r="I75" s="178">
        <v>14.11</v>
      </c>
      <c r="J75" s="482"/>
      <c r="K75" s="168">
        <v>255</v>
      </c>
      <c r="L75" s="169" t="e">
        <f t="shared" si="2"/>
        <v>#DIV/0!</v>
      </c>
      <c r="M75" s="170">
        <f>IF(K75="nio",0,IF(K75&gt;0,VLOOKUP(G75,'3-Productie normen'!A:L,VLOOKUP(K75,'3-Productie normen'!N:O,2,FALSE),FALSE)))</f>
        <v>0</v>
      </c>
      <c r="N75" s="171" t="str">
        <f>VLOOKUP(G75,'3-Productie normen'!A:L,10,FALSE)</f>
        <v>V</v>
      </c>
      <c r="O75" s="171"/>
      <c r="Q75" s="130">
        <f t="shared" si="3"/>
        <v>3598.0499999999997</v>
      </c>
    </row>
    <row r="76" spans="1:17" ht="14.1" customHeight="1">
      <c r="A76" s="147">
        <v>76</v>
      </c>
      <c r="B76" s="165" t="s">
        <v>240</v>
      </c>
      <c r="C76" s="165" t="s">
        <v>529</v>
      </c>
      <c r="D76" s="133" t="s">
        <v>104</v>
      </c>
      <c r="E76" s="166" t="s">
        <v>338</v>
      </c>
      <c r="F76" s="127" t="s">
        <v>339</v>
      </c>
      <c r="G76" s="127" t="s">
        <v>340</v>
      </c>
      <c r="H76" s="167" t="s">
        <v>243</v>
      </c>
      <c r="I76" s="178">
        <v>2.4</v>
      </c>
      <c r="J76" s="482"/>
      <c r="K76" s="168">
        <v>255</v>
      </c>
      <c r="L76" s="169" t="e">
        <f t="shared" si="2"/>
        <v>#DIV/0!</v>
      </c>
      <c r="M76" s="170">
        <f>IF(K76="nio",0,IF(K76&gt;0,VLOOKUP(G76,'3-Productie normen'!A:L,VLOOKUP(K76,'3-Productie normen'!N:O,2,FALSE),FALSE)))</f>
        <v>0</v>
      </c>
      <c r="N76" s="171" t="str">
        <f>VLOOKUP(G76,'3-Productie normen'!A:L,10,FALSE)</f>
        <v>V</v>
      </c>
      <c r="O76" s="171"/>
      <c r="Q76" s="130">
        <f t="shared" si="3"/>
        <v>612</v>
      </c>
    </row>
    <row r="77" spans="1:17" ht="14.1" customHeight="1">
      <c r="A77" s="147">
        <v>77</v>
      </c>
      <c r="B77" s="165" t="s">
        <v>240</v>
      </c>
      <c r="C77" s="165" t="s">
        <v>529</v>
      </c>
      <c r="D77" s="133" t="s">
        <v>104</v>
      </c>
      <c r="E77" s="166" t="s">
        <v>341</v>
      </c>
      <c r="F77" s="127" t="s">
        <v>339</v>
      </c>
      <c r="G77" s="127" t="s">
        <v>340</v>
      </c>
      <c r="H77" s="167" t="s">
        <v>243</v>
      </c>
      <c r="I77" s="178">
        <v>1.99</v>
      </c>
      <c r="J77" s="482"/>
      <c r="K77" s="168">
        <v>255</v>
      </c>
      <c r="L77" s="169" t="e">
        <f t="shared" si="2"/>
        <v>#DIV/0!</v>
      </c>
      <c r="M77" s="170">
        <f>IF(K77="nio",0,IF(K77&gt;0,VLOOKUP(G77,'3-Productie normen'!A:L,VLOOKUP(K77,'3-Productie normen'!N:O,2,FALSE),FALSE)))</f>
        <v>0</v>
      </c>
      <c r="N77" s="171" t="str">
        <f>VLOOKUP(G77,'3-Productie normen'!A:L,10,FALSE)</f>
        <v>V</v>
      </c>
      <c r="O77" s="171"/>
      <c r="Q77" s="130">
        <f t="shared" si="3"/>
        <v>507.45</v>
      </c>
    </row>
    <row r="78" spans="1:17" ht="14.1" customHeight="1">
      <c r="A78" s="147">
        <v>78</v>
      </c>
      <c r="B78" s="165" t="s">
        <v>240</v>
      </c>
      <c r="C78" s="165" t="s">
        <v>529</v>
      </c>
      <c r="D78" s="133" t="s">
        <v>104</v>
      </c>
      <c r="E78" s="166" t="s">
        <v>342</v>
      </c>
      <c r="F78" s="127" t="s">
        <v>339</v>
      </c>
      <c r="G78" s="127" t="s">
        <v>340</v>
      </c>
      <c r="H78" s="167" t="s">
        <v>243</v>
      </c>
      <c r="I78" s="178">
        <v>1.6</v>
      </c>
      <c r="J78" s="482"/>
      <c r="K78" s="168">
        <v>255</v>
      </c>
      <c r="L78" s="169" t="e">
        <f t="shared" si="2"/>
        <v>#DIV/0!</v>
      </c>
      <c r="M78" s="170">
        <f>IF(K78="nio",0,IF(K78&gt;0,VLOOKUP(G78,'3-Productie normen'!A:L,VLOOKUP(K78,'3-Productie normen'!N:O,2,FALSE),FALSE)))</f>
        <v>0</v>
      </c>
      <c r="N78" s="171" t="str">
        <f>VLOOKUP(G78,'3-Productie normen'!A:L,10,FALSE)</f>
        <v>V</v>
      </c>
      <c r="O78" s="171"/>
      <c r="Q78" s="130">
        <f t="shared" si="3"/>
        <v>408</v>
      </c>
    </row>
    <row r="79" spans="1:17" ht="14.1" customHeight="1">
      <c r="A79" s="147">
        <v>79</v>
      </c>
      <c r="B79" s="165" t="s">
        <v>240</v>
      </c>
      <c r="C79" s="165" t="s">
        <v>529</v>
      </c>
      <c r="D79" s="133" t="s">
        <v>104</v>
      </c>
      <c r="E79" s="166">
        <v>0.67</v>
      </c>
      <c r="F79" s="127" t="s">
        <v>343</v>
      </c>
      <c r="G79" s="127" t="s">
        <v>247</v>
      </c>
      <c r="H79" s="167" t="s">
        <v>308</v>
      </c>
      <c r="I79" s="178">
        <v>12.29</v>
      </c>
      <c r="J79" s="482"/>
      <c r="K79" s="168">
        <v>255</v>
      </c>
      <c r="L79" s="169" t="e">
        <f t="shared" si="2"/>
        <v>#DIV/0!</v>
      </c>
      <c r="M79" s="170">
        <f>IF(K79="nio",0,IF(K79&gt;0,VLOOKUP(G79,'3-Productie normen'!A:L,VLOOKUP(K79,'3-Productie normen'!N:O,2,FALSE),FALSE)))</f>
        <v>0</v>
      </c>
      <c r="N79" s="171" t="str">
        <f>VLOOKUP(G79,'3-Productie normen'!A:L,10,FALSE)</f>
        <v>V</v>
      </c>
      <c r="O79" s="171"/>
      <c r="Q79" s="130">
        <f t="shared" si="3"/>
        <v>3133.95</v>
      </c>
    </row>
    <row r="80" spans="1:17" ht="14.1" customHeight="1">
      <c r="A80" s="147">
        <v>80</v>
      </c>
      <c r="B80" s="165" t="s">
        <v>240</v>
      </c>
      <c r="C80" s="165" t="s">
        <v>529</v>
      </c>
      <c r="D80" s="133" t="s">
        <v>104</v>
      </c>
      <c r="E80" s="166">
        <v>0.68</v>
      </c>
      <c r="F80" s="127" t="s">
        <v>344</v>
      </c>
      <c r="G80" s="127" t="s">
        <v>288</v>
      </c>
      <c r="H80" s="167" t="s">
        <v>345</v>
      </c>
      <c r="I80" s="178">
        <v>91.51</v>
      </c>
      <c r="J80" s="482"/>
      <c r="K80" s="168">
        <v>255</v>
      </c>
      <c r="L80" s="169" t="e">
        <f t="shared" si="2"/>
        <v>#DIV/0!</v>
      </c>
      <c r="M80" s="170">
        <f>IF(K80="nio",0,IF(K80&gt;0,VLOOKUP(G80,'3-Productie normen'!A:L,VLOOKUP(K80,'3-Productie normen'!N:O,2,FALSE),FALSE)))</f>
        <v>0</v>
      </c>
      <c r="N80" s="171" t="str">
        <f>VLOOKUP(G80,'3-Productie normen'!A:L,10,FALSE)</f>
        <v>V</v>
      </c>
      <c r="O80" s="171"/>
      <c r="Q80" s="130">
        <f t="shared" si="3"/>
        <v>23335.050000000003</v>
      </c>
    </row>
    <row r="81" spans="1:17" ht="14.1" customHeight="1">
      <c r="A81" s="147">
        <v>81</v>
      </c>
      <c r="B81" s="165" t="s">
        <v>240</v>
      </c>
      <c r="C81" s="165" t="s">
        <v>529</v>
      </c>
      <c r="D81" s="133" t="s">
        <v>104</v>
      </c>
      <c r="E81" s="166" t="s">
        <v>346</v>
      </c>
      <c r="F81" s="127" t="s">
        <v>347</v>
      </c>
      <c r="G81" s="127" t="s">
        <v>115</v>
      </c>
      <c r="H81" s="167" t="s">
        <v>348</v>
      </c>
      <c r="I81" s="178">
        <v>1.05</v>
      </c>
      <c r="J81" s="482"/>
      <c r="K81" s="168" t="s">
        <v>115</v>
      </c>
      <c r="L81" s="169">
        <f t="shared" si="2"/>
        <v>0</v>
      </c>
      <c r="M81" s="170">
        <f>IF(K81="nio",0,IF(K81&gt;0,VLOOKUP(G81,'3-Productie normen'!A:L,VLOOKUP(K81,'3-Productie normen'!N:O,2,FALSE),FALSE)))</f>
        <v>0</v>
      </c>
      <c r="N81" s="171">
        <f>VLOOKUP(G81,'3-Productie normen'!A:L,10,FALSE)</f>
        <v>0</v>
      </c>
      <c r="O81" s="171"/>
      <c r="Q81" s="130">
        <f t="shared" si="3"/>
        <v>0</v>
      </c>
    </row>
    <row r="82" spans="1:17" ht="14.1" customHeight="1">
      <c r="A82" s="147">
        <v>82</v>
      </c>
      <c r="B82" s="165" t="s">
        <v>240</v>
      </c>
      <c r="C82" s="165" t="s">
        <v>529</v>
      </c>
      <c r="D82" s="133" t="s">
        <v>104</v>
      </c>
      <c r="E82" s="166" t="s">
        <v>349</v>
      </c>
      <c r="F82" s="127" t="s">
        <v>350</v>
      </c>
      <c r="G82" s="127" t="s">
        <v>351</v>
      </c>
      <c r="H82" s="167" t="s">
        <v>352</v>
      </c>
      <c r="I82" s="178">
        <v>10</v>
      </c>
      <c r="J82" s="482"/>
      <c r="K82" s="168">
        <v>52</v>
      </c>
      <c r="L82" s="169" t="e">
        <f t="shared" si="2"/>
        <v>#DIV/0!</v>
      </c>
      <c r="M82" s="170">
        <f>IF(K82="nio",0,IF(K82&gt;0,VLOOKUP(G82,'3-Productie normen'!A:L,VLOOKUP(K82,'3-Productie normen'!N:O,2,FALSE),FALSE)))</f>
        <v>0</v>
      </c>
      <c r="N82" s="171" t="str">
        <f>VLOOKUP(G82,'3-Productie normen'!A:L,10,FALSE)</f>
        <v>V</v>
      </c>
      <c r="O82" s="171"/>
      <c r="Q82" s="130">
        <f t="shared" si="3"/>
        <v>520</v>
      </c>
    </row>
    <row r="83" spans="1:17" ht="14.1" customHeight="1">
      <c r="A83" s="147">
        <v>83</v>
      </c>
      <c r="B83" s="165" t="s">
        <v>240</v>
      </c>
      <c r="C83" s="165" t="s">
        <v>529</v>
      </c>
      <c r="D83" s="133">
        <v>1</v>
      </c>
      <c r="E83" s="166" t="s">
        <v>353</v>
      </c>
      <c r="F83" s="127" t="s">
        <v>242</v>
      </c>
      <c r="G83" s="127" t="s">
        <v>217</v>
      </c>
      <c r="H83" s="167" t="s">
        <v>243</v>
      </c>
      <c r="I83" s="178">
        <v>17.25</v>
      </c>
      <c r="J83" s="482"/>
      <c r="K83" s="168">
        <v>255</v>
      </c>
      <c r="L83" s="169" t="e">
        <f t="shared" si="2"/>
        <v>#DIV/0!</v>
      </c>
      <c r="M83" s="170">
        <f>IF(K83="nio",0,IF(K83&gt;0,VLOOKUP(G83,'3-Productie normen'!A:L,VLOOKUP(K83,'3-Productie normen'!N:O,2,FALSE),FALSE)))</f>
        <v>0</v>
      </c>
      <c r="N83" s="171" t="str">
        <f>VLOOKUP(G83,'3-Productie normen'!A:L,10,FALSE)</f>
        <v>B</v>
      </c>
      <c r="O83" s="171"/>
      <c r="Q83" s="130">
        <f t="shared" si="3"/>
        <v>4398.75</v>
      </c>
    </row>
    <row r="84" spans="1:17" ht="14.1" customHeight="1">
      <c r="A84" s="147">
        <v>84</v>
      </c>
      <c r="B84" s="165" t="s">
        <v>240</v>
      </c>
      <c r="C84" s="165" t="s">
        <v>529</v>
      </c>
      <c r="D84" s="133">
        <v>1</v>
      </c>
      <c r="E84" s="166" t="s">
        <v>354</v>
      </c>
      <c r="F84" s="127" t="s">
        <v>242</v>
      </c>
      <c r="G84" s="127" t="s">
        <v>217</v>
      </c>
      <c r="H84" s="167" t="s">
        <v>243</v>
      </c>
      <c r="I84" s="178">
        <v>17.309999999999999</v>
      </c>
      <c r="J84" s="482"/>
      <c r="K84" s="168">
        <v>255</v>
      </c>
      <c r="L84" s="169" t="e">
        <f t="shared" si="2"/>
        <v>#DIV/0!</v>
      </c>
      <c r="M84" s="170">
        <f>IF(K84="nio",0,IF(K84&gt;0,VLOOKUP(G84,'3-Productie normen'!A:L,VLOOKUP(K84,'3-Productie normen'!N:O,2,FALSE),FALSE)))</f>
        <v>0</v>
      </c>
      <c r="N84" s="171" t="str">
        <f>VLOOKUP(G84,'3-Productie normen'!A:L,10,FALSE)</f>
        <v>B</v>
      </c>
      <c r="O84" s="171"/>
      <c r="Q84" s="130">
        <f t="shared" si="3"/>
        <v>4414.0499999999993</v>
      </c>
    </row>
    <row r="85" spans="1:17" ht="14.1" customHeight="1">
      <c r="A85" s="147">
        <v>85</v>
      </c>
      <c r="B85" s="165" t="s">
        <v>240</v>
      </c>
      <c r="C85" s="165" t="s">
        <v>529</v>
      </c>
      <c r="D85" s="133">
        <v>1</v>
      </c>
      <c r="E85" s="166" t="s">
        <v>355</v>
      </c>
      <c r="F85" s="127" t="s">
        <v>242</v>
      </c>
      <c r="G85" s="127" t="s">
        <v>217</v>
      </c>
      <c r="H85" s="167" t="s">
        <v>243</v>
      </c>
      <c r="I85" s="178">
        <v>17.27</v>
      </c>
      <c r="J85" s="482"/>
      <c r="K85" s="168">
        <v>255</v>
      </c>
      <c r="L85" s="169" t="e">
        <f t="shared" si="2"/>
        <v>#DIV/0!</v>
      </c>
      <c r="M85" s="170">
        <f>IF(K85="nio",0,IF(K85&gt;0,VLOOKUP(G85,'3-Productie normen'!A:L,VLOOKUP(K85,'3-Productie normen'!N:O,2,FALSE),FALSE)))</f>
        <v>0</v>
      </c>
      <c r="N85" s="171" t="str">
        <f>VLOOKUP(G85,'3-Productie normen'!A:L,10,FALSE)</f>
        <v>B</v>
      </c>
      <c r="O85" s="171"/>
      <c r="Q85" s="130">
        <f t="shared" si="3"/>
        <v>4403.8499999999995</v>
      </c>
    </row>
    <row r="86" spans="1:17" ht="14.1" customHeight="1">
      <c r="A86" s="147">
        <v>86</v>
      </c>
      <c r="B86" s="165" t="s">
        <v>240</v>
      </c>
      <c r="C86" s="165" t="s">
        <v>529</v>
      </c>
      <c r="D86" s="133">
        <v>1</v>
      </c>
      <c r="E86" s="166" t="s">
        <v>356</v>
      </c>
      <c r="F86" s="127" t="s">
        <v>242</v>
      </c>
      <c r="G86" s="127" t="s">
        <v>217</v>
      </c>
      <c r="H86" s="167" t="s">
        <v>243</v>
      </c>
      <c r="I86" s="178">
        <v>17.149999999999999</v>
      </c>
      <c r="J86" s="482"/>
      <c r="K86" s="168">
        <v>255</v>
      </c>
      <c r="L86" s="169" t="e">
        <f t="shared" si="2"/>
        <v>#DIV/0!</v>
      </c>
      <c r="M86" s="170">
        <f>IF(K86="nio",0,IF(K86&gt;0,VLOOKUP(G86,'3-Productie normen'!A:L,VLOOKUP(K86,'3-Productie normen'!N:O,2,FALSE),FALSE)))</f>
        <v>0</v>
      </c>
      <c r="N86" s="171" t="str">
        <f>VLOOKUP(G86,'3-Productie normen'!A:L,10,FALSE)</f>
        <v>B</v>
      </c>
      <c r="O86" s="171"/>
      <c r="Q86" s="130">
        <f t="shared" si="3"/>
        <v>4373.25</v>
      </c>
    </row>
    <row r="87" spans="1:17" ht="14.1" customHeight="1">
      <c r="A87" s="147">
        <v>87</v>
      </c>
      <c r="B87" s="165" t="s">
        <v>240</v>
      </c>
      <c r="C87" s="165" t="s">
        <v>529</v>
      </c>
      <c r="D87" s="133">
        <v>1</v>
      </c>
      <c r="E87" s="166" t="s">
        <v>357</v>
      </c>
      <c r="F87" s="127" t="s">
        <v>242</v>
      </c>
      <c r="G87" s="127" t="s">
        <v>217</v>
      </c>
      <c r="H87" s="167" t="s">
        <v>243</v>
      </c>
      <c r="I87" s="178">
        <v>34.630000000000003</v>
      </c>
      <c r="J87" s="482"/>
      <c r="K87" s="168">
        <v>255</v>
      </c>
      <c r="L87" s="169" t="e">
        <f t="shared" si="2"/>
        <v>#DIV/0!</v>
      </c>
      <c r="M87" s="170">
        <f>IF(K87="nio",0,IF(K87&gt;0,VLOOKUP(G87,'3-Productie normen'!A:L,VLOOKUP(K87,'3-Productie normen'!N:O,2,FALSE),FALSE)))</f>
        <v>0</v>
      </c>
      <c r="N87" s="171" t="str">
        <f>VLOOKUP(G87,'3-Productie normen'!A:L,10,FALSE)</f>
        <v>B</v>
      </c>
      <c r="O87" s="171"/>
      <c r="Q87" s="130">
        <f t="shared" si="3"/>
        <v>8830.6500000000015</v>
      </c>
    </row>
    <row r="88" spans="1:17" ht="14.1" customHeight="1">
      <c r="A88" s="147">
        <v>88</v>
      </c>
      <c r="B88" s="165" t="s">
        <v>240</v>
      </c>
      <c r="C88" s="165" t="s">
        <v>529</v>
      </c>
      <c r="D88" s="133">
        <v>1</v>
      </c>
      <c r="E88" s="166" t="s">
        <v>358</v>
      </c>
      <c r="F88" s="127" t="s">
        <v>359</v>
      </c>
      <c r="G88" s="127" t="s">
        <v>247</v>
      </c>
      <c r="H88" s="167" t="s">
        <v>243</v>
      </c>
      <c r="I88" s="178">
        <v>43.63</v>
      </c>
      <c r="J88" s="482"/>
      <c r="K88" s="168">
        <v>255</v>
      </c>
      <c r="L88" s="169" t="e">
        <f t="shared" si="2"/>
        <v>#DIV/0!</v>
      </c>
      <c r="M88" s="170">
        <f>IF(K88="nio",0,IF(K88&gt;0,VLOOKUP(G88,'3-Productie normen'!A:L,VLOOKUP(K88,'3-Productie normen'!N:O,2,FALSE),FALSE)))</f>
        <v>0</v>
      </c>
      <c r="N88" s="171" t="str">
        <f>VLOOKUP(G88,'3-Productie normen'!A:L,10,FALSE)</f>
        <v>V</v>
      </c>
      <c r="O88" s="171"/>
      <c r="Q88" s="130">
        <f t="shared" si="3"/>
        <v>11125.650000000001</v>
      </c>
    </row>
    <row r="89" spans="1:17" ht="14.1" customHeight="1">
      <c r="A89" s="147">
        <v>89</v>
      </c>
      <c r="B89" s="165" t="s">
        <v>240</v>
      </c>
      <c r="C89" s="165" t="s">
        <v>529</v>
      </c>
      <c r="D89" s="133">
        <v>1</v>
      </c>
      <c r="E89" s="166" t="s">
        <v>360</v>
      </c>
      <c r="F89" s="127" t="s">
        <v>242</v>
      </c>
      <c r="G89" s="127" t="s">
        <v>217</v>
      </c>
      <c r="H89" s="167" t="s">
        <v>361</v>
      </c>
      <c r="I89" s="178">
        <v>35.75</v>
      </c>
      <c r="J89" s="482"/>
      <c r="K89" s="168">
        <v>255</v>
      </c>
      <c r="L89" s="169" t="e">
        <f t="shared" si="2"/>
        <v>#DIV/0!</v>
      </c>
      <c r="M89" s="170">
        <f>IF(K89="nio",0,IF(K89&gt;0,VLOOKUP(G89,'3-Productie normen'!A:L,VLOOKUP(K89,'3-Productie normen'!N:O,2,FALSE),FALSE)))</f>
        <v>0</v>
      </c>
      <c r="N89" s="171" t="str">
        <f>VLOOKUP(G89,'3-Productie normen'!A:L,10,FALSE)</f>
        <v>B</v>
      </c>
      <c r="O89" s="171"/>
      <c r="Q89" s="130">
        <f t="shared" si="3"/>
        <v>9116.25</v>
      </c>
    </row>
    <row r="90" spans="1:17" ht="14.1" customHeight="1">
      <c r="A90" s="147">
        <v>90</v>
      </c>
      <c r="B90" s="165" t="s">
        <v>240</v>
      </c>
      <c r="C90" s="165" t="s">
        <v>529</v>
      </c>
      <c r="D90" s="133">
        <v>1</v>
      </c>
      <c r="E90" s="166" t="s">
        <v>362</v>
      </c>
      <c r="F90" s="127" t="s">
        <v>242</v>
      </c>
      <c r="G90" s="127" t="s">
        <v>217</v>
      </c>
      <c r="H90" s="167" t="s">
        <v>243</v>
      </c>
      <c r="I90" s="178">
        <v>27.9</v>
      </c>
      <c r="J90" s="482"/>
      <c r="K90" s="168">
        <v>255</v>
      </c>
      <c r="L90" s="169" t="e">
        <f t="shared" si="2"/>
        <v>#DIV/0!</v>
      </c>
      <c r="M90" s="170">
        <f>IF(K90="nio",0,IF(K90&gt;0,VLOOKUP(G90,'3-Productie normen'!A:L,VLOOKUP(K90,'3-Productie normen'!N:O,2,FALSE),FALSE)))</f>
        <v>0</v>
      </c>
      <c r="N90" s="171" t="str">
        <f>VLOOKUP(G90,'3-Productie normen'!A:L,10,FALSE)</f>
        <v>B</v>
      </c>
      <c r="O90" s="171"/>
      <c r="Q90" s="130">
        <f t="shared" si="3"/>
        <v>7114.5</v>
      </c>
    </row>
    <row r="91" spans="1:17" ht="14.1" customHeight="1">
      <c r="A91" s="147">
        <v>91</v>
      </c>
      <c r="B91" s="165" t="s">
        <v>240</v>
      </c>
      <c r="C91" s="165" t="s">
        <v>529</v>
      </c>
      <c r="D91" s="133">
        <v>1</v>
      </c>
      <c r="E91" s="166" t="s">
        <v>363</v>
      </c>
      <c r="F91" s="127" t="s">
        <v>242</v>
      </c>
      <c r="G91" s="127" t="s">
        <v>217</v>
      </c>
      <c r="H91" s="167" t="s">
        <v>361</v>
      </c>
      <c r="I91" s="178">
        <v>26.22</v>
      </c>
      <c r="J91" s="482"/>
      <c r="K91" s="168">
        <v>255</v>
      </c>
      <c r="L91" s="169" t="e">
        <f t="shared" si="2"/>
        <v>#DIV/0!</v>
      </c>
      <c r="M91" s="170">
        <f>IF(K91="nio",0,IF(K91&gt;0,VLOOKUP(G91,'3-Productie normen'!A:L,VLOOKUP(K91,'3-Productie normen'!N:O,2,FALSE),FALSE)))</f>
        <v>0</v>
      </c>
      <c r="N91" s="171" t="str">
        <f>VLOOKUP(G91,'3-Productie normen'!A:L,10,FALSE)</f>
        <v>B</v>
      </c>
      <c r="O91" s="171"/>
      <c r="Q91" s="130">
        <f t="shared" si="3"/>
        <v>6686.0999999999995</v>
      </c>
    </row>
    <row r="92" spans="1:17" ht="14.1" customHeight="1">
      <c r="A92" s="147">
        <v>92</v>
      </c>
      <c r="B92" s="165" t="s">
        <v>240</v>
      </c>
      <c r="C92" s="165" t="s">
        <v>529</v>
      </c>
      <c r="D92" s="133">
        <v>1</v>
      </c>
      <c r="E92" s="166" t="s">
        <v>364</v>
      </c>
      <c r="F92" s="127" t="s">
        <v>242</v>
      </c>
      <c r="G92" s="127" t="s">
        <v>217</v>
      </c>
      <c r="H92" s="167" t="s">
        <v>243</v>
      </c>
      <c r="I92" s="178">
        <v>26.29</v>
      </c>
      <c r="J92" s="482"/>
      <c r="K92" s="168">
        <v>255</v>
      </c>
      <c r="L92" s="169" t="e">
        <f t="shared" si="2"/>
        <v>#DIV/0!</v>
      </c>
      <c r="M92" s="170">
        <f>IF(K92="nio",0,IF(K92&gt;0,VLOOKUP(G92,'3-Productie normen'!A:L,VLOOKUP(K92,'3-Productie normen'!N:O,2,FALSE),FALSE)))</f>
        <v>0</v>
      </c>
      <c r="N92" s="171" t="str">
        <f>VLOOKUP(G92,'3-Productie normen'!A:L,10,FALSE)</f>
        <v>B</v>
      </c>
      <c r="O92" s="171"/>
      <c r="Q92" s="130">
        <f t="shared" si="3"/>
        <v>6703.95</v>
      </c>
    </row>
    <row r="93" spans="1:17" ht="14.1" customHeight="1">
      <c r="A93" s="147">
        <v>93</v>
      </c>
      <c r="B93" s="165" t="s">
        <v>240</v>
      </c>
      <c r="C93" s="165" t="s">
        <v>529</v>
      </c>
      <c r="D93" s="133">
        <v>1</v>
      </c>
      <c r="E93" s="166" t="s">
        <v>365</v>
      </c>
      <c r="F93" s="127" t="s">
        <v>242</v>
      </c>
      <c r="G93" s="127" t="s">
        <v>217</v>
      </c>
      <c r="H93" s="167" t="s">
        <v>361</v>
      </c>
      <c r="I93" s="178">
        <v>26.11</v>
      </c>
      <c r="J93" s="482"/>
      <c r="K93" s="168">
        <v>255</v>
      </c>
      <c r="L93" s="169" t="e">
        <f t="shared" si="2"/>
        <v>#DIV/0!</v>
      </c>
      <c r="M93" s="170">
        <f>IF(K93="nio",0,IF(K93&gt;0,VLOOKUP(G93,'3-Productie normen'!A:L,VLOOKUP(K93,'3-Productie normen'!N:O,2,FALSE),FALSE)))</f>
        <v>0</v>
      </c>
      <c r="N93" s="171" t="str">
        <f>VLOOKUP(G93,'3-Productie normen'!A:L,10,FALSE)</f>
        <v>B</v>
      </c>
      <c r="O93" s="171"/>
      <c r="Q93" s="130">
        <f t="shared" si="3"/>
        <v>6658.05</v>
      </c>
    </row>
    <row r="94" spans="1:17" ht="14.1" customHeight="1">
      <c r="A94" s="147">
        <v>94</v>
      </c>
      <c r="B94" s="165" t="s">
        <v>240</v>
      </c>
      <c r="C94" s="165" t="s">
        <v>529</v>
      </c>
      <c r="D94" s="133">
        <v>1</v>
      </c>
      <c r="E94" s="166" t="s">
        <v>366</v>
      </c>
      <c r="F94" s="127" t="s">
        <v>242</v>
      </c>
      <c r="G94" s="127" t="s">
        <v>217</v>
      </c>
      <c r="H94" s="167" t="s">
        <v>243</v>
      </c>
      <c r="I94" s="178">
        <v>26.35</v>
      </c>
      <c r="J94" s="482"/>
      <c r="K94" s="168">
        <v>255</v>
      </c>
      <c r="L94" s="169" t="e">
        <f t="shared" si="2"/>
        <v>#DIV/0!</v>
      </c>
      <c r="M94" s="170">
        <f>IF(K94="nio",0,IF(K94&gt;0,VLOOKUP(G94,'3-Productie normen'!A:L,VLOOKUP(K94,'3-Productie normen'!N:O,2,FALSE),FALSE)))</f>
        <v>0</v>
      </c>
      <c r="N94" s="171" t="str">
        <f>VLOOKUP(G94,'3-Productie normen'!A:L,10,FALSE)</f>
        <v>B</v>
      </c>
      <c r="O94" s="171"/>
      <c r="Q94" s="130">
        <f t="shared" si="3"/>
        <v>6719.25</v>
      </c>
    </row>
    <row r="95" spans="1:17" ht="14.1" customHeight="1">
      <c r="A95" s="147">
        <v>95</v>
      </c>
      <c r="B95" s="165" t="s">
        <v>240</v>
      </c>
      <c r="C95" s="165" t="s">
        <v>529</v>
      </c>
      <c r="D95" s="133">
        <v>1</v>
      </c>
      <c r="E95" s="166" t="s">
        <v>367</v>
      </c>
      <c r="F95" s="127" t="s">
        <v>242</v>
      </c>
      <c r="G95" s="127" t="s">
        <v>217</v>
      </c>
      <c r="H95" s="167" t="s">
        <v>243</v>
      </c>
      <c r="I95" s="178">
        <v>27.29</v>
      </c>
      <c r="J95" s="482"/>
      <c r="K95" s="168">
        <v>255</v>
      </c>
      <c r="L95" s="169" t="e">
        <f t="shared" si="2"/>
        <v>#DIV/0!</v>
      </c>
      <c r="M95" s="170">
        <f>IF(K95="nio",0,IF(K95&gt;0,VLOOKUP(G95,'3-Productie normen'!A:L,VLOOKUP(K95,'3-Productie normen'!N:O,2,FALSE),FALSE)))</f>
        <v>0</v>
      </c>
      <c r="N95" s="171" t="str">
        <f>VLOOKUP(G95,'3-Productie normen'!A:L,10,FALSE)</f>
        <v>B</v>
      </c>
      <c r="O95" s="171"/>
      <c r="Q95" s="130">
        <f t="shared" si="3"/>
        <v>6958.95</v>
      </c>
    </row>
    <row r="96" spans="1:17" ht="14.1" customHeight="1">
      <c r="A96" s="147">
        <v>96</v>
      </c>
      <c r="B96" s="165" t="s">
        <v>240</v>
      </c>
      <c r="C96" s="165" t="s">
        <v>529</v>
      </c>
      <c r="D96" s="133">
        <v>1</v>
      </c>
      <c r="E96" s="166" t="s">
        <v>368</v>
      </c>
      <c r="F96" s="127" t="s">
        <v>242</v>
      </c>
      <c r="G96" s="127" t="s">
        <v>217</v>
      </c>
      <c r="H96" s="167" t="s">
        <v>243</v>
      </c>
      <c r="I96" s="178">
        <v>37.229999999999997</v>
      </c>
      <c r="J96" s="482"/>
      <c r="K96" s="168">
        <v>255</v>
      </c>
      <c r="L96" s="169" t="e">
        <f t="shared" si="2"/>
        <v>#DIV/0!</v>
      </c>
      <c r="M96" s="170">
        <f>IF(K96="nio",0,IF(K96&gt;0,VLOOKUP(G96,'3-Productie normen'!A:L,VLOOKUP(K96,'3-Productie normen'!N:O,2,FALSE),FALSE)))</f>
        <v>0</v>
      </c>
      <c r="N96" s="171" t="str">
        <f>VLOOKUP(G96,'3-Productie normen'!A:L,10,FALSE)</f>
        <v>B</v>
      </c>
      <c r="O96" s="171"/>
      <c r="Q96" s="130">
        <f t="shared" si="3"/>
        <v>9493.65</v>
      </c>
    </row>
    <row r="97" spans="1:17" ht="14.1" customHeight="1">
      <c r="A97" s="147">
        <v>97</v>
      </c>
      <c r="B97" s="165" t="s">
        <v>240</v>
      </c>
      <c r="C97" s="165" t="s">
        <v>529</v>
      </c>
      <c r="D97" s="133">
        <v>1</v>
      </c>
      <c r="E97" s="166" t="s">
        <v>369</v>
      </c>
      <c r="F97" s="127" t="s">
        <v>242</v>
      </c>
      <c r="G97" s="127" t="s">
        <v>217</v>
      </c>
      <c r="H97" s="167" t="s">
        <v>243</v>
      </c>
      <c r="I97" s="178">
        <v>18.2</v>
      </c>
      <c r="J97" s="482"/>
      <c r="K97" s="168">
        <v>255</v>
      </c>
      <c r="L97" s="169" t="e">
        <f t="shared" si="2"/>
        <v>#DIV/0!</v>
      </c>
      <c r="M97" s="170">
        <f>IF(K97="nio",0,IF(K97&gt;0,VLOOKUP(G97,'3-Productie normen'!A:L,VLOOKUP(K97,'3-Productie normen'!N:O,2,FALSE),FALSE)))</f>
        <v>0</v>
      </c>
      <c r="N97" s="171" t="str">
        <f>VLOOKUP(G97,'3-Productie normen'!A:L,10,FALSE)</f>
        <v>B</v>
      </c>
      <c r="O97" s="171"/>
      <c r="Q97" s="130">
        <f t="shared" si="3"/>
        <v>4641</v>
      </c>
    </row>
    <row r="98" spans="1:17" ht="14.1" customHeight="1">
      <c r="A98" s="147">
        <v>98</v>
      </c>
      <c r="B98" s="165" t="s">
        <v>240</v>
      </c>
      <c r="C98" s="165" t="s">
        <v>529</v>
      </c>
      <c r="D98" s="133">
        <v>1</v>
      </c>
      <c r="E98" s="166" t="s">
        <v>370</v>
      </c>
      <c r="F98" s="127" t="s">
        <v>242</v>
      </c>
      <c r="G98" s="127" t="s">
        <v>217</v>
      </c>
      <c r="H98" s="167" t="s">
        <v>243</v>
      </c>
      <c r="I98" s="178">
        <v>25.83</v>
      </c>
      <c r="J98" s="482"/>
      <c r="K98" s="168">
        <v>255</v>
      </c>
      <c r="L98" s="169" t="e">
        <f t="shared" si="2"/>
        <v>#DIV/0!</v>
      </c>
      <c r="M98" s="170">
        <f>IF(K98="nio",0,IF(K98&gt;0,VLOOKUP(G98,'3-Productie normen'!A:L,VLOOKUP(K98,'3-Productie normen'!N:O,2,FALSE),FALSE)))</f>
        <v>0</v>
      </c>
      <c r="N98" s="171" t="str">
        <f>VLOOKUP(G98,'3-Productie normen'!A:L,10,FALSE)</f>
        <v>B</v>
      </c>
      <c r="O98" s="171"/>
      <c r="Q98" s="130">
        <f t="shared" si="3"/>
        <v>6586.65</v>
      </c>
    </row>
    <row r="99" spans="1:17" ht="14.1" customHeight="1">
      <c r="A99" s="147">
        <v>99</v>
      </c>
      <c r="B99" s="165" t="s">
        <v>240</v>
      </c>
      <c r="C99" s="165" t="s">
        <v>529</v>
      </c>
      <c r="D99" s="133">
        <v>1</v>
      </c>
      <c r="E99" s="166" t="s">
        <v>371</v>
      </c>
      <c r="F99" s="127" t="s">
        <v>242</v>
      </c>
      <c r="G99" s="127" t="s">
        <v>217</v>
      </c>
      <c r="H99" s="167" t="s">
        <v>243</v>
      </c>
      <c r="I99" s="178">
        <v>17.75</v>
      </c>
      <c r="J99" s="482"/>
      <c r="K99" s="168">
        <v>255</v>
      </c>
      <c r="L99" s="169" t="e">
        <f t="shared" si="2"/>
        <v>#DIV/0!</v>
      </c>
      <c r="M99" s="170">
        <f>IF(K99="nio",0,IF(K99&gt;0,VLOOKUP(G99,'3-Productie normen'!A:L,VLOOKUP(K99,'3-Productie normen'!N:O,2,FALSE),FALSE)))</f>
        <v>0</v>
      </c>
      <c r="N99" s="171" t="str">
        <f>VLOOKUP(G99,'3-Productie normen'!A:L,10,FALSE)</f>
        <v>B</v>
      </c>
      <c r="O99" s="171"/>
      <c r="Q99" s="130">
        <f t="shared" si="3"/>
        <v>4526.25</v>
      </c>
    </row>
    <row r="100" spans="1:17" ht="14.1" customHeight="1">
      <c r="A100" s="147">
        <v>100</v>
      </c>
      <c r="B100" s="165" t="s">
        <v>240</v>
      </c>
      <c r="C100" s="165" t="s">
        <v>529</v>
      </c>
      <c r="D100" s="133">
        <v>1</v>
      </c>
      <c r="E100" s="166" t="s">
        <v>372</v>
      </c>
      <c r="F100" s="127" t="s">
        <v>242</v>
      </c>
      <c r="G100" s="127" t="s">
        <v>217</v>
      </c>
      <c r="H100" s="167" t="s">
        <v>243</v>
      </c>
      <c r="I100" s="178">
        <v>17.989999999999998</v>
      </c>
      <c r="J100" s="482"/>
      <c r="K100" s="168">
        <v>255</v>
      </c>
      <c r="L100" s="169" t="e">
        <f t="shared" si="2"/>
        <v>#DIV/0!</v>
      </c>
      <c r="M100" s="170">
        <f>IF(K100="nio",0,IF(K100&gt;0,VLOOKUP(G100,'3-Productie normen'!A:L,VLOOKUP(K100,'3-Productie normen'!N:O,2,FALSE),FALSE)))</f>
        <v>0</v>
      </c>
      <c r="N100" s="171" t="str">
        <f>VLOOKUP(G100,'3-Productie normen'!A:L,10,FALSE)</f>
        <v>B</v>
      </c>
      <c r="O100" s="171"/>
      <c r="Q100" s="130">
        <f t="shared" si="3"/>
        <v>4587.45</v>
      </c>
    </row>
    <row r="101" spans="1:17" ht="14.1" customHeight="1">
      <c r="A101" s="147">
        <v>101</v>
      </c>
      <c r="B101" s="165" t="s">
        <v>240</v>
      </c>
      <c r="C101" s="165" t="s">
        <v>529</v>
      </c>
      <c r="D101" s="133">
        <v>1</v>
      </c>
      <c r="E101" s="166" t="s">
        <v>373</v>
      </c>
      <c r="F101" s="127" t="s">
        <v>242</v>
      </c>
      <c r="G101" s="127" t="s">
        <v>217</v>
      </c>
      <c r="H101" s="167" t="s">
        <v>243</v>
      </c>
      <c r="I101" s="178">
        <v>122.73</v>
      </c>
      <c r="J101" s="482"/>
      <c r="K101" s="168">
        <v>255</v>
      </c>
      <c r="L101" s="169" t="e">
        <f t="shared" si="2"/>
        <v>#DIV/0!</v>
      </c>
      <c r="M101" s="170">
        <f>IF(K101="nio",0,IF(K101&gt;0,VLOOKUP(G101,'3-Productie normen'!A:L,VLOOKUP(K101,'3-Productie normen'!N:O,2,FALSE),FALSE)))</f>
        <v>0</v>
      </c>
      <c r="N101" s="171" t="str">
        <f>VLOOKUP(G101,'3-Productie normen'!A:L,10,FALSE)</f>
        <v>B</v>
      </c>
      <c r="O101" s="171"/>
      <c r="Q101" s="130">
        <f t="shared" si="3"/>
        <v>31296.15</v>
      </c>
    </row>
    <row r="102" spans="1:17" ht="14.1" customHeight="1">
      <c r="A102" s="147">
        <v>102</v>
      </c>
      <c r="B102" s="165" t="s">
        <v>240</v>
      </c>
      <c r="C102" s="165" t="s">
        <v>529</v>
      </c>
      <c r="D102" s="133">
        <v>1</v>
      </c>
      <c r="E102" s="166" t="s">
        <v>374</v>
      </c>
      <c r="F102" s="127" t="s">
        <v>242</v>
      </c>
      <c r="G102" s="127" t="s">
        <v>217</v>
      </c>
      <c r="H102" s="167" t="s">
        <v>243</v>
      </c>
      <c r="I102" s="178">
        <v>23.52</v>
      </c>
      <c r="J102" s="482"/>
      <c r="K102" s="168">
        <v>255</v>
      </c>
      <c r="L102" s="169" t="e">
        <f t="shared" si="2"/>
        <v>#DIV/0!</v>
      </c>
      <c r="M102" s="170">
        <f>IF(K102="nio",0,IF(K102&gt;0,VLOOKUP(G102,'3-Productie normen'!A:L,VLOOKUP(K102,'3-Productie normen'!N:O,2,FALSE),FALSE)))</f>
        <v>0</v>
      </c>
      <c r="N102" s="171" t="str">
        <f>VLOOKUP(G102,'3-Productie normen'!A:L,10,FALSE)</f>
        <v>B</v>
      </c>
      <c r="O102" s="171"/>
      <c r="Q102" s="130">
        <f t="shared" si="3"/>
        <v>5997.5999999999995</v>
      </c>
    </row>
    <row r="103" spans="1:17" ht="14.1" customHeight="1">
      <c r="A103" s="147">
        <v>103</v>
      </c>
      <c r="B103" s="165" t="s">
        <v>240</v>
      </c>
      <c r="C103" s="165" t="s">
        <v>529</v>
      </c>
      <c r="D103" s="133">
        <v>1</v>
      </c>
      <c r="E103" s="166" t="s">
        <v>375</v>
      </c>
      <c r="F103" s="127" t="s">
        <v>242</v>
      </c>
      <c r="G103" s="127" t="s">
        <v>217</v>
      </c>
      <c r="H103" s="167" t="s">
        <v>243</v>
      </c>
      <c r="I103" s="178">
        <v>18.3</v>
      </c>
      <c r="J103" s="482"/>
      <c r="K103" s="168">
        <v>255</v>
      </c>
      <c r="L103" s="169" t="e">
        <f t="shared" si="2"/>
        <v>#DIV/0!</v>
      </c>
      <c r="M103" s="170">
        <f>IF(K103="nio",0,IF(K103&gt;0,VLOOKUP(G103,'3-Productie normen'!A:L,VLOOKUP(K103,'3-Productie normen'!N:O,2,FALSE),FALSE)))</f>
        <v>0</v>
      </c>
      <c r="N103" s="171" t="str">
        <f>VLOOKUP(G103,'3-Productie normen'!A:L,10,FALSE)</f>
        <v>B</v>
      </c>
      <c r="O103" s="171"/>
      <c r="Q103" s="130">
        <f t="shared" si="3"/>
        <v>4666.5</v>
      </c>
    </row>
    <row r="104" spans="1:17" ht="14.1" customHeight="1">
      <c r="A104" s="147">
        <v>104</v>
      </c>
      <c r="B104" s="165" t="s">
        <v>240</v>
      </c>
      <c r="C104" s="165" t="s">
        <v>529</v>
      </c>
      <c r="D104" s="133">
        <v>1</v>
      </c>
      <c r="E104" s="166" t="s">
        <v>376</v>
      </c>
      <c r="F104" s="127" t="s">
        <v>242</v>
      </c>
      <c r="G104" s="127" t="s">
        <v>217</v>
      </c>
      <c r="H104" s="167" t="s">
        <v>243</v>
      </c>
      <c r="I104" s="178">
        <v>30.89</v>
      </c>
      <c r="J104" s="482"/>
      <c r="K104" s="168">
        <v>255</v>
      </c>
      <c r="L104" s="169" t="e">
        <f t="shared" si="2"/>
        <v>#DIV/0!</v>
      </c>
      <c r="M104" s="170">
        <f>IF(K104="nio",0,IF(K104&gt;0,VLOOKUP(G104,'3-Productie normen'!A:L,VLOOKUP(K104,'3-Productie normen'!N:O,2,FALSE),FALSE)))</f>
        <v>0</v>
      </c>
      <c r="N104" s="171" t="str">
        <f>VLOOKUP(G104,'3-Productie normen'!A:L,10,FALSE)</f>
        <v>B</v>
      </c>
      <c r="O104" s="171"/>
      <c r="Q104" s="130">
        <f t="shared" si="3"/>
        <v>7876.95</v>
      </c>
    </row>
    <row r="105" spans="1:17" ht="14.1" customHeight="1">
      <c r="A105" s="147">
        <v>105</v>
      </c>
      <c r="B105" s="165" t="s">
        <v>240</v>
      </c>
      <c r="C105" s="165" t="s">
        <v>529</v>
      </c>
      <c r="D105" s="133">
        <v>1</v>
      </c>
      <c r="E105" s="166" t="s">
        <v>377</v>
      </c>
      <c r="F105" s="127" t="s">
        <v>242</v>
      </c>
      <c r="G105" s="127" t="s">
        <v>217</v>
      </c>
      <c r="H105" s="167" t="s">
        <v>243</v>
      </c>
      <c r="I105" s="178">
        <v>59.26</v>
      </c>
      <c r="J105" s="482"/>
      <c r="K105" s="168">
        <v>255</v>
      </c>
      <c r="L105" s="169" t="e">
        <f t="shared" si="2"/>
        <v>#DIV/0!</v>
      </c>
      <c r="M105" s="170">
        <f>IF(K105="nio",0,IF(K105&gt;0,VLOOKUP(G105,'3-Productie normen'!A:L,VLOOKUP(K105,'3-Productie normen'!N:O,2,FALSE),FALSE)))</f>
        <v>0</v>
      </c>
      <c r="N105" s="171" t="str">
        <f>VLOOKUP(G105,'3-Productie normen'!A:L,10,FALSE)</f>
        <v>B</v>
      </c>
      <c r="O105" s="171"/>
      <c r="Q105" s="130">
        <f t="shared" si="3"/>
        <v>15111.3</v>
      </c>
    </row>
    <row r="106" spans="1:17" ht="14.1" customHeight="1">
      <c r="A106" s="147">
        <v>106</v>
      </c>
      <c r="B106" s="165" t="s">
        <v>240</v>
      </c>
      <c r="C106" s="165" t="s">
        <v>529</v>
      </c>
      <c r="D106" s="133">
        <v>1</v>
      </c>
      <c r="E106" s="166" t="s">
        <v>378</v>
      </c>
      <c r="F106" s="127" t="s">
        <v>242</v>
      </c>
      <c r="G106" s="127" t="s">
        <v>217</v>
      </c>
      <c r="H106" s="167" t="s">
        <v>243</v>
      </c>
      <c r="I106" s="178">
        <v>102.7</v>
      </c>
      <c r="J106" s="482"/>
      <c r="K106" s="168">
        <v>255</v>
      </c>
      <c r="L106" s="169" t="e">
        <f t="shared" si="2"/>
        <v>#DIV/0!</v>
      </c>
      <c r="M106" s="170">
        <f>IF(K106="nio",0,IF(K106&gt;0,VLOOKUP(G106,'3-Productie normen'!A:L,VLOOKUP(K106,'3-Productie normen'!N:O,2,FALSE),FALSE)))</f>
        <v>0</v>
      </c>
      <c r="N106" s="171" t="str">
        <f>VLOOKUP(G106,'3-Productie normen'!A:L,10,FALSE)</f>
        <v>B</v>
      </c>
      <c r="O106" s="171"/>
      <c r="Q106" s="130">
        <f t="shared" si="3"/>
        <v>26188.5</v>
      </c>
    </row>
    <row r="107" spans="1:17" ht="14.1" customHeight="1">
      <c r="A107" s="147">
        <v>107</v>
      </c>
      <c r="B107" s="165" t="s">
        <v>240</v>
      </c>
      <c r="C107" s="165" t="s">
        <v>529</v>
      </c>
      <c r="D107" s="133">
        <v>1</v>
      </c>
      <c r="E107" s="166" t="s">
        <v>379</v>
      </c>
      <c r="F107" s="127" t="s">
        <v>242</v>
      </c>
      <c r="G107" s="127" t="s">
        <v>217</v>
      </c>
      <c r="H107" s="167" t="s">
        <v>243</v>
      </c>
      <c r="I107" s="178">
        <v>233.66</v>
      </c>
      <c r="J107" s="482"/>
      <c r="K107" s="168">
        <v>255</v>
      </c>
      <c r="L107" s="169" t="e">
        <f t="shared" si="2"/>
        <v>#DIV/0!</v>
      </c>
      <c r="M107" s="170">
        <f>IF(K107="nio",0,IF(K107&gt;0,VLOOKUP(G107,'3-Productie normen'!A:L,VLOOKUP(K107,'3-Productie normen'!N:O,2,FALSE),FALSE)))</f>
        <v>0</v>
      </c>
      <c r="N107" s="171" t="str">
        <f>VLOOKUP(G107,'3-Productie normen'!A:L,10,FALSE)</f>
        <v>B</v>
      </c>
      <c r="O107" s="171"/>
      <c r="Q107" s="130">
        <f t="shared" si="3"/>
        <v>59583.299999999996</v>
      </c>
    </row>
    <row r="108" spans="1:17" ht="14.1" customHeight="1">
      <c r="A108" s="147">
        <v>108</v>
      </c>
      <c r="B108" s="165" t="s">
        <v>240</v>
      </c>
      <c r="C108" s="165" t="s">
        <v>529</v>
      </c>
      <c r="D108" s="133">
        <v>1</v>
      </c>
      <c r="E108" s="166">
        <v>1.25</v>
      </c>
      <c r="F108" s="127" t="s">
        <v>242</v>
      </c>
      <c r="G108" s="127" t="s">
        <v>217</v>
      </c>
      <c r="H108" s="167" t="s">
        <v>264</v>
      </c>
      <c r="I108" s="178">
        <v>23.99</v>
      </c>
      <c r="J108" s="482"/>
      <c r="K108" s="168">
        <v>255</v>
      </c>
      <c r="L108" s="169" t="e">
        <f t="shared" si="2"/>
        <v>#DIV/0!</v>
      </c>
      <c r="M108" s="170">
        <f>IF(K108="nio",0,IF(K108&gt;0,VLOOKUP(G108,'3-Productie normen'!A:L,VLOOKUP(K108,'3-Productie normen'!N:O,2,FALSE),FALSE)))</f>
        <v>0</v>
      </c>
      <c r="N108" s="171" t="str">
        <f>VLOOKUP(G108,'3-Productie normen'!A:L,10,FALSE)</f>
        <v>B</v>
      </c>
      <c r="O108" s="171"/>
      <c r="Q108" s="130">
        <f t="shared" si="3"/>
        <v>6117.45</v>
      </c>
    </row>
    <row r="109" spans="1:17" ht="14.1" customHeight="1">
      <c r="A109" s="147">
        <v>109</v>
      </c>
      <c r="B109" s="165" t="s">
        <v>240</v>
      </c>
      <c r="C109" s="165" t="s">
        <v>529</v>
      </c>
      <c r="D109" s="133">
        <v>1</v>
      </c>
      <c r="E109" s="166" t="s">
        <v>380</v>
      </c>
      <c r="F109" s="127" t="s">
        <v>381</v>
      </c>
      <c r="G109" s="127" t="s">
        <v>217</v>
      </c>
      <c r="H109" s="167" t="s">
        <v>243</v>
      </c>
      <c r="I109" s="178">
        <v>78.58</v>
      </c>
      <c r="J109" s="482"/>
      <c r="K109" s="168">
        <v>255</v>
      </c>
      <c r="L109" s="169" t="e">
        <f t="shared" si="2"/>
        <v>#DIV/0!</v>
      </c>
      <c r="M109" s="170">
        <f>IF(K109="nio",0,IF(K109&gt;0,VLOOKUP(G109,'3-Productie normen'!A:L,VLOOKUP(K109,'3-Productie normen'!N:O,2,FALSE),FALSE)))</f>
        <v>0</v>
      </c>
      <c r="N109" s="171" t="str">
        <f>VLOOKUP(G109,'3-Productie normen'!A:L,10,FALSE)</f>
        <v>B</v>
      </c>
      <c r="O109" s="171"/>
      <c r="Q109" s="130">
        <f t="shared" si="3"/>
        <v>20037.899999999998</v>
      </c>
    </row>
    <row r="110" spans="1:17" ht="14.1" customHeight="1">
      <c r="A110" s="147">
        <v>110</v>
      </c>
      <c r="B110" s="165" t="s">
        <v>240</v>
      </c>
      <c r="C110" s="165" t="s">
        <v>529</v>
      </c>
      <c r="D110" s="133">
        <v>1</v>
      </c>
      <c r="E110" s="166" t="s">
        <v>382</v>
      </c>
      <c r="F110" s="127" t="s">
        <v>383</v>
      </c>
      <c r="G110" s="127" t="s">
        <v>285</v>
      </c>
      <c r="H110" s="167" t="s">
        <v>243</v>
      </c>
      <c r="I110" s="178">
        <v>5.04</v>
      </c>
      <c r="J110" s="482"/>
      <c r="K110" s="168">
        <v>12</v>
      </c>
      <c r="L110" s="169" t="e">
        <f t="shared" si="2"/>
        <v>#DIV/0!</v>
      </c>
      <c r="M110" s="170">
        <f>IF(K110="nio",0,IF(K110&gt;0,VLOOKUP(G110,'3-Productie normen'!A:L,VLOOKUP(K110,'3-Productie normen'!N:O,2,FALSE),FALSE)))</f>
        <v>0</v>
      </c>
      <c r="N110" s="171" t="str">
        <f>VLOOKUP(G110,'3-Productie normen'!A:L,10,FALSE)</f>
        <v>V</v>
      </c>
      <c r="O110" s="171"/>
      <c r="Q110" s="130">
        <f t="shared" si="3"/>
        <v>60.480000000000004</v>
      </c>
    </row>
    <row r="111" spans="1:17" ht="14.1" customHeight="1">
      <c r="A111" s="147">
        <v>111</v>
      </c>
      <c r="B111" s="165" t="s">
        <v>240</v>
      </c>
      <c r="C111" s="165" t="s">
        <v>529</v>
      </c>
      <c r="D111" s="133">
        <v>1</v>
      </c>
      <c r="E111" s="166" t="s">
        <v>384</v>
      </c>
      <c r="F111" s="127" t="s">
        <v>242</v>
      </c>
      <c r="G111" s="127" t="s">
        <v>217</v>
      </c>
      <c r="H111" s="167" t="s">
        <v>243</v>
      </c>
      <c r="I111" s="178">
        <v>136.32</v>
      </c>
      <c r="J111" s="482"/>
      <c r="K111" s="168">
        <v>255</v>
      </c>
      <c r="L111" s="169" t="e">
        <f t="shared" si="2"/>
        <v>#DIV/0!</v>
      </c>
      <c r="M111" s="170">
        <f>IF(K111="nio",0,IF(K111&gt;0,VLOOKUP(G111,'3-Productie normen'!A:L,VLOOKUP(K111,'3-Productie normen'!N:O,2,FALSE),FALSE)))</f>
        <v>0</v>
      </c>
      <c r="N111" s="171" t="str">
        <f>VLOOKUP(G111,'3-Productie normen'!A:L,10,FALSE)</f>
        <v>B</v>
      </c>
      <c r="O111" s="171"/>
      <c r="Q111" s="130">
        <f t="shared" si="3"/>
        <v>34761.599999999999</v>
      </c>
    </row>
    <row r="112" spans="1:17" ht="14.1" customHeight="1">
      <c r="A112" s="147">
        <v>112</v>
      </c>
      <c r="B112" s="165" t="s">
        <v>240</v>
      </c>
      <c r="C112" s="165" t="s">
        <v>529</v>
      </c>
      <c r="D112" s="133">
        <v>1</v>
      </c>
      <c r="E112" s="166" t="s">
        <v>385</v>
      </c>
      <c r="F112" s="127" t="s">
        <v>359</v>
      </c>
      <c r="G112" s="127" t="s">
        <v>247</v>
      </c>
      <c r="H112" s="167" t="s">
        <v>243</v>
      </c>
      <c r="I112" s="178">
        <v>36.49</v>
      </c>
      <c r="J112" s="482"/>
      <c r="K112" s="168">
        <v>255</v>
      </c>
      <c r="L112" s="169" t="e">
        <f t="shared" si="2"/>
        <v>#DIV/0!</v>
      </c>
      <c r="M112" s="170">
        <f>IF(K112="nio",0,IF(K112&gt;0,VLOOKUP(G112,'3-Productie normen'!A:L,VLOOKUP(K112,'3-Productie normen'!N:O,2,FALSE),FALSE)))</f>
        <v>0</v>
      </c>
      <c r="N112" s="171" t="str">
        <f>VLOOKUP(G112,'3-Productie normen'!A:L,10,FALSE)</f>
        <v>V</v>
      </c>
      <c r="O112" s="171"/>
      <c r="Q112" s="130">
        <f t="shared" si="3"/>
        <v>9304.9500000000007</v>
      </c>
    </row>
    <row r="113" spans="1:17" ht="14.1" customHeight="1">
      <c r="A113" s="147">
        <v>113</v>
      </c>
      <c r="B113" s="165" t="s">
        <v>240</v>
      </c>
      <c r="C113" s="165" t="s">
        <v>529</v>
      </c>
      <c r="D113" s="133">
        <v>1</v>
      </c>
      <c r="E113" s="166" t="s">
        <v>386</v>
      </c>
      <c r="F113" s="127" t="s">
        <v>242</v>
      </c>
      <c r="G113" s="127" t="s">
        <v>217</v>
      </c>
      <c r="H113" s="167" t="s">
        <v>243</v>
      </c>
      <c r="I113" s="178">
        <v>17.88</v>
      </c>
      <c r="J113" s="482"/>
      <c r="K113" s="168">
        <v>255</v>
      </c>
      <c r="L113" s="169" t="e">
        <f t="shared" si="2"/>
        <v>#DIV/0!</v>
      </c>
      <c r="M113" s="170">
        <f>IF(K113="nio",0,IF(K113&gt;0,VLOOKUP(G113,'3-Productie normen'!A:L,VLOOKUP(K113,'3-Productie normen'!N:O,2,FALSE),FALSE)))</f>
        <v>0</v>
      </c>
      <c r="N113" s="171" t="str">
        <f>VLOOKUP(G113,'3-Productie normen'!A:L,10,FALSE)</f>
        <v>B</v>
      </c>
      <c r="O113" s="171"/>
      <c r="Q113" s="130">
        <f t="shared" si="3"/>
        <v>4559.3999999999996</v>
      </c>
    </row>
    <row r="114" spans="1:17" ht="14.1" customHeight="1">
      <c r="A114" s="147">
        <v>114</v>
      </c>
      <c r="B114" s="165" t="s">
        <v>240</v>
      </c>
      <c r="C114" s="165" t="s">
        <v>529</v>
      </c>
      <c r="D114" s="133">
        <v>1</v>
      </c>
      <c r="E114" s="166" t="s">
        <v>387</v>
      </c>
      <c r="F114" s="127" t="s">
        <v>242</v>
      </c>
      <c r="G114" s="127" t="s">
        <v>217</v>
      </c>
      <c r="H114" s="167" t="s">
        <v>243</v>
      </c>
      <c r="I114" s="178">
        <v>17.88</v>
      </c>
      <c r="J114" s="482"/>
      <c r="K114" s="168">
        <v>255</v>
      </c>
      <c r="L114" s="169" t="e">
        <f t="shared" si="2"/>
        <v>#DIV/0!</v>
      </c>
      <c r="M114" s="170">
        <f>IF(K114="nio",0,IF(K114&gt;0,VLOOKUP(G114,'3-Productie normen'!A:L,VLOOKUP(K114,'3-Productie normen'!N:O,2,FALSE),FALSE)))</f>
        <v>0</v>
      </c>
      <c r="N114" s="171" t="str">
        <f>VLOOKUP(G114,'3-Productie normen'!A:L,10,FALSE)</f>
        <v>B</v>
      </c>
      <c r="O114" s="171"/>
      <c r="Q114" s="130">
        <f t="shared" si="3"/>
        <v>4559.3999999999996</v>
      </c>
    </row>
    <row r="115" spans="1:17" ht="14.1" customHeight="1">
      <c r="A115" s="147">
        <v>115</v>
      </c>
      <c r="B115" s="165" t="s">
        <v>240</v>
      </c>
      <c r="C115" s="165" t="s">
        <v>529</v>
      </c>
      <c r="D115" s="133">
        <v>1</v>
      </c>
      <c r="E115" s="166" t="s">
        <v>388</v>
      </c>
      <c r="F115" s="127" t="s">
        <v>359</v>
      </c>
      <c r="G115" s="127" t="s">
        <v>247</v>
      </c>
      <c r="H115" s="167" t="s">
        <v>243</v>
      </c>
      <c r="I115" s="178">
        <v>27.1</v>
      </c>
      <c r="J115" s="482"/>
      <c r="K115" s="168">
        <v>255</v>
      </c>
      <c r="L115" s="169" t="e">
        <f t="shared" si="2"/>
        <v>#DIV/0!</v>
      </c>
      <c r="M115" s="170">
        <f>IF(K115="nio",0,IF(K115&gt;0,VLOOKUP(G115,'3-Productie normen'!A:L,VLOOKUP(K115,'3-Productie normen'!N:O,2,FALSE),FALSE)))</f>
        <v>0</v>
      </c>
      <c r="N115" s="171" t="str">
        <f>VLOOKUP(G115,'3-Productie normen'!A:L,10,FALSE)</f>
        <v>V</v>
      </c>
      <c r="O115" s="171"/>
      <c r="Q115" s="130">
        <f t="shared" si="3"/>
        <v>6910.5</v>
      </c>
    </row>
    <row r="116" spans="1:17" ht="14.1" customHeight="1">
      <c r="A116" s="147">
        <v>116</v>
      </c>
      <c r="B116" s="165" t="s">
        <v>240</v>
      </c>
      <c r="C116" s="165" t="s">
        <v>529</v>
      </c>
      <c r="D116" s="133">
        <v>1</v>
      </c>
      <c r="E116" s="166" t="s">
        <v>389</v>
      </c>
      <c r="F116" s="127" t="s">
        <v>359</v>
      </c>
      <c r="G116" s="127" t="s">
        <v>247</v>
      </c>
      <c r="H116" s="167" t="s">
        <v>243</v>
      </c>
      <c r="I116" s="178">
        <v>36.26</v>
      </c>
      <c r="J116" s="482"/>
      <c r="K116" s="168">
        <v>255</v>
      </c>
      <c r="L116" s="169" t="e">
        <f t="shared" si="2"/>
        <v>#DIV/0!</v>
      </c>
      <c r="M116" s="170">
        <f>IF(K116="nio",0,IF(K116&gt;0,VLOOKUP(G116,'3-Productie normen'!A:L,VLOOKUP(K116,'3-Productie normen'!N:O,2,FALSE),FALSE)))</f>
        <v>0</v>
      </c>
      <c r="N116" s="171" t="str">
        <f>VLOOKUP(G116,'3-Productie normen'!A:L,10,FALSE)</f>
        <v>V</v>
      </c>
      <c r="O116" s="171"/>
      <c r="Q116" s="130">
        <f t="shared" si="3"/>
        <v>9246.2999999999993</v>
      </c>
    </row>
    <row r="117" spans="1:17" ht="14.1" customHeight="1">
      <c r="A117" s="147">
        <v>117</v>
      </c>
      <c r="B117" s="165" t="s">
        <v>240</v>
      </c>
      <c r="C117" s="165" t="s">
        <v>529</v>
      </c>
      <c r="D117" s="133">
        <v>1</v>
      </c>
      <c r="E117" s="166" t="s">
        <v>390</v>
      </c>
      <c r="F117" s="127" t="s">
        <v>359</v>
      </c>
      <c r="G117" s="127" t="s">
        <v>247</v>
      </c>
      <c r="H117" s="167" t="s">
        <v>243</v>
      </c>
      <c r="I117" s="178">
        <v>45.35</v>
      </c>
      <c r="J117" s="482"/>
      <c r="K117" s="168">
        <v>255</v>
      </c>
      <c r="L117" s="169" t="e">
        <f t="shared" si="2"/>
        <v>#DIV/0!</v>
      </c>
      <c r="M117" s="170">
        <f>IF(K117="nio",0,IF(K117&gt;0,VLOOKUP(G117,'3-Productie normen'!A:L,VLOOKUP(K117,'3-Productie normen'!N:O,2,FALSE),FALSE)))</f>
        <v>0</v>
      </c>
      <c r="N117" s="171" t="str">
        <f>VLOOKUP(G117,'3-Productie normen'!A:L,10,FALSE)</f>
        <v>V</v>
      </c>
      <c r="O117" s="171"/>
      <c r="Q117" s="130">
        <f t="shared" si="3"/>
        <v>11564.25</v>
      </c>
    </row>
    <row r="118" spans="1:17" ht="14.1" customHeight="1">
      <c r="A118" s="147">
        <v>118</v>
      </c>
      <c r="B118" s="165" t="s">
        <v>240</v>
      </c>
      <c r="C118" s="165" t="s">
        <v>529</v>
      </c>
      <c r="D118" s="133">
        <v>1</v>
      </c>
      <c r="E118" s="166" t="s">
        <v>391</v>
      </c>
      <c r="F118" s="127" t="s">
        <v>392</v>
      </c>
      <c r="G118" s="127" t="s">
        <v>217</v>
      </c>
      <c r="H118" s="127" t="s">
        <v>243</v>
      </c>
      <c r="I118" s="530">
        <v>173.82</v>
      </c>
      <c r="J118" s="482"/>
      <c r="K118" s="168">
        <v>255</v>
      </c>
      <c r="L118" s="169" t="e">
        <f t="shared" si="2"/>
        <v>#DIV/0!</v>
      </c>
      <c r="M118" s="170">
        <f>IF(K118="nio",0,IF(K118&gt;0,VLOOKUP(G118,'3-Productie normen'!A:L,VLOOKUP(K118,'3-Productie normen'!N:O,2,FALSE),FALSE)))</f>
        <v>0</v>
      </c>
      <c r="N118" s="171" t="str">
        <f>VLOOKUP(G118,'3-Productie normen'!A:L,10,FALSE)</f>
        <v>B</v>
      </c>
      <c r="O118" s="171"/>
      <c r="Q118" s="130">
        <f t="shared" si="3"/>
        <v>44324.1</v>
      </c>
    </row>
    <row r="119" spans="1:17" ht="14.1" customHeight="1">
      <c r="A119" s="147">
        <v>119</v>
      </c>
      <c r="B119" s="165" t="s">
        <v>240</v>
      </c>
      <c r="C119" s="165" t="s">
        <v>529</v>
      </c>
      <c r="D119" s="179">
        <v>1</v>
      </c>
      <c r="E119" s="176" t="s">
        <v>393</v>
      </c>
      <c r="F119" s="177" t="s">
        <v>394</v>
      </c>
      <c r="G119" s="124" t="s">
        <v>108</v>
      </c>
      <c r="H119" s="177" t="s">
        <v>264</v>
      </c>
      <c r="I119" s="178">
        <v>5.85</v>
      </c>
      <c r="J119" s="482"/>
      <c r="K119" s="168">
        <v>255</v>
      </c>
      <c r="L119" s="169" t="e">
        <f t="shared" si="2"/>
        <v>#DIV/0!</v>
      </c>
      <c r="M119" s="170">
        <f>IF(K119="nio",0,IF(K119&gt;0,VLOOKUP(G119,'3-Productie normen'!A:L,VLOOKUP(K119,'3-Productie normen'!N:O,2,FALSE),FALSE)))</f>
        <v>0</v>
      </c>
      <c r="N119" s="171" t="str">
        <f>VLOOKUP(G119,'3-Productie normen'!A:L,10,FALSE)</f>
        <v>V</v>
      </c>
      <c r="O119" s="171"/>
      <c r="Q119" s="130">
        <f t="shared" si="3"/>
        <v>1491.75</v>
      </c>
    </row>
    <row r="120" spans="1:17" ht="14.1" customHeight="1">
      <c r="A120" s="147">
        <v>120</v>
      </c>
      <c r="B120" s="165" t="s">
        <v>240</v>
      </c>
      <c r="C120" s="165" t="s">
        <v>529</v>
      </c>
      <c r="D120" s="133">
        <v>1</v>
      </c>
      <c r="E120" s="166" t="s">
        <v>395</v>
      </c>
      <c r="F120" s="167" t="s">
        <v>242</v>
      </c>
      <c r="G120" s="167" t="s">
        <v>217</v>
      </c>
      <c r="H120" s="167" t="s">
        <v>243</v>
      </c>
      <c r="I120" s="178">
        <v>17.2</v>
      </c>
      <c r="J120" s="482"/>
      <c r="K120" s="168">
        <v>255</v>
      </c>
      <c r="L120" s="169" t="e">
        <f t="shared" si="2"/>
        <v>#DIV/0!</v>
      </c>
      <c r="M120" s="170">
        <f>IF(K120="nio",0,IF(K120&gt;0,VLOOKUP(G120,'3-Productie normen'!A:L,VLOOKUP(K120,'3-Productie normen'!N:O,2,FALSE),FALSE)))</f>
        <v>0</v>
      </c>
      <c r="N120" s="171" t="str">
        <f>VLOOKUP(G120,'3-Productie normen'!A:L,10,FALSE)</f>
        <v>B</v>
      </c>
      <c r="O120" s="171"/>
      <c r="Q120" s="130">
        <f t="shared" si="3"/>
        <v>4386</v>
      </c>
    </row>
    <row r="121" spans="1:17" ht="14.1" customHeight="1">
      <c r="A121" s="147">
        <v>121</v>
      </c>
      <c r="B121" s="165" t="s">
        <v>240</v>
      </c>
      <c r="C121" s="165" t="s">
        <v>529</v>
      </c>
      <c r="D121" s="133">
        <v>1</v>
      </c>
      <c r="E121" s="166" t="s">
        <v>396</v>
      </c>
      <c r="F121" s="167" t="s">
        <v>242</v>
      </c>
      <c r="G121" s="167" t="s">
        <v>217</v>
      </c>
      <c r="H121" s="167" t="s">
        <v>243</v>
      </c>
      <c r="I121" s="178">
        <v>24.62</v>
      </c>
      <c r="J121" s="482"/>
      <c r="K121" s="168">
        <v>255</v>
      </c>
      <c r="L121" s="169" t="e">
        <f t="shared" si="2"/>
        <v>#DIV/0!</v>
      </c>
      <c r="M121" s="170">
        <f>IF(K121="nio",0,IF(K121&gt;0,VLOOKUP(G121,'3-Productie normen'!A:L,VLOOKUP(K121,'3-Productie normen'!N:O,2,FALSE),FALSE)))</f>
        <v>0</v>
      </c>
      <c r="N121" s="171" t="str">
        <f>VLOOKUP(G121,'3-Productie normen'!A:L,10,FALSE)</f>
        <v>B</v>
      </c>
      <c r="O121" s="171"/>
      <c r="Q121" s="130">
        <f t="shared" si="3"/>
        <v>6278.1</v>
      </c>
    </row>
    <row r="122" spans="1:17" ht="14.1" customHeight="1">
      <c r="A122" s="147">
        <v>122</v>
      </c>
      <c r="B122" s="165" t="s">
        <v>240</v>
      </c>
      <c r="C122" s="165" t="s">
        <v>529</v>
      </c>
      <c r="D122" s="133">
        <v>1</v>
      </c>
      <c r="E122" s="166" t="s">
        <v>397</v>
      </c>
      <c r="F122" s="167" t="s">
        <v>242</v>
      </c>
      <c r="G122" s="167" t="s">
        <v>217</v>
      </c>
      <c r="H122" s="167" t="s">
        <v>243</v>
      </c>
      <c r="I122" s="178">
        <v>30.98</v>
      </c>
      <c r="J122" s="482"/>
      <c r="K122" s="168">
        <v>255</v>
      </c>
      <c r="L122" s="169" t="e">
        <f t="shared" si="2"/>
        <v>#DIV/0!</v>
      </c>
      <c r="M122" s="170">
        <f>IF(K122="nio",0,IF(K122&gt;0,VLOOKUP(G122,'3-Productie normen'!A:L,VLOOKUP(K122,'3-Productie normen'!N:O,2,FALSE),FALSE)))</f>
        <v>0</v>
      </c>
      <c r="N122" s="171" t="str">
        <f>VLOOKUP(G122,'3-Productie normen'!A:L,10,FALSE)</f>
        <v>B</v>
      </c>
      <c r="O122" s="171"/>
      <c r="Q122" s="130">
        <f t="shared" si="3"/>
        <v>7899.9000000000005</v>
      </c>
    </row>
    <row r="123" spans="1:17" ht="14.1" customHeight="1">
      <c r="A123" s="147">
        <v>123</v>
      </c>
      <c r="B123" s="165" t="s">
        <v>240</v>
      </c>
      <c r="C123" s="165" t="s">
        <v>529</v>
      </c>
      <c r="D123" s="133">
        <v>1</v>
      </c>
      <c r="E123" s="166" t="s">
        <v>398</v>
      </c>
      <c r="F123" s="167" t="s">
        <v>242</v>
      </c>
      <c r="G123" s="167" t="s">
        <v>217</v>
      </c>
      <c r="H123" s="167" t="s">
        <v>243</v>
      </c>
      <c r="I123" s="178">
        <v>28.69</v>
      </c>
      <c r="J123" s="482"/>
      <c r="K123" s="168">
        <v>255</v>
      </c>
      <c r="L123" s="169" t="e">
        <f t="shared" si="2"/>
        <v>#DIV/0!</v>
      </c>
      <c r="M123" s="170">
        <f>IF(K123="nio",0,IF(K123&gt;0,VLOOKUP(G123,'3-Productie normen'!A:L,VLOOKUP(K123,'3-Productie normen'!N:O,2,FALSE),FALSE)))</f>
        <v>0</v>
      </c>
      <c r="N123" s="171" t="str">
        <f>VLOOKUP(G123,'3-Productie normen'!A:L,10,FALSE)</f>
        <v>B</v>
      </c>
      <c r="O123" s="171"/>
      <c r="Q123" s="130">
        <f t="shared" si="3"/>
        <v>7315.9500000000007</v>
      </c>
    </row>
    <row r="124" spans="1:17" ht="14.1" customHeight="1">
      <c r="A124" s="147">
        <v>124</v>
      </c>
      <c r="B124" s="165" t="s">
        <v>240</v>
      </c>
      <c r="C124" s="165" t="s">
        <v>529</v>
      </c>
      <c r="D124" s="133">
        <v>1</v>
      </c>
      <c r="E124" s="166" t="s">
        <v>399</v>
      </c>
      <c r="F124" s="167" t="s">
        <v>242</v>
      </c>
      <c r="G124" s="167" t="s">
        <v>217</v>
      </c>
      <c r="H124" s="167" t="s">
        <v>243</v>
      </c>
      <c r="I124" s="178">
        <v>172.17</v>
      </c>
      <c r="J124" s="482"/>
      <c r="K124" s="168">
        <v>255</v>
      </c>
      <c r="L124" s="169" t="e">
        <f t="shared" si="2"/>
        <v>#DIV/0!</v>
      </c>
      <c r="M124" s="170">
        <f>IF(K124="nio",0,IF(K124&gt;0,VLOOKUP(G124,'3-Productie normen'!A:L,VLOOKUP(K124,'3-Productie normen'!N:O,2,FALSE),FALSE)))</f>
        <v>0</v>
      </c>
      <c r="N124" s="171" t="str">
        <f>VLOOKUP(G124,'3-Productie normen'!A:L,10,FALSE)</f>
        <v>B</v>
      </c>
      <c r="O124" s="171"/>
      <c r="Q124" s="130">
        <f t="shared" si="3"/>
        <v>43903.35</v>
      </c>
    </row>
    <row r="125" spans="1:17" ht="14.1" customHeight="1">
      <c r="A125" s="147">
        <v>125</v>
      </c>
      <c r="B125" s="165" t="s">
        <v>240</v>
      </c>
      <c r="C125" s="165" t="s">
        <v>529</v>
      </c>
      <c r="D125" s="133">
        <v>1</v>
      </c>
      <c r="E125" s="166" t="s">
        <v>400</v>
      </c>
      <c r="F125" s="167" t="s">
        <v>401</v>
      </c>
      <c r="G125" s="167" t="s">
        <v>285</v>
      </c>
      <c r="H125" s="167" t="s">
        <v>243</v>
      </c>
      <c r="I125" s="178">
        <v>15.07</v>
      </c>
      <c r="J125" s="482"/>
      <c r="K125" s="168">
        <v>12</v>
      </c>
      <c r="L125" s="169" t="e">
        <f t="shared" si="2"/>
        <v>#DIV/0!</v>
      </c>
      <c r="M125" s="170">
        <f>IF(K125="nio",0,IF(K125&gt;0,VLOOKUP(G125,'3-Productie normen'!A:L,VLOOKUP(K125,'3-Productie normen'!N:O,2,FALSE),FALSE)))</f>
        <v>0</v>
      </c>
      <c r="N125" s="171" t="str">
        <f>VLOOKUP(G125,'3-Productie normen'!A:L,10,FALSE)</f>
        <v>V</v>
      </c>
      <c r="O125" s="171"/>
      <c r="Q125" s="130">
        <f t="shared" si="3"/>
        <v>180.84</v>
      </c>
    </row>
    <row r="126" spans="1:17" ht="14.1" customHeight="1">
      <c r="A126" s="147">
        <v>126</v>
      </c>
      <c r="B126" s="165" t="s">
        <v>240</v>
      </c>
      <c r="C126" s="165" t="s">
        <v>529</v>
      </c>
      <c r="D126" s="133">
        <v>1</v>
      </c>
      <c r="E126" s="166" t="s">
        <v>402</v>
      </c>
      <c r="F126" s="167" t="s">
        <v>403</v>
      </c>
      <c r="G126" s="167" t="s">
        <v>17</v>
      </c>
      <c r="H126" s="167" t="s">
        <v>308</v>
      </c>
      <c r="I126" s="178">
        <v>17.04</v>
      </c>
      <c r="J126" s="482"/>
      <c r="K126" s="168">
        <v>255</v>
      </c>
      <c r="L126" s="169" t="e">
        <f t="shared" si="2"/>
        <v>#DIV/0!</v>
      </c>
      <c r="M126" s="170">
        <f>IF(K126="nio",0,IF(K126&gt;0,VLOOKUP(G126,'3-Productie normen'!A:L,VLOOKUP(K126,'3-Productie normen'!N:O,2,FALSE),FALSE)))</f>
        <v>0</v>
      </c>
      <c r="N126" s="171" t="str">
        <f>VLOOKUP(G126,'3-Productie normen'!A:L,10,FALSE)</f>
        <v>S</v>
      </c>
      <c r="O126" s="171"/>
      <c r="Q126" s="130">
        <f t="shared" si="3"/>
        <v>4345.2</v>
      </c>
    </row>
    <row r="127" spans="1:17" ht="14.1" customHeight="1">
      <c r="A127" s="147">
        <v>127</v>
      </c>
      <c r="B127" s="165" t="s">
        <v>240</v>
      </c>
      <c r="C127" s="165" t="s">
        <v>529</v>
      </c>
      <c r="D127" s="133">
        <v>1</v>
      </c>
      <c r="E127" s="166" t="s">
        <v>404</v>
      </c>
      <c r="F127" s="167" t="s">
        <v>316</v>
      </c>
      <c r="G127" s="167" t="s">
        <v>17</v>
      </c>
      <c r="H127" s="167" t="s">
        <v>308</v>
      </c>
      <c r="I127" s="178">
        <v>6.3</v>
      </c>
      <c r="J127" s="482"/>
      <c r="K127" s="168">
        <v>255</v>
      </c>
      <c r="L127" s="169" t="e">
        <f t="shared" si="2"/>
        <v>#DIV/0!</v>
      </c>
      <c r="M127" s="170">
        <f>IF(K127="nio",0,IF(K127&gt;0,VLOOKUP(G127,'3-Productie normen'!A:L,VLOOKUP(K127,'3-Productie normen'!N:O,2,FALSE),FALSE)))</f>
        <v>0</v>
      </c>
      <c r="N127" s="171" t="str">
        <f>VLOOKUP(G127,'3-Productie normen'!A:L,10,FALSE)</f>
        <v>S</v>
      </c>
      <c r="O127" s="171"/>
      <c r="Q127" s="130">
        <f t="shared" si="3"/>
        <v>1606.5</v>
      </c>
    </row>
    <row r="128" spans="1:17" ht="14.1" customHeight="1">
      <c r="A128" s="147">
        <v>128</v>
      </c>
      <c r="B128" s="165" t="s">
        <v>240</v>
      </c>
      <c r="C128" s="165" t="s">
        <v>529</v>
      </c>
      <c r="D128" s="133">
        <v>1</v>
      </c>
      <c r="E128" s="166" t="s">
        <v>405</v>
      </c>
      <c r="F128" s="167" t="s">
        <v>403</v>
      </c>
      <c r="G128" s="167" t="s">
        <v>17</v>
      </c>
      <c r="H128" s="167" t="s">
        <v>308</v>
      </c>
      <c r="I128" s="178">
        <v>20.81</v>
      </c>
      <c r="J128" s="482"/>
      <c r="K128" s="168">
        <v>255</v>
      </c>
      <c r="L128" s="169" t="e">
        <f t="shared" si="2"/>
        <v>#DIV/0!</v>
      </c>
      <c r="M128" s="170">
        <f>IF(K128="nio",0,IF(K128&gt;0,VLOOKUP(G128,'3-Productie normen'!A:L,VLOOKUP(K128,'3-Productie normen'!N:O,2,FALSE),FALSE)))</f>
        <v>0</v>
      </c>
      <c r="N128" s="171" t="str">
        <f>VLOOKUP(G128,'3-Productie normen'!A:L,10,FALSE)</f>
        <v>S</v>
      </c>
      <c r="O128" s="171"/>
      <c r="Q128" s="130">
        <f t="shared" si="3"/>
        <v>5306.5499999999993</v>
      </c>
    </row>
    <row r="129" spans="1:17" ht="14.1" customHeight="1">
      <c r="A129" s="147">
        <v>129</v>
      </c>
      <c r="B129" s="165" t="s">
        <v>240</v>
      </c>
      <c r="C129" s="165" t="s">
        <v>529</v>
      </c>
      <c r="D129" s="133">
        <v>1</v>
      </c>
      <c r="E129" s="166" t="s">
        <v>406</v>
      </c>
      <c r="F129" s="167" t="s">
        <v>403</v>
      </c>
      <c r="G129" s="167" t="s">
        <v>17</v>
      </c>
      <c r="H129" s="167" t="s">
        <v>308</v>
      </c>
      <c r="I129" s="178">
        <v>15.75</v>
      </c>
      <c r="J129" s="482"/>
      <c r="K129" s="168">
        <v>255</v>
      </c>
      <c r="L129" s="169" t="e">
        <f t="shared" si="2"/>
        <v>#DIV/0!</v>
      </c>
      <c r="M129" s="170">
        <f>IF(K129="nio",0,IF(K129&gt;0,VLOOKUP(G129,'3-Productie normen'!A:L,VLOOKUP(K129,'3-Productie normen'!N:O,2,FALSE),FALSE)))</f>
        <v>0</v>
      </c>
      <c r="N129" s="171" t="str">
        <f>VLOOKUP(G129,'3-Productie normen'!A:L,10,FALSE)</f>
        <v>S</v>
      </c>
      <c r="O129" s="171"/>
      <c r="Q129" s="130">
        <f t="shared" si="3"/>
        <v>4016.25</v>
      </c>
    </row>
    <row r="130" spans="1:17" ht="14.1" customHeight="1">
      <c r="A130" s="147">
        <v>130</v>
      </c>
      <c r="B130" s="165" t="s">
        <v>240</v>
      </c>
      <c r="C130" s="165" t="s">
        <v>529</v>
      </c>
      <c r="D130" s="133">
        <v>1</v>
      </c>
      <c r="E130" s="166" t="s">
        <v>407</v>
      </c>
      <c r="F130" s="167" t="s">
        <v>403</v>
      </c>
      <c r="G130" s="167" t="s">
        <v>17</v>
      </c>
      <c r="H130" s="167" t="s">
        <v>308</v>
      </c>
      <c r="I130" s="178">
        <v>10.1</v>
      </c>
      <c r="J130" s="482"/>
      <c r="K130" s="168">
        <v>255</v>
      </c>
      <c r="L130" s="169" t="e">
        <f t="shared" si="2"/>
        <v>#DIV/0!</v>
      </c>
      <c r="M130" s="170">
        <f>IF(K130="nio",0,IF(K130&gt;0,VLOOKUP(G130,'3-Productie normen'!A:L,VLOOKUP(K130,'3-Productie normen'!N:O,2,FALSE),FALSE)))</f>
        <v>0</v>
      </c>
      <c r="N130" s="171" t="str">
        <f>VLOOKUP(G130,'3-Productie normen'!A:L,10,FALSE)</f>
        <v>S</v>
      </c>
      <c r="O130" s="171"/>
      <c r="Q130" s="130">
        <f t="shared" si="3"/>
        <v>2575.5</v>
      </c>
    </row>
    <row r="131" spans="1:17" ht="14.1" customHeight="1">
      <c r="A131" s="147">
        <v>131</v>
      </c>
      <c r="B131" s="165" t="s">
        <v>240</v>
      </c>
      <c r="C131" s="165" t="s">
        <v>529</v>
      </c>
      <c r="D131" s="133">
        <v>1</v>
      </c>
      <c r="E131" s="166" t="s">
        <v>408</v>
      </c>
      <c r="F131" s="167" t="s">
        <v>409</v>
      </c>
      <c r="G131" s="167" t="s">
        <v>288</v>
      </c>
      <c r="H131" s="167" t="s">
        <v>243</v>
      </c>
      <c r="I131" s="178">
        <v>56.27</v>
      </c>
      <c r="J131" s="482"/>
      <c r="K131" s="168">
        <v>255</v>
      </c>
      <c r="L131" s="169" t="e">
        <f t="shared" si="2"/>
        <v>#DIV/0!</v>
      </c>
      <c r="M131" s="170">
        <f>IF(K131="nio",0,IF(K131&gt;0,VLOOKUP(G131,'3-Productie normen'!A:L,VLOOKUP(K131,'3-Productie normen'!N:O,2,FALSE),FALSE)))</f>
        <v>0</v>
      </c>
      <c r="N131" s="171" t="str">
        <f>VLOOKUP(G131,'3-Productie normen'!A:L,10,FALSE)</f>
        <v>V</v>
      </c>
      <c r="O131" s="171"/>
      <c r="Q131" s="130">
        <f t="shared" si="3"/>
        <v>14348.85</v>
      </c>
    </row>
    <row r="132" spans="1:17" ht="14.1" customHeight="1">
      <c r="A132" s="147">
        <v>132</v>
      </c>
      <c r="B132" s="165" t="s">
        <v>240</v>
      </c>
      <c r="C132" s="165" t="s">
        <v>529</v>
      </c>
      <c r="D132" s="133">
        <v>1</v>
      </c>
      <c r="E132" s="166" t="s">
        <v>410</v>
      </c>
      <c r="F132" s="167" t="s">
        <v>409</v>
      </c>
      <c r="G132" s="167" t="s">
        <v>288</v>
      </c>
      <c r="H132" s="167" t="s">
        <v>243</v>
      </c>
      <c r="I132" s="178">
        <v>116.85</v>
      </c>
      <c r="J132" s="482"/>
      <c r="K132" s="168">
        <v>255</v>
      </c>
      <c r="L132" s="169" t="e">
        <f t="shared" si="2"/>
        <v>#DIV/0!</v>
      </c>
      <c r="M132" s="170">
        <f>IF(K132="nio",0,IF(K132&gt;0,VLOOKUP(G132,'3-Productie normen'!A:L,VLOOKUP(K132,'3-Productie normen'!N:O,2,FALSE),FALSE)))</f>
        <v>0</v>
      </c>
      <c r="N132" s="171" t="str">
        <f>VLOOKUP(G132,'3-Productie normen'!A:L,10,FALSE)</f>
        <v>V</v>
      </c>
      <c r="O132" s="171"/>
      <c r="Q132" s="130">
        <f t="shared" si="3"/>
        <v>29796.75</v>
      </c>
    </row>
    <row r="133" spans="1:17" ht="14.1" customHeight="1">
      <c r="A133" s="147">
        <v>133</v>
      </c>
      <c r="B133" s="165" t="s">
        <v>240</v>
      </c>
      <c r="C133" s="165" t="s">
        <v>529</v>
      </c>
      <c r="D133" s="133">
        <v>1</v>
      </c>
      <c r="E133" s="166" t="s">
        <v>411</v>
      </c>
      <c r="F133" s="167" t="s">
        <v>409</v>
      </c>
      <c r="G133" s="167" t="s">
        <v>288</v>
      </c>
      <c r="H133" s="167" t="s">
        <v>243</v>
      </c>
      <c r="I133" s="178">
        <v>44.42</v>
      </c>
      <c r="J133" s="482"/>
      <c r="K133" s="168">
        <v>255</v>
      </c>
      <c r="L133" s="169" t="e">
        <f t="shared" si="2"/>
        <v>#DIV/0!</v>
      </c>
      <c r="M133" s="170">
        <f>IF(K133="nio",0,IF(K133&gt;0,VLOOKUP(G133,'3-Productie normen'!A:L,VLOOKUP(K133,'3-Productie normen'!N:O,2,FALSE),FALSE)))</f>
        <v>0</v>
      </c>
      <c r="N133" s="171" t="str">
        <f>VLOOKUP(G133,'3-Productie normen'!A:L,10,FALSE)</f>
        <v>V</v>
      </c>
      <c r="O133" s="171"/>
      <c r="Q133" s="130">
        <f t="shared" si="3"/>
        <v>11327.1</v>
      </c>
    </row>
    <row r="134" spans="1:17" ht="14.1" customHeight="1">
      <c r="A134" s="147">
        <v>134</v>
      </c>
      <c r="B134" s="165" t="s">
        <v>240</v>
      </c>
      <c r="C134" s="165" t="s">
        <v>529</v>
      </c>
      <c r="D134" s="133">
        <v>1</v>
      </c>
      <c r="E134" s="166" t="s">
        <v>412</v>
      </c>
      <c r="F134" s="167" t="s">
        <v>409</v>
      </c>
      <c r="G134" s="167" t="s">
        <v>288</v>
      </c>
      <c r="H134" s="167" t="s">
        <v>264</v>
      </c>
      <c r="I134" s="178">
        <v>13.61</v>
      </c>
      <c r="J134" s="482"/>
      <c r="K134" s="168">
        <v>255</v>
      </c>
      <c r="L134" s="169" t="e">
        <f t="shared" si="2"/>
        <v>#DIV/0!</v>
      </c>
      <c r="M134" s="170">
        <f>IF(K134="nio",0,IF(K134&gt;0,VLOOKUP(G134,'3-Productie normen'!A:L,VLOOKUP(K134,'3-Productie normen'!N:O,2,FALSE),FALSE)))</f>
        <v>0</v>
      </c>
      <c r="N134" s="171" t="str">
        <f>VLOOKUP(G134,'3-Productie normen'!A:L,10,FALSE)</f>
        <v>V</v>
      </c>
      <c r="O134" s="171"/>
      <c r="Q134" s="130">
        <f t="shared" si="3"/>
        <v>3470.5499999999997</v>
      </c>
    </row>
    <row r="135" spans="1:17" ht="14.1" customHeight="1">
      <c r="A135" s="147">
        <v>135</v>
      </c>
      <c r="B135" s="165" t="s">
        <v>240</v>
      </c>
      <c r="C135" s="165" t="s">
        <v>529</v>
      </c>
      <c r="D135" s="133">
        <v>1</v>
      </c>
      <c r="E135" s="166" t="s">
        <v>413</v>
      </c>
      <c r="F135" s="167" t="s">
        <v>409</v>
      </c>
      <c r="G135" s="167" t="s">
        <v>288</v>
      </c>
      <c r="H135" s="167" t="s">
        <v>243</v>
      </c>
      <c r="I135" s="178">
        <v>83.98</v>
      </c>
      <c r="J135" s="482"/>
      <c r="K135" s="168">
        <v>255</v>
      </c>
      <c r="L135" s="169" t="e">
        <f t="shared" si="2"/>
        <v>#DIV/0!</v>
      </c>
      <c r="M135" s="170">
        <f>IF(K135="nio",0,IF(K135&gt;0,VLOOKUP(G135,'3-Productie normen'!A:L,VLOOKUP(K135,'3-Productie normen'!N:O,2,FALSE),FALSE)))</f>
        <v>0</v>
      </c>
      <c r="N135" s="171" t="str">
        <f>VLOOKUP(G135,'3-Productie normen'!A:L,10,FALSE)</f>
        <v>V</v>
      </c>
      <c r="O135" s="171"/>
      <c r="Q135" s="130">
        <f t="shared" si="3"/>
        <v>21414.9</v>
      </c>
    </row>
    <row r="136" spans="1:17" ht="14.1" customHeight="1">
      <c r="A136" s="147">
        <v>136</v>
      </c>
      <c r="B136" s="165" t="s">
        <v>240</v>
      </c>
      <c r="C136" s="165" t="s">
        <v>529</v>
      </c>
      <c r="D136" s="133">
        <v>1</v>
      </c>
      <c r="E136" s="166" t="s">
        <v>414</v>
      </c>
      <c r="F136" s="167" t="s">
        <v>409</v>
      </c>
      <c r="G136" s="167" t="s">
        <v>288</v>
      </c>
      <c r="H136" s="167" t="s">
        <v>243</v>
      </c>
      <c r="I136" s="178">
        <v>55.05</v>
      </c>
      <c r="J136" s="482"/>
      <c r="K136" s="168">
        <v>255</v>
      </c>
      <c r="L136" s="169" t="e">
        <f t="shared" si="2"/>
        <v>#DIV/0!</v>
      </c>
      <c r="M136" s="170">
        <f>IF(K136="nio",0,IF(K136&gt;0,VLOOKUP(G136,'3-Productie normen'!A:L,VLOOKUP(K136,'3-Productie normen'!N:O,2,FALSE),FALSE)))</f>
        <v>0</v>
      </c>
      <c r="N136" s="171" t="str">
        <f>VLOOKUP(G136,'3-Productie normen'!A:L,10,FALSE)</f>
        <v>V</v>
      </c>
      <c r="O136" s="171"/>
      <c r="Q136" s="130">
        <f t="shared" si="3"/>
        <v>14037.75</v>
      </c>
    </row>
    <row r="137" spans="1:17" ht="14.1" customHeight="1">
      <c r="A137" s="147">
        <v>137</v>
      </c>
      <c r="B137" s="165" t="s">
        <v>240</v>
      </c>
      <c r="C137" s="165" t="s">
        <v>529</v>
      </c>
      <c r="D137" s="133">
        <v>1</v>
      </c>
      <c r="E137" s="166" t="s">
        <v>415</v>
      </c>
      <c r="F137" s="167" t="s">
        <v>409</v>
      </c>
      <c r="G137" s="167" t="s">
        <v>288</v>
      </c>
      <c r="H137" s="167" t="s">
        <v>243</v>
      </c>
      <c r="I137" s="178">
        <v>34.39</v>
      </c>
      <c r="J137" s="482"/>
      <c r="K137" s="168">
        <v>255</v>
      </c>
      <c r="L137" s="169" t="e">
        <f t="shared" si="2"/>
        <v>#DIV/0!</v>
      </c>
      <c r="M137" s="170">
        <f>IF(K137="nio",0,IF(K137&gt;0,VLOOKUP(G137,'3-Productie normen'!A:L,VLOOKUP(K137,'3-Productie normen'!N:O,2,FALSE),FALSE)))</f>
        <v>0</v>
      </c>
      <c r="N137" s="171" t="str">
        <f>VLOOKUP(G137,'3-Productie normen'!A:L,10,FALSE)</f>
        <v>V</v>
      </c>
      <c r="O137" s="171"/>
      <c r="Q137" s="130">
        <f t="shared" si="3"/>
        <v>8769.4500000000007</v>
      </c>
    </row>
    <row r="138" spans="1:17" ht="14.1" customHeight="1">
      <c r="A138" s="147">
        <v>138</v>
      </c>
      <c r="B138" s="165" t="s">
        <v>240</v>
      </c>
      <c r="C138" s="165" t="s">
        <v>529</v>
      </c>
      <c r="D138" s="133">
        <v>1</v>
      </c>
      <c r="E138" s="166" t="s">
        <v>416</v>
      </c>
      <c r="F138" s="167" t="s">
        <v>409</v>
      </c>
      <c r="G138" s="167" t="s">
        <v>288</v>
      </c>
      <c r="H138" s="167" t="s">
        <v>243</v>
      </c>
      <c r="I138" s="178">
        <v>95.9</v>
      </c>
      <c r="J138" s="482"/>
      <c r="K138" s="168">
        <v>255</v>
      </c>
      <c r="L138" s="169" t="e">
        <f t="shared" ref="L138:L201" si="4">IF(K138="nio",0,IF(K138&gt;0,K138*I138/M138,0))*J138</f>
        <v>#DIV/0!</v>
      </c>
      <c r="M138" s="170">
        <f>IF(K138="nio",0,IF(K138&gt;0,VLOOKUP(G138,'3-Productie normen'!A:L,VLOOKUP(K138,'3-Productie normen'!N:O,2,FALSE),FALSE)))</f>
        <v>0</v>
      </c>
      <c r="N138" s="171" t="str">
        <f>VLOOKUP(G138,'3-Productie normen'!A:L,10,FALSE)</f>
        <v>V</v>
      </c>
      <c r="O138" s="171"/>
      <c r="Q138" s="130">
        <f t="shared" ref="Q138:Q201" si="5">SUM(K138:K138)*I138</f>
        <v>24454.5</v>
      </c>
    </row>
    <row r="139" spans="1:17" ht="14.1" customHeight="1">
      <c r="A139" s="147">
        <v>139</v>
      </c>
      <c r="B139" s="165" t="s">
        <v>240</v>
      </c>
      <c r="C139" s="165" t="s">
        <v>529</v>
      </c>
      <c r="D139" s="133">
        <v>1</v>
      </c>
      <c r="E139" s="166" t="s">
        <v>417</v>
      </c>
      <c r="F139" s="167" t="s">
        <v>418</v>
      </c>
      <c r="G139" s="167" t="s">
        <v>328</v>
      </c>
      <c r="H139" s="167" t="s">
        <v>329</v>
      </c>
      <c r="I139" s="178">
        <v>13.12</v>
      </c>
      <c r="J139" s="482"/>
      <c r="K139" s="168">
        <v>52</v>
      </c>
      <c r="L139" s="169" t="e">
        <f t="shared" si="4"/>
        <v>#DIV/0!</v>
      </c>
      <c r="M139" s="170">
        <f>IF(K139="nio",0,IF(K139&gt;0,VLOOKUP(G139,'3-Productie normen'!A:L,VLOOKUP(K139,'3-Productie normen'!N:O,2,FALSE),FALSE)))</f>
        <v>0</v>
      </c>
      <c r="N139" s="171" t="str">
        <f>VLOOKUP(G139,'3-Productie normen'!A:L,10,FALSE)</f>
        <v>V</v>
      </c>
      <c r="O139" s="171"/>
      <c r="Q139" s="130">
        <f t="shared" si="5"/>
        <v>682.24</v>
      </c>
    </row>
    <row r="140" spans="1:17" ht="14.1" customHeight="1">
      <c r="A140" s="147">
        <v>140</v>
      </c>
      <c r="B140" s="165" t="s">
        <v>240</v>
      </c>
      <c r="C140" s="165" t="s">
        <v>529</v>
      </c>
      <c r="D140" s="133">
        <v>1</v>
      </c>
      <c r="E140" s="166" t="s">
        <v>419</v>
      </c>
      <c r="F140" s="167" t="s">
        <v>418</v>
      </c>
      <c r="G140" s="167" t="s">
        <v>328</v>
      </c>
      <c r="H140" s="167" t="s">
        <v>329</v>
      </c>
      <c r="I140" s="178">
        <v>11.6</v>
      </c>
      <c r="J140" s="482"/>
      <c r="K140" s="168">
        <v>52</v>
      </c>
      <c r="L140" s="169" t="e">
        <f t="shared" si="4"/>
        <v>#DIV/0!</v>
      </c>
      <c r="M140" s="170">
        <f>IF(K140="nio",0,IF(K140&gt;0,VLOOKUP(G140,'3-Productie normen'!A:L,VLOOKUP(K140,'3-Productie normen'!N:O,2,FALSE),FALSE)))</f>
        <v>0</v>
      </c>
      <c r="N140" s="171" t="str">
        <f>VLOOKUP(G140,'3-Productie normen'!A:L,10,FALSE)</f>
        <v>V</v>
      </c>
      <c r="O140" s="171"/>
      <c r="Q140" s="130">
        <f t="shared" si="5"/>
        <v>603.19999999999993</v>
      </c>
    </row>
    <row r="141" spans="1:17" ht="14.1" customHeight="1">
      <c r="A141" s="147">
        <v>141</v>
      </c>
      <c r="B141" s="165" t="s">
        <v>240</v>
      </c>
      <c r="C141" s="165" t="s">
        <v>529</v>
      </c>
      <c r="D141" s="133">
        <v>1</v>
      </c>
      <c r="E141" s="166" t="s">
        <v>420</v>
      </c>
      <c r="F141" s="167" t="s">
        <v>421</v>
      </c>
      <c r="G141" s="167" t="s">
        <v>328</v>
      </c>
      <c r="H141" s="167" t="s">
        <v>329</v>
      </c>
      <c r="I141" s="178">
        <v>16.75</v>
      </c>
      <c r="J141" s="482"/>
      <c r="K141" s="168">
        <v>255</v>
      </c>
      <c r="L141" s="169" t="e">
        <f t="shared" si="4"/>
        <v>#DIV/0!</v>
      </c>
      <c r="M141" s="170">
        <f>IF(K141="nio",0,IF(K141&gt;0,VLOOKUP(G141,'3-Productie normen'!A:L,VLOOKUP(K141,'3-Productie normen'!N:O,2,FALSE),FALSE)))</f>
        <v>0</v>
      </c>
      <c r="N141" s="171" t="str">
        <f>VLOOKUP(G141,'3-Productie normen'!A:L,10,FALSE)</f>
        <v>V</v>
      </c>
      <c r="O141" s="171"/>
      <c r="Q141" s="130">
        <f t="shared" si="5"/>
        <v>4271.25</v>
      </c>
    </row>
    <row r="142" spans="1:17" ht="14.1" customHeight="1">
      <c r="A142" s="147">
        <v>142</v>
      </c>
      <c r="B142" s="165" t="s">
        <v>240</v>
      </c>
      <c r="C142" s="165" t="s">
        <v>529</v>
      </c>
      <c r="D142" s="133">
        <v>1</v>
      </c>
      <c r="E142" s="166" t="s">
        <v>422</v>
      </c>
      <c r="F142" s="167" t="s">
        <v>421</v>
      </c>
      <c r="G142" s="167" t="s">
        <v>328</v>
      </c>
      <c r="H142" s="167" t="s">
        <v>329</v>
      </c>
      <c r="I142" s="178">
        <v>21.61</v>
      </c>
      <c r="J142" s="482"/>
      <c r="K142" s="168">
        <v>255</v>
      </c>
      <c r="L142" s="169" t="e">
        <f t="shared" si="4"/>
        <v>#DIV/0!</v>
      </c>
      <c r="M142" s="170">
        <f>IF(K142="nio",0,IF(K142&gt;0,VLOOKUP(G142,'3-Productie normen'!A:L,VLOOKUP(K142,'3-Productie normen'!N:O,2,FALSE),FALSE)))</f>
        <v>0</v>
      </c>
      <c r="N142" s="171" t="str">
        <f>VLOOKUP(G142,'3-Productie normen'!A:L,10,FALSE)</f>
        <v>V</v>
      </c>
      <c r="O142" s="171"/>
      <c r="Q142" s="130">
        <f t="shared" si="5"/>
        <v>5510.55</v>
      </c>
    </row>
    <row r="143" spans="1:17" ht="14.1" customHeight="1">
      <c r="A143" s="147">
        <v>143</v>
      </c>
      <c r="B143" s="165" t="s">
        <v>240</v>
      </c>
      <c r="C143" s="165" t="s">
        <v>529</v>
      </c>
      <c r="D143" s="133">
        <v>1</v>
      </c>
      <c r="E143" s="166" t="s">
        <v>423</v>
      </c>
      <c r="F143" s="165" t="s">
        <v>421</v>
      </c>
      <c r="G143" s="165" t="s">
        <v>328</v>
      </c>
      <c r="H143" s="167" t="s">
        <v>264</v>
      </c>
      <c r="I143" s="178">
        <v>18.84</v>
      </c>
      <c r="J143" s="482"/>
      <c r="K143" s="168">
        <v>255</v>
      </c>
      <c r="L143" s="169" t="e">
        <f t="shared" si="4"/>
        <v>#DIV/0!</v>
      </c>
      <c r="M143" s="170">
        <f>IF(K143="nio",0,IF(K143&gt;0,VLOOKUP(G143,'3-Productie normen'!A:L,VLOOKUP(K143,'3-Productie normen'!N:O,2,FALSE),FALSE)))</f>
        <v>0</v>
      </c>
      <c r="N143" s="171" t="str">
        <f>VLOOKUP(G143,'3-Productie normen'!A:L,10,FALSE)</f>
        <v>V</v>
      </c>
      <c r="O143" s="171"/>
      <c r="Q143" s="130">
        <f t="shared" si="5"/>
        <v>4804.2</v>
      </c>
    </row>
    <row r="144" spans="1:17" ht="14.1" customHeight="1">
      <c r="A144" s="147">
        <v>144</v>
      </c>
      <c r="B144" s="165" t="s">
        <v>240</v>
      </c>
      <c r="C144" s="165" t="s">
        <v>529</v>
      </c>
      <c r="D144" s="133">
        <v>1</v>
      </c>
      <c r="E144" s="166" t="s">
        <v>424</v>
      </c>
      <c r="F144" s="165" t="s">
        <v>421</v>
      </c>
      <c r="G144" s="165" t="s">
        <v>328</v>
      </c>
      <c r="H144" s="167" t="s">
        <v>243</v>
      </c>
      <c r="I144" s="178">
        <v>11.59</v>
      </c>
      <c r="J144" s="482"/>
      <c r="K144" s="168">
        <v>255</v>
      </c>
      <c r="L144" s="169" t="e">
        <f t="shared" si="4"/>
        <v>#DIV/0!</v>
      </c>
      <c r="M144" s="170">
        <f>IF(K144="nio",0,IF(K144&gt;0,VLOOKUP(G144,'3-Productie normen'!A:L,VLOOKUP(K144,'3-Productie normen'!N:O,2,FALSE),FALSE)))</f>
        <v>0</v>
      </c>
      <c r="N144" s="171" t="str">
        <f>VLOOKUP(G144,'3-Productie normen'!A:L,10,FALSE)</f>
        <v>V</v>
      </c>
      <c r="O144" s="171"/>
      <c r="Q144" s="130">
        <f t="shared" si="5"/>
        <v>2955.45</v>
      </c>
    </row>
    <row r="145" spans="1:17" ht="14.1" customHeight="1">
      <c r="A145" s="147">
        <v>145</v>
      </c>
      <c r="B145" s="165" t="s">
        <v>240</v>
      </c>
      <c r="C145" s="165" t="s">
        <v>529</v>
      </c>
      <c r="D145" s="133">
        <v>1</v>
      </c>
      <c r="E145" s="166" t="s">
        <v>425</v>
      </c>
      <c r="F145" s="165" t="s">
        <v>421</v>
      </c>
      <c r="G145" s="165" t="s">
        <v>328</v>
      </c>
      <c r="H145" s="167" t="s">
        <v>243</v>
      </c>
      <c r="I145" s="178">
        <v>8.0299999999999994</v>
      </c>
      <c r="J145" s="482"/>
      <c r="K145" s="168">
        <v>255</v>
      </c>
      <c r="L145" s="169" t="e">
        <f t="shared" si="4"/>
        <v>#DIV/0!</v>
      </c>
      <c r="M145" s="170">
        <f>IF(K145="nio",0,IF(K145&gt;0,VLOOKUP(G145,'3-Productie normen'!A:L,VLOOKUP(K145,'3-Productie normen'!N:O,2,FALSE),FALSE)))</f>
        <v>0</v>
      </c>
      <c r="N145" s="171" t="str">
        <f>VLOOKUP(G145,'3-Productie normen'!A:L,10,FALSE)</f>
        <v>V</v>
      </c>
      <c r="O145" s="171"/>
      <c r="Q145" s="130">
        <f t="shared" si="5"/>
        <v>2047.6499999999999</v>
      </c>
    </row>
    <row r="146" spans="1:17" ht="14.1" customHeight="1">
      <c r="A146" s="147">
        <v>146</v>
      </c>
      <c r="B146" s="165" t="s">
        <v>240</v>
      </c>
      <c r="C146" s="165" t="s">
        <v>529</v>
      </c>
      <c r="D146" s="133">
        <v>1</v>
      </c>
      <c r="E146" s="166" t="s">
        <v>426</v>
      </c>
      <c r="F146" s="167" t="s">
        <v>421</v>
      </c>
      <c r="G146" s="167" t="s">
        <v>328</v>
      </c>
      <c r="H146" s="167" t="s">
        <v>243</v>
      </c>
      <c r="I146" s="178">
        <v>10.629999999999999</v>
      </c>
      <c r="J146" s="482"/>
      <c r="K146" s="168">
        <v>255</v>
      </c>
      <c r="L146" s="169" t="e">
        <f t="shared" si="4"/>
        <v>#DIV/0!</v>
      </c>
      <c r="M146" s="170">
        <f>IF(K146="nio",0,IF(K146&gt;0,VLOOKUP(G146,'3-Productie normen'!A:L,VLOOKUP(K146,'3-Productie normen'!N:O,2,FALSE),FALSE)))</f>
        <v>0</v>
      </c>
      <c r="N146" s="171" t="str">
        <f>VLOOKUP(G146,'3-Productie normen'!A:L,10,FALSE)</f>
        <v>V</v>
      </c>
      <c r="O146" s="171"/>
      <c r="Q146" s="130">
        <f t="shared" si="5"/>
        <v>2710.6499999999996</v>
      </c>
    </row>
    <row r="147" spans="1:17" ht="14.1" customHeight="1">
      <c r="A147" s="147">
        <v>147</v>
      </c>
      <c r="B147" s="165" t="s">
        <v>240</v>
      </c>
      <c r="C147" s="165" t="s">
        <v>529</v>
      </c>
      <c r="D147" s="133">
        <v>1</v>
      </c>
      <c r="E147" s="166" t="s">
        <v>427</v>
      </c>
      <c r="F147" s="167" t="s">
        <v>347</v>
      </c>
      <c r="G147" s="127" t="s">
        <v>115</v>
      </c>
      <c r="H147" s="167" t="s">
        <v>348</v>
      </c>
      <c r="I147" s="178">
        <v>0.99</v>
      </c>
      <c r="J147" s="482"/>
      <c r="K147" s="168" t="s">
        <v>115</v>
      </c>
      <c r="L147" s="169">
        <f t="shared" si="4"/>
        <v>0</v>
      </c>
      <c r="M147" s="170">
        <f>IF(K147="nio",0,IF(K147&gt;0,VLOOKUP(G147,'3-Productie normen'!A:L,VLOOKUP(K147,'3-Productie normen'!N:O,2,FALSE),FALSE)))</f>
        <v>0</v>
      </c>
      <c r="N147" s="171">
        <f>VLOOKUP(G147,'3-Productie normen'!A:L,10,FALSE)</f>
        <v>0</v>
      </c>
      <c r="O147" s="171"/>
      <c r="Q147" s="130">
        <f t="shared" si="5"/>
        <v>0</v>
      </c>
    </row>
    <row r="148" spans="1:17" ht="14.1" customHeight="1">
      <c r="A148" s="147">
        <v>148</v>
      </c>
      <c r="B148" s="165" t="s">
        <v>240</v>
      </c>
      <c r="C148" s="165" t="s">
        <v>529</v>
      </c>
      <c r="D148" s="133">
        <v>1</v>
      </c>
      <c r="E148" s="166" t="s">
        <v>428</v>
      </c>
      <c r="F148" s="167" t="s">
        <v>347</v>
      </c>
      <c r="G148" s="127" t="s">
        <v>115</v>
      </c>
      <c r="H148" s="167" t="s">
        <v>348</v>
      </c>
      <c r="I148" s="178">
        <v>2.2799999999999998</v>
      </c>
      <c r="J148" s="482"/>
      <c r="K148" s="168" t="s">
        <v>115</v>
      </c>
      <c r="L148" s="169">
        <f t="shared" si="4"/>
        <v>0</v>
      </c>
      <c r="M148" s="170">
        <f>IF(K148="nio",0,IF(K148&gt;0,VLOOKUP(G148,'3-Productie normen'!A:L,VLOOKUP(K148,'3-Productie normen'!N:O,2,FALSE),FALSE)))</f>
        <v>0</v>
      </c>
      <c r="N148" s="171">
        <f>VLOOKUP(G148,'3-Productie normen'!A:L,10,FALSE)</f>
        <v>0</v>
      </c>
      <c r="O148" s="171"/>
      <c r="Q148" s="130">
        <f t="shared" si="5"/>
        <v>0</v>
      </c>
    </row>
    <row r="149" spans="1:17" ht="14.1" customHeight="1">
      <c r="A149" s="147">
        <v>149</v>
      </c>
      <c r="B149" s="165" t="s">
        <v>240</v>
      </c>
      <c r="C149" s="165" t="s">
        <v>529</v>
      </c>
      <c r="D149" s="133">
        <v>1</v>
      </c>
      <c r="E149" s="166" t="s">
        <v>429</v>
      </c>
      <c r="F149" s="167" t="s">
        <v>347</v>
      </c>
      <c r="G149" s="127" t="s">
        <v>115</v>
      </c>
      <c r="H149" s="167" t="s">
        <v>348</v>
      </c>
      <c r="I149" s="178">
        <v>1.1299999999999999</v>
      </c>
      <c r="J149" s="482"/>
      <c r="K149" s="168" t="s">
        <v>115</v>
      </c>
      <c r="L149" s="169">
        <f t="shared" si="4"/>
        <v>0</v>
      </c>
      <c r="M149" s="170">
        <f>IF(K149="nio",0,IF(K149&gt;0,VLOOKUP(G149,'3-Productie normen'!A:L,VLOOKUP(K149,'3-Productie normen'!N:O,2,FALSE),FALSE)))</f>
        <v>0</v>
      </c>
      <c r="N149" s="171">
        <f>VLOOKUP(G149,'3-Productie normen'!A:L,10,FALSE)</f>
        <v>0</v>
      </c>
      <c r="O149" s="171"/>
      <c r="Q149" s="130">
        <f t="shared" si="5"/>
        <v>0</v>
      </c>
    </row>
    <row r="150" spans="1:17" ht="14.1" customHeight="1">
      <c r="A150" s="147">
        <v>150</v>
      </c>
      <c r="B150" s="165" t="s">
        <v>240</v>
      </c>
      <c r="C150" s="165" t="s">
        <v>529</v>
      </c>
      <c r="D150" s="133">
        <v>1</v>
      </c>
      <c r="E150" s="166" t="s">
        <v>430</v>
      </c>
      <c r="F150" s="173" t="s">
        <v>347</v>
      </c>
      <c r="G150" s="127" t="s">
        <v>115</v>
      </c>
      <c r="H150" s="167" t="s">
        <v>348</v>
      </c>
      <c r="I150" s="178">
        <v>3.38</v>
      </c>
      <c r="J150" s="482"/>
      <c r="K150" s="168" t="s">
        <v>115</v>
      </c>
      <c r="L150" s="169">
        <f t="shared" si="4"/>
        <v>0</v>
      </c>
      <c r="M150" s="170">
        <f>IF(K150="nio",0,IF(K150&gt;0,VLOOKUP(G150,'3-Productie normen'!A:L,VLOOKUP(K150,'3-Productie normen'!N:O,2,FALSE),FALSE)))</f>
        <v>0</v>
      </c>
      <c r="N150" s="171">
        <f>VLOOKUP(G150,'3-Productie normen'!A:L,10,FALSE)</f>
        <v>0</v>
      </c>
      <c r="O150" s="171"/>
      <c r="Q150" s="130">
        <f t="shared" si="5"/>
        <v>0</v>
      </c>
    </row>
    <row r="151" spans="1:17" ht="14.1" customHeight="1">
      <c r="A151" s="147">
        <v>151</v>
      </c>
      <c r="B151" s="165" t="s">
        <v>240</v>
      </c>
      <c r="C151" s="165" t="s">
        <v>529</v>
      </c>
      <c r="D151" s="133">
        <v>2</v>
      </c>
      <c r="E151" s="166" t="s">
        <v>431</v>
      </c>
      <c r="F151" s="174" t="s">
        <v>242</v>
      </c>
      <c r="G151" s="174" t="s">
        <v>217</v>
      </c>
      <c r="H151" s="175" t="s">
        <v>243</v>
      </c>
      <c r="I151" s="178">
        <v>18.47</v>
      </c>
      <c r="J151" s="482"/>
      <c r="K151" s="168">
        <v>255</v>
      </c>
      <c r="L151" s="169" t="e">
        <f t="shared" si="4"/>
        <v>#DIV/0!</v>
      </c>
      <c r="M151" s="170">
        <f>IF(K151="nio",0,IF(K151&gt;0,VLOOKUP(G151,'3-Productie normen'!A:L,VLOOKUP(K151,'3-Productie normen'!N:O,2,FALSE),FALSE)))</f>
        <v>0</v>
      </c>
      <c r="N151" s="171" t="str">
        <f>VLOOKUP(G151,'3-Productie normen'!A:L,10,FALSE)</f>
        <v>B</v>
      </c>
      <c r="O151" s="171"/>
      <c r="Q151" s="130">
        <f t="shared" si="5"/>
        <v>4709.8499999999995</v>
      </c>
    </row>
    <row r="152" spans="1:17" ht="14.1" customHeight="1">
      <c r="A152" s="147">
        <v>152</v>
      </c>
      <c r="B152" s="165" t="s">
        <v>240</v>
      </c>
      <c r="C152" s="165" t="s">
        <v>529</v>
      </c>
      <c r="D152" s="179">
        <v>2</v>
      </c>
      <c r="E152" s="176" t="s">
        <v>432</v>
      </c>
      <c r="F152" s="177" t="s">
        <v>242</v>
      </c>
      <c r="G152" s="177" t="s">
        <v>217</v>
      </c>
      <c r="H152" s="167" t="s">
        <v>243</v>
      </c>
      <c r="I152" s="178">
        <v>17.36</v>
      </c>
      <c r="J152" s="482"/>
      <c r="K152" s="168">
        <v>255</v>
      </c>
      <c r="L152" s="169" t="e">
        <f t="shared" si="4"/>
        <v>#DIV/0!</v>
      </c>
      <c r="M152" s="170">
        <f>IF(K152="nio",0,IF(K152&gt;0,VLOOKUP(G152,'3-Productie normen'!A:L,VLOOKUP(K152,'3-Productie normen'!N:O,2,FALSE),FALSE)))</f>
        <v>0</v>
      </c>
      <c r="N152" s="171" t="str">
        <f>VLOOKUP(G152,'3-Productie normen'!A:L,10,FALSE)</f>
        <v>B</v>
      </c>
      <c r="O152" s="171"/>
      <c r="Q152" s="130">
        <f t="shared" si="5"/>
        <v>4426.8</v>
      </c>
    </row>
    <row r="153" spans="1:17" ht="14.1" customHeight="1">
      <c r="A153" s="147">
        <v>153</v>
      </c>
      <c r="B153" s="165" t="s">
        <v>240</v>
      </c>
      <c r="C153" s="165" t="s">
        <v>529</v>
      </c>
      <c r="D153" s="133">
        <v>2</v>
      </c>
      <c r="E153" s="166" t="s">
        <v>433</v>
      </c>
      <c r="F153" s="167" t="s">
        <v>242</v>
      </c>
      <c r="G153" s="167" t="s">
        <v>217</v>
      </c>
      <c r="H153" s="167" t="s">
        <v>243</v>
      </c>
      <c r="I153" s="178">
        <v>17.39</v>
      </c>
      <c r="J153" s="482"/>
      <c r="K153" s="168">
        <v>255</v>
      </c>
      <c r="L153" s="169" t="e">
        <f t="shared" si="4"/>
        <v>#DIV/0!</v>
      </c>
      <c r="M153" s="170">
        <f>IF(K153="nio",0,IF(K153&gt;0,VLOOKUP(G153,'3-Productie normen'!A:L,VLOOKUP(K153,'3-Productie normen'!N:O,2,FALSE),FALSE)))</f>
        <v>0</v>
      </c>
      <c r="N153" s="171" t="str">
        <f>VLOOKUP(G153,'3-Productie normen'!A:L,10,FALSE)</f>
        <v>B</v>
      </c>
      <c r="O153" s="171"/>
      <c r="Q153" s="130">
        <f t="shared" si="5"/>
        <v>4434.45</v>
      </c>
    </row>
    <row r="154" spans="1:17" ht="14.1" customHeight="1">
      <c r="A154" s="147">
        <v>154</v>
      </c>
      <c r="B154" s="165" t="s">
        <v>240</v>
      </c>
      <c r="C154" s="165" t="s">
        <v>529</v>
      </c>
      <c r="D154" s="133">
        <v>2</v>
      </c>
      <c r="E154" s="166" t="s">
        <v>434</v>
      </c>
      <c r="F154" s="127" t="s">
        <v>242</v>
      </c>
      <c r="G154" s="127" t="s">
        <v>217</v>
      </c>
      <c r="H154" s="167" t="s">
        <v>243</v>
      </c>
      <c r="I154" s="178">
        <v>64.83</v>
      </c>
      <c r="J154" s="482"/>
      <c r="K154" s="168">
        <v>255</v>
      </c>
      <c r="L154" s="169" t="e">
        <f t="shared" si="4"/>
        <v>#DIV/0!</v>
      </c>
      <c r="M154" s="170">
        <f>IF(K154="nio",0,IF(K154&gt;0,VLOOKUP(G154,'3-Productie normen'!A:L,VLOOKUP(K154,'3-Productie normen'!N:O,2,FALSE),FALSE)))</f>
        <v>0</v>
      </c>
      <c r="N154" s="171" t="str">
        <f>VLOOKUP(G154,'3-Productie normen'!A:L,10,FALSE)</f>
        <v>B</v>
      </c>
      <c r="O154" s="171"/>
      <c r="Q154" s="130">
        <f t="shared" si="5"/>
        <v>16531.649999999998</v>
      </c>
    </row>
    <row r="155" spans="1:17" ht="14.1" customHeight="1">
      <c r="A155" s="147">
        <v>155</v>
      </c>
      <c r="B155" s="165" t="s">
        <v>240</v>
      </c>
      <c r="C155" s="165" t="s">
        <v>529</v>
      </c>
      <c r="D155" s="133">
        <v>2</v>
      </c>
      <c r="E155" s="166" t="s">
        <v>435</v>
      </c>
      <c r="F155" s="127" t="s">
        <v>436</v>
      </c>
      <c r="G155" s="127" t="s">
        <v>247</v>
      </c>
      <c r="H155" s="167" t="s">
        <v>243</v>
      </c>
      <c r="I155" s="178">
        <v>34.630000000000003</v>
      </c>
      <c r="J155" s="482"/>
      <c r="K155" s="168">
        <v>255</v>
      </c>
      <c r="L155" s="169" t="e">
        <f t="shared" si="4"/>
        <v>#DIV/0!</v>
      </c>
      <c r="M155" s="170">
        <f>IF(K155="nio",0,IF(K155&gt;0,VLOOKUP(G155,'3-Productie normen'!A:L,VLOOKUP(K155,'3-Productie normen'!N:O,2,FALSE),FALSE)))</f>
        <v>0</v>
      </c>
      <c r="N155" s="171" t="str">
        <f>VLOOKUP(G155,'3-Productie normen'!A:L,10,FALSE)</f>
        <v>V</v>
      </c>
      <c r="O155" s="171"/>
      <c r="Q155" s="130">
        <f t="shared" si="5"/>
        <v>8830.6500000000015</v>
      </c>
    </row>
    <row r="156" spans="1:17" ht="14.1" customHeight="1">
      <c r="A156" s="147">
        <v>156</v>
      </c>
      <c r="B156" s="165" t="s">
        <v>240</v>
      </c>
      <c r="C156" s="165" t="s">
        <v>529</v>
      </c>
      <c r="D156" s="133">
        <v>2</v>
      </c>
      <c r="E156" s="166" t="s">
        <v>437</v>
      </c>
      <c r="F156" s="127" t="s">
        <v>438</v>
      </c>
      <c r="G156" s="127" t="s">
        <v>217</v>
      </c>
      <c r="H156" s="167" t="s">
        <v>243</v>
      </c>
      <c r="I156" s="178">
        <v>226.29</v>
      </c>
      <c r="J156" s="482"/>
      <c r="K156" s="168">
        <v>255</v>
      </c>
      <c r="L156" s="169" t="e">
        <f t="shared" si="4"/>
        <v>#DIV/0!</v>
      </c>
      <c r="M156" s="170">
        <f>IF(K156="nio",0,IF(K156&gt;0,VLOOKUP(G156,'3-Productie normen'!A:L,VLOOKUP(K156,'3-Productie normen'!N:O,2,FALSE),FALSE)))</f>
        <v>0</v>
      </c>
      <c r="N156" s="171" t="str">
        <f>VLOOKUP(G156,'3-Productie normen'!A:L,10,FALSE)</f>
        <v>B</v>
      </c>
      <c r="O156" s="171"/>
      <c r="Q156" s="130">
        <f t="shared" si="5"/>
        <v>57703.95</v>
      </c>
    </row>
    <row r="157" spans="1:17" ht="14.1" customHeight="1">
      <c r="A157" s="147">
        <v>157</v>
      </c>
      <c r="B157" s="165" t="s">
        <v>240</v>
      </c>
      <c r="C157" s="165" t="s">
        <v>529</v>
      </c>
      <c r="D157" s="133">
        <v>2</v>
      </c>
      <c r="E157" s="166" t="s">
        <v>439</v>
      </c>
      <c r="F157" s="127" t="s">
        <v>436</v>
      </c>
      <c r="G157" s="127" t="s">
        <v>247</v>
      </c>
      <c r="H157" s="167" t="s">
        <v>243</v>
      </c>
      <c r="I157" s="178">
        <v>17.239999999999998</v>
      </c>
      <c r="J157" s="482"/>
      <c r="K157" s="168">
        <v>255</v>
      </c>
      <c r="L157" s="169" t="e">
        <f t="shared" si="4"/>
        <v>#DIV/0!</v>
      </c>
      <c r="M157" s="170">
        <f>IF(K157="nio",0,IF(K157&gt;0,VLOOKUP(G157,'3-Productie normen'!A:L,VLOOKUP(K157,'3-Productie normen'!N:O,2,FALSE),FALSE)))</f>
        <v>0</v>
      </c>
      <c r="N157" s="171" t="str">
        <f>VLOOKUP(G157,'3-Productie normen'!A:L,10,FALSE)</f>
        <v>V</v>
      </c>
      <c r="O157" s="171"/>
      <c r="Q157" s="130">
        <f t="shared" si="5"/>
        <v>4396.2</v>
      </c>
    </row>
    <row r="158" spans="1:17" ht="14.1" customHeight="1">
      <c r="A158" s="147">
        <v>158</v>
      </c>
      <c r="B158" s="165" t="s">
        <v>240</v>
      </c>
      <c r="C158" s="165" t="s">
        <v>529</v>
      </c>
      <c r="D158" s="133">
        <v>2</v>
      </c>
      <c r="E158" s="166" t="s">
        <v>440</v>
      </c>
      <c r="F158" s="165" t="s">
        <v>438</v>
      </c>
      <c r="G158" s="165" t="s">
        <v>217</v>
      </c>
      <c r="H158" s="167" t="s">
        <v>243</v>
      </c>
      <c r="I158" s="178">
        <v>6.61</v>
      </c>
      <c r="J158" s="482"/>
      <c r="K158" s="168">
        <v>255</v>
      </c>
      <c r="L158" s="169" t="e">
        <f t="shared" si="4"/>
        <v>#DIV/0!</v>
      </c>
      <c r="M158" s="170">
        <f>IF(K158="nio",0,IF(K158&gt;0,VLOOKUP(G158,'3-Productie normen'!A:L,VLOOKUP(K158,'3-Productie normen'!N:O,2,FALSE),FALSE)))</f>
        <v>0</v>
      </c>
      <c r="N158" s="171" t="str">
        <f>VLOOKUP(G158,'3-Productie normen'!A:L,10,FALSE)</f>
        <v>B</v>
      </c>
      <c r="O158" s="171"/>
      <c r="Q158" s="130">
        <f t="shared" si="5"/>
        <v>1685.5500000000002</v>
      </c>
    </row>
    <row r="159" spans="1:17" ht="14.1" customHeight="1">
      <c r="A159" s="147">
        <v>159</v>
      </c>
      <c r="B159" s="165" t="s">
        <v>240</v>
      </c>
      <c r="C159" s="165" t="s">
        <v>529</v>
      </c>
      <c r="D159" s="133">
        <v>2</v>
      </c>
      <c r="E159" s="166" t="s">
        <v>441</v>
      </c>
      <c r="F159" s="165" t="s">
        <v>242</v>
      </c>
      <c r="G159" s="165" t="s">
        <v>217</v>
      </c>
      <c r="H159" s="167" t="s">
        <v>243</v>
      </c>
      <c r="I159" s="178">
        <v>4.95</v>
      </c>
      <c r="J159" s="482"/>
      <c r="K159" s="168">
        <v>255</v>
      </c>
      <c r="L159" s="169" t="e">
        <f t="shared" si="4"/>
        <v>#DIV/0!</v>
      </c>
      <c r="M159" s="170">
        <f>IF(K159="nio",0,IF(K159&gt;0,VLOOKUP(G159,'3-Productie normen'!A:L,VLOOKUP(K159,'3-Productie normen'!N:O,2,FALSE),FALSE)))</f>
        <v>0</v>
      </c>
      <c r="N159" s="171" t="str">
        <f>VLOOKUP(G159,'3-Productie normen'!A:L,10,FALSE)</f>
        <v>B</v>
      </c>
      <c r="O159" s="171"/>
      <c r="Q159" s="130">
        <f t="shared" si="5"/>
        <v>1262.25</v>
      </c>
    </row>
    <row r="160" spans="1:17" ht="14.1" customHeight="1">
      <c r="A160" s="147">
        <v>160</v>
      </c>
      <c r="B160" s="165" t="s">
        <v>240</v>
      </c>
      <c r="C160" s="165" t="s">
        <v>529</v>
      </c>
      <c r="D160" s="133">
        <v>2</v>
      </c>
      <c r="E160" s="166" t="s">
        <v>442</v>
      </c>
      <c r="F160" s="165" t="s">
        <v>242</v>
      </c>
      <c r="G160" s="165" t="s">
        <v>217</v>
      </c>
      <c r="H160" s="167" t="s">
        <v>243</v>
      </c>
      <c r="I160" s="178">
        <v>218.31</v>
      </c>
      <c r="J160" s="482"/>
      <c r="K160" s="168">
        <v>255</v>
      </c>
      <c r="L160" s="169" t="e">
        <f t="shared" si="4"/>
        <v>#DIV/0!</v>
      </c>
      <c r="M160" s="170">
        <f>IF(K160="nio",0,IF(K160&gt;0,VLOOKUP(G160,'3-Productie normen'!A:L,VLOOKUP(K160,'3-Productie normen'!N:O,2,FALSE),FALSE)))</f>
        <v>0</v>
      </c>
      <c r="N160" s="171" t="str">
        <f>VLOOKUP(G160,'3-Productie normen'!A:L,10,FALSE)</f>
        <v>B</v>
      </c>
      <c r="O160" s="171"/>
      <c r="Q160" s="130">
        <f t="shared" si="5"/>
        <v>55669.05</v>
      </c>
    </row>
    <row r="161" spans="1:17" ht="14.1" customHeight="1">
      <c r="A161" s="147">
        <v>161</v>
      </c>
      <c r="B161" s="165" t="s">
        <v>240</v>
      </c>
      <c r="C161" s="165" t="s">
        <v>529</v>
      </c>
      <c r="D161" s="133">
        <v>2</v>
      </c>
      <c r="E161" s="166" t="s">
        <v>443</v>
      </c>
      <c r="F161" s="167" t="s">
        <v>436</v>
      </c>
      <c r="G161" s="167" t="s">
        <v>247</v>
      </c>
      <c r="H161" s="167" t="s">
        <v>444</v>
      </c>
      <c r="I161" s="178">
        <v>80.5</v>
      </c>
      <c r="J161" s="482"/>
      <c r="K161" s="168">
        <v>255</v>
      </c>
      <c r="L161" s="169" t="e">
        <f t="shared" si="4"/>
        <v>#DIV/0!</v>
      </c>
      <c r="M161" s="170">
        <f>IF(K161="nio",0,IF(K161&gt;0,VLOOKUP(G161,'3-Productie normen'!A:L,VLOOKUP(K161,'3-Productie normen'!N:O,2,FALSE),FALSE)))</f>
        <v>0</v>
      </c>
      <c r="N161" s="171" t="str">
        <f>VLOOKUP(G161,'3-Productie normen'!A:L,10,FALSE)</f>
        <v>V</v>
      </c>
      <c r="O161" s="171"/>
      <c r="Q161" s="130">
        <f t="shared" si="5"/>
        <v>20527.5</v>
      </c>
    </row>
    <row r="162" spans="1:17" ht="14.1" customHeight="1">
      <c r="A162" s="147">
        <v>162</v>
      </c>
      <c r="B162" s="165" t="s">
        <v>240</v>
      </c>
      <c r="C162" s="165" t="s">
        <v>529</v>
      </c>
      <c r="D162" s="133">
        <v>2</v>
      </c>
      <c r="E162" s="166" t="s">
        <v>445</v>
      </c>
      <c r="F162" s="167" t="s">
        <v>242</v>
      </c>
      <c r="G162" s="167" t="s">
        <v>217</v>
      </c>
      <c r="H162" s="167" t="s">
        <v>243</v>
      </c>
      <c r="I162" s="178">
        <v>16.149999999999999</v>
      </c>
      <c r="J162" s="482"/>
      <c r="K162" s="168">
        <v>255</v>
      </c>
      <c r="L162" s="169" t="e">
        <f t="shared" si="4"/>
        <v>#DIV/0!</v>
      </c>
      <c r="M162" s="170">
        <f>IF(K162="nio",0,IF(K162&gt;0,VLOOKUP(G162,'3-Productie normen'!A:L,VLOOKUP(K162,'3-Productie normen'!N:O,2,FALSE),FALSE)))</f>
        <v>0</v>
      </c>
      <c r="N162" s="171" t="str">
        <f>VLOOKUP(G162,'3-Productie normen'!A:L,10,FALSE)</f>
        <v>B</v>
      </c>
      <c r="O162" s="171"/>
      <c r="Q162" s="130">
        <f t="shared" si="5"/>
        <v>4118.25</v>
      </c>
    </row>
    <row r="163" spans="1:17" ht="14.1" customHeight="1">
      <c r="A163" s="147">
        <v>163</v>
      </c>
      <c r="B163" s="165" t="s">
        <v>240</v>
      </c>
      <c r="C163" s="165" t="s">
        <v>529</v>
      </c>
      <c r="D163" s="133">
        <v>2</v>
      </c>
      <c r="E163" s="166" t="s">
        <v>446</v>
      </c>
      <c r="F163" s="167" t="s">
        <v>242</v>
      </c>
      <c r="G163" s="167" t="s">
        <v>217</v>
      </c>
      <c r="H163" s="167" t="s">
        <v>243</v>
      </c>
      <c r="I163" s="178">
        <v>8.31</v>
      </c>
      <c r="J163" s="482"/>
      <c r="K163" s="168">
        <v>255</v>
      </c>
      <c r="L163" s="169" t="e">
        <f t="shared" si="4"/>
        <v>#DIV/0!</v>
      </c>
      <c r="M163" s="170">
        <f>IF(K163="nio",0,IF(K163&gt;0,VLOOKUP(G163,'3-Productie normen'!A:L,VLOOKUP(K163,'3-Productie normen'!N:O,2,FALSE),FALSE)))</f>
        <v>0</v>
      </c>
      <c r="N163" s="171" t="str">
        <f>VLOOKUP(G163,'3-Productie normen'!A:L,10,FALSE)</f>
        <v>B</v>
      </c>
      <c r="O163" s="171"/>
      <c r="Q163" s="130">
        <f t="shared" si="5"/>
        <v>2119.0500000000002</v>
      </c>
    </row>
    <row r="164" spans="1:17" ht="14.1" customHeight="1">
      <c r="A164" s="147">
        <v>164</v>
      </c>
      <c r="B164" s="165" t="s">
        <v>240</v>
      </c>
      <c r="C164" s="165" t="s">
        <v>529</v>
      </c>
      <c r="D164" s="133">
        <v>2</v>
      </c>
      <c r="E164" s="166" t="s">
        <v>447</v>
      </c>
      <c r="F164" s="167" t="s">
        <v>438</v>
      </c>
      <c r="G164" s="167" t="s">
        <v>217</v>
      </c>
      <c r="H164" s="167" t="s">
        <v>243</v>
      </c>
      <c r="I164" s="178">
        <v>153.44999999999999</v>
      </c>
      <c r="J164" s="482"/>
      <c r="K164" s="168">
        <v>255</v>
      </c>
      <c r="L164" s="169" t="e">
        <f t="shared" si="4"/>
        <v>#DIV/0!</v>
      </c>
      <c r="M164" s="170">
        <f>IF(K164="nio",0,IF(K164&gt;0,VLOOKUP(G164,'3-Productie normen'!A:L,VLOOKUP(K164,'3-Productie normen'!N:O,2,FALSE),FALSE)))</f>
        <v>0</v>
      </c>
      <c r="N164" s="171" t="str">
        <f>VLOOKUP(G164,'3-Productie normen'!A:L,10,FALSE)</f>
        <v>B</v>
      </c>
      <c r="O164" s="171"/>
      <c r="Q164" s="130">
        <f t="shared" si="5"/>
        <v>39129.75</v>
      </c>
    </row>
    <row r="165" spans="1:17" ht="14.1" customHeight="1">
      <c r="A165" s="147">
        <v>165</v>
      </c>
      <c r="B165" s="165" t="s">
        <v>240</v>
      </c>
      <c r="C165" s="165" t="s">
        <v>529</v>
      </c>
      <c r="D165" s="133">
        <v>2</v>
      </c>
      <c r="E165" s="166" t="s">
        <v>448</v>
      </c>
      <c r="F165" s="173" t="s">
        <v>242</v>
      </c>
      <c r="G165" s="173" t="s">
        <v>217</v>
      </c>
      <c r="H165" s="167" t="s">
        <v>243</v>
      </c>
      <c r="I165" s="178">
        <v>6.92</v>
      </c>
      <c r="J165" s="482"/>
      <c r="K165" s="168">
        <v>255</v>
      </c>
      <c r="L165" s="169" t="e">
        <f t="shared" si="4"/>
        <v>#DIV/0!</v>
      </c>
      <c r="M165" s="170">
        <f>IF(K165="nio",0,IF(K165&gt;0,VLOOKUP(G165,'3-Productie normen'!A:L,VLOOKUP(K165,'3-Productie normen'!N:O,2,FALSE),FALSE)))</f>
        <v>0</v>
      </c>
      <c r="N165" s="171" t="str">
        <f>VLOOKUP(G165,'3-Productie normen'!A:L,10,FALSE)</f>
        <v>B</v>
      </c>
      <c r="O165" s="171"/>
      <c r="Q165" s="130">
        <f t="shared" si="5"/>
        <v>1764.6</v>
      </c>
    </row>
    <row r="166" spans="1:17" ht="14.1" customHeight="1">
      <c r="A166" s="147">
        <v>166</v>
      </c>
      <c r="B166" s="165" t="s">
        <v>240</v>
      </c>
      <c r="C166" s="165" t="s">
        <v>529</v>
      </c>
      <c r="D166" s="133">
        <v>2</v>
      </c>
      <c r="E166" s="166" t="s">
        <v>449</v>
      </c>
      <c r="F166" s="174" t="s">
        <v>242</v>
      </c>
      <c r="G166" s="174" t="s">
        <v>217</v>
      </c>
      <c r="H166" s="175" t="s">
        <v>243</v>
      </c>
      <c r="I166" s="178">
        <v>31.91</v>
      </c>
      <c r="J166" s="482"/>
      <c r="K166" s="168">
        <v>255</v>
      </c>
      <c r="L166" s="169" t="e">
        <f t="shared" si="4"/>
        <v>#DIV/0!</v>
      </c>
      <c r="M166" s="170">
        <f>IF(K166="nio",0,IF(K166&gt;0,VLOOKUP(G166,'3-Productie normen'!A:L,VLOOKUP(K166,'3-Productie normen'!N:O,2,FALSE),FALSE)))</f>
        <v>0</v>
      </c>
      <c r="N166" s="171" t="str">
        <f>VLOOKUP(G166,'3-Productie normen'!A:L,10,FALSE)</f>
        <v>B</v>
      </c>
      <c r="O166" s="171"/>
      <c r="Q166" s="130">
        <f t="shared" si="5"/>
        <v>8137.05</v>
      </c>
    </row>
    <row r="167" spans="1:17" ht="14.1" customHeight="1">
      <c r="A167" s="147">
        <v>167</v>
      </c>
      <c r="B167" s="165" t="s">
        <v>240</v>
      </c>
      <c r="C167" s="165" t="s">
        <v>529</v>
      </c>
      <c r="D167" s="179">
        <v>2</v>
      </c>
      <c r="E167" s="176" t="s">
        <v>450</v>
      </c>
      <c r="F167" s="177" t="s">
        <v>242</v>
      </c>
      <c r="G167" s="177" t="s">
        <v>217</v>
      </c>
      <c r="H167" s="167" t="s">
        <v>243</v>
      </c>
      <c r="I167" s="178">
        <v>14.73</v>
      </c>
      <c r="J167" s="482"/>
      <c r="K167" s="168">
        <v>255</v>
      </c>
      <c r="L167" s="169" t="e">
        <f t="shared" si="4"/>
        <v>#DIV/0!</v>
      </c>
      <c r="M167" s="170">
        <f>IF(K167="nio",0,IF(K167&gt;0,VLOOKUP(G167,'3-Productie normen'!A:L,VLOOKUP(K167,'3-Productie normen'!N:O,2,FALSE),FALSE)))</f>
        <v>0</v>
      </c>
      <c r="N167" s="171" t="str">
        <f>VLOOKUP(G167,'3-Productie normen'!A:L,10,FALSE)</f>
        <v>B</v>
      </c>
      <c r="O167" s="171"/>
      <c r="Q167" s="130">
        <f t="shared" si="5"/>
        <v>3756.15</v>
      </c>
    </row>
    <row r="168" spans="1:17" ht="14.1" customHeight="1">
      <c r="A168" s="147">
        <v>168</v>
      </c>
      <c r="B168" s="165" t="s">
        <v>240</v>
      </c>
      <c r="C168" s="165" t="s">
        <v>529</v>
      </c>
      <c r="D168" s="133">
        <v>2</v>
      </c>
      <c r="E168" s="166" t="s">
        <v>451</v>
      </c>
      <c r="F168" s="167" t="s">
        <v>242</v>
      </c>
      <c r="G168" s="167" t="s">
        <v>217</v>
      </c>
      <c r="H168" s="167" t="s">
        <v>243</v>
      </c>
      <c r="I168" s="178">
        <v>8.06</v>
      </c>
      <c r="J168" s="482"/>
      <c r="K168" s="168">
        <v>255</v>
      </c>
      <c r="L168" s="169" t="e">
        <f t="shared" si="4"/>
        <v>#DIV/0!</v>
      </c>
      <c r="M168" s="170">
        <f>IF(K168="nio",0,IF(K168&gt;0,VLOOKUP(G168,'3-Productie normen'!A:L,VLOOKUP(K168,'3-Productie normen'!N:O,2,FALSE),FALSE)))</f>
        <v>0</v>
      </c>
      <c r="N168" s="171" t="str">
        <f>VLOOKUP(G168,'3-Productie normen'!A:L,10,FALSE)</f>
        <v>B</v>
      </c>
      <c r="O168" s="171"/>
      <c r="Q168" s="130">
        <f t="shared" si="5"/>
        <v>2055.3000000000002</v>
      </c>
    </row>
    <row r="169" spans="1:17" ht="14.1" customHeight="1">
      <c r="A169" s="147">
        <v>169</v>
      </c>
      <c r="B169" s="165" t="s">
        <v>240</v>
      </c>
      <c r="C169" s="165" t="s">
        <v>529</v>
      </c>
      <c r="D169" s="133">
        <v>2</v>
      </c>
      <c r="E169" s="166" t="s">
        <v>452</v>
      </c>
      <c r="F169" s="127" t="s">
        <v>242</v>
      </c>
      <c r="G169" s="127" t="s">
        <v>217</v>
      </c>
      <c r="H169" s="167" t="s">
        <v>243</v>
      </c>
      <c r="I169" s="178">
        <v>27.98</v>
      </c>
      <c r="J169" s="482"/>
      <c r="K169" s="168">
        <v>255</v>
      </c>
      <c r="L169" s="169" t="e">
        <f t="shared" si="4"/>
        <v>#DIV/0!</v>
      </c>
      <c r="M169" s="170">
        <f>IF(K169="nio",0,IF(K169&gt;0,VLOOKUP(G169,'3-Productie normen'!A:L,VLOOKUP(K169,'3-Productie normen'!N:O,2,FALSE),FALSE)))</f>
        <v>0</v>
      </c>
      <c r="N169" s="171" t="str">
        <f>VLOOKUP(G169,'3-Productie normen'!A:L,10,FALSE)</f>
        <v>B</v>
      </c>
      <c r="O169" s="171"/>
      <c r="Q169" s="130">
        <f t="shared" si="5"/>
        <v>7134.9000000000005</v>
      </c>
    </row>
    <row r="170" spans="1:17" ht="14.1" customHeight="1">
      <c r="A170" s="147">
        <v>170</v>
      </c>
      <c r="B170" s="165" t="s">
        <v>240</v>
      </c>
      <c r="C170" s="165" t="s">
        <v>529</v>
      </c>
      <c r="D170" s="133">
        <v>2</v>
      </c>
      <c r="E170" s="166" t="s">
        <v>453</v>
      </c>
      <c r="F170" s="127" t="s">
        <v>394</v>
      </c>
      <c r="G170" s="124" t="s">
        <v>108</v>
      </c>
      <c r="H170" s="167" t="s">
        <v>308</v>
      </c>
      <c r="I170" s="178">
        <v>8.25</v>
      </c>
      <c r="J170" s="482"/>
      <c r="K170" s="168">
        <v>255</v>
      </c>
      <c r="L170" s="169" t="e">
        <f t="shared" si="4"/>
        <v>#DIV/0!</v>
      </c>
      <c r="M170" s="170">
        <f>IF(K170="nio",0,IF(K170&gt;0,VLOOKUP(G170,'3-Productie normen'!A:L,VLOOKUP(K170,'3-Productie normen'!N:O,2,FALSE),FALSE)))</f>
        <v>0</v>
      </c>
      <c r="N170" s="171" t="str">
        <f>VLOOKUP(G170,'3-Productie normen'!A:L,10,FALSE)</f>
        <v>V</v>
      </c>
      <c r="O170" s="171"/>
      <c r="Q170" s="130">
        <f t="shared" si="5"/>
        <v>2103.75</v>
      </c>
    </row>
    <row r="171" spans="1:17" ht="14.1" customHeight="1">
      <c r="A171" s="147">
        <v>171</v>
      </c>
      <c r="B171" s="165" t="s">
        <v>240</v>
      </c>
      <c r="C171" s="165" t="s">
        <v>529</v>
      </c>
      <c r="D171" s="133">
        <v>2</v>
      </c>
      <c r="E171" s="166" t="s">
        <v>454</v>
      </c>
      <c r="F171" s="127" t="s">
        <v>316</v>
      </c>
      <c r="G171" s="127" t="s">
        <v>17</v>
      </c>
      <c r="H171" s="167" t="s">
        <v>308</v>
      </c>
      <c r="I171" s="178">
        <v>6.25</v>
      </c>
      <c r="J171" s="482"/>
      <c r="K171" s="168">
        <v>255</v>
      </c>
      <c r="L171" s="169" t="e">
        <f t="shared" si="4"/>
        <v>#DIV/0!</v>
      </c>
      <c r="M171" s="170">
        <f>IF(K171="nio",0,IF(K171&gt;0,VLOOKUP(G171,'3-Productie normen'!A:L,VLOOKUP(K171,'3-Productie normen'!N:O,2,FALSE),FALSE)))</f>
        <v>0</v>
      </c>
      <c r="N171" s="171" t="str">
        <f>VLOOKUP(G171,'3-Productie normen'!A:L,10,FALSE)</f>
        <v>S</v>
      </c>
      <c r="O171" s="171"/>
      <c r="Q171" s="130">
        <f t="shared" si="5"/>
        <v>1593.75</v>
      </c>
    </row>
    <row r="172" spans="1:17" ht="14.1" customHeight="1">
      <c r="A172" s="147">
        <v>172</v>
      </c>
      <c r="B172" s="165" t="s">
        <v>240</v>
      </c>
      <c r="C172" s="165" t="s">
        <v>529</v>
      </c>
      <c r="D172" s="133">
        <v>2</v>
      </c>
      <c r="E172" s="166" t="s">
        <v>455</v>
      </c>
      <c r="F172" s="127" t="s">
        <v>316</v>
      </c>
      <c r="G172" s="127" t="s">
        <v>17</v>
      </c>
      <c r="H172" s="167" t="s">
        <v>308</v>
      </c>
      <c r="I172" s="178">
        <v>15.78</v>
      </c>
      <c r="J172" s="482"/>
      <c r="K172" s="168">
        <v>255</v>
      </c>
      <c r="L172" s="169" t="e">
        <f t="shared" si="4"/>
        <v>#DIV/0!</v>
      </c>
      <c r="M172" s="170">
        <f>IF(K172="nio",0,IF(K172&gt;0,VLOOKUP(G172,'3-Productie normen'!A:L,VLOOKUP(K172,'3-Productie normen'!N:O,2,FALSE),FALSE)))</f>
        <v>0</v>
      </c>
      <c r="N172" s="171" t="str">
        <f>VLOOKUP(G172,'3-Productie normen'!A:L,10,FALSE)</f>
        <v>S</v>
      </c>
      <c r="O172" s="171"/>
      <c r="Q172" s="130">
        <f t="shared" si="5"/>
        <v>4023.8999999999996</v>
      </c>
    </row>
    <row r="173" spans="1:17" ht="14.1" customHeight="1">
      <c r="A173" s="147">
        <v>173</v>
      </c>
      <c r="B173" s="165" t="s">
        <v>240</v>
      </c>
      <c r="C173" s="165" t="s">
        <v>529</v>
      </c>
      <c r="D173" s="133">
        <v>2</v>
      </c>
      <c r="E173" s="166" t="s">
        <v>456</v>
      </c>
      <c r="F173" s="165" t="s">
        <v>418</v>
      </c>
      <c r="G173" s="165" t="s">
        <v>328</v>
      </c>
      <c r="H173" s="167" t="s">
        <v>329</v>
      </c>
      <c r="I173" s="178">
        <v>12.58</v>
      </c>
      <c r="J173" s="482"/>
      <c r="K173" s="168">
        <v>52</v>
      </c>
      <c r="L173" s="169" t="e">
        <f t="shared" si="4"/>
        <v>#DIV/0!</v>
      </c>
      <c r="M173" s="170">
        <f>IF(K173="nio",0,IF(K173&gt;0,VLOOKUP(G173,'3-Productie normen'!A:L,VLOOKUP(K173,'3-Productie normen'!N:O,2,FALSE),FALSE)))</f>
        <v>0</v>
      </c>
      <c r="N173" s="171" t="str">
        <f>VLOOKUP(G173,'3-Productie normen'!A:L,10,FALSE)</f>
        <v>V</v>
      </c>
      <c r="O173" s="171"/>
      <c r="Q173" s="130">
        <f t="shared" si="5"/>
        <v>654.16</v>
      </c>
    </row>
    <row r="174" spans="1:17" ht="14.1" customHeight="1">
      <c r="A174" s="147">
        <v>174</v>
      </c>
      <c r="B174" s="165" t="s">
        <v>240</v>
      </c>
      <c r="C174" s="165" t="s">
        <v>529</v>
      </c>
      <c r="D174" s="133">
        <v>2</v>
      </c>
      <c r="E174" s="166" t="s">
        <v>457</v>
      </c>
      <c r="F174" s="165" t="s">
        <v>418</v>
      </c>
      <c r="G174" s="165" t="s">
        <v>328</v>
      </c>
      <c r="H174" s="167" t="s">
        <v>329</v>
      </c>
      <c r="I174" s="178">
        <v>16.310000000000002</v>
      </c>
      <c r="J174" s="482"/>
      <c r="K174" s="168">
        <v>52</v>
      </c>
      <c r="L174" s="169" t="e">
        <f t="shared" si="4"/>
        <v>#DIV/0!</v>
      </c>
      <c r="M174" s="170">
        <f>IF(K174="nio",0,IF(K174&gt;0,VLOOKUP(G174,'3-Productie normen'!A:L,VLOOKUP(K174,'3-Productie normen'!N:O,2,FALSE),FALSE)))</f>
        <v>0</v>
      </c>
      <c r="N174" s="171" t="str">
        <f>VLOOKUP(G174,'3-Productie normen'!A:L,10,FALSE)</f>
        <v>V</v>
      </c>
      <c r="O174" s="171"/>
      <c r="Q174" s="130">
        <f t="shared" si="5"/>
        <v>848.12000000000012</v>
      </c>
    </row>
    <row r="175" spans="1:17" ht="14.1" customHeight="1">
      <c r="A175" s="147">
        <v>175</v>
      </c>
      <c r="B175" s="165" t="s">
        <v>240</v>
      </c>
      <c r="C175" s="165" t="s">
        <v>529</v>
      </c>
      <c r="D175" s="133">
        <v>2</v>
      </c>
      <c r="E175" s="166" t="s">
        <v>458</v>
      </c>
      <c r="F175" s="165" t="s">
        <v>418</v>
      </c>
      <c r="G175" s="165" t="s">
        <v>328</v>
      </c>
      <c r="H175" s="167" t="s">
        <v>329</v>
      </c>
      <c r="I175" s="178">
        <v>21.740000000000002</v>
      </c>
      <c r="J175" s="482"/>
      <c r="K175" s="168">
        <v>255</v>
      </c>
      <c r="L175" s="169" t="e">
        <f t="shared" si="4"/>
        <v>#DIV/0!</v>
      </c>
      <c r="M175" s="170">
        <f>IF(K175="nio",0,IF(K175&gt;0,VLOOKUP(G175,'3-Productie normen'!A:L,VLOOKUP(K175,'3-Productie normen'!N:O,2,FALSE),FALSE)))</f>
        <v>0</v>
      </c>
      <c r="N175" s="171" t="str">
        <f>VLOOKUP(G175,'3-Productie normen'!A:L,10,FALSE)</f>
        <v>V</v>
      </c>
      <c r="O175" s="171"/>
      <c r="Q175" s="130">
        <f t="shared" si="5"/>
        <v>5543.7000000000007</v>
      </c>
    </row>
    <row r="176" spans="1:17" ht="14.1" customHeight="1">
      <c r="A176" s="147">
        <v>176</v>
      </c>
      <c r="B176" s="165" t="s">
        <v>240</v>
      </c>
      <c r="C176" s="165" t="s">
        <v>529</v>
      </c>
      <c r="D176" s="133">
        <v>2</v>
      </c>
      <c r="E176" s="166" t="s">
        <v>459</v>
      </c>
      <c r="F176" s="167" t="s">
        <v>333</v>
      </c>
      <c r="G176" s="167" t="s">
        <v>328</v>
      </c>
      <c r="H176" s="167" t="s">
        <v>264</v>
      </c>
      <c r="I176" s="178">
        <v>19.439999999999998</v>
      </c>
      <c r="J176" s="482"/>
      <c r="K176" s="168">
        <v>255</v>
      </c>
      <c r="L176" s="169" t="e">
        <f t="shared" si="4"/>
        <v>#DIV/0!</v>
      </c>
      <c r="M176" s="170">
        <f>IF(K176="nio",0,IF(K176&gt;0,VLOOKUP(G176,'3-Productie normen'!A:L,VLOOKUP(K176,'3-Productie normen'!N:O,2,FALSE),FALSE)))</f>
        <v>0</v>
      </c>
      <c r="N176" s="171" t="str">
        <f>VLOOKUP(G176,'3-Productie normen'!A:L,10,FALSE)</f>
        <v>V</v>
      </c>
      <c r="O176" s="171"/>
      <c r="Q176" s="130">
        <f t="shared" si="5"/>
        <v>4957.2</v>
      </c>
    </row>
    <row r="177" spans="1:17" ht="14.1" customHeight="1">
      <c r="A177" s="147">
        <v>177</v>
      </c>
      <c r="B177" s="165" t="s">
        <v>240</v>
      </c>
      <c r="C177" s="165" t="s">
        <v>529</v>
      </c>
      <c r="D177" s="133">
        <v>2</v>
      </c>
      <c r="E177" s="166" t="s">
        <v>460</v>
      </c>
      <c r="F177" s="167" t="s">
        <v>347</v>
      </c>
      <c r="G177" s="127" t="s">
        <v>115</v>
      </c>
      <c r="H177" s="167" t="s">
        <v>348</v>
      </c>
      <c r="I177" s="178">
        <v>2.16</v>
      </c>
      <c r="J177" s="482"/>
      <c r="K177" s="168" t="s">
        <v>115</v>
      </c>
      <c r="L177" s="169">
        <f t="shared" si="4"/>
        <v>0</v>
      </c>
      <c r="M177" s="170">
        <f>IF(K177="nio",0,IF(K177&gt;0,VLOOKUP(G177,'3-Productie normen'!A:L,VLOOKUP(K177,'3-Productie normen'!N:O,2,FALSE),FALSE)))</f>
        <v>0</v>
      </c>
      <c r="N177" s="171">
        <f>VLOOKUP(G177,'3-Productie normen'!A:L,10,FALSE)</f>
        <v>0</v>
      </c>
      <c r="O177" s="171"/>
      <c r="Q177" s="130">
        <f t="shared" si="5"/>
        <v>0</v>
      </c>
    </row>
    <row r="178" spans="1:17" ht="14.1" customHeight="1">
      <c r="A178" s="147">
        <v>178</v>
      </c>
      <c r="B178" s="165" t="s">
        <v>240</v>
      </c>
      <c r="C178" s="165" t="s">
        <v>529</v>
      </c>
      <c r="D178" s="133">
        <v>2</v>
      </c>
      <c r="E178" s="166" t="s">
        <v>461</v>
      </c>
      <c r="F178" s="167" t="s">
        <v>347</v>
      </c>
      <c r="G178" s="127" t="s">
        <v>115</v>
      </c>
      <c r="H178" s="167" t="s">
        <v>348</v>
      </c>
      <c r="I178" s="178">
        <v>1.78</v>
      </c>
      <c r="J178" s="482"/>
      <c r="K178" s="168" t="s">
        <v>115</v>
      </c>
      <c r="L178" s="169">
        <f t="shared" si="4"/>
        <v>0</v>
      </c>
      <c r="M178" s="170">
        <f>IF(K178="nio",0,IF(K178&gt;0,VLOOKUP(G178,'3-Productie normen'!A:L,VLOOKUP(K178,'3-Productie normen'!N:O,2,FALSE),FALSE)))</f>
        <v>0</v>
      </c>
      <c r="N178" s="171">
        <f>VLOOKUP(G178,'3-Productie normen'!A:L,10,FALSE)</f>
        <v>0</v>
      </c>
      <c r="O178" s="171"/>
      <c r="Q178" s="130">
        <f t="shared" si="5"/>
        <v>0</v>
      </c>
    </row>
    <row r="179" spans="1:17" ht="14.1" customHeight="1">
      <c r="A179" s="147">
        <v>179</v>
      </c>
      <c r="B179" s="165" t="s">
        <v>240</v>
      </c>
      <c r="C179" s="165" t="s">
        <v>529</v>
      </c>
      <c r="D179" s="133">
        <v>2</v>
      </c>
      <c r="E179" s="166" t="s">
        <v>462</v>
      </c>
      <c r="F179" s="167" t="s">
        <v>347</v>
      </c>
      <c r="G179" s="127" t="s">
        <v>115</v>
      </c>
      <c r="H179" s="167" t="s">
        <v>348</v>
      </c>
      <c r="I179" s="178">
        <v>1.05</v>
      </c>
      <c r="J179" s="482"/>
      <c r="K179" s="168" t="s">
        <v>115</v>
      </c>
      <c r="L179" s="169">
        <f t="shared" si="4"/>
        <v>0</v>
      </c>
      <c r="M179" s="170">
        <f>IF(K179="nio",0,IF(K179&gt;0,VLOOKUP(G179,'3-Productie normen'!A:L,VLOOKUP(K179,'3-Productie normen'!N:O,2,FALSE),FALSE)))</f>
        <v>0</v>
      </c>
      <c r="N179" s="171">
        <f>VLOOKUP(G179,'3-Productie normen'!A:L,10,FALSE)</f>
        <v>0</v>
      </c>
      <c r="O179" s="171"/>
      <c r="Q179" s="130">
        <f t="shared" si="5"/>
        <v>0</v>
      </c>
    </row>
    <row r="180" spans="1:17" ht="14.1" customHeight="1">
      <c r="A180" s="147">
        <v>180</v>
      </c>
      <c r="B180" s="165" t="s">
        <v>240</v>
      </c>
      <c r="C180" s="165" t="s">
        <v>529</v>
      </c>
      <c r="D180" s="133">
        <v>3</v>
      </c>
      <c r="E180" s="166" t="s">
        <v>463</v>
      </c>
      <c r="F180" s="173" t="s">
        <v>242</v>
      </c>
      <c r="G180" s="173" t="s">
        <v>217</v>
      </c>
      <c r="H180" s="167" t="s">
        <v>243</v>
      </c>
      <c r="I180" s="178">
        <v>17.29</v>
      </c>
      <c r="J180" s="482"/>
      <c r="K180" s="168">
        <v>255</v>
      </c>
      <c r="L180" s="169" t="e">
        <f t="shared" si="4"/>
        <v>#DIV/0!</v>
      </c>
      <c r="M180" s="170">
        <f>IF(K180="nio",0,IF(K180&gt;0,VLOOKUP(G180,'3-Productie normen'!A:L,VLOOKUP(K180,'3-Productie normen'!N:O,2,FALSE),FALSE)))</f>
        <v>0</v>
      </c>
      <c r="N180" s="171" t="str">
        <f>VLOOKUP(G180,'3-Productie normen'!A:L,10,FALSE)</f>
        <v>B</v>
      </c>
      <c r="O180" s="171"/>
      <c r="Q180" s="130">
        <f t="shared" si="5"/>
        <v>4408.95</v>
      </c>
    </row>
    <row r="181" spans="1:17" ht="14.1" customHeight="1">
      <c r="A181" s="147">
        <v>181</v>
      </c>
      <c r="B181" s="165" t="s">
        <v>240</v>
      </c>
      <c r="C181" s="165" t="s">
        <v>529</v>
      </c>
      <c r="D181" s="133">
        <v>3</v>
      </c>
      <c r="E181" s="166" t="s">
        <v>464</v>
      </c>
      <c r="F181" s="174" t="s">
        <v>242</v>
      </c>
      <c r="G181" s="174" t="s">
        <v>217</v>
      </c>
      <c r="H181" s="175" t="s">
        <v>243</v>
      </c>
      <c r="I181" s="178">
        <v>144.77000000000001</v>
      </c>
      <c r="J181" s="482"/>
      <c r="K181" s="168">
        <v>255</v>
      </c>
      <c r="L181" s="169" t="e">
        <f t="shared" si="4"/>
        <v>#DIV/0!</v>
      </c>
      <c r="M181" s="170">
        <f>IF(K181="nio",0,IF(K181&gt;0,VLOOKUP(G181,'3-Productie normen'!A:L,VLOOKUP(K181,'3-Productie normen'!N:O,2,FALSE),FALSE)))</f>
        <v>0</v>
      </c>
      <c r="N181" s="171" t="str">
        <f>VLOOKUP(G181,'3-Productie normen'!A:L,10,FALSE)</f>
        <v>B</v>
      </c>
      <c r="O181" s="171"/>
      <c r="Q181" s="130">
        <f t="shared" si="5"/>
        <v>36916.350000000006</v>
      </c>
    </row>
    <row r="182" spans="1:17" ht="14.1" customHeight="1">
      <c r="A182" s="147">
        <v>182</v>
      </c>
      <c r="B182" s="165" t="s">
        <v>240</v>
      </c>
      <c r="C182" s="165" t="s">
        <v>529</v>
      </c>
      <c r="D182" s="133">
        <v>3</v>
      </c>
      <c r="E182" s="176" t="s">
        <v>465</v>
      </c>
      <c r="F182" s="177" t="s">
        <v>242</v>
      </c>
      <c r="G182" s="177" t="s">
        <v>217</v>
      </c>
      <c r="H182" s="167" t="s">
        <v>243</v>
      </c>
      <c r="I182" s="178">
        <v>20.85</v>
      </c>
      <c r="J182" s="482"/>
      <c r="K182" s="168">
        <v>255</v>
      </c>
      <c r="L182" s="169" t="e">
        <f t="shared" si="4"/>
        <v>#DIV/0!</v>
      </c>
      <c r="M182" s="170">
        <f>IF(K182="nio",0,IF(K182&gt;0,VLOOKUP(G182,'3-Productie normen'!A:L,VLOOKUP(K182,'3-Productie normen'!N:O,2,FALSE),FALSE)))</f>
        <v>0</v>
      </c>
      <c r="N182" s="171" t="str">
        <f>VLOOKUP(G182,'3-Productie normen'!A:L,10,FALSE)</f>
        <v>B</v>
      </c>
      <c r="O182" s="171"/>
      <c r="Q182" s="130">
        <f t="shared" si="5"/>
        <v>5316.75</v>
      </c>
    </row>
    <row r="183" spans="1:17" ht="14.1" customHeight="1">
      <c r="A183" s="147">
        <v>183</v>
      </c>
      <c r="B183" s="165" t="s">
        <v>240</v>
      </c>
      <c r="C183" s="165" t="s">
        <v>529</v>
      </c>
      <c r="D183" s="133">
        <v>3</v>
      </c>
      <c r="E183" s="166" t="s">
        <v>466</v>
      </c>
      <c r="F183" s="167" t="s">
        <v>242</v>
      </c>
      <c r="G183" s="167" t="s">
        <v>217</v>
      </c>
      <c r="H183" s="167" t="s">
        <v>243</v>
      </c>
      <c r="I183" s="178">
        <v>17.579999999999998</v>
      </c>
      <c r="J183" s="482"/>
      <c r="K183" s="168">
        <v>255</v>
      </c>
      <c r="L183" s="169" t="e">
        <f t="shared" si="4"/>
        <v>#DIV/0!</v>
      </c>
      <c r="M183" s="170">
        <f>IF(K183="nio",0,IF(K183&gt;0,VLOOKUP(G183,'3-Productie normen'!A:L,VLOOKUP(K183,'3-Productie normen'!N:O,2,FALSE),FALSE)))</f>
        <v>0</v>
      </c>
      <c r="N183" s="171" t="str">
        <f>VLOOKUP(G183,'3-Productie normen'!A:L,10,FALSE)</f>
        <v>B</v>
      </c>
      <c r="O183" s="171"/>
      <c r="Q183" s="130">
        <f t="shared" si="5"/>
        <v>4482.8999999999996</v>
      </c>
    </row>
    <row r="184" spans="1:17" ht="14.1" customHeight="1">
      <c r="A184" s="147">
        <v>184</v>
      </c>
      <c r="B184" s="165" t="s">
        <v>240</v>
      </c>
      <c r="C184" s="165" t="s">
        <v>529</v>
      </c>
      <c r="D184" s="133">
        <v>3</v>
      </c>
      <c r="E184" s="166" t="s">
        <v>467</v>
      </c>
      <c r="F184" s="165" t="s">
        <v>242</v>
      </c>
      <c r="G184" s="165" t="s">
        <v>217</v>
      </c>
      <c r="H184" s="167" t="s">
        <v>243</v>
      </c>
      <c r="I184" s="178">
        <v>71.83</v>
      </c>
      <c r="J184" s="482"/>
      <c r="K184" s="168">
        <v>255</v>
      </c>
      <c r="L184" s="169" t="e">
        <f t="shared" si="4"/>
        <v>#DIV/0!</v>
      </c>
      <c r="M184" s="170">
        <f>IF(K184="nio",0,IF(K184&gt;0,VLOOKUP(G184,'3-Productie normen'!A:L,VLOOKUP(K184,'3-Productie normen'!N:O,2,FALSE),FALSE)))</f>
        <v>0</v>
      </c>
      <c r="N184" s="171" t="str">
        <f>VLOOKUP(G184,'3-Productie normen'!A:L,10,FALSE)</f>
        <v>B</v>
      </c>
      <c r="O184" s="171"/>
      <c r="Q184" s="130">
        <f t="shared" si="5"/>
        <v>18316.649999999998</v>
      </c>
    </row>
    <row r="185" spans="1:17" ht="14.1" customHeight="1">
      <c r="A185" s="147">
        <v>185</v>
      </c>
      <c r="B185" s="165" t="s">
        <v>240</v>
      </c>
      <c r="C185" s="165" t="s">
        <v>529</v>
      </c>
      <c r="D185" s="133">
        <v>3</v>
      </c>
      <c r="E185" s="166" t="s">
        <v>468</v>
      </c>
      <c r="F185" s="165" t="s">
        <v>242</v>
      </c>
      <c r="G185" s="165" t="s">
        <v>217</v>
      </c>
      <c r="H185" s="167" t="s">
        <v>243</v>
      </c>
      <c r="I185" s="178">
        <v>18.16</v>
      </c>
      <c r="J185" s="482"/>
      <c r="K185" s="168">
        <v>255</v>
      </c>
      <c r="L185" s="169" t="e">
        <f t="shared" si="4"/>
        <v>#DIV/0!</v>
      </c>
      <c r="M185" s="170">
        <f>IF(K185="nio",0,IF(K185&gt;0,VLOOKUP(G185,'3-Productie normen'!A:L,VLOOKUP(K185,'3-Productie normen'!N:O,2,FALSE),FALSE)))</f>
        <v>0</v>
      </c>
      <c r="N185" s="171" t="str">
        <f>VLOOKUP(G185,'3-Productie normen'!A:L,10,FALSE)</f>
        <v>B</v>
      </c>
      <c r="O185" s="171"/>
      <c r="Q185" s="130">
        <f t="shared" si="5"/>
        <v>4630.8</v>
      </c>
    </row>
    <row r="186" spans="1:17" ht="14.1" customHeight="1">
      <c r="A186" s="147">
        <v>186</v>
      </c>
      <c r="B186" s="165" t="s">
        <v>240</v>
      </c>
      <c r="C186" s="165" t="s">
        <v>529</v>
      </c>
      <c r="D186" s="133">
        <v>3</v>
      </c>
      <c r="E186" s="166" t="s">
        <v>469</v>
      </c>
      <c r="F186" s="165" t="s">
        <v>242</v>
      </c>
      <c r="G186" s="165" t="s">
        <v>217</v>
      </c>
      <c r="H186" s="167" t="s">
        <v>243</v>
      </c>
      <c r="I186" s="178">
        <v>17.59</v>
      </c>
      <c r="J186" s="482"/>
      <c r="K186" s="168">
        <v>255</v>
      </c>
      <c r="L186" s="169" t="e">
        <f t="shared" si="4"/>
        <v>#DIV/0!</v>
      </c>
      <c r="M186" s="170">
        <f>IF(K186="nio",0,IF(K186&gt;0,VLOOKUP(G186,'3-Productie normen'!A:L,VLOOKUP(K186,'3-Productie normen'!N:O,2,FALSE),FALSE)))</f>
        <v>0</v>
      </c>
      <c r="N186" s="171" t="str">
        <f>VLOOKUP(G186,'3-Productie normen'!A:L,10,FALSE)</f>
        <v>B</v>
      </c>
      <c r="O186" s="171"/>
      <c r="Q186" s="130">
        <f t="shared" si="5"/>
        <v>4485.45</v>
      </c>
    </row>
    <row r="187" spans="1:17" ht="14.1" customHeight="1">
      <c r="A187" s="147">
        <v>187</v>
      </c>
      <c r="B187" s="165" t="s">
        <v>240</v>
      </c>
      <c r="C187" s="165" t="s">
        <v>529</v>
      </c>
      <c r="D187" s="133">
        <v>3</v>
      </c>
      <c r="E187" s="166" t="s">
        <v>470</v>
      </c>
      <c r="F187" s="167" t="s">
        <v>242</v>
      </c>
      <c r="G187" s="167" t="s">
        <v>217</v>
      </c>
      <c r="H187" s="167" t="s">
        <v>243</v>
      </c>
      <c r="I187" s="178">
        <v>52.34</v>
      </c>
      <c r="J187" s="482"/>
      <c r="K187" s="168">
        <v>255</v>
      </c>
      <c r="L187" s="169" t="e">
        <f t="shared" si="4"/>
        <v>#DIV/0!</v>
      </c>
      <c r="M187" s="170">
        <f>IF(K187="nio",0,IF(K187&gt;0,VLOOKUP(G187,'3-Productie normen'!A:L,VLOOKUP(K187,'3-Productie normen'!N:O,2,FALSE),FALSE)))</f>
        <v>0</v>
      </c>
      <c r="N187" s="171" t="str">
        <f>VLOOKUP(G187,'3-Productie normen'!A:L,10,FALSE)</f>
        <v>B</v>
      </c>
      <c r="O187" s="171"/>
      <c r="Q187" s="130">
        <f t="shared" si="5"/>
        <v>13346.7</v>
      </c>
    </row>
    <row r="188" spans="1:17" ht="14.1" customHeight="1">
      <c r="A188" s="147">
        <v>188</v>
      </c>
      <c r="B188" s="165" t="s">
        <v>240</v>
      </c>
      <c r="C188" s="165" t="s">
        <v>529</v>
      </c>
      <c r="D188" s="133">
        <v>3</v>
      </c>
      <c r="E188" s="166" t="s">
        <v>471</v>
      </c>
      <c r="F188" s="167" t="s">
        <v>472</v>
      </c>
      <c r="G188" s="167" t="s">
        <v>217</v>
      </c>
      <c r="H188" s="167" t="s">
        <v>243</v>
      </c>
      <c r="I188" s="178">
        <v>15</v>
      </c>
      <c r="J188" s="482"/>
      <c r="K188" s="168">
        <v>255</v>
      </c>
      <c r="L188" s="169" t="e">
        <f t="shared" si="4"/>
        <v>#DIV/0!</v>
      </c>
      <c r="M188" s="170">
        <f>IF(K188="nio",0,IF(K188&gt;0,VLOOKUP(G188,'3-Productie normen'!A:L,VLOOKUP(K188,'3-Productie normen'!N:O,2,FALSE),FALSE)))</f>
        <v>0</v>
      </c>
      <c r="N188" s="171" t="str">
        <f>VLOOKUP(G188,'3-Productie normen'!A:L,10,FALSE)</f>
        <v>B</v>
      </c>
      <c r="O188" s="171"/>
      <c r="Q188" s="130">
        <f t="shared" si="5"/>
        <v>3825</v>
      </c>
    </row>
    <row r="189" spans="1:17" ht="14.1" customHeight="1">
      <c r="A189" s="147">
        <v>189</v>
      </c>
      <c r="B189" s="165" t="s">
        <v>240</v>
      </c>
      <c r="C189" s="165" t="s">
        <v>529</v>
      </c>
      <c r="D189" s="133">
        <v>3</v>
      </c>
      <c r="E189" s="166" t="s">
        <v>473</v>
      </c>
      <c r="F189" s="167" t="s">
        <v>242</v>
      </c>
      <c r="G189" s="167" t="s">
        <v>217</v>
      </c>
      <c r="H189" s="167" t="s">
        <v>243</v>
      </c>
      <c r="I189" s="178">
        <v>80.239999999999995</v>
      </c>
      <c r="J189" s="482"/>
      <c r="K189" s="168">
        <v>255</v>
      </c>
      <c r="L189" s="169" t="e">
        <f t="shared" si="4"/>
        <v>#DIV/0!</v>
      </c>
      <c r="M189" s="170">
        <f>IF(K189="nio",0,IF(K189&gt;0,VLOOKUP(G189,'3-Productie normen'!A:L,VLOOKUP(K189,'3-Productie normen'!N:O,2,FALSE),FALSE)))</f>
        <v>0</v>
      </c>
      <c r="N189" s="171" t="str">
        <f>VLOOKUP(G189,'3-Productie normen'!A:L,10,FALSE)</f>
        <v>B</v>
      </c>
      <c r="O189" s="171"/>
      <c r="Q189" s="130">
        <f t="shared" si="5"/>
        <v>20461.199999999997</v>
      </c>
    </row>
    <row r="190" spans="1:17" ht="14.1" customHeight="1">
      <c r="A190" s="147">
        <v>190</v>
      </c>
      <c r="B190" s="165" t="s">
        <v>240</v>
      </c>
      <c r="C190" s="165" t="s">
        <v>529</v>
      </c>
      <c r="D190" s="133">
        <v>3</v>
      </c>
      <c r="E190" s="166" t="s">
        <v>474</v>
      </c>
      <c r="F190" s="167" t="s">
        <v>242</v>
      </c>
      <c r="G190" s="167" t="s">
        <v>217</v>
      </c>
      <c r="H190" s="167" t="s">
        <v>243</v>
      </c>
      <c r="I190" s="178">
        <v>17.05</v>
      </c>
      <c r="J190" s="482"/>
      <c r="K190" s="168">
        <v>255</v>
      </c>
      <c r="L190" s="169" t="e">
        <f t="shared" si="4"/>
        <v>#DIV/0!</v>
      </c>
      <c r="M190" s="170">
        <f>IF(K190="nio",0,IF(K190&gt;0,VLOOKUP(G190,'3-Productie normen'!A:L,VLOOKUP(K190,'3-Productie normen'!N:O,2,FALSE),FALSE)))</f>
        <v>0</v>
      </c>
      <c r="N190" s="171" t="str">
        <f>VLOOKUP(G190,'3-Productie normen'!A:L,10,FALSE)</f>
        <v>B</v>
      </c>
      <c r="O190" s="171"/>
      <c r="Q190" s="130">
        <f t="shared" si="5"/>
        <v>4347.75</v>
      </c>
    </row>
    <row r="191" spans="1:17" ht="14.1" customHeight="1">
      <c r="A191" s="147">
        <v>191</v>
      </c>
      <c r="B191" s="165" t="s">
        <v>240</v>
      </c>
      <c r="C191" s="165" t="s">
        <v>529</v>
      </c>
      <c r="D191" s="133">
        <v>3</v>
      </c>
      <c r="E191" s="166" t="s">
        <v>475</v>
      </c>
      <c r="F191" s="173" t="s">
        <v>242</v>
      </c>
      <c r="G191" s="173" t="s">
        <v>217</v>
      </c>
      <c r="H191" s="167" t="s">
        <v>243</v>
      </c>
      <c r="I191" s="178">
        <v>234.52</v>
      </c>
      <c r="J191" s="482"/>
      <c r="K191" s="168">
        <v>255</v>
      </c>
      <c r="L191" s="169" t="e">
        <f t="shared" si="4"/>
        <v>#DIV/0!</v>
      </c>
      <c r="M191" s="170">
        <f>IF(K191="nio",0,IF(K191&gt;0,VLOOKUP(G191,'3-Productie normen'!A:L,VLOOKUP(K191,'3-Productie normen'!N:O,2,FALSE),FALSE)))</f>
        <v>0</v>
      </c>
      <c r="N191" s="171" t="str">
        <f>VLOOKUP(G191,'3-Productie normen'!A:L,10,FALSE)</f>
        <v>B</v>
      </c>
      <c r="O191" s="171"/>
      <c r="Q191" s="130">
        <f t="shared" si="5"/>
        <v>59802.600000000006</v>
      </c>
    </row>
    <row r="192" spans="1:17" ht="14.1" customHeight="1">
      <c r="A192" s="147">
        <v>192</v>
      </c>
      <c r="B192" s="165" t="s">
        <v>240</v>
      </c>
      <c r="C192" s="165" t="s">
        <v>529</v>
      </c>
      <c r="D192" s="133">
        <v>3</v>
      </c>
      <c r="E192" s="166" t="s">
        <v>476</v>
      </c>
      <c r="F192" s="174" t="s">
        <v>359</v>
      </c>
      <c r="G192" s="174" t="s">
        <v>247</v>
      </c>
      <c r="H192" s="175" t="s">
        <v>243</v>
      </c>
      <c r="I192" s="178">
        <v>30.77</v>
      </c>
      <c r="J192" s="482"/>
      <c r="K192" s="168">
        <v>255</v>
      </c>
      <c r="L192" s="169" t="e">
        <f t="shared" si="4"/>
        <v>#DIV/0!</v>
      </c>
      <c r="M192" s="170">
        <f>IF(K192="nio",0,IF(K192&gt;0,VLOOKUP(G192,'3-Productie normen'!A:L,VLOOKUP(K192,'3-Productie normen'!N:O,2,FALSE),FALSE)))</f>
        <v>0</v>
      </c>
      <c r="N192" s="171" t="str">
        <f>VLOOKUP(G192,'3-Productie normen'!A:L,10,FALSE)</f>
        <v>V</v>
      </c>
      <c r="O192" s="171"/>
      <c r="Q192" s="130">
        <f t="shared" si="5"/>
        <v>7846.3499999999995</v>
      </c>
    </row>
    <row r="193" spans="1:17" ht="14.1" customHeight="1">
      <c r="A193" s="147">
        <v>193</v>
      </c>
      <c r="B193" s="165" t="s">
        <v>240</v>
      </c>
      <c r="C193" s="165" t="s">
        <v>529</v>
      </c>
      <c r="D193" s="133">
        <v>3</v>
      </c>
      <c r="E193" s="166" t="s">
        <v>477</v>
      </c>
      <c r="F193" s="165" t="s">
        <v>359</v>
      </c>
      <c r="G193" s="165" t="s">
        <v>247</v>
      </c>
      <c r="H193" s="167" t="s">
        <v>243</v>
      </c>
      <c r="I193" s="178">
        <v>26.99</v>
      </c>
      <c r="J193" s="482"/>
      <c r="K193" s="168">
        <v>255</v>
      </c>
      <c r="L193" s="169" t="e">
        <f t="shared" si="4"/>
        <v>#DIV/0!</v>
      </c>
      <c r="M193" s="170">
        <f>IF(K193="nio",0,IF(K193&gt;0,VLOOKUP(G193,'3-Productie normen'!A:L,VLOOKUP(K193,'3-Productie normen'!N:O,2,FALSE),FALSE)))</f>
        <v>0</v>
      </c>
      <c r="N193" s="171" t="str">
        <f>VLOOKUP(G193,'3-Productie normen'!A:L,10,FALSE)</f>
        <v>V</v>
      </c>
      <c r="O193" s="171"/>
      <c r="Q193" s="130">
        <f t="shared" si="5"/>
        <v>6882.45</v>
      </c>
    </row>
    <row r="194" spans="1:17" ht="14.1" customHeight="1">
      <c r="A194" s="147">
        <v>194</v>
      </c>
      <c r="B194" s="165" t="s">
        <v>240</v>
      </c>
      <c r="C194" s="165" t="s">
        <v>529</v>
      </c>
      <c r="D194" s="133">
        <v>3</v>
      </c>
      <c r="E194" s="166" t="s">
        <v>478</v>
      </c>
      <c r="F194" s="165" t="s">
        <v>403</v>
      </c>
      <c r="G194" s="165" t="s">
        <v>17</v>
      </c>
      <c r="H194" s="167" t="s">
        <v>308</v>
      </c>
      <c r="I194" s="178">
        <v>9.67</v>
      </c>
      <c r="J194" s="482"/>
      <c r="K194" s="168">
        <v>255</v>
      </c>
      <c r="L194" s="169" t="e">
        <f t="shared" si="4"/>
        <v>#DIV/0!</v>
      </c>
      <c r="M194" s="170">
        <f>IF(K194="nio",0,IF(K194&gt;0,VLOOKUP(G194,'3-Productie normen'!A:L,VLOOKUP(K194,'3-Productie normen'!N:O,2,FALSE),FALSE)))</f>
        <v>0</v>
      </c>
      <c r="N194" s="171" t="str">
        <f>VLOOKUP(G194,'3-Productie normen'!A:L,10,FALSE)</f>
        <v>S</v>
      </c>
      <c r="O194" s="171"/>
      <c r="Q194" s="130">
        <f t="shared" si="5"/>
        <v>2465.85</v>
      </c>
    </row>
    <row r="195" spans="1:17" ht="14.1" customHeight="1">
      <c r="A195" s="147">
        <v>195</v>
      </c>
      <c r="B195" s="165" t="s">
        <v>240</v>
      </c>
      <c r="C195" s="165" t="s">
        <v>529</v>
      </c>
      <c r="D195" s="133">
        <v>3</v>
      </c>
      <c r="E195" s="166" t="s">
        <v>479</v>
      </c>
      <c r="F195" s="165" t="s">
        <v>403</v>
      </c>
      <c r="G195" s="165" t="s">
        <v>17</v>
      </c>
      <c r="H195" s="167" t="s">
        <v>308</v>
      </c>
      <c r="I195" s="178">
        <v>13.7</v>
      </c>
      <c r="J195" s="482"/>
      <c r="K195" s="168">
        <v>255</v>
      </c>
      <c r="L195" s="169" t="e">
        <f t="shared" si="4"/>
        <v>#DIV/0!</v>
      </c>
      <c r="M195" s="170">
        <f>IF(K195="nio",0,IF(K195&gt;0,VLOOKUP(G195,'3-Productie normen'!A:L,VLOOKUP(K195,'3-Productie normen'!N:O,2,FALSE),FALSE)))</f>
        <v>0</v>
      </c>
      <c r="N195" s="171" t="str">
        <f>VLOOKUP(G195,'3-Productie normen'!A:L,10,FALSE)</f>
        <v>S</v>
      </c>
      <c r="O195" s="171"/>
      <c r="Q195" s="130">
        <f t="shared" si="5"/>
        <v>3493.5</v>
      </c>
    </row>
    <row r="196" spans="1:17" ht="14.1" customHeight="1">
      <c r="A196" s="147">
        <v>196</v>
      </c>
      <c r="B196" s="165" t="s">
        <v>240</v>
      </c>
      <c r="C196" s="165" t="s">
        <v>529</v>
      </c>
      <c r="D196" s="133">
        <v>3</v>
      </c>
      <c r="E196" s="166" t="s">
        <v>480</v>
      </c>
      <c r="F196" s="167" t="s">
        <v>418</v>
      </c>
      <c r="G196" s="167" t="s">
        <v>328</v>
      </c>
      <c r="H196" s="167" t="s">
        <v>329</v>
      </c>
      <c r="I196" s="178">
        <v>13.04</v>
      </c>
      <c r="J196" s="482"/>
      <c r="K196" s="168">
        <v>52</v>
      </c>
      <c r="L196" s="169" t="e">
        <f t="shared" si="4"/>
        <v>#DIV/0!</v>
      </c>
      <c r="M196" s="170">
        <f>IF(K196="nio",0,IF(K196&gt;0,VLOOKUP(G196,'3-Productie normen'!A:L,VLOOKUP(K196,'3-Productie normen'!N:O,2,FALSE),FALSE)))</f>
        <v>0</v>
      </c>
      <c r="N196" s="171" t="str">
        <f>VLOOKUP(G196,'3-Productie normen'!A:L,10,FALSE)</f>
        <v>V</v>
      </c>
      <c r="O196" s="171"/>
      <c r="Q196" s="130">
        <f t="shared" si="5"/>
        <v>678.07999999999993</v>
      </c>
    </row>
    <row r="197" spans="1:17" ht="14.1" customHeight="1">
      <c r="A197" s="147">
        <v>197</v>
      </c>
      <c r="B197" s="165" t="s">
        <v>240</v>
      </c>
      <c r="C197" s="165" t="s">
        <v>529</v>
      </c>
      <c r="D197" s="133">
        <v>3</v>
      </c>
      <c r="E197" s="166" t="s">
        <v>481</v>
      </c>
      <c r="F197" s="167" t="s">
        <v>418</v>
      </c>
      <c r="G197" s="167" t="s">
        <v>328</v>
      </c>
      <c r="H197" s="167" t="s">
        <v>329</v>
      </c>
      <c r="I197" s="178">
        <v>16.310000000000002</v>
      </c>
      <c r="J197" s="482"/>
      <c r="K197" s="168">
        <v>52</v>
      </c>
      <c r="L197" s="169" t="e">
        <f t="shared" si="4"/>
        <v>#DIV/0!</v>
      </c>
      <c r="M197" s="170">
        <f>IF(K197="nio",0,IF(K197&gt;0,VLOOKUP(G197,'3-Productie normen'!A:L,VLOOKUP(K197,'3-Productie normen'!N:O,2,FALSE),FALSE)))</f>
        <v>0</v>
      </c>
      <c r="N197" s="171" t="str">
        <f>VLOOKUP(G197,'3-Productie normen'!A:L,10,FALSE)</f>
        <v>V</v>
      </c>
      <c r="O197" s="171"/>
      <c r="Q197" s="130">
        <f t="shared" si="5"/>
        <v>848.12000000000012</v>
      </c>
    </row>
    <row r="198" spans="1:17" ht="14.1" customHeight="1">
      <c r="A198" s="147">
        <v>198</v>
      </c>
      <c r="B198" s="165" t="s">
        <v>240</v>
      </c>
      <c r="C198" s="165" t="s">
        <v>529</v>
      </c>
      <c r="D198" s="133">
        <v>3</v>
      </c>
      <c r="E198" s="166" t="s">
        <v>482</v>
      </c>
      <c r="F198" s="167" t="s">
        <v>333</v>
      </c>
      <c r="G198" s="167" t="s">
        <v>328</v>
      </c>
      <c r="H198" s="167" t="s">
        <v>329</v>
      </c>
      <c r="I198" s="178">
        <v>21.740000000000002</v>
      </c>
      <c r="J198" s="482"/>
      <c r="K198" s="168">
        <v>255</v>
      </c>
      <c r="L198" s="169" t="e">
        <f t="shared" si="4"/>
        <v>#DIV/0!</v>
      </c>
      <c r="M198" s="170">
        <f>IF(K198="nio",0,IF(K198&gt;0,VLOOKUP(G198,'3-Productie normen'!A:L,VLOOKUP(K198,'3-Productie normen'!N:O,2,FALSE),FALSE)))</f>
        <v>0</v>
      </c>
      <c r="N198" s="171" t="str">
        <f>VLOOKUP(G198,'3-Productie normen'!A:L,10,FALSE)</f>
        <v>V</v>
      </c>
      <c r="O198" s="171"/>
      <c r="Q198" s="130">
        <f t="shared" si="5"/>
        <v>5543.7000000000007</v>
      </c>
    </row>
    <row r="199" spans="1:17" ht="14.1" customHeight="1">
      <c r="A199" s="147">
        <v>199</v>
      </c>
      <c r="B199" s="165" t="s">
        <v>240</v>
      </c>
      <c r="C199" s="165" t="s">
        <v>529</v>
      </c>
      <c r="D199" s="133">
        <v>3</v>
      </c>
      <c r="E199" s="166" t="s">
        <v>483</v>
      </c>
      <c r="F199" s="167" t="s">
        <v>484</v>
      </c>
      <c r="G199" s="167" t="s">
        <v>328</v>
      </c>
      <c r="H199" s="167" t="s">
        <v>329</v>
      </c>
      <c r="I199" s="178">
        <v>21.740000000000002</v>
      </c>
      <c r="J199" s="482"/>
      <c r="K199" s="168">
        <v>255</v>
      </c>
      <c r="L199" s="169" t="e">
        <f t="shared" si="4"/>
        <v>#DIV/0!</v>
      </c>
      <c r="M199" s="170">
        <f>IF(K199="nio",0,IF(K199&gt;0,VLOOKUP(G199,'3-Productie normen'!A:L,VLOOKUP(K199,'3-Productie normen'!N:O,2,FALSE),FALSE)))</f>
        <v>0</v>
      </c>
      <c r="N199" s="171" t="str">
        <f>VLOOKUP(G199,'3-Productie normen'!A:L,10,FALSE)</f>
        <v>V</v>
      </c>
      <c r="O199" s="171"/>
      <c r="Q199" s="130">
        <f t="shared" si="5"/>
        <v>5543.7000000000007</v>
      </c>
    </row>
    <row r="200" spans="1:17" ht="14.1" customHeight="1">
      <c r="A200" s="147">
        <v>200</v>
      </c>
      <c r="B200" s="165" t="s">
        <v>240</v>
      </c>
      <c r="C200" s="165" t="s">
        <v>529</v>
      </c>
      <c r="D200" s="133">
        <v>3</v>
      </c>
      <c r="E200" s="166" t="s">
        <v>485</v>
      </c>
      <c r="F200" s="173" t="s">
        <v>333</v>
      </c>
      <c r="G200" s="173" t="s">
        <v>328</v>
      </c>
      <c r="H200" s="167" t="s">
        <v>264</v>
      </c>
      <c r="I200" s="178">
        <v>21.27</v>
      </c>
      <c r="J200" s="482"/>
      <c r="K200" s="168">
        <v>255</v>
      </c>
      <c r="L200" s="169" t="e">
        <f t="shared" si="4"/>
        <v>#DIV/0!</v>
      </c>
      <c r="M200" s="170">
        <f>IF(K200="nio",0,IF(K200&gt;0,VLOOKUP(G200,'3-Productie normen'!A:L,VLOOKUP(K200,'3-Productie normen'!N:O,2,FALSE),FALSE)))</f>
        <v>0</v>
      </c>
      <c r="N200" s="171" t="str">
        <f>VLOOKUP(G200,'3-Productie normen'!A:L,10,FALSE)</f>
        <v>V</v>
      </c>
      <c r="O200" s="171"/>
      <c r="Q200" s="130">
        <f t="shared" si="5"/>
        <v>5423.8499999999995</v>
      </c>
    </row>
    <row r="201" spans="1:17" ht="14.1" customHeight="1">
      <c r="A201" s="147">
        <v>201</v>
      </c>
      <c r="B201" s="165" t="s">
        <v>240</v>
      </c>
      <c r="C201" s="165" t="s">
        <v>529</v>
      </c>
      <c r="D201" s="133">
        <v>3</v>
      </c>
      <c r="E201" s="166" t="s">
        <v>486</v>
      </c>
      <c r="F201" s="174" t="s">
        <v>347</v>
      </c>
      <c r="G201" s="127" t="s">
        <v>115</v>
      </c>
      <c r="H201" s="175" t="s">
        <v>348</v>
      </c>
      <c r="I201" s="178">
        <v>3.57</v>
      </c>
      <c r="J201" s="482"/>
      <c r="K201" s="168" t="s">
        <v>115</v>
      </c>
      <c r="L201" s="169">
        <f t="shared" si="4"/>
        <v>0</v>
      </c>
      <c r="M201" s="170">
        <f>IF(K201="nio",0,IF(K201&gt;0,VLOOKUP(G201,'3-Productie normen'!A:L,VLOOKUP(K201,'3-Productie normen'!N:O,2,FALSE),FALSE)))</f>
        <v>0</v>
      </c>
      <c r="N201" s="171">
        <f>VLOOKUP(G201,'3-Productie normen'!A:L,10,FALSE)</f>
        <v>0</v>
      </c>
      <c r="O201" s="171"/>
      <c r="Q201" s="130">
        <f t="shared" si="5"/>
        <v>0</v>
      </c>
    </row>
    <row r="202" spans="1:17" ht="14.1" customHeight="1">
      <c r="A202" s="147">
        <v>202</v>
      </c>
      <c r="B202" s="165" t="s">
        <v>240</v>
      </c>
      <c r="C202" s="165" t="s">
        <v>529</v>
      </c>
      <c r="D202" s="133">
        <v>3</v>
      </c>
      <c r="E202" s="176" t="s">
        <v>487</v>
      </c>
      <c r="F202" s="177" t="s">
        <v>347</v>
      </c>
      <c r="G202" s="127" t="s">
        <v>115</v>
      </c>
      <c r="H202" s="167" t="s">
        <v>348</v>
      </c>
      <c r="I202" s="178">
        <v>1.01</v>
      </c>
      <c r="J202" s="482"/>
      <c r="K202" s="168" t="s">
        <v>115</v>
      </c>
      <c r="L202" s="169">
        <f t="shared" ref="L202:L265" si="6">IF(K202="nio",0,IF(K202&gt;0,K202*I202/M202,0))*J202</f>
        <v>0</v>
      </c>
      <c r="M202" s="170">
        <f>IF(K202="nio",0,IF(K202&gt;0,VLOOKUP(G202,'3-Productie normen'!A:L,VLOOKUP(K202,'3-Productie normen'!N:O,2,FALSE),FALSE)))</f>
        <v>0</v>
      </c>
      <c r="N202" s="171">
        <f>VLOOKUP(G202,'3-Productie normen'!A:L,10,FALSE)</f>
        <v>0</v>
      </c>
      <c r="O202" s="171"/>
      <c r="Q202" s="130">
        <f t="shared" ref="Q202:Q265" si="7">SUM(K202:K202)*I202</f>
        <v>0</v>
      </c>
    </row>
    <row r="203" spans="1:17" ht="14.1" customHeight="1">
      <c r="A203" s="147">
        <v>203</v>
      </c>
      <c r="B203" s="165" t="s">
        <v>240</v>
      </c>
      <c r="C203" s="165" t="s">
        <v>529</v>
      </c>
      <c r="D203" s="133">
        <v>3</v>
      </c>
      <c r="E203" s="166" t="s">
        <v>488</v>
      </c>
      <c r="F203" s="167" t="s">
        <v>347</v>
      </c>
      <c r="G203" s="127" t="s">
        <v>115</v>
      </c>
      <c r="H203" s="167" t="s">
        <v>348</v>
      </c>
      <c r="I203" s="178">
        <v>2.59</v>
      </c>
      <c r="J203" s="482"/>
      <c r="K203" s="168" t="s">
        <v>115</v>
      </c>
      <c r="L203" s="169">
        <f t="shared" si="6"/>
        <v>0</v>
      </c>
      <c r="M203" s="170">
        <f>IF(K203="nio",0,IF(K203&gt;0,VLOOKUP(G203,'3-Productie normen'!A:L,VLOOKUP(K203,'3-Productie normen'!N:O,2,FALSE),FALSE)))</f>
        <v>0</v>
      </c>
      <c r="N203" s="171">
        <f>VLOOKUP(G203,'3-Productie normen'!A:L,10,FALSE)</f>
        <v>0</v>
      </c>
      <c r="O203" s="171"/>
      <c r="Q203" s="130">
        <f t="shared" si="7"/>
        <v>0</v>
      </c>
    </row>
    <row r="204" spans="1:17" ht="14.1" customHeight="1">
      <c r="A204" s="147">
        <v>204</v>
      </c>
      <c r="B204" s="165" t="s">
        <v>240</v>
      </c>
      <c r="C204" s="165" t="s">
        <v>529</v>
      </c>
      <c r="D204" s="133" t="s">
        <v>107</v>
      </c>
      <c r="E204" s="166" t="s">
        <v>489</v>
      </c>
      <c r="F204" s="165" t="s">
        <v>490</v>
      </c>
      <c r="G204" s="127" t="s">
        <v>115</v>
      </c>
      <c r="H204" s="167" t="s">
        <v>345</v>
      </c>
      <c r="I204" s="178">
        <v>44.19</v>
      </c>
      <c r="J204" s="482"/>
      <c r="K204" s="168" t="s">
        <v>115</v>
      </c>
      <c r="L204" s="169">
        <f t="shared" si="6"/>
        <v>0</v>
      </c>
      <c r="M204" s="170">
        <f>IF(K204="nio",0,IF(K204&gt;0,VLOOKUP(G204,'3-Productie normen'!A:L,VLOOKUP(K204,'3-Productie normen'!N:O,2,FALSE),FALSE)))</f>
        <v>0</v>
      </c>
      <c r="N204" s="171">
        <f>VLOOKUP(G204,'3-Productie normen'!A:L,10,FALSE)</f>
        <v>0</v>
      </c>
      <c r="O204" s="171"/>
      <c r="Q204" s="130">
        <f t="shared" si="7"/>
        <v>0</v>
      </c>
    </row>
    <row r="205" spans="1:17" ht="14.1" customHeight="1">
      <c r="A205" s="147">
        <v>205</v>
      </c>
      <c r="B205" s="165" t="s">
        <v>240</v>
      </c>
      <c r="C205" s="165" t="s">
        <v>529</v>
      </c>
      <c r="D205" s="133" t="s">
        <v>107</v>
      </c>
      <c r="E205" s="166" t="s">
        <v>491</v>
      </c>
      <c r="F205" s="165" t="s">
        <v>401</v>
      </c>
      <c r="G205" s="127" t="s">
        <v>115</v>
      </c>
      <c r="H205" s="167" t="s">
        <v>348</v>
      </c>
      <c r="I205" s="178">
        <v>52.91</v>
      </c>
      <c r="J205" s="482"/>
      <c r="K205" s="168" t="s">
        <v>115</v>
      </c>
      <c r="L205" s="169">
        <f t="shared" si="6"/>
        <v>0</v>
      </c>
      <c r="M205" s="170">
        <f>IF(K205="nio",0,IF(K205&gt;0,VLOOKUP(G205,'3-Productie normen'!A:L,VLOOKUP(K205,'3-Productie normen'!N:O,2,FALSE),FALSE)))</f>
        <v>0</v>
      </c>
      <c r="N205" s="171">
        <f>VLOOKUP(G205,'3-Productie normen'!A:L,10,FALSE)</f>
        <v>0</v>
      </c>
      <c r="O205" s="171"/>
      <c r="Q205" s="130">
        <f t="shared" si="7"/>
        <v>0</v>
      </c>
    </row>
    <row r="206" spans="1:17" ht="14.1" customHeight="1">
      <c r="A206" s="147">
        <v>206</v>
      </c>
      <c r="B206" s="165" t="s">
        <v>240</v>
      </c>
      <c r="C206" s="165" t="s">
        <v>529</v>
      </c>
      <c r="D206" s="133" t="s">
        <v>107</v>
      </c>
      <c r="E206" s="166" t="s">
        <v>492</v>
      </c>
      <c r="F206" s="165" t="s">
        <v>493</v>
      </c>
      <c r="G206" s="165" t="s">
        <v>285</v>
      </c>
      <c r="H206" s="167" t="s">
        <v>494</v>
      </c>
      <c r="I206" s="178">
        <v>77.150000000000006</v>
      </c>
      <c r="J206" s="482"/>
      <c r="K206" s="168">
        <v>12</v>
      </c>
      <c r="L206" s="169" t="e">
        <f t="shared" si="6"/>
        <v>#DIV/0!</v>
      </c>
      <c r="M206" s="170">
        <f>IF(K206="nio",0,IF(K206&gt;0,VLOOKUP(G206,'3-Productie normen'!A:L,VLOOKUP(K206,'3-Productie normen'!N:O,2,FALSE),FALSE)))</f>
        <v>0</v>
      </c>
      <c r="N206" s="171" t="str">
        <f>VLOOKUP(G206,'3-Productie normen'!A:L,10,FALSE)</f>
        <v>V</v>
      </c>
      <c r="O206" s="171"/>
      <c r="Q206" s="130">
        <f t="shared" si="7"/>
        <v>925.80000000000007</v>
      </c>
    </row>
    <row r="207" spans="1:17" ht="14.1" customHeight="1">
      <c r="A207" s="147">
        <v>207</v>
      </c>
      <c r="B207" s="165" t="s">
        <v>240</v>
      </c>
      <c r="C207" s="165" t="s">
        <v>529</v>
      </c>
      <c r="D207" s="133" t="s">
        <v>107</v>
      </c>
      <c r="E207" s="166" t="s">
        <v>495</v>
      </c>
      <c r="F207" s="167" t="s">
        <v>394</v>
      </c>
      <c r="G207" s="124" t="s">
        <v>108</v>
      </c>
      <c r="H207" s="167" t="s">
        <v>496</v>
      </c>
      <c r="I207" s="178">
        <v>16.649999999999999</v>
      </c>
      <c r="J207" s="482"/>
      <c r="K207" s="168">
        <v>255</v>
      </c>
      <c r="L207" s="169" t="e">
        <f t="shared" si="6"/>
        <v>#DIV/0!</v>
      </c>
      <c r="M207" s="170">
        <f>IF(K207="nio",0,IF(K207&gt;0,VLOOKUP(G207,'3-Productie normen'!A:L,VLOOKUP(K207,'3-Productie normen'!N:O,2,FALSE),FALSE)))</f>
        <v>0</v>
      </c>
      <c r="N207" s="171" t="str">
        <f>VLOOKUP(G207,'3-Productie normen'!A:L,10,FALSE)</f>
        <v>V</v>
      </c>
      <c r="O207" s="171"/>
      <c r="Q207" s="130">
        <f t="shared" si="7"/>
        <v>4245.75</v>
      </c>
    </row>
    <row r="208" spans="1:17" ht="14.1" customHeight="1">
      <c r="A208" s="147">
        <v>208</v>
      </c>
      <c r="B208" s="165" t="s">
        <v>240</v>
      </c>
      <c r="C208" s="165" t="s">
        <v>529</v>
      </c>
      <c r="D208" s="133" t="s">
        <v>107</v>
      </c>
      <c r="E208" s="166" t="s">
        <v>497</v>
      </c>
      <c r="F208" s="167" t="s">
        <v>498</v>
      </c>
      <c r="G208" s="124" t="s">
        <v>108</v>
      </c>
      <c r="H208" s="167" t="s">
        <v>496</v>
      </c>
      <c r="I208" s="178">
        <v>143</v>
      </c>
      <c r="J208" s="482"/>
      <c r="K208" s="168">
        <v>255</v>
      </c>
      <c r="L208" s="169" t="e">
        <f t="shared" si="6"/>
        <v>#DIV/0!</v>
      </c>
      <c r="M208" s="170">
        <f>IF(K208="nio",0,IF(K208&gt;0,VLOOKUP(G208,'3-Productie normen'!A:L,VLOOKUP(K208,'3-Productie normen'!N:O,2,FALSE),FALSE)))</f>
        <v>0</v>
      </c>
      <c r="N208" s="171" t="str">
        <f>VLOOKUP(G208,'3-Productie normen'!A:L,10,FALSE)</f>
        <v>V</v>
      </c>
      <c r="O208" s="171"/>
      <c r="Q208" s="130">
        <f t="shared" si="7"/>
        <v>36465</v>
      </c>
    </row>
    <row r="209" spans="1:17" ht="14.1" customHeight="1">
      <c r="A209" s="147">
        <v>209</v>
      </c>
      <c r="B209" s="165" t="s">
        <v>240</v>
      </c>
      <c r="C209" s="165" t="s">
        <v>529</v>
      </c>
      <c r="D209" s="133" t="s">
        <v>107</v>
      </c>
      <c r="E209" s="166" t="s">
        <v>499</v>
      </c>
      <c r="F209" s="167" t="s">
        <v>500</v>
      </c>
      <c r="G209" s="124" t="s">
        <v>108</v>
      </c>
      <c r="H209" s="167" t="s">
        <v>345</v>
      </c>
      <c r="I209" s="178">
        <v>64.19</v>
      </c>
      <c r="J209" s="482"/>
      <c r="K209" s="168">
        <v>255</v>
      </c>
      <c r="L209" s="169" t="e">
        <f t="shared" si="6"/>
        <v>#DIV/0!</v>
      </c>
      <c r="M209" s="170">
        <f>IF(K209="nio",0,IF(K209&gt;0,VLOOKUP(G209,'3-Productie normen'!A:L,VLOOKUP(K209,'3-Productie normen'!N:O,2,FALSE),FALSE)))</f>
        <v>0</v>
      </c>
      <c r="N209" s="171" t="str">
        <f>VLOOKUP(G209,'3-Productie normen'!A:L,10,FALSE)</f>
        <v>V</v>
      </c>
      <c r="O209" s="171"/>
      <c r="Q209" s="130">
        <f t="shared" si="7"/>
        <v>16368.449999999999</v>
      </c>
    </row>
    <row r="210" spans="1:17" ht="14.1" customHeight="1">
      <c r="A210" s="147">
        <v>210</v>
      </c>
      <c r="B210" s="165" t="s">
        <v>240</v>
      </c>
      <c r="C210" s="165" t="s">
        <v>529</v>
      </c>
      <c r="D210" s="133" t="s">
        <v>107</v>
      </c>
      <c r="E210" s="166" t="s">
        <v>501</v>
      </c>
      <c r="F210" s="167" t="s">
        <v>502</v>
      </c>
      <c r="G210" s="167" t="s">
        <v>285</v>
      </c>
      <c r="H210" s="167" t="s">
        <v>264</v>
      </c>
      <c r="I210" s="178">
        <v>88.7</v>
      </c>
      <c r="J210" s="482"/>
      <c r="K210" s="168">
        <v>12</v>
      </c>
      <c r="L210" s="169" t="e">
        <f t="shared" si="6"/>
        <v>#DIV/0!</v>
      </c>
      <c r="M210" s="170">
        <f>IF(K210="nio",0,IF(K210&gt;0,VLOOKUP(G210,'3-Productie normen'!A:L,VLOOKUP(K210,'3-Productie normen'!N:O,2,FALSE),FALSE)))</f>
        <v>0</v>
      </c>
      <c r="N210" s="171" t="str">
        <f>VLOOKUP(G210,'3-Productie normen'!A:L,10,FALSE)</f>
        <v>V</v>
      </c>
      <c r="O210" s="171"/>
      <c r="Q210" s="130">
        <f t="shared" si="7"/>
        <v>1064.4000000000001</v>
      </c>
    </row>
    <row r="211" spans="1:17" ht="14.1" customHeight="1">
      <c r="A211" s="147">
        <v>211</v>
      </c>
      <c r="B211" s="165" t="s">
        <v>240</v>
      </c>
      <c r="C211" s="165" t="s">
        <v>529</v>
      </c>
      <c r="D211" s="133" t="s">
        <v>107</v>
      </c>
      <c r="E211" s="166" t="s">
        <v>503</v>
      </c>
      <c r="F211" s="165" t="s">
        <v>504</v>
      </c>
      <c r="G211" s="165" t="s">
        <v>285</v>
      </c>
      <c r="H211" s="167" t="s">
        <v>348</v>
      </c>
      <c r="I211" s="178">
        <v>222</v>
      </c>
      <c r="J211" s="482"/>
      <c r="K211" s="168">
        <v>12</v>
      </c>
      <c r="L211" s="169" t="e">
        <f t="shared" si="6"/>
        <v>#DIV/0!</v>
      </c>
      <c r="M211" s="170">
        <f>IF(K211="nio",0,IF(K211&gt;0,VLOOKUP(G211,'3-Productie normen'!A:L,VLOOKUP(K211,'3-Productie normen'!N:O,2,FALSE),FALSE)))</f>
        <v>0</v>
      </c>
      <c r="N211" s="171" t="str">
        <f>VLOOKUP(G211,'3-Productie normen'!A:L,10,FALSE)</f>
        <v>V</v>
      </c>
      <c r="O211" s="171"/>
      <c r="Q211" s="130">
        <f t="shared" si="7"/>
        <v>2664</v>
      </c>
    </row>
    <row r="212" spans="1:17" ht="14.1" customHeight="1">
      <c r="A212" s="147">
        <v>212</v>
      </c>
      <c r="B212" s="165" t="s">
        <v>240</v>
      </c>
      <c r="C212" s="165" t="s">
        <v>529</v>
      </c>
      <c r="D212" s="133" t="s">
        <v>107</v>
      </c>
      <c r="E212" s="166" t="s">
        <v>505</v>
      </c>
      <c r="F212" s="165" t="s">
        <v>502</v>
      </c>
      <c r="G212" s="165" t="s">
        <v>115</v>
      </c>
      <c r="H212" s="167" t="s">
        <v>348</v>
      </c>
      <c r="I212" s="178">
        <v>11.78</v>
      </c>
      <c r="J212" s="482"/>
      <c r="K212" s="168" t="s">
        <v>115</v>
      </c>
      <c r="L212" s="169">
        <f t="shared" si="6"/>
        <v>0</v>
      </c>
      <c r="M212" s="170">
        <f>IF(K212="nio",0,IF(K212&gt;0,VLOOKUP(G212,'3-Productie normen'!A:L,VLOOKUP(K212,'3-Productie normen'!N:O,2,FALSE),FALSE)))</f>
        <v>0</v>
      </c>
      <c r="N212" s="171">
        <f>VLOOKUP(G212,'3-Productie normen'!A:L,10,FALSE)</f>
        <v>0</v>
      </c>
      <c r="O212" s="171"/>
      <c r="Q212" s="130">
        <f t="shared" si="7"/>
        <v>0</v>
      </c>
    </row>
    <row r="213" spans="1:17" ht="14.1" customHeight="1">
      <c r="A213" s="147">
        <v>213</v>
      </c>
      <c r="B213" s="165" t="s">
        <v>240</v>
      </c>
      <c r="C213" s="165" t="s">
        <v>529</v>
      </c>
      <c r="D213" s="133" t="s">
        <v>107</v>
      </c>
      <c r="E213" s="166" t="s">
        <v>506</v>
      </c>
      <c r="F213" s="165" t="s">
        <v>333</v>
      </c>
      <c r="G213" s="165" t="s">
        <v>328</v>
      </c>
      <c r="H213" s="167" t="s">
        <v>348</v>
      </c>
      <c r="I213" s="178">
        <v>13.13</v>
      </c>
      <c r="J213" s="482"/>
      <c r="K213" s="168">
        <v>52</v>
      </c>
      <c r="L213" s="169" t="e">
        <f t="shared" si="6"/>
        <v>#DIV/0!</v>
      </c>
      <c r="M213" s="170">
        <f>IF(K213="nio",0,IF(K213&gt;0,VLOOKUP(G213,'3-Productie normen'!A:L,VLOOKUP(K213,'3-Productie normen'!N:O,2,FALSE),FALSE)))</f>
        <v>0</v>
      </c>
      <c r="N213" s="171" t="str">
        <f>VLOOKUP(G213,'3-Productie normen'!A:L,10,FALSE)</f>
        <v>V</v>
      </c>
      <c r="O213" s="171"/>
      <c r="Q213" s="130">
        <f t="shared" si="7"/>
        <v>682.76</v>
      </c>
    </row>
    <row r="214" spans="1:17" ht="14.1" customHeight="1">
      <c r="A214" s="147">
        <v>214</v>
      </c>
      <c r="B214" s="165" t="s">
        <v>240</v>
      </c>
      <c r="C214" s="165" t="s">
        <v>529</v>
      </c>
      <c r="D214" s="133" t="s">
        <v>107</v>
      </c>
      <c r="E214" s="166" t="s">
        <v>507</v>
      </c>
      <c r="F214" s="167" t="s">
        <v>502</v>
      </c>
      <c r="G214" s="165" t="s">
        <v>115</v>
      </c>
      <c r="H214" s="167" t="s">
        <v>348</v>
      </c>
      <c r="I214" s="178">
        <v>17.71</v>
      </c>
      <c r="J214" s="482"/>
      <c r="K214" s="168" t="s">
        <v>115</v>
      </c>
      <c r="L214" s="169">
        <f t="shared" si="6"/>
        <v>0</v>
      </c>
      <c r="M214" s="170">
        <f>IF(K214="nio",0,IF(K214&gt;0,VLOOKUP(G214,'3-Productie normen'!A:L,VLOOKUP(K214,'3-Productie normen'!N:O,2,FALSE),FALSE)))</f>
        <v>0</v>
      </c>
      <c r="N214" s="171">
        <f>VLOOKUP(G214,'3-Productie normen'!A:L,10,FALSE)</f>
        <v>0</v>
      </c>
      <c r="O214" s="171"/>
      <c r="Q214" s="130">
        <f t="shared" si="7"/>
        <v>0</v>
      </c>
    </row>
    <row r="215" spans="1:17" ht="14.1" customHeight="1">
      <c r="A215" s="147">
        <v>215</v>
      </c>
      <c r="B215" s="165" t="s">
        <v>240</v>
      </c>
      <c r="C215" s="165" t="s">
        <v>529</v>
      </c>
      <c r="D215" s="133" t="s">
        <v>107</v>
      </c>
      <c r="E215" s="166" t="s">
        <v>508</v>
      </c>
      <c r="F215" s="167" t="s">
        <v>509</v>
      </c>
      <c r="G215" s="165" t="s">
        <v>115</v>
      </c>
      <c r="H215" s="167" t="s">
        <v>348</v>
      </c>
      <c r="I215" s="178">
        <v>92.33</v>
      </c>
      <c r="J215" s="482"/>
      <c r="K215" s="168" t="s">
        <v>115</v>
      </c>
      <c r="L215" s="169">
        <f t="shared" si="6"/>
        <v>0</v>
      </c>
      <c r="M215" s="170">
        <f>IF(K215="nio",0,IF(K215&gt;0,VLOOKUP(G215,'3-Productie normen'!A:L,VLOOKUP(K215,'3-Productie normen'!N:O,2,FALSE),FALSE)))</f>
        <v>0</v>
      </c>
      <c r="N215" s="171">
        <f>VLOOKUP(G215,'3-Productie normen'!A:L,10,FALSE)</f>
        <v>0</v>
      </c>
      <c r="O215" s="171"/>
      <c r="Q215" s="130">
        <f t="shared" si="7"/>
        <v>0</v>
      </c>
    </row>
    <row r="216" spans="1:17" ht="14.1" customHeight="1">
      <c r="A216" s="147">
        <v>216</v>
      </c>
      <c r="B216" s="165" t="s">
        <v>240</v>
      </c>
      <c r="C216" s="165" t="s">
        <v>529</v>
      </c>
      <c r="D216" s="133" t="s">
        <v>107</v>
      </c>
      <c r="E216" s="166" t="s">
        <v>510</v>
      </c>
      <c r="F216" s="167" t="s">
        <v>310</v>
      </c>
      <c r="G216" s="167" t="s">
        <v>288</v>
      </c>
      <c r="H216" s="167" t="s">
        <v>348</v>
      </c>
      <c r="I216" s="178">
        <v>9.92</v>
      </c>
      <c r="J216" s="482"/>
      <c r="K216" s="168">
        <v>255</v>
      </c>
      <c r="L216" s="169" t="e">
        <f t="shared" si="6"/>
        <v>#DIV/0!</v>
      </c>
      <c r="M216" s="170">
        <f>IF(K216="nio",0,IF(K216&gt;0,VLOOKUP(G216,'3-Productie normen'!A:L,VLOOKUP(K216,'3-Productie normen'!N:O,2,FALSE),FALSE)))</f>
        <v>0</v>
      </c>
      <c r="N216" s="171" t="str">
        <f>VLOOKUP(G216,'3-Productie normen'!A:L,10,FALSE)</f>
        <v>V</v>
      </c>
      <c r="O216" s="171"/>
      <c r="Q216" s="130">
        <f t="shared" si="7"/>
        <v>2529.6</v>
      </c>
    </row>
    <row r="217" spans="1:17" ht="14.1" customHeight="1">
      <c r="A217" s="147">
        <v>217</v>
      </c>
      <c r="B217" s="165" t="s">
        <v>240</v>
      </c>
      <c r="C217" s="165" t="s">
        <v>529</v>
      </c>
      <c r="D217" s="133" t="s">
        <v>107</v>
      </c>
      <c r="E217" s="166" t="s">
        <v>511</v>
      </c>
      <c r="F217" s="167" t="s">
        <v>512</v>
      </c>
      <c r="G217" s="167" t="s">
        <v>17</v>
      </c>
      <c r="H217" s="167" t="s">
        <v>361</v>
      </c>
      <c r="I217" s="178">
        <v>4.78</v>
      </c>
      <c r="J217" s="482"/>
      <c r="K217" s="168">
        <v>255</v>
      </c>
      <c r="L217" s="169" t="e">
        <f t="shared" si="6"/>
        <v>#DIV/0!</v>
      </c>
      <c r="M217" s="170">
        <f>IF(K217="nio",0,IF(K217&gt;0,VLOOKUP(G217,'3-Productie normen'!A:L,VLOOKUP(K217,'3-Productie normen'!N:O,2,FALSE),FALSE)))</f>
        <v>0</v>
      </c>
      <c r="N217" s="171" t="str">
        <f>VLOOKUP(G217,'3-Productie normen'!A:L,10,FALSE)</f>
        <v>S</v>
      </c>
      <c r="O217" s="171"/>
      <c r="Q217" s="130">
        <f t="shared" si="7"/>
        <v>1218.9000000000001</v>
      </c>
    </row>
    <row r="218" spans="1:17" ht="14.1" customHeight="1">
      <c r="A218" s="147">
        <v>218</v>
      </c>
      <c r="B218" s="165" t="s">
        <v>240</v>
      </c>
      <c r="C218" s="165" t="s">
        <v>529</v>
      </c>
      <c r="D218" s="133" t="s">
        <v>107</v>
      </c>
      <c r="E218" s="166" t="s">
        <v>513</v>
      </c>
      <c r="F218" s="173" t="s">
        <v>514</v>
      </c>
      <c r="G218" s="173" t="s">
        <v>288</v>
      </c>
      <c r="H218" s="167" t="s">
        <v>308</v>
      </c>
      <c r="I218" s="178">
        <v>9.92</v>
      </c>
      <c r="J218" s="482"/>
      <c r="K218" s="168">
        <v>255</v>
      </c>
      <c r="L218" s="169" t="e">
        <f t="shared" si="6"/>
        <v>#DIV/0!</v>
      </c>
      <c r="M218" s="170">
        <f>IF(K218="nio",0,IF(K218&gt;0,VLOOKUP(G218,'3-Productie normen'!A:L,VLOOKUP(K218,'3-Productie normen'!N:O,2,FALSE),FALSE)))</f>
        <v>0</v>
      </c>
      <c r="N218" s="171" t="str">
        <f>VLOOKUP(G218,'3-Productie normen'!A:L,10,FALSE)</f>
        <v>V</v>
      </c>
      <c r="O218" s="171"/>
      <c r="Q218" s="130">
        <f t="shared" si="7"/>
        <v>2529.6</v>
      </c>
    </row>
    <row r="219" spans="1:17" ht="14.1" customHeight="1">
      <c r="A219" s="147">
        <v>219</v>
      </c>
      <c r="B219" s="165" t="s">
        <v>240</v>
      </c>
      <c r="C219" s="165" t="s">
        <v>529</v>
      </c>
      <c r="D219" s="133" t="s">
        <v>107</v>
      </c>
      <c r="E219" s="166" t="s">
        <v>515</v>
      </c>
      <c r="F219" s="174" t="s">
        <v>516</v>
      </c>
      <c r="G219" s="165" t="s">
        <v>115</v>
      </c>
      <c r="H219" s="175" t="s">
        <v>348</v>
      </c>
      <c r="I219" s="178">
        <v>10.57</v>
      </c>
      <c r="J219" s="482"/>
      <c r="K219" s="168" t="s">
        <v>115</v>
      </c>
      <c r="L219" s="169">
        <f t="shared" si="6"/>
        <v>0</v>
      </c>
      <c r="M219" s="170">
        <f>IF(K219="nio",0,IF(K219&gt;0,VLOOKUP(G219,'3-Productie normen'!A:L,VLOOKUP(K219,'3-Productie normen'!N:O,2,FALSE),FALSE)))</f>
        <v>0</v>
      </c>
      <c r="N219" s="171">
        <f>VLOOKUP(G219,'3-Productie normen'!A:L,10,FALSE)</f>
        <v>0</v>
      </c>
      <c r="O219" s="171"/>
      <c r="Q219" s="130">
        <f t="shared" si="7"/>
        <v>0</v>
      </c>
    </row>
    <row r="220" spans="1:17" ht="14.1" customHeight="1">
      <c r="A220" s="147">
        <v>220</v>
      </c>
      <c r="B220" s="165" t="s">
        <v>240</v>
      </c>
      <c r="C220" s="165" t="s">
        <v>529</v>
      </c>
      <c r="D220" s="179" t="s">
        <v>107</v>
      </c>
      <c r="E220" s="176" t="s">
        <v>517</v>
      </c>
      <c r="F220" s="177" t="s">
        <v>518</v>
      </c>
      <c r="G220" s="165" t="s">
        <v>115</v>
      </c>
      <c r="H220" s="167" t="s">
        <v>348</v>
      </c>
      <c r="I220" s="178">
        <v>56.06</v>
      </c>
      <c r="J220" s="482"/>
      <c r="K220" s="168" t="s">
        <v>115</v>
      </c>
      <c r="L220" s="169">
        <f t="shared" si="6"/>
        <v>0</v>
      </c>
      <c r="M220" s="170">
        <f>IF(K220="nio",0,IF(K220&gt;0,VLOOKUP(G220,'3-Productie normen'!A:L,VLOOKUP(K220,'3-Productie normen'!N:O,2,FALSE),FALSE)))</f>
        <v>0</v>
      </c>
      <c r="N220" s="171">
        <f>VLOOKUP(G220,'3-Productie normen'!A:L,10,FALSE)</f>
        <v>0</v>
      </c>
      <c r="O220" s="171"/>
      <c r="Q220" s="130">
        <f t="shared" si="7"/>
        <v>0</v>
      </c>
    </row>
    <row r="221" spans="1:17" ht="14.1" customHeight="1">
      <c r="A221" s="147">
        <v>221</v>
      </c>
      <c r="B221" s="165" t="s">
        <v>240</v>
      </c>
      <c r="C221" s="165" t="s">
        <v>529</v>
      </c>
      <c r="D221" s="133" t="s">
        <v>107</v>
      </c>
      <c r="E221" s="166" t="s">
        <v>519</v>
      </c>
      <c r="F221" s="167" t="s">
        <v>287</v>
      </c>
      <c r="G221" s="167" t="s">
        <v>288</v>
      </c>
      <c r="H221" s="167" t="s">
        <v>496</v>
      </c>
      <c r="I221" s="178">
        <v>77.510000000000005</v>
      </c>
      <c r="J221" s="482"/>
      <c r="K221" s="168">
        <v>255</v>
      </c>
      <c r="L221" s="169" t="e">
        <f t="shared" si="6"/>
        <v>#DIV/0!</v>
      </c>
      <c r="M221" s="170">
        <f>IF(K221="nio",0,IF(K221&gt;0,VLOOKUP(G221,'3-Productie normen'!A:L,VLOOKUP(K221,'3-Productie normen'!N:O,2,FALSE),FALSE)))</f>
        <v>0</v>
      </c>
      <c r="N221" s="171" t="str">
        <f>VLOOKUP(G221,'3-Productie normen'!A:L,10,FALSE)</f>
        <v>V</v>
      </c>
      <c r="O221" s="171"/>
      <c r="Q221" s="130">
        <f t="shared" si="7"/>
        <v>19765.050000000003</v>
      </c>
    </row>
    <row r="222" spans="1:17" ht="14.1" customHeight="1">
      <c r="A222" s="147">
        <v>222</v>
      </c>
      <c r="B222" s="165" t="s">
        <v>240</v>
      </c>
      <c r="C222" s="165" t="s">
        <v>529</v>
      </c>
      <c r="D222" s="133" t="s">
        <v>107</v>
      </c>
      <c r="E222" s="166" t="s">
        <v>520</v>
      </c>
      <c r="F222" s="127" t="s">
        <v>521</v>
      </c>
      <c r="G222" s="165" t="s">
        <v>115</v>
      </c>
      <c r="H222" s="167" t="s">
        <v>308</v>
      </c>
      <c r="I222" s="178">
        <v>23.37</v>
      </c>
      <c r="J222" s="482"/>
      <c r="K222" s="168" t="s">
        <v>115</v>
      </c>
      <c r="L222" s="169">
        <f t="shared" si="6"/>
        <v>0</v>
      </c>
      <c r="M222" s="170">
        <f>IF(K222="nio",0,IF(K222&gt;0,VLOOKUP(G222,'3-Productie normen'!A:L,VLOOKUP(K222,'3-Productie normen'!N:O,2,FALSE),FALSE)))</f>
        <v>0</v>
      </c>
      <c r="N222" s="171">
        <f>VLOOKUP(G222,'3-Productie normen'!A:L,10,FALSE)</f>
        <v>0</v>
      </c>
      <c r="O222" s="171"/>
      <c r="Q222" s="130">
        <f t="shared" si="7"/>
        <v>0</v>
      </c>
    </row>
    <row r="223" spans="1:17" ht="14.1" customHeight="1">
      <c r="A223" s="147">
        <v>223</v>
      </c>
      <c r="B223" s="165" t="s">
        <v>240</v>
      </c>
      <c r="C223" s="165" t="s">
        <v>529</v>
      </c>
      <c r="D223" s="133" t="s">
        <v>107</v>
      </c>
      <c r="E223" s="166" t="s">
        <v>522</v>
      </c>
      <c r="F223" s="127" t="s">
        <v>523</v>
      </c>
      <c r="G223" s="127" t="s">
        <v>285</v>
      </c>
      <c r="H223" s="167" t="s">
        <v>308</v>
      </c>
      <c r="I223" s="178">
        <v>5.61</v>
      </c>
      <c r="J223" s="482"/>
      <c r="K223" s="168">
        <v>52</v>
      </c>
      <c r="L223" s="169" t="e">
        <f t="shared" si="6"/>
        <v>#DIV/0!</v>
      </c>
      <c r="M223" s="170">
        <f>IF(K223="nio",0,IF(K223&gt;0,VLOOKUP(G223,'3-Productie normen'!A:L,VLOOKUP(K223,'3-Productie normen'!N:O,2,FALSE),FALSE)))</f>
        <v>0</v>
      </c>
      <c r="N223" s="171" t="str">
        <f>VLOOKUP(G223,'3-Productie normen'!A:L,10,FALSE)</f>
        <v>V</v>
      </c>
      <c r="O223" s="171"/>
      <c r="Q223" s="130">
        <f t="shared" si="7"/>
        <v>291.72000000000003</v>
      </c>
    </row>
    <row r="224" spans="1:17" ht="14.1" customHeight="1">
      <c r="A224" s="147">
        <v>224</v>
      </c>
      <c r="B224" s="165" t="s">
        <v>240</v>
      </c>
      <c r="C224" s="165" t="s">
        <v>529</v>
      </c>
      <c r="D224" s="133" t="s">
        <v>107</v>
      </c>
      <c r="E224" s="166" t="s">
        <v>524</v>
      </c>
      <c r="F224" s="127" t="s">
        <v>525</v>
      </c>
      <c r="G224" s="127" t="s">
        <v>328</v>
      </c>
      <c r="H224" s="167" t="s">
        <v>308</v>
      </c>
      <c r="I224" s="178">
        <v>5.49</v>
      </c>
      <c r="J224" s="482"/>
      <c r="K224" s="168">
        <v>255</v>
      </c>
      <c r="L224" s="169" t="e">
        <f t="shared" si="6"/>
        <v>#DIV/0!</v>
      </c>
      <c r="M224" s="170">
        <f>IF(K224="nio",0,IF(K224&gt;0,VLOOKUP(G224,'3-Productie normen'!A:L,VLOOKUP(K224,'3-Productie normen'!N:O,2,FALSE),FALSE)))</f>
        <v>0</v>
      </c>
      <c r="N224" s="171" t="str">
        <f>VLOOKUP(G224,'3-Productie normen'!A:L,10,FALSE)</f>
        <v>V</v>
      </c>
      <c r="O224" s="171"/>
      <c r="Q224" s="130">
        <f t="shared" si="7"/>
        <v>1399.95</v>
      </c>
    </row>
    <row r="225" spans="1:17" ht="14.1" customHeight="1">
      <c r="A225" s="147">
        <v>225</v>
      </c>
      <c r="B225" s="165" t="s">
        <v>240</v>
      </c>
      <c r="C225" s="165" t="s">
        <v>529</v>
      </c>
      <c r="D225" s="133" t="s">
        <v>107</v>
      </c>
      <c r="E225" s="166" t="s">
        <v>526</v>
      </c>
      <c r="F225" s="127" t="s">
        <v>527</v>
      </c>
      <c r="G225" s="127" t="s">
        <v>527</v>
      </c>
      <c r="H225" s="167" t="s">
        <v>106</v>
      </c>
      <c r="I225" s="178">
        <v>17.489999999999998</v>
      </c>
      <c r="J225" s="482"/>
      <c r="K225" s="168">
        <v>12</v>
      </c>
      <c r="L225" s="169" t="e">
        <f t="shared" si="6"/>
        <v>#DIV/0!</v>
      </c>
      <c r="M225" s="170">
        <f>IF(K225="nio",0,IF(K225&gt;0,VLOOKUP(G225,'3-Productie normen'!A:L,VLOOKUP(K225,'3-Productie normen'!N:O,2,FALSE),FALSE)))</f>
        <v>0</v>
      </c>
      <c r="N225" s="171" t="str">
        <f>VLOOKUP(G225,'3-Productie normen'!A:L,10,FALSE)</f>
        <v>V</v>
      </c>
      <c r="O225" s="171"/>
      <c r="Q225" s="130">
        <f t="shared" si="7"/>
        <v>209.88</v>
      </c>
    </row>
    <row r="226" spans="1:17" ht="14.1" customHeight="1">
      <c r="A226" s="147">
        <v>226</v>
      </c>
      <c r="B226" s="165" t="s">
        <v>240</v>
      </c>
      <c r="C226" s="165" t="s">
        <v>529</v>
      </c>
      <c r="D226" s="133" t="s">
        <v>107</v>
      </c>
      <c r="E226" s="166" t="s">
        <v>528</v>
      </c>
      <c r="F226" s="127" t="s">
        <v>527</v>
      </c>
      <c r="G226" s="127" t="s">
        <v>527</v>
      </c>
      <c r="H226" s="167" t="s">
        <v>106</v>
      </c>
      <c r="I226" s="178">
        <v>3.6</v>
      </c>
      <c r="J226" s="482"/>
      <c r="K226" s="168">
        <v>12</v>
      </c>
      <c r="L226" s="169" t="e">
        <f t="shared" si="6"/>
        <v>#DIV/0!</v>
      </c>
      <c r="M226" s="170">
        <f>IF(K226="nio",0,IF(K226&gt;0,VLOOKUP(G226,'3-Productie normen'!A:L,VLOOKUP(K226,'3-Productie normen'!N:O,2,FALSE),FALSE)))</f>
        <v>0</v>
      </c>
      <c r="N226" s="171" t="str">
        <f>VLOOKUP(G226,'3-Productie normen'!A:L,10,FALSE)</f>
        <v>V</v>
      </c>
      <c r="O226" s="171"/>
      <c r="Q226" s="130">
        <f t="shared" si="7"/>
        <v>43.2</v>
      </c>
    </row>
    <row r="227" spans="1:17" ht="14.1" customHeight="1">
      <c r="A227" s="147">
        <v>227</v>
      </c>
      <c r="B227" s="165" t="s">
        <v>539</v>
      </c>
      <c r="C227" s="165" t="s">
        <v>540</v>
      </c>
      <c r="D227" s="133" t="s">
        <v>104</v>
      </c>
      <c r="E227" s="166">
        <v>1</v>
      </c>
      <c r="F227" s="127" t="s">
        <v>541</v>
      </c>
      <c r="G227" s="124" t="s">
        <v>105</v>
      </c>
      <c r="H227" s="167" t="s">
        <v>542</v>
      </c>
      <c r="I227" s="178">
        <v>14.41</v>
      </c>
      <c r="J227" s="482"/>
      <c r="K227" s="168">
        <v>255</v>
      </c>
      <c r="L227" s="169" t="e">
        <f t="shared" si="6"/>
        <v>#DIV/0!</v>
      </c>
      <c r="M227" s="170">
        <f>IF(K227="nio",0,IF(K227&gt;0,VLOOKUP(G227,'3-Productie normen'!A:L,VLOOKUP(K227,'3-Productie normen'!N:O,2,FALSE),FALSE)))</f>
        <v>0</v>
      </c>
      <c r="N227" s="171" t="str">
        <f>VLOOKUP(G227,'3-Productie normen'!A:L,10,FALSE)</f>
        <v>V</v>
      </c>
      <c r="O227" s="171"/>
      <c r="Q227" s="130">
        <f t="shared" si="7"/>
        <v>3674.55</v>
      </c>
    </row>
    <row r="228" spans="1:17" ht="14.1" customHeight="1">
      <c r="A228" s="147">
        <v>228</v>
      </c>
      <c r="B228" s="165" t="s">
        <v>539</v>
      </c>
      <c r="C228" s="165" t="s">
        <v>540</v>
      </c>
      <c r="D228" s="133" t="s">
        <v>104</v>
      </c>
      <c r="E228" s="166">
        <v>2</v>
      </c>
      <c r="F228" s="127" t="s">
        <v>310</v>
      </c>
      <c r="G228" s="127" t="s">
        <v>288</v>
      </c>
      <c r="H228" s="167" t="s">
        <v>543</v>
      </c>
      <c r="I228" s="178">
        <v>67.3</v>
      </c>
      <c r="J228" s="482"/>
      <c r="K228" s="168">
        <v>255</v>
      </c>
      <c r="L228" s="169" t="e">
        <f t="shared" si="6"/>
        <v>#DIV/0!</v>
      </c>
      <c r="M228" s="170">
        <f>IF(K228="nio",0,IF(K228&gt;0,VLOOKUP(G228,'3-Productie normen'!A:L,VLOOKUP(K228,'3-Productie normen'!N:O,2,FALSE),FALSE)))</f>
        <v>0</v>
      </c>
      <c r="N228" s="171" t="str">
        <f>VLOOKUP(G228,'3-Productie normen'!A:L,10,FALSE)</f>
        <v>V</v>
      </c>
      <c r="O228" s="171"/>
      <c r="Q228" s="130">
        <f t="shared" si="7"/>
        <v>17161.5</v>
      </c>
    </row>
    <row r="229" spans="1:17" ht="14.1" customHeight="1">
      <c r="A229" s="147">
        <v>229</v>
      </c>
      <c r="B229" s="165" t="s">
        <v>539</v>
      </c>
      <c r="C229" s="165" t="s">
        <v>540</v>
      </c>
      <c r="D229" s="133" t="s">
        <v>104</v>
      </c>
      <c r="E229" s="166">
        <v>3</v>
      </c>
      <c r="F229" s="127" t="s">
        <v>287</v>
      </c>
      <c r="G229" s="127" t="s">
        <v>288</v>
      </c>
      <c r="H229" s="167" t="s">
        <v>543</v>
      </c>
      <c r="I229" s="178">
        <v>44.66</v>
      </c>
      <c r="J229" s="482"/>
      <c r="K229" s="168">
        <v>255</v>
      </c>
      <c r="L229" s="169" t="e">
        <f t="shared" si="6"/>
        <v>#DIV/0!</v>
      </c>
      <c r="M229" s="170">
        <f>IF(K229="nio",0,IF(K229&gt;0,VLOOKUP(G229,'3-Productie normen'!A:L,VLOOKUP(K229,'3-Productie normen'!N:O,2,FALSE),FALSE)))</f>
        <v>0</v>
      </c>
      <c r="N229" s="171" t="str">
        <f>VLOOKUP(G229,'3-Productie normen'!A:L,10,FALSE)</f>
        <v>V</v>
      </c>
      <c r="O229" s="171"/>
      <c r="Q229" s="130">
        <f t="shared" si="7"/>
        <v>11388.3</v>
      </c>
    </row>
    <row r="230" spans="1:17" s="47" customFormat="1" ht="14.1" customHeight="1">
      <c r="A230" s="147">
        <v>230</v>
      </c>
      <c r="B230" s="165" t="s">
        <v>539</v>
      </c>
      <c r="C230" s="165" t="s">
        <v>540</v>
      </c>
      <c r="D230" s="133" t="s">
        <v>104</v>
      </c>
      <c r="E230" s="166">
        <v>4</v>
      </c>
      <c r="F230" s="127" t="s">
        <v>544</v>
      </c>
      <c r="G230" s="127" t="s">
        <v>217</v>
      </c>
      <c r="H230" s="167" t="s">
        <v>496</v>
      </c>
      <c r="I230" s="178">
        <v>15.6</v>
      </c>
      <c r="J230" s="482"/>
      <c r="K230" s="168">
        <v>255</v>
      </c>
      <c r="L230" s="169" t="e">
        <f t="shared" si="6"/>
        <v>#DIV/0!</v>
      </c>
      <c r="M230" s="170">
        <f>IF(K230="nio",0,IF(K230&gt;0,VLOOKUP(G230,'3-Productie normen'!A:L,VLOOKUP(K230,'3-Productie normen'!N:O,2,FALSE),FALSE)))</f>
        <v>0</v>
      </c>
      <c r="N230" s="171" t="str">
        <f>VLOOKUP(G230,'3-Productie normen'!A:L,10,FALSE)</f>
        <v>B</v>
      </c>
      <c r="O230" s="171"/>
      <c r="P230" s="4"/>
      <c r="Q230" s="130">
        <f t="shared" si="7"/>
        <v>3978</v>
      </c>
    </row>
    <row r="231" spans="1:17" ht="14.1" customHeight="1">
      <c r="A231" s="147">
        <v>231</v>
      </c>
      <c r="B231" s="165" t="s">
        <v>539</v>
      </c>
      <c r="C231" s="165" t="s">
        <v>540</v>
      </c>
      <c r="D231" s="133" t="s">
        <v>104</v>
      </c>
      <c r="E231" s="166">
        <v>5</v>
      </c>
      <c r="F231" s="127" t="s">
        <v>545</v>
      </c>
      <c r="G231" s="127" t="s">
        <v>217</v>
      </c>
      <c r="H231" s="167" t="s">
        <v>496</v>
      </c>
      <c r="I231" s="178">
        <v>15.52</v>
      </c>
      <c r="J231" s="482"/>
      <c r="K231" s="168">
        <v>255</v>
      </c>
      <c r="L231" s="169" t="e">
        <f t="shared" si="6"/>
        <v>#DIV/0!</v>
      </c>
      <c r="M231" s="170">
        <f>IF(K231="nio",0,IF(K231&gt;0,VLOOKUP(G231,'3-Productie normen'!A:L,VLOOKUP(K231,'3-Productie normen'!N:O,2,FALSE),FALSE)))</f>
        <v>0</v>
      </c>
      <c r="N231" s="171" t="str">
        <f>VLOOKUP(G231,'3-Productie normen'!A:L,10,FALSE)</f>
        <v>B</v>
      </c>
      <c r="O231" s="171"/>
      <c r="Q231" s="130">
        <f t="shared" si="7"/>
        <v>3957.6</v>
      </c>
    </row>
    <row r="232" spans="1:17" ht="14.1" customHeight="1">
      <c r="A232" s="147">
        <v>232</v>
      </c>
      <c r="B232" s="165" t="s">
        <v>539</v>
      </c>
      <c r="C232" s="165" t="s">
        <v>540</v>
      </c>
      <c r="D232" s="133" t="s">
        <v>104</v>
      </c>
      <c r="E232" s="166">
        <v>6</v>
      </c>
      <c r="F232" s="165" t="s">
        <v>544</v>
      </c>
      <c r="G232" s="165" t="s">
        <v>217</v>
      </c>
      <c r="H232" s="167" t="s">
        <v>496</v>
      </c>
      <c r="I232" s="178">
        <v>20.22</v>
      </c>
      <c r="J232" s="482"/>
      <c r="K232" s="168">
        <v>255</v>
      </c>
      <c r="L232" s="169" t="e">
        <f t="shared" si="6"/>
        <v>#DIV/0!</v>
      </c>
      <c r="M232" s="170">
        <f>IF(K232="nio",0,IF(K232&gt;0,VLOOKUP(G232,'3-Productie normen'!A:L,VLOOKUP(K232,'3-Productie normen'!N:O,2,FALSE),FALSE)))</f>
        <v>0</v>
      </c>
      <c r="N232" s="171" t="str">
        <f>VLOOKUP(G232,'3-Productie normen'!A:L,10,FALSE)</f>
        <v>B</v>
      </c>
      <c r="O232" s="171"/>
      <c r="Q232" s="130">
        <f t="shared" si="7"/>
        <v>5156.0999999999995</v>
      </c>
    </row>
    <row r="233" spans="1:17" ht="14.1" customHeight="1">
      <c r="A233" s="147">
        <v>233</v>
      </c>
      <c r="B233" s="165" t="s">
        <v>539</v>
      </c>
      <c r="C233" s="165" t="s">
        <v>540</v>
      </c>
      <c r="D233" s="133" t="s">
        <v>104</v>
      </c>
      <c r="E233" s="166">
        <v>7</v>
      </c>
      <c r="F233" s="165" t="s">
        <v>546</v>
      </c>
      <c r="G233" s="165" t="s">
        <v>217</v>
      </c>
      <c r="H233" s="167" t="s">
        <v>243</v>
      </c>
      <c r="I233" s="178">
        <v>15.26</v>
      </c>
      <c r="J233" s="482"/>
      <c r="K233" s="168">
        <v>255</v>
      </c>
      <c r="L233" s="169" t="e">
        <f t="shared" si="6"/>
        <v>#DIV/0!</v>
      </c>
      <c r="M233" s="170">
        <f>IF(K233="nio",0,IF(K233&gt;0,VLOOKUP(G233,'3-Productie normen'!A:L,VLOOKUP(K233,'3-Productie normen'!N:O,2,FALSE),FALSE)))</f>
        <v>0</v>
      </c>
      <c r="N233" s="171" t="str">
        <f>VLOOKUP(G233,'3-Productie normen'!A:L,10,FALSE)</f>
        <v>B</v>
      </c>
      <c r="O233" s="171"/>
      <c r="Q233" s="130">
        <f t="shared" si="7"/>
        <v>3891.2999999999997</v>
      </c>
    </row>
    <row r="234" spans="1:17" ht="14.1" customHeight="1">
      <c r="A234" s="147">
        <v>234</v>
      </c>
      <c r="B234" s="165" t="s">
        <v>539</v>
      </c>
      <c r="C234" s="165" t="s">
        <v>540</v>
      </c>
      <c r="D234" s="133" t="s">
        <v>104</v>
      </c>
      <c r="E234" s="166">
        <v>8</v>
      </c>
      <c r="F234" s="165" t="s">
        <v>547</v>
      </c>
      <c r="G234" s="493" t="s">
        <v>218</v>
      </c>
      <c r="H234" s="167" t="s">
        <v>543</v>
      </c>
      <c r="I234" s="178">
        <v>16.97</v>
      </c>
      <c r="J234" s="482"/>
      <c r="K234" s="168">
        <v>255</v>
      </c>
      <c r="L234" s="169" t="e">
        <f t="shared" si="6"/>
        <v>#DIV/0!</v>
      </c>
      <c r="M234" s="170">
        <f>IF(K234="nio",0,IF(K234&gt;0,VLOOKUP(G234,'3-Productie normen'!A:L,VLOOKUP(K234,'3-Productie normen'!N:O,2,FALSE),FALSE)))</f>
        <v>0</v>
      </c>
      <c r="N234" s="171" t="str">
        <f>VLOOKUP(G234,'3-Productie normen'!A:L,10,FALSE)</f>
        <v>V</v>
      </c>
      <c r="O234" s="171"/>
      <c r="Q234" s="130">
        <f t="shared" si="7"/>
        <v>4327.3499999999995</v>
      </c>
    </row>
    <row r="235" spans="1:17" ht="14.1" customHeight="1">
      <c r="A235" s="147">
        <v>235</v>
      </c>
      <c r="B235" s="165" t="s">
        <v>539</v>
      </c>
      <c r="C235" s="165" t="s">
        <v>540</v>
      </c>
      <c r="D235" s="133" t="s">
        <v>104</v>
      </c>
      <c r="E235" s="166">
        <v>9</v>
      </c>
      <c r="F235" s="167" t="s">
        <v>548</v>
      </c>
      <c r="G235" s="167" t="s">
        <v>285</v>
      </c>
      <c r="H235" s="167" t="s">
        <v>543</v>
      </c>
      <c r="I235" s="178">
        <v>3.17</v>
      </c>
      <c r="J235" s="482"/>
      <c r="K235" s="168" t="s">
        <v>115</v>
      </c>
      <c r="L235" s="169">
        <f t="shared" si="6"/>
        <v>0</v>
      </c>
      <c r="M235" s="170">
        <f>IF(K235="nio",0,IF(K235&gt;0,VLOOKUP(G235,'3-Productie normen'!A:L,VLOOKUP(K235,'3-Productie normen'!N:O,2,FALSE),FALSE)))</f>
        <v>0</v>
      </c>
      <c r="N235" s="171" t="str">
        <f>VLOOKUP(G235,'3-Productie normen'!A:L,10,FALSE)</f>
        <v>V</v>
      </c>
      <c r="O235" s="171"/>
      <c r="Q235" s="130">
        <f t="shared" si="7"/>
        <v>0</v>
      </c>
    </row>
    <row r="236" spans="1:17" ht="14.1" customHeight="1">
      <c r="A236" s="147">
        <v>236</v>
      </c>
      <c r="B236" s="165" t="s">
        <v>539</v>
      </c>
      <c r="C236" s="165" t="s">
        <v>540</v>
      </c>
      <c r="D236" s="133" t="s">
        <v>104</v>
      </c>
      <c r="E236" s="166">
        <v>10</v>
      </c>
      <c r="F236" s="167" t="s">
        <v>549</v>
      </c>
      <c r="G236" s="167" t="s">
        <v>17</v>
      </c>
      <c r="H236" s="167" t="s">
        <v>550</v>
      </c>
      <c r="I236" s="178">
        <v>3.52</v>
      </c>
      <c r="J236" s="482"/>
      <c r="K236" s="168">
        <v>255</v>
      </c>
      <c r="L236" s="169" t="e">
        <f t="shared" si="6"/>
        <v>#DIV/0!</v>
      </c>
      <c r="M236" s="170">
        <f>IF(K236="nio",0,IF(K236&gt;0,VLOOKUP(G236,'3-Productie normen'!A:L,VLOOKUP(K236,'3-Productie normen'!N:O,2,FALSE),FALSE)))</f>
        <v>0</v>
      </c>
      <c r="N236" s="171" t="str">
        <f>VLOOKUP(G236,'3-Productie normen'!A:L,10,FALSE)</f>
        <v>S</v>
      </c>
      <c r="O236" s="171"/>
      <c r="Q236" s="130">
        <f t="shared" si="7"/>
        <v>897.6</v>
      </c>
    </row>
    <row r="237" spans="1:17" ht="14.1" customHeight="1">
      <c r="A237" s="147">
        <v>237</v>
      </c>
      <c r="B237" s="165" t="s">
        <v>539</v>
      </c>
      <c r="C237" s="165" t="s">
        <v>540</v>
      </c>
      <c r="D237" s="133" t="s">
        <v>104</v>
      </c>
      <c r="E237" s="166">
        <v>11</v>
      </c>
      <c r="F237" s="167" t="s">
        <v>551</v>
      </c>
      <c r="G237" s="167" t="s">
        <v>17</v>
      </c>
      <c r="H237" s="167" t="s">
        <v>543</v>
      </c>
      <c r="I237" s="178">
        <v>17.34</v>
      </c>
      <c r="J237" s="482"/>
      <c r="K237" s="168">
        <v>255</v>
      </c>
      <c r="L237" s="169" t="e">
        <f t="shared" si="6"/>
        <v>#DIV/0!</v>
      </c>
      <c r="M237" s="170">
        <f>IF(K237="nio",0,IF(K237&gt;0,VLOOKUP(G237,'3-Productie normen'!A:L,VLOOKUP(K237,'3-Productie normen'!N:O,2,FALSE),FALSE)))</f>
        <v>0</v>
      </c>
      <c r="N237" s="171" t="str">
        <f>VLOOKUP(G237,'3-Productie normen'!A:L,10,FALSE)</f>
        <v>S</v>
      </c>
      <c r="O237" s="171"/>
      <c r="Q237" s="130">
        <f t="shared" si="7"/>
        <v>4421.7</v>
      </c>
    </row>
    <row r="238" spans="1:17" ht="14.1" customHeight="1">
      <c r="A238" s="147">
        <v>238</v>
      </c>
      <c r="B238" s="165" t="s">
        <v>539</v>
      </c>
      <c r="C238" s="165" t="s">
        <v>540</v>
      </c>
      <c r="D238" s="133" t="s">
        <v>104</v>
      </c>
      <c r="E238" s="166">
        <v>12</v>
      </c>
      <c r="F238" s="167" t="s">
        <v>552</v>
      </c>
      <c r="G238" s="167" t="s">
        <v>17</v>
      </c>
      <c r="H238" s="167" t="s">
        <v>550</v>
      </c>
      <c r="I238" s="178">
        <v>61.91</v>
      </c>
      <c r="J238" s="482"/>
      <c r="K238" s="168">
        <v>255</v>
      </c>
      <c r="L238" s="169" t="e">
        <f t="shared" si="6"/>
        <v>#DIV/0!</v>
      </c>
      <c r="M238" s="170">
        <f>IF(K238="nio",0,IF(K238&gt;0,VLOOKUP(G238,'3-Productie normen'!A:L,VLOOKUP(K238,'3-Productie normen'!N:O,2,FALSE),FALSE)))</f>
        <v>0</v>
      </c>
      <c r="N238" s="171" t="str">
        <f>VLOOKUP(G238,'3-Productie normen'!A:L,10,FALSE)</f>
        <v>S</v>
      </c>
      <c r="O238" s="171"/>
      <c r="Q238" s="130">
        <f t="shared" si="7"/>
        <v>15787.05</v>
      </c>
    </row>
    <row r="239" spans="1:17" ht="14.1" customHeight="1">
      <c r="A239" s="147">
        <v>239</v>
      </c>
      <c r="B239" s="165" t="s">
        <v>539</v>
      </c>
      <c r="C239" s="165" t="s">
        <v>540</v>
      </c>
      <c r="D239" s="133" t="s">
        <v>104</v>
      </c>
      <c r="E239" s="166">
        <v>13</v>
      </c>
      <c r="F239" s="180" t="s">
        <v>553</v>
      </c>
      <c r="G239" s="180" t="s">
        <v>17</v>
      </c>
      <c r="H239" s="181" t="s">
        <v>543</v>
      </c>
      <c r="I239" s="531">
        <v>10.74</v>
      </c>
      <c r="J239" s="482"/>
      <c r="K239" s="168">
        <v>255</v>
      </c>
      <c r="L239" s="169" t="e">
        <f t="shared" si="6"/>
        <v>#DIV/0!</v>
      </c>
      <c r="M239" s="170">
        <f>IF(K239="nio",0,IF(K239&gt;0,VLOOKUP(G239,'3-Productie normen'!A:L,VLOOKUP(K239,'3-Productie normen'!N:O,2,FALSE),FALSE)))</f>
        <v>0</v>
      </c>
      <c r="N239" s="171" t="str">
        <f>VLOOKUP(G239,'3-Productie normen'!A:L,10,FALSE)</f>
        <v>S</v>
      </c>
      <c r="O239" s="171"/>
      <c r="Q239" s="130">
        <f t="shared" si="7"/>
        <v>2738.7000000000003</v>
      </c>
    </row>
    <row r="240" spans="1:17" ht="14.1" customHeight="1">
      <c r="A240" s="147">
        <v>240</v>
      </c>
      <c r="B240" s="165" t="s">
        <v>539</v>
      </c>
      <c r="C240" s="165" t="s">
        <v>540</v>
      </c>
      <c r="D240" s="133" t="s">
        <v>104</v>
      </c>
      <c r="E240" s="180" t="s">
        <v>554</v>
      </c>
      <c r="F240" s="180" t="s">
        <v>555</v>
      </c>
      <c r="G240" s="180" t="s">
        <v>17</v>
      </c>
      <c r="H240" s="181" t="s">
        <v>543</v>
      </c>
      <c r="I240" s="531">
        <v>5.04</v>
      </c>
      <c r="J240" s="482"/>
      <c r="K240" s="168">
        <v>255</v>
      </c>
      <c r="L240" s="169" t="e">
        <f t="shared" si="6"/>
        <v>#DIV/0!</v>
      </c>
      <c r="M240" s="170">
        <f>IF(K240="nio",0,IF(K240&gt;0,VLOOKUP(G240,'3-Productie normen'!A:L,VLOOKUP(K240,'3-Productie normen'!N:O,2,FALSE),FALSE)))</f>
        <v>0</v>
      </c>
      <c r="N240" s="171" t="str">
        <f>VLOOKUP(G240,'3-Productie normen'!A:L,10,FALSE)</f>
        <v>S</v>
      </c>
      <c r="O240" s="171"/>
      <c r="Q240" s="130">
        <f t="shared" si="7"/>
        <v>1285.2</v>
      </c>
    </row>
    <row r="241" spans="1:17" ht="14.1" customHeight="1">
      <c r="A241" s="147">
        <v>241</v>
      </c>
      <c r="B241" s="165" t="s">
        <v>539</v>
      </c>
      <c r="C241" s="165" t="s">
        <v>540</v>
      </c>
      <c r="D241" s="133" t="s">
        <v>104</v>
      </c>
      <c r="E241" s="166">
        <v>14</v>
      </c>
      <c r="F241" s="180" t="s">
        <v>556</v>
      </c>
      <c r="G241" s="180" t="s">
        <v>217</v>
      </c>
      <c r="H241" s="181" t="s">
        <v>496</v>
      </c>
      <c r="I241" s="531">
        <v>20.38</v>
      </c>
      <c r="J241" s="482"/>
      <c r="K241" s="168">
        <v>255</v>
      </c>
      <c r="L241" s="169" t="e">
        <f t="shared" si="6"/>
        <v>#DIV/0!</v>
      </c>
      <c r="M241" s="170">
        <f>IF(K241="nio",0,IF(K241&gt;0,VLOOKUP(G241,'3-Productie normen'!A:L,VLOOKUP(K241,'3-Productie normen'!N:O,2,FALSE),FALSE)))</f>
        <v>0</v>
      </c>
      <c r="N241" s="171" t="str">
        <f>VLOOKUP(G241,'3-Productie normen'!A:L,10,FALSE)</f>
        <v>B</v>
      </c>
      <c r="O241" s="171"/>
      <c r="Q241" s="130">
        <f t="shared" si="7"/>
        <v>5196.8999999999996</v>
      </c>
    </row>
    <row r="242" spans="1:17" ht="14.1" customHeight="1">
      <c r="A242" s="147">
        <v>242</v>
      </c>
      <c r="B242" s="165" t="s">
        <v>539</v>
      </c>
      <c r="C242" s="165" t="s">
        <v>540</v>
      </c>
      <c r="D242" s="133" t="s">
        <v>104</v>
      </c>
      <c r="E242" s="166">
        <v>15</v>
      </c>
      <c r="F242" s="180" t="s">
        <v>557</v>
      </c>
      <c r="G242" s="180" t="s">
        <v>217</v>
      </c>
      <c r="H242" s="181" t="s">
        <v>496</v>
      </c>
      <c r="I242" s="531">
        <v>21.55</v>
      </c>
      <c r="J242" s="482"/>
      <c r="K242" s="168">
        <v>255</v>
      </c>
      <c r="L242" s="169" t="e">
        <f t="shared" si="6"/>
        <v>#DIV/0!</v>
      </c>
      <c r="M242" s="170">
        <f>IF(K242="nio",0,IF(K242&gt;0,VLOOKUP(G242,'3-Productie normen'!A:L,VLOOKUP(K242,'3-Productie normen'!N:O,2,FALSE),FALSE)))</f>
        <v>0</v>
      </c>
      <c r="N242" s="171" t="str">
        <f>VLOOKUP(G242,'3-Productie normen'!A:L,10,FALSE)</f>
        <v>B</v>
      </c>
      <c r="O242" s="171"/>
      <c r="Q242" s="130">
        <f t="shared" si="7"/>
        <v>5495.25</v>
      </c>
    </row>
    <row r="243" spans="1:17" ht="14.1" customHeight="1">
      <c r="A243" s="147">
        <v>243</v>
      </c>
      <c r="B243" s="165" t="s">
        <v>539</v>
      </c>
      <c r="C243" s="165" t="s">
        <v>540</v>
      </c>
      <c r="D243" s="133" t="s">
        <v>104</v>
      </c>
      <c r="E243" s="166">
        <v>16</v>
      </c>
      <c r="F243" s="180" t="s">
        <v>558</v>
      </c>
      <c r="G243" s="180" t="s">
        <v>217</v>
      </c>
      <c r="H243" s="181" t="s">
        <v>496</v>
      </c>
      <c r="I243" s="531">
        <v>21.55</v>
      </c>
      <c r="J243" s="482"/>
      <c r="K243" s="168">
        <v>255</v>
      </c>
      <c r="L243" s="169" t="e">
        <f t="shared" si="6"/>
        <v>#DIV/0!</v>
      </c>
      <c r="M243" s="170">
        <f>IF(K243="nio",0,IF(K243&gt;0,VLOOKUP(G243,'3-Productie normen'!A:L,VLOOKUP(K243,'3-Productie normen'!N:O,2,FALSE),FALSE)))</f>
        <v>0</v>
      </c>
      <c r="N243" s="171" t="str">
        <f>VLOOKUP(G243,'3-Productie normen'!A:L,10,FALSE)</f>
        <v>B</v>
      </c>
      <c r="O243" s="171"/>
      <c r="Q243" s="130">
        <f t="shared" si="7"/>
        <v>5495.25</v>
      </c>
    </row>
    <row r="244" spans="1:17" ht="14.1" customHeight="1">
      <c r="A244" s="147">
        <v>244</v>
      </c>
      <c r="B244" s="165" t="s">
        <v>539</v>
      </c>
      <c r="C244" s="165" t="s">
        <v>540</v>
      </c>
      <c r="D244" s="133" t="s">
        <v>104</v>
      </c>
      <c r="E244" s="166">
        <v>17</v>
      </c>
      <c r="F244" s="180" t="s">
        <v>559</v>
      </c>
      <c r="G244" s="180" t="s">
        <v>217</v>
      </c>
      <c r="H244" s="180" t="s">
        <v>496</v>
      </c>
      <c r="I244" s="531">
        <v>20.51</v>
      </c>
      <c r="J244" s="482"/>
      <c r="K244" s="168">
        <v>255</v>
      </c>
      <c r="L244" s="169" t="e">
        <f t="shared" si="6"/>
        <v>#DIV/0!</v>
      </c>
      <c r="M244" s="170">
        <f>IF(K244="nio",0,IF(K244&gt;0,VLOOKUP(G244,'3-Productie normen'!A:L,VLOOKUP(K244,'3-Productie normen'!N:O,2,FALSE),FALSE)))</f>
        <v>0</v>
      </c>
      <c r="N244" s="171" t="str">
        <f>VLOOKUP(G244,'3-Productie normen'!A:L,10,FALSE)</f>
        <v>B</v>
      </c>
      <c r="O244" s="171"/>
      <c r="Q244" s="130">
        <f t="shared" si="7"/>
        <v>5230.05</v>
      </c>
    </row>
    <row r="245" spans="1:17" ht="27">
      <c r="A245" s="147">
        <v>245</v>
      </c>
      <c r="B245" s="165" t="s">
        <v>539</v>
      </c>
      <c r="C245" s="165" t="s">
        <v>540</v>
      </c>
      <c r="D245" s="133" t="s">
        <v>104</v>
      </c>
      <c r="E245" s="166">
        <v>18</v>
      </c>
      <c r="F245" s="180" t="s">
        <v>560</v>
      </c>
      <c r="G245" s="180" t="s">
        <v>217</v>
      </c>
      <c r="H245" s="180" t="s">
        <v>496</v>
      </c>
      <c r="I245" s="531">
        <v>30.84</v>
      </c>
      <c r="J245" s="482"/>
      <c r="K245" s="168">
        <v>255</v>
      </c>
      <c r="L245" s="169" t="e">
        <f t="shared" si="6"/>
        <v>#DIV/0!</v>
      </c>
      <c r="M245" s="170">
        <f>IF(K245="nio",0,IF(K245&gt;0,VLOOKUP(G245,'3-Productie normen'!A:L,VLOOKUP(K245,'3-Productie normen'!N:O,2,FALSE),FALSE)))</f>
        <v>0</v>
      </c>
      <c r="N245" s="171" t="str">
        <f>VLOOKUP(G245,'3-Productie normen'!A:L,10,FALSE)</f>
        <v>B</v>
      </c>
      <c r="O245" s="171"/>
      <c r="Q245" s="130">
        <f t="shared" si="7"/>
        <v>7864.2</v>
      </c>
    </row>
    <row r="246" spans="1:17" ht="14.1" customHeight="1">
      <c r="A246" s="147">
        <v>246</v>
      </c>
      <c r="B246" s="165" t="s">
        <v>539</v>
      </c>
      <c r="C246" s="165" t="s">
        <v>540</v>
      </c>
      <c r="D246" s="133" t="s">
        <v>104</v>
      </c>
      <c r="E246" s="166">
        <v>19</v>
      </c>
      <c r="F246" s="180" t="s">
        <v>509</v>
      </c>
      <c r="G246" s="180" t="s">
        <v>285</v>
      </c>
      <c r="H246" s="180" t="s">
        <v>496</v>
      </c>
      <c r="I246" s="531">
        <v>8.94</v>
      </c>
      <c r="J246" s="482"/>
      <c r="K246" s="168" t="s">
        <v>115</v>
      </c>
      <c r="L246" s="169">
        <f t="shared" si="6"/>
        <v>0</v>
      </c>
      <c r="M246" s="170">
        <f>IF(K246="nio",0,IF(K246&gt;0,VLOOKUP(G246,'3-Productie normen'!A:L,VLOOKUP(K246,'3-Productie normen'!N:O,2,FALSE),FALSE)))</f>
        <v>0</v>
      </c>
      <c r="N246" s="171" t="str">
        <f>VLOOKUP(G246,'3-Productie normen'!A:L,10,FALSE)</f>
        <v>V</v>
      </c>
      <c r="O246" s="171"/>
      <c r="Q246" s="130">
        <f t="shared" si="7"/>
        <v>0</v>
      </c>
    </row>
    <row r="247" spans="1:17" ht="14.1" customHeight="1">
      <c r="A247" s="147">
        <v>247</v>
      </c>
      <c r="B247" s="165" t="s">
        <v>539</v>
      </c>
      <c r="C247" s="165" t="s">
        <v>540</v>
      </c>
      <c r="D247" s="133" t="s">
        <v>104</v>
      </c>
      <c r="E247" s="166">
        <v>20</v>
      </c>
      <c r="F247" s="180" t="s">
        <v>401</v>
      </c>
      <c r="G247" s="165" t="s">
        <v>115</v>
      </c>
      <c r="H247" s="180" t="s">
        <v>543</v>
      </c>
      <c r="I247" s="531">
        <v>5.46</v>
      </c>
      <c r="J247" s="482"/>
      <c r="K247" s="168" t="s">
        <v>115</v>
      </c>
      <c r="L247" s="169">
        <f t="shared" si="6"/>
        <v>0</v>
      </c>
      <c r="M247" s="170">
        <f>IF(K247="nio",0,IF(K247&gt;0,VLOOKUP(G247,'3-Productie normen'!A:L,VLOOKUP(K247,'3-Productie normen'!N:O,2,FALSE),FALSE)))</f>
        <v>0</v>
      </c>
      <c r="N247" s="171">
        <f>VLOOKUP(G247,'3-Productie normen'!A:L,10,FALSE)</f>
        <v>0</v>
      </c>
      <c r="O247" s="171"/>
      <c r="Q247" s="130">
        <f t="shared" si="7"/>
        <v>0</v>
      </c>
    </row>
    <row r="248" spans="1:17" ht="14.1" customHeight="1">
      <c r="A248" s="147">
        <v>248</v>
      </c>
      <c r="B248" s="165" t="s">
        <v>539</v>
      </c>
      <c r="C248" s="165" t="s">
        <v>540</v>
      </c>
      <c r="D248" s="133" t="s">
        <v>104</v>
      </c>
      <c r="E248" s="166">
        <v>21</v>
      </c>
      <c r="F248" s="180" t="s">
        <v>561</v>
      </c>
      <c r="G248" s="180" t="s">
        <v>285</v>
      </c>
      <c r="H248" s="180" t="s">
        <v>106</v>
      </c>
      <c r="I248" s="531">
        <v>64.180000000000007</v>
      </c>
      <c r="J248" s="482"/>
      <c r="K248" s="168" t="s">
        <v>115</v>
      </c>
      <c r="L248" s="169">
        <f t="shared" si="6"/>
        <v>0</v>
      </c>
      <c r="M248" s="170">
        <f>IF(K248="nio",0,IF(K248&gt;0,VLOOKUP(G248,'3-Productie normen'!A:L,VLOOKUP(K248,'3-Productie normen'!N:O,2,FALSE),FALSE)))</f>
        <v>0</v>
      </c>
      <c r="N248" s="171" t="str">
        <f>VLOOKUP(G248,'3-Productie normen'!A:L,10,FALSE)</f>
        <v>V</v>
      </c>
      <c r="O248" s="171"/>
      <c r="Q248" s="130">
        <f t="shared" si="7"/>
        <v>0</v>
      </c>
    </row>
    <row r="249" spans="1:17" ht="14.1" customHeight="1">
      <c r="A249" s="147">
        <v>249</v>
      </c>
      <c r="B249" s="165" t="s">
        <v>539</v>
      </c>
      <c r="C249" s="165" t="s">
        <v>540</v>
      </c>
      <c r="D249" s="133" t="s">
        <v>104</v>
      </c>
      <c r="E249" s="166">
        <v>22</v>
      </c>
      <c r="F249" s="180" t="s">
        <v>562</v>
      </c>
      <c r="G249" s="180" t="s">
        <v>285</v>
      </c>
      <c r="H249" s="180" t="s">
        <v>106</v>
      </c>
      <c r="I249" s="531">
        <v>149.72999999999999</v>
      </c>
      <c r="J249" s="482"/>
      <c r="K249" s="168" t="s">
        <v>115</v>
      </c>
      <c r="L249" s="169">
        <f t="shared" si="6"/>
        <v>0</v>
      </c>
      <c r="M249" s="170">
        <f>IF(K249="nio",0,IF(K249&gt;0,VLOOKUP(G249,'3-Productie normen'!A:L,VLOOKUP(K249,'3-Productie normen'!N:O,2,FALSE),FALSE)))</f>
        <v>0</v>
      </c>
      <c r="N249" s="171" t="str">
        <f>VLOOKUP(G249,'3-Productie normen'!A:L,10,FALSE)</f>
        <v>V</v>
      </c>
      <c r="O249" s="171"/>
      <c r="Q249" s="130">
        <f t="shared" si="7"/>
        <v>0</v>
      </c>
    </row>
    <row r="250" spans="1:17" ht="14.1" customHeight="1">
      <c r="A250" s="147">
        <v>250</v>
      </c>
      <c r="B250" s="165" t="s">
        <v>539</v>
      </c>
      <c r="C250" s="165" t="s">
        <v>540</v>
      </c>
      <c r="D250" s="133" t="s">
        <v>104</v>
      </c>
      <c r="E250" s="166">
        <v>23</v>
      </c>
      <c r="F250" s="180" t="s">
        <v>562</v>
      </c>
      <c r="G250" s="180" t="s">
        <v>285</v>
      </c>
      <c r="H250" s="180" t="s">
        <v>106</v>
      </c>
      <c r="I250" s="531">
        <v>19.600000000000001</v>
      </c>
      <c r="J250" s="482"/>
      <c r="K250" s="168" t="s">
        <v>115</v>
      </c>
      <c r="L250" s="169">
        <f t="shared" si="6"/>
        <v>0</v>
      </c>
      <c r="M250" s="170">
        <f>IF(K250="nio",0,IF(K250&gt;0,VLOOKUP(G250,'3-Productie normen'!A:L,VLOOKUP(K250,'3-Productie normen'!N:O,2,FALSE),FALSE)))</f>
        <v>0</v>
      </c>
      <c r="N250" s="171" t="str">
        <f>VLOOKUP(G250,'3-Productie normen'!A:L,10,FALSE)</f>
        <v>V</v>
      </c>
      <c r="O250" s="171"/>
      <c r="Q250" s="130">
        <f t="shared" si="7"/>
        <v>0</v>
      </c>
    </row>
    <row r="251" spans="1:17" ht="14.1" customHeight="1">
      <c r="A251" s="147">
        <v>251</v>
      </c>
      <c r="B251" s="165" t="s">
        <v>539</v>
      </c>
      <c r="C251" s="165" t="s">
        <v>540</v>
      </c>
      <c r="D251" s="133" t="s">
        <v>104</v>
      </c>
      <c r="E251" s="166">
        <v>24</v>
      </c>
      <c r="F251" s="180" t="s">
        <v>562</v>
      </c>
      <c r="G251" s="180" t="s">
        <v>285</v>
      </c>
      <c r="H251" s="180" t="s">
        <v>106</v>
      </c>
      <c r="I251" s="531">
        <v>15.9</v>
      </c>
      <c r="J251" s="482"/>
      <c r="K251" s="168" t="s">
        <v>115</v>
      </c>
      <c r="L251" s="169">
        <f t="shared" si="6"/>
        <v>0</v>
      </c>
      <c r="M251" s="170">
        <f>IF(K251="nio",0,IF(K251&gt;0,VLOOKUP(G251,'3-Productie normen'!A:L,VLOOKUP(K251,'3-Productie normen'!N:O,2,FALSE),FALSE)))</f>
        <v>0</v>
      </c>
      <c r="N251" s="171" t="str">
        <f>VLOOKUP(G251,'3-Productie normen'!A:L,10,FALSE)</f>
        <v>V</v>
      </c>
      <c r="O251" s="171"/>
      <c r="Q251" s="130">
        <f t="shared" si="7"/>
        <v>0</v>
      </c>
    </row>
    <row r="252" spans="1:17" ht="14.1" customHeight="1">
      <c r="A252" s="147">
        <v>252</v>
      </c>
      <c r="B252" s="165" t="s">
        <v>539</v>
      </c>
      <c r="C252" s="165" t="s">
        <v>540</v>
      </c>
      <c r="D252" s="133" t="s">
        <v>104</v>
      </c>
      <c r="E252" s="166">
        <v>25</v>
      </c>
      <c r="F252" s="180" t="s">
        <v>287</v>
      </c>
      <c r="G252" s="180" t="s">
        <v>288</v>
      </c>
      <c r="H252" s="180" t="s">
        <v>106</v>
      </c>
      <c r="I252" s="531">
        <v>24.73</v>
      </c>
      <c r="J252" s="482"/>
      <c r="K252" s="168">
        <v>255</v>
      </c>
      <c r="L252" s="169" t="e">
        <f t="shared" si="6"/>
        <v>#DIV/0!</v>
      </c>
      <c r="M252" s="170">
        <f>IF(K252="nio",0,IF(K252&gt;0,VLOOKUP(G252,'3-Productie normen'!A:L,VLOOKUP(K252,'3-Productie normen'!N:O,2,FALSE),FALSE)))</f>
        <v>0</v>
      </c>
      <c r="N252" s="171" t="str">
        <f>VLOOKUP(G252,'3-Productie normen'!A:L,10,FALSE)</f>
        <v>V</v>
      </c>
      <c r="O252" s="171"/>
      <c r="Q252" s="130">
        <f t="shared" si="7"/>
        <v>6306.1500000000005</v>
      </c>
    </row>
    <row r="253" spans="1:17" ht="27">
      <c r="A253" s="147">
        <v>253</v>
      </c>
      <c r="B253" s="165" t="s">
        <v>539</v>
      </c>
      <c r="C253" s="165" t="s">
        <v>540</v>
      </c>
      <c r="D253" s="133" t="s">
        <v>104</v>
      </c>
      <c r="E253" s="166">
        <v>26</v>
      </c>
      <c r="F253" s="180" t="s">
        <v>563</v>
      </c>
      <c r="G253" s="180" t="s">
        <v>285</v>
      </c>
      <c r="H253" s="180" t="s">
        <v>106</v>
      </c>
      <c r="I253" s="531">
        <v>24.73</v>
      </c>
      <c r="J253" s="482"/>
      <c r="K253" s="168" t="s">
        <v>115</v>
      </c>
      <c r="L253" s="169">
        <f t="shared" si="6"/>
        <v>0</v>
      </c>
      <c r="M253" s="170">
        <f>IF(K253="nio",0,IF(K253&gt;0,VLOOKUP(G253,'3-Productie normen'!A:L,VLOOKUP(K253,'3-Productie normen'!N:O,2,FALSE),FALSE)))</f>
        <v>0</v>
      </c>
      <c r="N253" s="171" t="str">
        <f>VLOOKUP(G253,'3-Productie normen'!A:L,10,FALSE)</f>
        <v>V</v>
      </c>
      <c r="O253" s="171"/>
      <c r="Q253" s="130">
        <f t="shared" si="7"/>
        <v>0</v>
      </c>
    </row>
    <row r="254" spans="1:17" ht="14.1" customHeight="1">
      <c r="A254" s="147">
        <v>254</v>
      </c>
      <c r="B254" s="165" t="s">
        <v>539</v>
      </c>
      <c r="C254" s="165" t="s">
        <v>540</v>
      </c>
      <c r="D254" s="133" t="s">
        <v>104</v>
      </c>
      <c r="E254" s="166">
        <v>27</v>
      </c>
      <c r="F254" s="180" t="s">
        <v>564</v>
      </c>
      <c r="G254" s="180" t="s">
        <v>17</v>
      </c>
      <c r="H254" s="180" t="s">
        <v>565</v>
      </c>
      <c r="I254" s="531">
        <v>32</v>
      </c>
      <c r="J254" s="482"/>
      <c r="K254" s="168">
        <v>255</v>
      </c>
      <c r="L254" s="169" t="e">
        <f t="shared" si="6"/>
        <v>#DIV/0!</v>
      </c>
      <c r="M254" s="170">
        <f>IF(K254="nio",0,IF(K254&gt;0,VLOOKUP(G254,'3-Productie normen'!A:L,VLOOKUP(K254,'3-Productie normen'!N:O,2,FALSE),FALSE)))</f>
        <v>0</v>
      </c>
      <c r="N254" s="171" t="str">
        <f>VLOOKUP(G254,'3-Productie normen'!A:L,10,FALSE)</f>
        <v>S</v>
      </c>
      <c r="O254" s="171"/>
      <c r="Q254" s="130">
        <f t="shared" si="7"/>
        <v>8160</v>
      </c>
    </row>
    <row r="255" spans="1:17" ht="14.1" customHeight="1">
      <c r="A255" s="147">
        <v>255</v>
      </c>
      <c r="B255" s="165" t="s">
        <v>539</v>
      </c>
      <c r="C255" s="165" t="s">
        <v>540</v>
      </c>
      <c r="D255" s="133" t="s">
        <v>104</v>
      </c>
      <c r="E255" s="166">
        <v>28</v>
      </c>
      <c r="F255" s="180" t="s">
        <v>566</v>
      </c>
      <c r="G255" s="180" t="s">
        <v>285</v>
      </c>
      <c r="H255" s="180" t="s">
        <v>106</v>
      </c>
      <c r="I255" s="531">
        <v>113.73</v>
      </c>
      <c r="J255" s="482"/>
      <c r="K255" s="168" t="s">
        <v>115</v>
      </c>
      <c r="L255" s="169">
        <f t="shared" si="6"/>
        <v>0</v>
      </c>
      <c r="M255" s="170">
        <f>IF(K255="nio",0,IF(K255&gt;0,VLOOKUP(G255,'3-Productie normen'!A:L,VLOOKUP(K255,'3-Productie normen'!N:O,2,FALSE),FALSE)))</f>
        <v>0</v>
      </c>
      <c r="N255" s="171" t="str">
        <f>VLOOKUP(G255,'3-Productie normen'!A:L,10,FALSE)</f>
        <v>V</v>
      </c>
      <c r="O255" s="171"/>
      <c r="Q255" s="130">
        <f t="shared" si="7"/>
        <v>0</v>
      </c>
    </row>
    <row r="256" spans="1:17" ht="27">
      <c r="A256" s="147">
        <v>256</v>
      </c>
      <c r="B256" s="165" t="s">
        <v>539</v>
      </c>
      <c r="C256" s="165" t="s">
        <v>540</v>
      </c>
      <c r="D256" s="133" t="s">
        <v>104</v>
      </c>
      <c r="E256" s="166">
        <v>29</v>
      </c>
      <c r="F256" s="180" t="s">
        <v>567</v>
      </c>
      <c r="G256" s="180" t="s">
        <v>217</v>
      </c>
      <c r="H256" s="180" t="s">
        <v>264</v>
      </c>
      <c r="I256" s="531">
        <v>15.66</v>
      </c>
      <c r="J256" s="482"/>
      <c r="K256" s="168">
        <v>255</v>
      </c>
      <c r="L256" s="169" t="e">
        <f t="shared" si="6"/>
        <v>#DIV/0!</v>
      </c>
      <c r="M256" s="170">
        <f>IF(K256="nio",0,IF(K256&gt;0,VLOOKUP(G256,'3-Productie normen'!A:L,VLOOKUP(K256,'3-Productie normen'!N:O,2,FALSE),FALSE)))</f>
        <v>0</v>
      </c>
      <c r="N256" s="171" t="str">
        <f>VLOOKUP(G256,'3-Productie normen'!A:L,10,FALSE)</f>
        <v>B</v>
      </c>
      <c r="O256" s="171"/>
      <c r="Q256" s="130">
        <f t="shared" si="7"/>
        <v>3993.3</v>
      </c>
    </row>
    <row r="257" spans="1:17" ht="14.1" customHeight="1">
      <c r="A257" s="147">
        <v>257</v>
      </c>
      <c r="B257" s="165" t="s">
        <v>539</v>
      </c>
      <c r="C257" s="165" t="s">
        <v>540</v>
      </c>
      <c r="D257" s="133" t="s">
        <v>104</v>
      </c>
      <c r="E257" s="166">
        <v>30</v>
      </c>
      <c r="F257" s="180" t="s">
        <v>568</v>
      </c>
      <c r="G257" s="180" t="s">
        <v>340</v>
      </c>
      <c r="H257" s="180" t="s">
        <v>264</v>
      </c>
      <c r="I257" s="531">
        <v>1.89</v>
      </c>
      <c r="J257" s="482"/>
      <c r="K257" s="168">
        <v>255</v>
      </c>
      <c r="L257" s="169" t="e">
        <f t="shared" si="6"/>
        <v>#DIV/0!</v>
      </c>
      <c r="M257" s="170">
        <f>IF(K257="nio",0,IF(K257&gt;0,VLOOKUP(G257,'3-Productie normen'!A:L,VLOOKUP(K257,'3-Productie normen'!N:O,2,FALSE),FALSE)))</f>
        <v>0</v>
      </c>
      <c r="N257" s="171" t="str">
        <f>VLOOKUP(G257,'3-Productie normen'!A:L,10,FALSE)</f>
        <v>V</v>
      </c>
      <c r="O257" s="171"/>
      <c r="Q257" s="130">
        <f t="shared" si="7"/>
        <v>481.95</v>
      </c>
    </row>
    <row r="258" spans="1:17" ht="14.1" customHeight="1">
      <c r="A258" s="147">
        <v>258</v>
      </c>
      <c r="B258" s="165" t="s">
        <v>539</v>
      </c>
      <c r="C258" s="165" t="s">
        <v>540</v>
      </c>
      <c r="D258" s="133" t="s">
        <v>104</v>
      </c>
      <c r="E258" s="166">
        <v>31</v>
      </c>
      <c r="F258" s="180" t="s">
        <v>569</v>
      </c>
      <c r="G258" s="180" t="s">
        <v>351</v>
      </c>
      <c r="H258" s="180" t="s">
        <v>570</v>
      </c>
      <c r="I258" s="531">
        <v>30</v>
      </c>
      <c r="J258" s="482"/>
      <c r="K258" s="168">
        <v>52</v>
      </c>
      <c r="L258" s="169" t="e">
        <f t="shared" si="6"/>
        <v>#DIV/0!</v>
      </c>
      <c r="M258" s="170">
        <f>IF(K258="nio",0,IF(K258&gt;0,VLOOKUP(G258,'3-Productie normen'!A:L,VLOOKUP(K258,'3-Productie normen'!N:O,2,FALSE),FALSE)))</f>
        <v>0</v>
      </c>
      <c r="N258" s="171" t="str">
        <f>VLOOKUP(G258,'3-Productie normen'!A:L,10,FALSE)</f>
        <v>V</v>
      </c>
      <c r="O258" s="171"/>
      <c r="Q258" s="130">
        <f t="shared" si="7"/>
        <v>1560</v>
      </c>
    </row>
    <row r="259" spans="1:17" ht="14.1" customHeight="1">
      <c r="A259" s="147">
        <v>259</v>
      </c>
      <c r="B259" s="165" t="s">
        <v>539</v>
      </c>
      <c r="C259" s="165" t="s">
        <v>540</v>
      </c>
      <c r="D259" s="133" t="s">
        <v>104</v>
      </c>
      <c r="E259" s="166">
        <v>32</v>
      </c>
      <c r="F259" s="182" t="s">
        <v>347</v>
      </c>
      <c r="G259" s="165" t="s">
        <v>115</v>
      </c>
      <c r="H259" s="180" t="s">
        <v>543</v>
      </c>
      <c r="I259" s="531">
        <v>2.77</v>
      </c>
      <c r="J259" s="482"/>
      <c r="K259" s="168" t="s">
        <v>115</v>
      </c>
      <c r="L259" s="169">
        <f t="shared" si="6"/>
        <v>0</v>
      </c>
      <c r="M259" s="170">
        <f>IF(K259="nio",0,IF(K259&gt;0,VLOOKUP(G259,'3-Productie normen'!A:L,VLOOKUP(K259,'3-Productie normen'!N:O,2,FALSE),FALSE)))</f>
        <v>0</v>
      </c>
      <c r="N259" s="171">
        <f>VLOOKUP(G259,'3-Productie normen'!A:L,10,FALSE)</f>
        <v>0</v>
      </c>
      <c r="O259" s="171"/>
      <c r="Q259" s="130">
        <f t="shared" si="7"/>
        <v>0</v>
      </c>
    </row>
    <row r="260" spans="1:17" ht="14.1" customHeight="1">
      <c r="A260" s="147">
        <v>260</v>
      </c>
      <c r="B260" s="165" t="s">
        <v>539</v>
      </c>
      <c r="C260" s="165" t="s">
        <v>540</v>
      </c>
      <c r="D260" s="133" t="s">
        <v>104</v>
      </c>
      <c r="E260" s="166">
        <v>33</v>
      </c>
      <c r="F260" s="180" t="s">
        <v>571</v>
      </c>
      <c r="G260" s="180" t="s">
        <v>328</v>
      </c>
      <c r="H260" s="180" t="s">
        <v>565</v>
      </c>
      <c r="I260" s="531">
        <v>12.12</v>
      </c>
      <c r="J260" s="482"/>
      <c r="K260" s="168">
        <v>255</v>
      </c>
      <c r="L260" s="169" t="e">
        <f t="shared" si="6"/>
        <v>#DIV/0!</v>
      </c>
      <c r="M260" s="170">
        <f>IF(K260="nio",0,IF(K260&gt;0,VLOOKUP(G260,'3-Productie normen'!A:L,VLOOKUP(K260,'3-Productie normen'!N:O,2,FALSE),FALSE)))</f>
        <v>0</v>
      </c>
      <c r="N260" s="171" t="str">
        <f>VLOOKUP(G260,'3-Productie normen'!A:L,10,FALSE)</f>
        <v>V</v>
      </c>
      <c r="O260" s="171"/>
      <c r="Q260" s="130">
        <f t="shared" si="7"/>
        <v>3090.6</v>
      </c>
    </row>
    <row r="261" spans="1:17" ht="14.1" customHeight="1">
      <c r="A261" s="147">
        <v>261</v>
      </c>
      <c r="B261" s="165" t="s">
        <v>539</v>
      </c>
      <c r="C261" s="165" t="s">
        <v>540</v>
      </c>
      <c r="D261" s="133" t="s">
        <v>104</v>
      </c>
      <c r="E261" s="166">
        <v>34</v>
      </c>
      <c r="F261" s="180" t="s">
        <v>571</v>
      </c>
      <c r="G261" s="180" t="s">
        <v>328</v>
      </c>
      <c r="H261" s="180" t="s">
        <v>565</v>
      </c>
      <c r="I261" s="531">
        <v>10.42</v>
      </c>
      <c r="J261" s="482"/>
      <c r="K261" s="168">
        <v>255</v>
      </c>
      <c r="L261" s="169" t="e">
        <f t="shared" si="6"/>
        <v>#DIV/0!</v>
      </c>
      <c r="M261" s="170">
        <f>IF(K261="nio",0,IF(K261&gt;0,VLOOKUP(G261,'3-Productie normen'!A:L,VLOOKUP(K261,'3-Productie normen'!N:O,2,FALSE),FALSE)))</f>
        <v>0</v>
      </c>
      <c r="N261" s="171" t="str">
        <f>VLOOKUP(G261,'3-Productie normen'!A:L,10,FALSE)</f>
        <v>V</v>
      </c>
      <c r="O261" s="171"/>
      <c r="Q261" s="130">
        <f t="shared" si="7"/>
        <v>2657.1</v>
      </c>
    </row>
    <row r="262" spans="1:17" ht="14.1" customHeight="1">
      <c r="A262" s="147">
        <v>262</v>
      </c>
      <c r="B262" s="165" t="s">
        <v>539</v>
      </c>
      <c r="C262" s="165" t="s">
        <v>540</v>
      </c>
      <c r="D262" s="180" t="s">
        <v>572</v>
      </c>
      <c r="E262" s="166" t="s">
        <v>573</v>
      </c>
      <c r="F262" s="180" t="s">
        <v>287</v>
      </c>
      <c r="G262" s="180" t="s">
        <v>288</v>
      </c>
      <c r="H262" s="180" t="s">
        <v>243</v>
      </c>
      <c r="I262" s="531">
        <v>23.29</v>
      </c>
      <c r="J262" s="482"/>
      <c r="K262" s="168">
        <v>255</v>
      </c>
      <c r="L262" s="169" t="e">
        <f t="shared" si="6"/>
        <v>#DIV/0!</v>
      </c>
      <c r="M262" s="170">
        <f>IF(K262="nio",0,IF(K262&gt;0,VLOOKUP(G262,'3-Productie normen'!A:L,VLOOKUP(K262,'3-Productie normen'!N:O,2,FALSE),FALSE)))</f>
        <v>0</v>
      </c>
      <c r="N262" s="171" t="str">
        <f>VLOOKUP(G262,'3-Productie normen'!A:L,10,FALSE)</f>
        <v>V</v>
      </c>
      <c r="O262" s="171"/>
      <c r="Q262" s="130">
        <f t="shared" si="7"/>
        <v>5938.95</v>
      </c>
    </row>
    <row r="263" spans="1:17" ht="14.1" customHeight="1">
      <c r="A263" s="147">
        <v>263</v>
      </c>
      <c r="B263" s="165" t="s">
        <v>539</v>
      </c>
      <c r="C263" s="165" t="s">
        <v>540</v>
      </c>
      <c r="D263" s="180" t="s">
        <v>572</v>
      </c>
      <c r="E263" s="166" t="s">
        <v>574</v>
      </c>
      <c r="F263" s="180" t="s">
        <v>287</v>
      </c>
      <c r="G263" s="180" t="s">
        <v>288</v>
      </c>
      <c r="H263" s="180" t="s">
        <v>565</v>
      </c>
      <c r="I263" s="531">
        <v>18.989999999999998</v>
      </c>
      <c r="J263" s="482"/>
      <c r="K263" s="168">
        <v>255</v>
      </c>
      <c r="L263" s="169" t="e">
        <f t="shared" si="6"/>
        <v>#DIV/0!</v>
      </c>
      <c r="M263" s="170">
        <f>IF(K263="nio",0,IF(K263&gt;0,VLOOKUP(G263,'3-Productie normen'!A:L,VLOOKUP(K263,'3-Productie normen'!N:O,2,FALSE),FALSE)))</f>
        <v>0</v>
      </c>
      <c r="N263" s="171" t="str">
        <f>VLOOKUP(G263,'3-Productie normen'!A:L,10,FALSE)</f>
        <v>V</v>
      </c>
      <c r="O263" s="171"/>
      <c r="Q263" s="130">
        <f t="shared" si="7"/>
        <v>4842.45</v>
      </c>
    </row>
    <row r="264" spans="1:17" ht="14.1" customHeight="1">
      <c r="A264" s="147">
        <v>264</v>
      </c>
      <c r="B264" s="165" t="s">
        <v>539</v>
      </c>
      <c r="C264" s="165" t="s">
        <v>540</v>
      </c>
      <c r="D264" s="180" t="s">
        <v>572</v>
      </c>
      <c r="E264" s="180" t="s">
        <v>575</v>
      </c>
      <c r="F264" s="180" t="s">
        <v>436</v>
      </c>
      <c r="G264" s="180" t="s">
        <v>247</v>
      </c>
      <c r="H264" s="180" t="s">
        <v>243</v>
      </c>
      <c r="I264" s="531">
        <v>48.23</v>
      </c>
      <c r="J264" s="482"/>
      <c r="K264" s="168">
        <v>255</v>
      </c>
      <c r="L264" s="169" t="e">
        <f t="shared" si="6"/>
        <v>#DIV/0!</v>
      </c>
      <c r="M264" s="170">
        <f>IF(K264="nio",0,IF(K264&gt;0,VLOOKUP(G264,'3-Productie normen'!A:L,VLOOKUP(K264,'3-Productie normen'!N:O,2,FALSE),FALSE)))</f>
        <v>0</v>
      </c>
      <c r="N264" s="171" t="str">
        <f>VLOOKUP(G264,'3-Productie normen'!A:L,10,FALSE)</f>
        <v>V</v>
      </c>
      <c r="O264" s="171"/>
      <c r="Q264" s="130">
        <f t="shared" si="7"/>
        <v>12298.65</v>
      </c>
    </row>
    <row r="265" spans="1:17" ht="14.1" customHeight="1">
      <c r="A265" s="147">
        <v>265</v>
      </c>
      <c r="B265" s="165" t="s">
        <v>539</v>
      </c>
      <c r="C265" s="165" t="s">
        <v>540</v>
      </c>
      <c r="D265" s="180" t="s">
        <v>572</v>
      </c>
      <c r="E265" s="166" t="s">
        <v>576</v>
      </c>
      <c r="F265" s="180" t="s">
        <v>583</v>
      </c>
      <c r="G265" s="180" t="s">
        <v>217</v>
      </c>
      <c r="H265" s="180" t="s">
        <v>243</v>
      </c>
      <c r="I265" s="531">
        <v>16.55</v>
      </c>
      <c r="J265" s="482"/>
      <c r="K265" s="168">
        <v>255</v>
      </c>
      <c r="L265" s="169" t="e">
        <f t="shared" si="6"/>
        <v>#DIV/0!</v>
      </c>
      <c r="M265" s="170">
        <f>IF(K265="nio",0,IF(K265&gt;0,VLOOKUP(G265,'3-Productie normen'!A:L,VLOOKUP(K265,'3-Productie normen'!N:O,2,FALSE),FALSE)))</f>
        <v>0</v>
      </c>
      <c r="N265" s="171" t="str">
        <f>VLOOKUP(G265,'3-Productie normen'!A:L,10,FALSE)</f>
        <v>B</v>
      </c>
      <c r="O265" s="171"/>
      <c r="Q265" s="130">
        <f t="shared" si="7"/>
        <v>4220.25</v>
      </c>
    </row>
    <row r="266" spans="1:17" ht="14.1" customHeight="1">
      <c r="A266" s="147">
        <v>266</v>
      </c>
      <c r="B266" s="165" t="s">
        <v>539</v>
      </c>
      <c r="C266" s="165" t="s">
        <v>540</v>
      </c>
      <c r="D266" s="180" t="s">
        <v>572</v>
      </c>
      <c r="E266" s="180" t="s">
        <v>577</v>
      </c>
      <c r="F266" s="180" t="s">
        <v>584</v>
      </c>
      <c r="G266" s="180" t="s">
        <v>217</v>
      </c>
      <c r="H266" s="180" t="s">
        <v>243</v>
      </c>
      <c r="I266" s="531">
        <v>18.97</v>
      </c>
      <c r="J266" s="482"/>
      <c r="K266" s="168">
        <v>255</v>
      </c>
      <c r="L266" s="169" t="e">
        <f t="shared" ref="L266:L329" si="8">IF(K266="nio",0,IF(K266&gt;0,K266*I266/M266,0))*J266</f>
        <v>#DIV/0!</v>
      </c>
      <c r="M266" s="170">
        <f>IF(K266="nio",0,IF(K266&gt;0,VLOOKUP(G266,'3-Productie normen'!A:L,VLOOKUP(K266,'3-Productie normen'!N:O,2,FALSE),FALSE)))</f>
        <v>0</v>
      </c>
      <c r="N266" s="171" t="str">
        <f>VLOOKUP(G266,'3-Productie normen'!A:L,10,FALSE)</f>
        <v>B</v>
      </c>
      <c r="O266" s="171"/>
      <c r="Q266" s="130">
        <f t="shared" ref="Q266:Q279" si="9">SUM(K266:K266)*I266</f>
        <v>4837.3499999999995</v>
      </c>
    </row>
    <row r="267" spans="1:17" ht="14.1" customHeight="1">
      <c r="A267" s="147">
        <v>267</v>
      </c>
      <c r="B267" s="165" t="s">
        <v>539</v>
      </c>
      <c r="C267" s="165" t="s">
        <v>540</v>
      </c>
      <c r="D267" s="180" t="s">
        <v>572</v>
      </c>
      <c r="E267" s="166" t="s">
        <v>578</v>
      </c>
      <c r="F267" s="180" t="s">
        <v>585</v>
      </c>
      <c r="G267" s="180" t="s">
        <v>217</v>
      </c>
      <c r="H267" s="180" t="s">
        <v>243</v>
      </c>
      <c r="I267" s="531">
        <v>15.7</v>
      </c>
      <c r="J267" s="482"/>
      <c r="K267" s="168">
        <v>255</v>
      </c>
      <c r="L267" s="169" t="e">
        <f t="shared" si="8"/>
        <v>#DIV/0!</v>
      </c>
      <c r="M267" s="170">
        <f>IF(K267="nio",0,IF(K267&gt;0,VLOOKUP(G267,'3-Productie normen'!A:L,VLOOKUP(K267,'3-Productie normen'!N:O,2,FALSE),FALSE)))</f>
        <v>0</v>
      </c>
      <c r="N267" s="171" t="str">
        <f>VLOOKUP(G267,'3-Productie normen'!A:L,10,FALSE)</f>
        <v>B</v>
      </c>
      <c r="O267" s="171"/>
      <c r="Q267" s="130">
        <f t="shared" si="9"/>
        <v>4003.5</v>
      </c>
    </row>
    <row r="268" spans="1:17" ht="14.1" customHeight="1">
      <c r="A268" s="147">
        <v>268</v>
      </c>
      <c r="B268" s="165" t="s">
        <v>539</v>
      </c>
      <c r="C268" s="165" t="s">
        <v>540</v>
      </c>
      <c r="D268" s="180" t="s">
        <v>572</v>
      </c>
      <c r="E268" s="180" t="s">
        <v>579</v>
      </c>
      <c r="F268" s="180" t="s">
        <v>586</v>
      </c>
      <c r="G268" s="180" t="s">
        <v>217</v>
      </c>
      <c r="H268" s="180" t="s">
        <v>243</v>
      </c>
      <c r="I268" s="531">
        <v>15.51</v>
      </c>
      <c r="J268" s="482"/>
      <c r="K268" s="168">
        <v>255</v>
      </c>
      <c r="L268" s="169" t="e">
        <f t="shared" si="8"/>
        <v>#DIV/0!</v>
      </c>
      <c r="M268" s="170">
        <f>IF(K268="nio",0,IF(K268&gt;0,VLOOKUP(G268,'3-Productie normen'!A:L,VLOOKUP(K268,'3-Productie normen'!N:O,2,FALSE),FALSE)))</f>
        <v>0</v>
      </c>
      <c r="N268" s="171" t="str">
        <f>VLOOKUP(G268,'3-Productie normen'!A:L,10,FALSE)</f>
        <v>B</v>
      </c>
      <c r="O268" s="171"/>
      <c r="Q268" s="130">
        <f t="shared" si="9"/>
        <v>3955.0499999999997</v>
      </c>
    </row>
    <row r="269" spans="1:17" ht="14.1" customHeight="1">
      <c r="A269" s="147">
        <v>269</v>
      </c>
      <c r="B269" s="165" t="s">
        <v>539</v>
      </c>
      <c r="C269" s="165" t="s">
        <v>540</v>
      </c>
      <c r="D269" s="180" t="s">
        <v>572</v>
      </c>
      <c r="E269" s="166" t="s">
        <v>580</v>
      </c>
      <c r="F269" s="180" t="s">
        <v>587</v>
      </c>
      <c r="G269" s="165" t="s">
        <v>115</v>
      </c>
      <c r="H269" s="180" t="s">
        <v>264</v>
      </c>
      <c r="I269" s="531">
        <v>186.91</v>
      </c>
      <c r="J269" s="482"/>
      <c r="K269" s="168" t="s">
        <v>115</v>
      </c>
      <c r="L269" s="169">
        <f t="shared" si="8"/>
        <v>0</v>
      </c>
      <c r="M269" s="170">
        <f>IF(K269="nio",0,IF(K269&gt;0,VLOOKUP(G269,'3-Productie normen'!A:L,VLOOKUP(K269,'3-Productie normen'!N:O,2,FALSE),FALSE)))</f>
        <v>0</v>
      </c>
      <c r="N269" s="171">
        <f>VLOOKUP(G269,'3-Productie normen'!A:L,10,FALSE)</f>
        <v>0</v>
      </c>
      <c r="O269" s="171"/>
      <c r="Q269" s="130">
        <f t="shared" si="9"/>
        <v>0</v>
      </c>
    </row>
    <row r="270" spans="1:17" ht="14.1" customHeight="1">
      <c r="A270" s="147">
        <v>270</v>
      </c>
      <c r="B270" s="165" t="s">
        <v>539</v>
      </c>
      <c r="C270" s="165" t="s">
        <v>540</v>
      </c>
      <c r="D270" s="180" t="s">
        <v>572</v>
      </c>
      <c r="E270" s="180" t="s">
        <v>581</v>
      </c>
      <c r="F270" s="180" t="s">
        <v>553</v>
      </c>
      <c r="G270" s="180" t="s">
        <v>17</v>
      </c>
      <c r="H270" s="180" t="s">
        <v>550</v>
      </c>
      <c r="I270" s="531">
        <v>7.41</v>
      </c>
      <c r="J270" s="482"/>
      <c r="K270" s="168">
        <v>255</v>
      </c>
      <c r="L270" s="169" t="e">
        <f t="shared" si="8"/>
        <v>#DIV/0!</v>
      </c>
      <c r="M270" s="170">
        <f>IF(K270="nio",0,IF(K270&gt;0,VLOOKUP(G270,'3-Productie normen'!A:L,VLOOKUP(K270,'3-Productie normen'!N:O,2,FALSE),FALSE)))</f>
        <v>0</v>
      </c>
      <c r="N270" s="171" t="str">
        <f>VLOOKUP(G270,'3-Productie normen'!A:L,10,FALSE)</f>
        <v>S</v>
      </c>
      <c r="O270" s="171"/>
      <c r="Q270" s="130">
        <f t="shared" si="9"/>
        <v>1889.55</v>
      </c>
    </row>
    <row r="271" spans="1:17" ht="14.1" customHeight="1">
      <c r="A271" s="147">
        <v>271</v>
      </c>
      <c r="B271" s="165" t="s">
        <v>539</v>
      </c>
      <c r="C271" s="165" t="s">
        <v>540</v>
      </c>
      <c r="D271" s="180" t="s">
        <v>572</v>
      </c>
      <c r="E271" s="166" t="s">
        <v>582</v>
      </c>
      <c r="F271" s="180" t="s">
        <v>551</v>
      </c>
      <c r="G271" s="180" t="s">
        <v>17</v>
      </c>
      <c r="H271" s="180" t="s">
        <v>550</v>
      </c>
      <c r="I271" s="531">
        <v>10.029999999999999</v>
      </c>
      <c r="J271" s="482"/>
      <c r="K271" s="168">
        <v>255</v>
      </c>
      <c r="L271" s="169" t="e">
        <f t="shared" si="8"/>
        <v>#DIV/0!</v>
      </c>
      <c r="M271" s="170">
        <f>IF(K271="nio",0,IF(K271&gt;0,VLOOKUP(G271,'3-Productie normen'!A:L,VLOOKUP(K271,'3-Productie normen'!N:O,2,FALSE),FALSE)))</f>
        <v>0</v>
      </c>
      <c r="N271" s="171" t="str">
        <f>VLOOKUP(G271,'3-Productie normen'!A:L,10,FALSE)</f>
        <v>S</v>
      </c>
      <c r="O271" s="171"/>
      <c r="Q271" s="130">
        <f t="shared" si="9"/>
        <v>2557.6499999999996</v>
      </c>
    </row>
    <row r="272" spans="1:17" ht="14.1" customHeight="1">
      <c r="A272" s="147">
        <v>272</v>
      </c>
      <c r="B272" s="165" t="s">
        <v>539</v>
      </c>
      <c r="C272" s="165" t="s">
        <v>540</v>
      </c>
      <c r="D272" s="180" t="s">
        <v>572</v>
      </c>
      <c r="E272" s="180" t="s">
        <v>364</v>
      </c>
      <c r="F272" s="180" t="s">
        <v>394</v>
      </c>
      <c r="G272" s="165" t="s">
        <v>115</v>
      </c>
      <c r="H272" s="180" t="s">
        <v>588</v>
      </c>
      <c r="I272" s="531">
        <v>18.940000000000001</v>
      </c>
      <c r="J272" s="482"/>
      <c r="K272" s="168" t="s">
        <v>115</v>
      </c>
      <c r="L272" s="169">
        <f t="shared" si="8"/>
        <v>0</v>
      </c>
      <c r="M272" s="170">
        <f>IF(K272="nio",0,IF(K272&gt;0,VLOOKUP(G272,'3-Productie normen'!A:L,VLOOKUP(K272,'3-Productie normen'!N:O,2,FALSE),FALSE)))</f>
        <v>0</v>
      </c>
      <c r="N272" s="171">
        <f>VLOOKUP(G272,'3-Productie normen'!A:L,10,FALSE)</f>
        <v>0</v>
      </c>
      <c r="O272" s="171"/>
      <c r="Q272" s="130">
        <f t="shared" si="9"/>
        <v>0</v>
      </c>
    </row>
    <row r="273" spans="1:18" ht="14.1" customHeight="1">
      <c r="A273" s="147">
        <v>273</v>
      </c>
      <c r="B273" s="165" t="s">
        <v>539</v>
      </c>
      <c r="C273" s="165" t="s">
        <v>540</v>
      </c>
      <c r="D273" s="180" t="s">
        <v>572</v>
      </c>
      <c r="E273" s="166" t="s">
        <v>365</v>
      </c>
      <c r="F273" s="180" t="s">
        <v>589</v>
      </c>
      <c r="G273" s="165" t="s">
        <v>115</v>
      </c>
      <c r="H273" s="180" t="s">
        <v>588</v>
      </c>
      <c r="I273" s="531">
        <v>16.55</v>
      </c>
      <c r="J273" s="482"/>
      <c r="K273" s="168" t="s">
        <v>115</v>
      </c>
      <c r="L273" s="169">
        <f t="shared" si="8"/>
        <v>0</v>
      </c>
      <c r="M273" s="170">
        <f>IF(K273="nio",0,IF(K273&gt;0,VLOOKUP(G273,'3-Productie normen'!A:L,VLOOKUP(K273,'3-Productie normen'!N:O,2,FALSE),FALSE)))</f>
        <v>0</v>
      </c>
      <c r="N273" s="171">
        <f>VLOOKUP(G273,'3-Productie normen'!A:L,10,FALSE)</f>
        <v>0</v>
      </c>
      <c r="O273" s="171"/>
      <c r="Q273" s="130">
        <f t="shared" si="9"/>
        <v>0</v>
      </c>
    </row>
    <row r="274" spans="1:18" ht="14.1" customHeight="1">
      <c r="A274" s="147">
        <v>274</v>
      </c>
      <c r="B274" s="165" t="s">
        <v>539</v>
      </c>
      <c r="C274" s="165" t="s">
        <v>540</v>
      </c>
      <c r="D274" s="180" t="s">
        <v>572</v>
      </c>
      <c r="E274" s="180" t="s">
        <v>366</v>
      </c>
      <c r="F274" s="180" t="s">
        <v>287</v>
      </c>
      <c r="G274" s="180" t="s">
        <v>288</v>
      </c>
      <c r="H274" s="180" t="s">
        <v>565</v>
      </c>
      <c r="I274" s="531">
        <v>22.26</v>
      </c>
      <c r="J274" s="482"/>
      <c r="K274" s="168">
        <v>255</v>
      </c>
      <c r="L274" s="169" t="e">
        <f t="shared" si="8"/>
        <v>#DIV/0!</v>
      </c>
      <c r="M274" s="170">
        <f>IF(K274="nio",0,IF(K274&gt;0,VLOOKUP(G274,'3-Productie normen'!A:L,VLOOKUP(K274,'3-Productie normen'!N:O,2,FALSE),FALSE)))</f>
        <v>0</v>
      </c>
      <c r="N274" s="171" t="str">
        <f>VLOOKUP(G274,'3-Productie normen'!A:L,10,FALSE)</f>
        <v>V</v>
      </c>
      <c r="O274" s="171"/>
      <c r="Q274" s="130">
        <f t="shared" si="9"/>
        <v>5676.3</v>
      </c>
    </row>
    <row r="275" spans="1:18" ht="40.5">
      <c r="A275" s="147">
        <v>275</v>
      </c>
      <c r="B275" s="165" t="s">
        <v>539</v>
      </c>
      <c r="C275" s="165" t="s">
        <v>540</v>
      </c>
      <c r="D275" s="180" t="s">
        <v>572</v>
      </c>
      <c r="E275" s="166" t="s">
        <v>367</v>
      </c>
      <c r="F275" s="180" t="s">
        <v>590</v>
      </c>
      <c r="G275" s="180" t="s">
        <v>285</v>
      </c>
      <c r="H275" s="180" t="s">
        <v>591</v>
      </c>
      <c r="I275" s="531">
        <v>11.67</v>
      </c>
      <c r="J275" s="482"/>
      <c r="K275" s="168">
        <v>12</v>
      </c>
      <c r="L275" s="169" t="e">
        <f t="shared" si="8"/>
        <v>#DIV/0!</v>
      </c>
      <c r="M275" s="170">
        <f>IF(K275="nio",0,IF(K275&gt;0,VLOOKUP(G275,'3-Productie normen'!A:L,VLOOKUP(K275,'3-Productie normen'!N:O,2,FALSE),FALSE)))</f>
        <v>0</v>
      </c>
      <c r="N275" s="171" t="str">
        <f>VLOOKUP(G275,'3-Productie normen'!A:L,10,FALSE)</f>
        <v>V</v>
      </c>
      <c r="O275" s="171"/>
      <c r="Q275" s="130">
        <f t="shared" si="9"/>
        <v>140.04</v>
      </c>
    </row>
    <row r="276" spans="1:18" ht="14.1" customHeight="1">
      <c r="A276" s="147">
        <v>276</v>
      </c>
      <c r="B276" s="165" t="s">
        <v>539</v>
      </c>
      <c r="C276" s="165" t="s">
        <v>540</v>
      </c>
      <c r="D276" s="180" t="s">
        <v>572</v>
      </c>
      <c r="E276" s="180" t="s">
        <v>368</v>
      </c>
      <c r="F276" s="180" t="s">
        <v>592</v>
      </c>
      <c r="G276" s="165" t="s">
        <v>115</v>
      </c>
      <c r="H276" s="180" t="s">
        <v>106</v>
      </c>
      <c r="I276" s="531">
        <v>2.27</v>
      </c>
      <c r="J276" s="482"/>
      <c r="K276" s="168" t="s">
        <v>115</v>
      </c>
      <c r="L276" s="169">
        <f t="shared" si="8"/>
        <v>0</v>
      </c>
      <c r="M276" s="170">
        <f>IF(K276="nio",0,IF(K276&gt;0,VLOOKUP(G276,'3-Productie normen'!A:L,VLOOKUP(K276,'3-Productie normen'!N:O,2,FALSE),FALSE)))</f>
        <v>0</v>
      </c>
      <c r="N276" s="171">
        <f>VLOOKUP(G276,'3-Productie normen'!A:L,10,FALSE)</f>
        <v>0</v>
      </c>
      <c r="O276" s="171"/>
      <c r="Q276" s="130">
        <f t="shared" si="9"/>
        <v>0</v>
      </c>
    </row>
    <row r="277" spans="1:18" ht="14.1" customHeight="1">
      <c r="A277" s="147">
        <v>277</v>
      </c>
      <c r="B277" s="165" t="s">
        <v>539</v>
      </c>
      <c r="C277" s="165" t="s">
        <v>540</v>
      </c>
      <c r="D277" s="180" t="s">
        <v>572</v>
      </c>
      <c r="E277" s="166" t="s">
        <v>369</v>
      </c>
      <c r="F277" s="180" t="s">
        <v>593</v>
      </c>
      <c r="G277" s="165" t="s">
        <v>115</v>
      </c>
      <c r="H277" s="180" t="s">
        <v>496</v>
      </c>
      <c r="I277" s="531">
        <v>18.78</v>
      </c>
      <c r="J277" s="482"/>
      <c r="K277" s="168" t="s">
        <v>115</v>
      </c>
      <c r="L277" s="169">
        <f t="shared" si="8"/>
        <v>0</v>
      </c>
      <c r="M277" s="170">
        <f>IF(K277="nio",0,IF(K277&gt;0,VLOOKUP(G277,'3-Productie normen'!A:L,VLOOKUP(K277,'3-Productie normen'!N:O,2,FALSE),FALSE)))</f>
        <v>0</v>
      </c>
      <c r="N277" s="171">
        <f>VLOOKUP(G277,'3-Productie normen'!A:L,10,FALSE)</f>
        <v>0</v>
      </c>
      <c r="O277" s="171"/>
      <c r="Q277" s="130">
        <f t="shared" si="9"/>
        <v>0</v>
      </c>
    </row>
    <row r="278" spans="1:18" ht="14.1" customHeight="1">
      <c r="A278" s="147">
        <v>278</v>
      </c>
      <c r="B278" s="165" t="s">
        <v>539</v>
      </c>
      <c r="C278" s="165" t="s">
        <v>540</v>
      </c>
      <c r="D278" s="180" t="s">
        <v>572</v>
      </c>
      <c r="E278" s="180" t="s">
        <v>370</v>
      </c>
      <c r="F278" s="180" t="s">
        <v>594</v>
      </c>
      <c r="G278" s="165" t="s">
        <v>115</v>
      </c>
      <c r="H278" s="180" t="s">
        <v>264</v>
      </c>
      <c r="I278" s="531">
        <v>23.95</v>
      </c>
      <c r="J278" s="482"/>
      <c r="K278" s="168" t="s">
        <v>115</v>
      </c>
      <c r="L278" s="169">
        <f t="shared" si="8"/>
        <v>0</v>
      </c>
      <c r="M278" s="170">
        <f>IF(K278="nio",0,IF(K278&gt;0,VLOOKUP(G278,'3-Productie normen'!A:L,VLOOKUP(K278,'3-Productie normen'!N:O,2,FALSE),FALSE)))</f>
        <v>0</v>
      </c>
      <c r="N278" s="171">
        <f>VLOOKUP(G278,'3-Productie normen'!A:L,10,FALSE)</f>
        <v>0</v>
      </c>
      <c r="O278" s="171"/>
      <c r="Q278" s="130">
        <f t="shared" si="9"/>
        <v>0</v>
      </c>
    </row>
    <row r="279" spans="1:18" ht="14.1" customHeight="1">
      <c r="A279" s="147">
        <v>279</v>
      </c>
      <c r="B279" s="165" t="s">
        <v>539</v>
      </c>
      <c r="C279" s="165" t="s">
        <v>540</v>
      </c>
      <c r="D279" s="180" t="s">
        <v>572</v>
      </c>
      <c r="E279" s="166" t="s">
        <v>371</v>
      </c>
      <c r="F279" s="180" t="s">
        <v>347</v>
      </c>
      <c r="G279" s="165" t="s">
        <v>115</v>
      </c>
      <c r="H279" s="180" t="s">
        <v>550</v>
      </c>
      <c r="I279" s="531">
        <v>1.66</v>
      </c>
      <c r="J279" s="482"/>
      <c r="K279" s="168" t="s">
        <v>115</v>
      </c>
      <c r="L279" s="169">
        <f t="shared" si="8"/>
        <v>0</v>
      </c>
      <c r="M279" s="170">
        <f>IF(K279="nio",0,IF(K279&gt;0,VLOOKUP(G279,'3-Productie normen'!A:L,VLOOKUP(K279,'3-Productie normen'!N:O,2,FALSE),FALSE)))</f>
        <v>0</v>
      </c>
      <c r="N279" s="171">
        <f>VLOOKUP(G279,'3-Productie normen'!A:L,10,FALSE)</f>
        <v>0</v>
      </c>
      <c r="O279" s="171"/>
      <c r="Q279" s="130">
        <f t="shared" si="9"/>
        <v>0</v>
      </c>
    </row>
    <row r="280" spans="1:18" ht="14.1" customHeight="1">
      <c r="B280" s="183"/>
      <c r="C280" s="183"/>
      <c r="D280" s="184"/>
      <c r="E280" s="185"/>
      <c r="F280" s="186"/>
      <c r="G280" s="186"/>
      <c r="H280" s="9"/>
      <c r="I280" s="532"/>
      <c r="J280" s="443"/>
      <c r="K280" s="187"/>
      <c r="L280" s="188"/>
      <c r="M280" s="189"/>
      <c r="N280" s="190"/>
      <c r="O280" s="190"/>
      <c r="P280" s="190"/>
      <c r="Q280" s="190"/>
      <c r="R280" s="190"/>
    </row>
    <row r="281" spans="1:18" ht="14.1" customHeight="1">
      <c r="B281" s="183"/>
      <c r="C281" s="183"/>
      <c r="D281" s="184"/>
      <c r="E281" s="185"/>
      <c r="F281" s="186"/>
      <c r="G281" s="186"/>
      <c r="H281" s="9"/>
      <c r="I281" s="532"/>
      <c r="J281" s="443"/>
      <c r="K281" s="187"/>
      <c r="L281" s="188"/>
      <c r="M281" s="189"/>
      <c r="N281" s="190"/>
      <c r="O281" s="190"/>
      <c r="P281" s="190"/>
      <c r="Q281" s="190"/>
      <c r="R281" s="190"/>
    </row>
    <row r="282" spans="1:18" ht="14.1" customHeight="1">
      <c r="B282" s="183"/>
      <c r="C282" s="183"/>
      <c r="D282" s="184"/>
      <c r="E282" s="185"/>
      <c r="F282" s="186"/>
      <c r="G282" s="186"/>
      <c r="H282" s="9"/>
      <c r="I282" s="532"/>
      <c r="J282" s="443"/>
      <c r="K282" s="187"/>
      <c r="L282" s="188"/>
      <c r="M282" s="189"/>
      <c r="N282" s="190"/>
      <c r="O282" s="190"/>
      <c r="P282" s="190"/>
      <c r="Q282" s="190"/>
      <c r="R282" s="190"/>
    </row>
    <row r="283" spans="1:18" ht="14.1" customHeight="1">
      <c r="B283" s="183"/>
      <c r="C283" s="183"/>
      <c r="D283" s="184"/>
      <c r="E283" s="185"/>
      <c r="F283" s="186"/>
      <c r="G283" s="186"/>
      <c r="H283" s="9"/>
      <c r="I283" s="532"/>
      <c r="J283" s="443"/>
      <c r="K283" s="187"/>
      <c r="L283" s="188"/>
      <c r="M283" s="189"/>
      <c r="N283" s="190"/>
      <c r="O283" s="190"/>
      <c r="P283" s="190"/>
      <c r="Q283" s="190"/>
      <c r="R283" s="190"/>
    </row>
    <row r="284" spans="1:18" ht="14.1" customHeight="1">
      <c r="B284" s="183"/>
      <c r="C284" s="183"/>
      <c r="D284" s="184"/>
      <c r="E284" s="185"/>
      <c r="F284" s="186"/>
      <c r="G284" s="186"/>
      <c r="H284" s="9"/>
      <c r="I284" s="532"/>
      <c r="J284" s="443"/>
      <c r="K284" s="187"/>
      <c r="L284" s="188"/>
      <c r="M284" s="189"/>
      <c r="N284" s="190"/>
      <c r="O284" s="190"/>
    </row>
    <row r="285" spans="1:18" ht="14.1" customHeight="1">
      <c r="B285" s="183"/>
      <c r="C285" s="183"/>
      <c r="D285" s="184"/>
      <c r="E285" s="185"/>
      <c r="F285" s="186"/>
      <c r="G285" s="186"/>
      <c r="H285" s="9"/>
      <c r="I285" s="532"/>
      <c r="J285" s="443"/>
      <c r="K285" s="187"/>
      <c r="L285" s="188"/>
      <c r="M285" s="189"/>
      <c r="N285" s="190"/>
      <c r="O285" s="190"/>
    </row>
    <row r="286" spans="1:18" ht="14.1" customHeight="1">
      <c r="B286" s="183"/>
      <c r="C286" s="183"/>
      <c r="D286" s="184"/>
      <c r="E286" s="185"/>
      <c r="F286" s="186"/>
      <c r="G286" s="186"/>
      <c r="H286" s="9"/>
      <c r="I286" s="532"/>
      <c r="J286" s="443"/>
      <c r="K286" s="187"/>
      <c r="L286" s="188"/>
      <c r="M286" s="189"/>
      <c r="N286" s="190"/>
      <c r="O286" s="190"/>
    </row>
    <row r="287" spans="1:18" ht="14.1" customHeight="1">
      <c r="B287" s="183"/>
      <c r="C287" s="183"/>
      <c r="D287" s="184"/>
      <c r="E287" s="185"/>
      <c r="F287" s="186"/>
      <c r="G287" s="186"/>
      <c r="H287" s="9"/>
      <c r="I287" s="532"/>
      <c r="J287" s="443"/>
      <c r="K287" s="187"/>
      <c r="L287" s="188"/>
      <c r="M287" s="189"/>
      <c r="N287" s="190"/>
      <c r="O287" s="190"/>
    </row>
    <row r="288" spans="1:18" ht="14.1" customHeight="1">
      <c r="B288" s="183"/>
      <c r="C288" s="183"/>
      <c r="D288" s="184"/>
      <c r="E288" s="185"/>
      <c r="F288" s="186"/>
      <c r="G288" s="186"/>
      <c r="H288" s="9"/>
      <c r="I288" s="532"/>
      <c r="J288" s="443"/>
      <c r="K288" s="187"/>
      <c r="L288" s="188"/>
      <c r="M288" s="189"/>
      <c r="N288" s="190"/>
      <c r="O288" s="190"/>
    </row>
    <row r="289" spans="2:15" ht="14.1" customHeight="1">
      <c r="B289" s="183"/>
      <c r="C289" s="183"/>
      <c r="D289" s="184"/>
      <c r="E289" s="185"/>
      <c r="F289" s="186"/>
      <c r="G289" s="186"/>
      <c r="H289" s="9"/>
      <c r="I289" s="532"/>
      <c r="J289" s="443"/>
      <c r="K289" s="187"/>
      <c r="L289" s="188"/>
      <c r="M289" s="189"/>
      <c r="N289" s="190"/>
      <c r="O289" s="190"/>
    </row>
    <row r="290" spans="2:15" ht="14.1" customHeight="1">
      <c r="B290" s="183"/>
      <c r="C290" s="183"/>
      <c r="D290" s="184"/>
      <c r="E290" s="185"/>
      <c r="F290" s="186"/>
      <c r="G290" s="186"/>
      <c r="H290" s="9"/>
      <c r="I290" s="532"/>
      <c r="J290" s="443"/>
      <c r="K290" s="187"/>
      <c r="L290" s="188"/>
      <c r="M290" s="189"/>
      <c r="N290" s="190"/>
      <c r="O290" s="190"/>
    </row>
    <row r="291" spans="2:15" ht="14.1" customHeight="1">
      <c r="B291" s="183"/>
      <c r="C291" s="183"/>
      <c r="D291" s="184"/>
      <c r="E291" s="185"/>
      <c r="F291" s="186"/>
      <c r="G291" s="186"/>
      <c r="H291" s="9"/>
      <c r="I291" s="532"/>
      <c r="J291" s="443"/>
      <c r="K291" s="187"/>
      <c r="L291" s="188"/>
      <c r="M291" s="189"/>
      <c r="N291" s="190"/>
      <c r="O291" s="190"/>
    </row>
    <row r="292" spans="2:15" ht="14.1" customHeight="1">
      <c r="B292" s="183"/>
      <c r="C292" s="183"/>
      <c r="D292" s="184"/>
      <c r="E292" s="185"/>
      <c r="F292" s="186"/>
      <c r="G292" s="186"/>
      <c r="H292" s="9"/>
      <c r="I292" s="532"/>
      <c r="J292" s="443"/>
      <c r="K292" s="187"/>
      <c r="L292" s="188"/>
      <c r="M292" s="189"/>
      <c r="N292" s="190"/>
      <c r="O292" s="190"/>
    </row>
    <row r="293" spans="2:15" ht="14.1" customHeight="1">
      <c r="B293" s="183"/>
      <c r="C293" s="183"/>
      <c r="D293" s="184"/>
      <c r="E293" s="185"/>
      <c r="F293" s="186"/>
      <c r="G293" s="186"/>
      <c r="H293" s="9"/>
      <c r="I293" s="532"/>
      <c r="J293" s="443"/>
      <c r="K293" s="187"/>
      <c r="L293" s="188"/>
      <c r="M293" s="189"/>
      <c r="N293" s="190"/>
      <c r="O293" s="190"/>
    </row>
    <row r="294" spans="2:15" ht="14.1" customHeight="1">
      <c r="B294" s="183"/>
      <c r="C294" s="183"/>
      <c r="D294" s="184"/>
      <c r="E294" s="185"/>
      <c r="F294" s="186"/>
      <c r="G294" s="186"/>
      <c r="H294" s="9"/>
      <c r="I294" s="532"/>
      <c r="J294" s="443"/>
      <c r="K294" s="187"/>
      <c r="L294" s="188"/>
      <c r="M294" s="189"/>
      <c r="N294" s="190"/>
      <c r="O294" s="190"/>
    </row>
    <row r="295" spans="2:15" ht="14.1" customHeight="1">
      <c r="B295" s="183"/>
      <c r="C295" s="183"/>
      <c r="D295" s="184"/>
      <c r="E295" s="185"/>
      <c r="F295" s="186"/>
      <c r="G295" s="186"/>
      <c r="H295" s="9"/>
      <c r="I295" s="532"/>
      <c r="J295" s="443"/>
      <c r="K295" s="187"/>
      <c r="L295" s="188"/>
      <c r="M295" s="189"/>
      <c r="N295" s="190"/>
      <c r="O295" s="190"/>
    </row>
    <row r="296" spans="2:15" ht="14.1" customHeight="1">
      <c r="B296" s="183"/>
      <c r="C296" s="183"/>
      <c r="D296" s="184"/>
      <c r="E296" s="185"/>
      <c r="F296" s="186"/>
      <c r="G296" s="186"/>
      <c r="H296" s="9"/>
      <c r="I296" s="532"/>
      <c r="J296" s="443"/>
      <c r="K296" s="187"/>
      <c r="L296" s="188"/>
      <c r="M296" s="189"/>
      <c r="N296" s="190"/>
      <c r="O296" s="190"/>
    </row>
    <row r="297" spans="2:15" ht="14.1" customHeight="1">
      <c r="B297" s="183"/>
      <c r="C297" s="183"/>
      <c r="D297" s="184"/>
      <c r="E297" s="185"/>
      <c r="F297" s="186"/>
      <c r="G297" s="186"/>
      <c r="H297" s="9"/>
      <c r="I297" s="532"/>
      <c r="J297" s="443"/>
      <c r="K297" s="187"/>
      <c r="L297" s="188"/>
      <c r="M297" s="189"/>
      <c r="N297" s="190"/>
      <c r="O297" s="190"/>
    </row>
    <row r="298" spans="2:15" ht="14.1" customHeight="1">
      <c r="B298" s="183"/>
      <c r="C298" s="183"/>
      <c r="D298" s="184"/>
      <c r="E298" s="185"/>
      <c r="F298" s="186"/>
      <c r="G298" s="186"/>
      <c r="H298" s="9"/>
      <c r="I298" s="532"/>
      <c r="J298" s="443"/>
      <c r="K298" s="187"/>
      <c r="L298" s="188"/>
      <c r="M298" s="189"/>
      <c r="N298" s="190"/>
      <c r="O298" s="190"/>
    </row>
    <row r="299" spans="2:15" ht="14.1" customHeight="1">
      <c r="B299" s="183"/>
      <c r="C299" s="183"/>
      <c r="D299" s="184"/>
      <c r="E299" s="185"/>
      <c r="F299" s="186"/>
      <c r="G299" s="186"/>
      <c r="H299" s="9"/>
      <c r="I299" s="532"/>
      <c r="J299" s="443"/>
      <c r="K299" s="187"/>
      <c r="L299" s="188"/>
      <c r="M299" s="189"/>
      <c r="N299" s="190"/>
      <c r="O299" s="190"/>
    </row>
    <row r="300" spans="2:15" ht="14.1" customHeight="1">
      <c r="B300" s="183"/>
      <c r="C300" s="183"/>
      <c r="D300" s="184"/>
      <c r="E300" s="185"/>
      <c r="F300" s="186"/>
      <c r="G300" s="186"/>
      <c r="H300" s="9"/>
      <c r="I300" s="532"/>
      <c r="J300" s="443"/>
      <c r="K300" s="187"/>
      <c r="L300" s="188"/>
      <c r="M300" s="189"/>
      <c r="N300" s="190"/>
      <c r="O300" s="190"/>
    </row>
    <row r="301" spans="2:15" ht="14.1" customHeight="1">
      <c r="B301" s="183"/>
      <c r="C301" s="183"/>
      <c r="D301" s="184"/>
      <c r="E301" s="185"/>
      <c r="F301" s="186"/>
      <c r="G301" s="186"/>
      <c r="H301" s="9"/>
      <c r="I301" s="532"/>
      <c r="J301" s="443"/>
      <c r="K301" s="187"/>
      <c r="L301" s="188"/>
      <c r="M301" s="189"/>
      <c r="N301" s="190"/>
      <c r="O301" s="190"/>
    </row>
    <row r="302" spans="2:15" ht="14.1" customHeight="1">
      <c r="B302" s="183"/>
      <c r="C302" s="183"/>
      <c r="D302" s="184"/>
      <c r="E302" s="185"/>
      <c r="F302" s="186"/>
      <c r="G302" s="186"/>
      <c r="H302" s="9"/>
      <c r="I302" s="532"/>
      <c r="J302" s="443"/>
      <c r="K302" s="187"/>
      <c r="L302" s="188"/>
      <c r="M302" s="189"/>
      <c r="N302" s="190"/>
      <c r="O302" s="190"/>
    </row>
    <row r="303" spans="2:15" ht="14.1" customHeight="1">
      <c r="B303" s="183"/>
      <c r="C303" s="183"/>
      <c r="D303" s="184"/>
      <c r="E303" s="185"/>
      <c r="F303" s="186"/>
      <c r="G303" s="186"/>
      <c r="H303" s="9"/>
      <c r="I303" s="532"/>
      <c r="J303" s="443"/>
      <c r="K303" s="187"/>
      <c r="L303" s="188"/>
      <c r="M303" s="189"/>
      <c r="N303" s="190"/>
      <c r="O303" s="190"/>
    </row>
    <row r="304" spans="2:15" ht="14.1" customHeight="1">
      <c r="B304" s="183"/>
      <c r="C304" s="183"/>
      <c r="D304" s="184"/>
      <c r="E304" s="185"/>
      <c r="F304" s="186"/>
      <c r="G304" s="186"/>
      <c r="H304" s="9"/>
      <c r="I304" s="532"/>
      <c r="J304" s="443"/>
      <c r="K304" s="187"/>
      <c r="L304" s="188"/>
      <c r="M304" s="189"/>
      <c r="N304" s="190"/>
      <c r="O304" s="190"/>
    </row>
    <row r="305" spans="2:15" ht="14.1" customHeight="1">
      <c r="B305" s="183"/>
      <c r="C305" s="183"/>
      <c r="D305" s="184"/>
      <c r="E305" s="185"/>
      <c r="F305" s="186"/>
      <c r="G305" s="186"/>
      <c r="H305" s="9"/>
      <c r="I305" s="532"/>
      <c r="J305" s="443"/>
      <c r="K305" s="187"/>
      <c r="L305" s="188"/>
      <c r="M305" s="189"/>
      <c r="N305" s="190"/>
      <c r="O305" s="190"/>
    </row>
    <row r="306" spans="2:15" ht="14.1" customHeight="1">
      <c r="B306" s="183"/>
      <c r="C306" s="183"/>
      <c r="D306" s="184"/>
      <c r="E306" s="185"/>
      <c r="F306" s="186"/>
      <c r="G306" s="186"/>
      <c r="H306" s="9"/>
      <c r="I306" s="532"/>
      <c r="J306" s="443"/>
      <c r="K306" s="187"/>
      <c r="L306" s="188"/>
      <c r="M306" s="189"/>
      <c r="N306" s="190"/>
      <c r="O306" s="190"/>
    </row>
    <row r="307" spans="2:15" ht="14.1" customHeight="1">
      <c r="B307" s="183"/>
      <c r="C307" s="183"/>
      <c r="D307" s="184"/>
      <c r="E307" s="185"/>
      <c r="F307" s="186"/>
      <c r="G307" s="186"/>
      <c r="H307" s="9"/>
      <c r="I307" s="532"/>
      <c r="J307" s="443"/>
      <c r="K307" s="187"/>
      <c r="L307" s="188"/>
      <c r="M307" s="189"/>
      <c r="N307" s="190"/>
      <c r="O307" s="190"/>
    </row>
    <row r="308" spans="2:15" ht="14.1" customHeight="1">
      <c r="B308" s="183"/>
      <c r="C308" s="183"/>
      <c r="D308" s="184"/>
      <c r="E308" s="185"/>
      <c r="F308" s="186"/>
      <c r="G308" s="186"/>
      <c r="H308" s="9"/>
      <c r="I308" s="532"/>
      <c r="J308" s="443"/>
      <c r="K308" s="187"/>
      <c r="L308" s="188"/>
      <c r="M308" s="189"/>
      <c r="N308" s="190"/>
      <c r="O308" s="190"/>
    </row>
    <row r="309" spans="2:15" ht="14.1" customHeight="1">
      <c r="B309" s="183"/>
      <c r="C309" s="183"/>
      <c r="D309" s="184"/>
      <c r="E309" s="185"/>
      <c r="F309" s="186"/>
      <c r="G309" s="186"/>
      <c r="H309" s="9"/>
      <c r="I309" s="532"/>
      <c r="J309" s="443"/>
      <c r="K309" s="187"/>
      <c r="L309" s="188"/>
      <c r="M309" s="189"/>
      <c r="N309" s="190"/>
      <c r="O309" s="190"/>
    </row>
    <row r="310" spans="2:15" ht="14.1" customHeight="1">
      <c r="B310" s="183"/>
      <c r="C310" s="183"/>
      <c r="D310" s="184"/>
      <c r="E310" s="185"/>
      <c r="F310" s="186"/>
      <c r="G310" s="186"/>
      <c r="H310" s="9"/>
      <c r="I310" s="532"/>
      <c r="J310" s="443"/>
      <c r="K310" s="187"/>
      <c r="L310" s="188"/>
      <c r="M310" s="189"/>
      <c r="N310" s="190"/>
      <c r="O310" s="190"/>
    </row>
    <row r="311" spans="2:15" ht="14.1" customHeight="1">
      <c r="B311" s="183"/>
      <c r="C311" s="183"/>
      <c r="D311" s="184"/>
      <c r="E311" s="185"/>
      <c r="F311" s="186"/>
      <c r="G311" s="186"/>
      <c r="H311" s="9"/>
      <c r="I311" s="532"/>
      <c r="J311" s="443"/>
      <c r="K311" s="187"/>
      <c r="L311" s="188"/>
      <c r="M311" s="189"/>
      <c r="N311" s="190"/>
      <c r="O311" s="190"/>
    </row>
    <row r="312" spans="2:15" ht="14.1" customHeight="1">
      <c r="B312" s="183"/>
      <c r="C312" s="183"/>
      <c r="D312" s="184"/>
      <c r="E312" s="185"/>
      <c r="F312" s="186"/>
      <c r="G312" s="186"/>
      <c r="H312" s="9"/>
      <c r="I312" s="532"/>
      <c r="J312" s="443"/>
      <c r="K312" s="187"/>
      <c r="L312" s="188"/>
      <c r="M312" s="189"/>
      <c r="N312" s="190"/>
      <c r="O312" s="190"/>
    </row>
    <row r="313" spans="2:15" ht="14.1" customHeight="1">
      <c r="B313" s="183"/>
      <c r="C313" s="183"/>
      <c r="D313" s="184"/>
      <c r="E313" s="185"/>
      <c r="F313" s="186"/>
      <c r="G313" s="186"/>
      <c r="H313" s="9"/>
      <c r="I313" s="532"/>
      <c r="J313" s="443"/>
      <c r="K313" s="187"/>
      <c r="L313" s="188"/>
      <c r="M313" s="189"/>
      <c r="N313" s="190"/>
      <c r="O313" s="190"/>
    </row>
    <row r="314" spans="2:15" ht="14.1" customHeight="1">
      <c r="B314" s="183"/>
      <c r="C314" s="183"/>
      <c r="D314" s="184"/>
      <c r="E314" s="185"/>
      <c r="F314" s="186"/>
      <c r="G314" s="186"/>
      <c r="H314" s="9"/>
      <c r="I314" s="532"/>
      <c r="J314" s="443"/>
      <c r="K314" s="187"/>
      <c r="L314" s="188"/>
      <c r="M314" s="189"/>
      <c r="N314" s="190"/>
      <c r="O314" s="190"/>
    </row>
    <row r="315" spans="2:15" ht="14.1" customHeight="1">
      <c r="B315" s="183"/>
      <c r="C315" s="183"/>
      <c r="D315" s="184"/>
      <c r="E315" s="185"/>
      <c r="F315" s="186"/>
      <c r="G315" s="186"/>
      <c r="H315" s="9"/>
      <c r="I315" s="532"/>
      <c r="J315" s="443"/>
      <c r="K315" s="187"/>
      <c r="L315" s="188"/>
      <c r="M315" s="189"/>
      <c r="N315" s="190"/>
      <c r="O315" s="190"/>
    </row>
    <row r="316" spans="2:15" ht="14.1" customHeight="1">
      <c r="B316" s="183"/>
      <c r="C316" s="183"/>
      <c r="D316" s="184"/>
      <c r="E316" s="185"/>
      <c r="F316" s="186"/>
      <c r="G316" s="186"/>
      <c r="H316" s="9"/>
      <c r="I316" s="532"/>
      <c r="J316" s="443"/>
      <c r="K316" s="187"/>
      <c r="L316" s="188"/>
      <c r="M316" s="189"/>
      <c r="N316" s="190"/>
      <c r="O316" s="190"/>
    </row>
    <row r="317" spans="2:15" ht="14.1" customHeight="1">
      <c r="B317" s="183"/>
      <c r="C317" s="183"/>
      <c r="D317" s="184"/>
      <c r="E317" s="185"/>
      <c r="F317" s="186"/>
      <c r="G317" s="186"/>
      <c r="H317" s="9"/>
      <c r="I317" s="532"/>
      <c r="J317" s="443"/>
      <c r="K317" s="187"/>
      <c r="L317" s="188"/>
      <c r="M317" s="189"/>
      <c r="N317" s="190"/>
      <c r="O317" s="190"/>
    </row>
    <row r="318" spans="2:15" ht="14.1" customHeight="1">
      <c r="B318" s="183"/>
      <c r="C318" s="183"/>
      <c r="D318" s="184"/>
      <c r="E318" s="185"/>
      <c r="F318" s="186"/>
      <c r="G318" s="186"/>
      <c r="H318" s="9"/>
      <c r="I318" s="532"/>
      <c r="J318" s="443"/>
      <c r="K318" s="187"/>
      <c r="L318" s="188"/>
      <c r="M318" s="189"/>
      <c r="N318" s="190"/>
      <c r="O318" s="190"/>
    </row>
    <row r="319" spans="2:15" ht="14.1" customHeight="1">
      <c r="B319" s="183"/>
      <c r="C319" s="183"/>
      <c r="D319" s="184"/>
      <c r="E319" s="185"/>
      <c r="F319" s="186"/>
      <c r="G319" s="186"/>
      <c r="H319" s="9"/>
      <c r="I319" s="532"/>
      <c r="J319" s="443"/>
      <c r="K319" s="187"/>
      <c r="L319" s="188"/>
      <c r="M319" s="189"/>
      <c r="N319" s="190"/>
      <c r="O319" s="190"/>
    </row>
    <row r="320" spans="2:15" ht="14.1" customHeight="1">
      <c r="B320" s="183"/>
      <c r="C320" s="183"/>
      <c r="D320" s="184"/>
      <c r="E320" s="185"/>
      <c r="F320" s="186"/>
      <c r="G320" s="186"/>
      <c r="H320" s="9"/>
      <c r="I320" s="532"/>
      <c r="J320" s="443"/>
      <c r="K320" s="187"/>
      <c r="L320" s="188"/>
      <c r="M320" s="189"/>
      <c r="N320" s="190"/>
      <c r="O320" s="190"/>
    </row>
    <row r="321" spans="2:15" ht="14.1" customHeight="1">
      <c r="B321" s="183"/>
      <c r="C321" s="183"/>
      <c r="D321" s="184"/>
      <c r="E321" s="185"/>
      <c r="F321" s="186"/>
      <c r="G321" s="186"/>
      <c r="H321" s="9"/>
      <c r="I321" s="532"/>
      <c r="J321" s="443"/>
      <c r="K321" s="187"/>
      <c r="L321" s="188"/>
      <c r="M321" s="189"/>
      <c r="N321" s="190"/>
      <c r="O321" s="190"/>
    </row>
    <row r="322" spans="2:15" ht="14.1" customHeight="1">
      <c r="B322" s="183"/>
      <c r="C322" s="183"/>
      <c r="D322" s="184"/>
      <c r="E322" s="185"/>
      <c r="F322" s="186"/>
      <c r="G322" s="186"/>
      <c r="H322" s="9"/>
      <c r="I322" s="532"/>
      <c r="J322" s="443"/>
      <c r="K322" s="187"/>
      <c r="L322" s="188"/>
      <c r="M322" s="189"/>
      <c r="N322" s="190"/>
      <c r="O322" s="190"/>
    </row>
    <row r="323" spans="2:15" ht="14.1" customHeight="1">
      <c r="B323" s="183"/>
      <c r="C323" s="183"/>
      <c r="D323" s="184"/>
      <c r="E323" s="185"/>
      <c r="F323" s="186"/>
      <c r="G323" s="186"/>
      <c r="H323" s="9"/>
      <c r="I323" s="532"/>
      <c r="J323" s="443"/>
      <c r="K323" s="187"/>
      <c r="L323" s="188"/>
      <c r="M323" s="189"/>
      <c r="N323" s="190"/>
      <c r="O323" s="190"/>
    </row>
    <row r="324" spans="2:15" ht="14.1" customHeight="1">
      <c r="B324" s="183"/>
      <c r="C324" s="183"/>
      <c r="D324" s="184"/>
      <c r="E324" s="185"/>
      <c r="F324" s="186"/>
      <c r="G324" s="186"/>
      <c r="H324" s="9"/>
      <c r="I324" s="532"/>
      <c r="J324" s="443"/>
      <c r="K324" s="187"/>
      <c r="L324" s="188"/>
      <c r="M324" s="189"/>
      <c r="N324" s="190"/>
      <c r="O324" s="190"/>
    </row>
    <row r="325" spans="2:15" ht="14.1" customHeight="1">
      <c r="B325" s="183"/>
      <c r="C325" s="183"/>
      <c r="D325" s="184"/>
      <c r="E325" s="185"/>
      <c r="F325" s="186"/>
      <c r="G325" s="186"/>
      <c r="H325" s="9"/>
      <c r="I325" s="532"/>
      <c r="J325" s="443"/>
      <c r="K325" s="187"/>
      <c r="L325" s="188"/>
      <c r="M325" s="189"/>
      <c r="N325" s="190"/>
      <c r="O325" s="190"/>
    </row>
    <row r="326" spans="2:15" ht="14.1" customHeight="1">
      <c r="B326" s="183"/>
      <c r="C326" s="183"/>
      <c r="D326" s="184"/>
      <c r="E326" s="185"/>
      <c r="F326" s="186"/>
      <c r="G326" s="186"/>
      <c r="H326" s="9"/>
      <c r="I326" s="532"/>
      <c r="J326" s="443"/>
      <c r="K326" s="187"/>
      <c r="L326" s="188"/>
      <c r="M326" s="189"/>
      <c r="N326" s="190"/>
      <c r="O326" s="190"/>
    </row>
    <row r="327" spans="2:15" ht="14.1" customHeight="1">
      <c r="B327" s="183"/>
      <c r="C327" s="183"/>
      <c r="D327" s="184"/>
      <c r="E327" s="185"/>
      <c r="F327" s="186"/>
      <c r="G327" s="186"/>
      <c r="H327" s="9"/>
      <c r="I327" s="532"/>
      <c r="J327" s="443"/>
      <c r="K327" s="187"/>
      <c r="L327" s="188"/>
      <c r="M327" s="189"/>
      <c r="N327" s="190"/>
      <c r="O327" s="190"/>
    </row>
    <row r="328" spans="2:15" ht="14.1" customHeight="1">
      <c r="B328" s="183"/>
      <c r="C328" s="183"/>
      <c r="D328" s="184"/>
      <c r="E328" s="185"/>
      <c r="F328" s="186"/>
      <c r="G328" s="186"/>
      <c r="H328" s="9"/>
      <c r="I328" s="532"/>
      <c r="J328" s="443"/>
      <c r="K328" s="187"/>
      <c r="L328" s="188"/>
      <c r="M328" s="189"/>
      <c r="N328" s="190"/>
      <c r="O328" s="190"/>
    </row>
    <row r="329" spans="2:15" ht="14.1" customHeight="1">
      <c r="B329" s="183"/>
      <c r="C329" s="183"/>
      <c r="D329" s="184"/>
      <c r="E329" s="185"/>
      <c r="F329" s="186"/>
      <c r="G329" s="186"/>
      <c r="H329" s="9"/>
      <c r="I329" s="532"/>
      <c r="J329" s="443"/>
      <c r="K329" s="187"/>
      <c r="L329" s="188"/>
      <c r="M329" s="189"/>
      <c r="N329" s="190"/>
      <c r="O329" s="190"/>
    </row>
    <row r="330" spans="2:15" ht="14.1" customHeight="1">
      <c r="B330" s="183"/>
      <c r="C330" s="183"/>
      <c r="D330" s="184"/>
      <c r="E330" s="185"/>
      <c r="F330" s="186"/>
      <c r="G330" s="186"/>
      <c r="H330" s="9"/>
      <c r="I330" s="532"/>
      <c r="J330" s="443"/>
      <c r="K330" s="187"/>
      <c r="L330" s="188"/>
      <c r="M330" s="189"/>
      <c r="N330" s="190"/>
      <c r="O330" s="190"/>
    </row>
    <row r="331" spans="2:15" ht="14.1" customHeight="1">
      <c r="B331" s="183"/>
      <c r="C331" s="183"/>
      <c r="D331" s="184"/>
      <c r="E331" s="185"/>
      <c r="F331" s="186"/>
      <c r="G331" s="186"/>
      <c r="H331" s="9"/>
      <c r="I331" s="532"/>
      <c r="J331" s="443"/>
      <c r="K331" s="187"/>
      <c r="L331" s="188"/>
      <c r="M331" s="189"/>
      <c r="N331" s="190"/>
      <c r="O331" s="190"/>
    </row>
    <row r="332" spans="2:15" ht="14.1" customHeight="1">
      <c r="B332" s="183"/>
      <c r="C332" s="183"/>
      <c r="D332" s="184"/>
      <c r="E332" s="185"/>
      <c r="F332" s="186"/>
      <c r="G332" s="186"/>
      <c r="H332" s="9"/>
      <c r="I332" s="532"/>
      <c r="J332" s="443"/>
      <c r="K332" s="187"/>
      <c r="L332" s="188"/>
      <c r="M332" s="189"/>
      <c r="N332" s="190"/>
      <c r="O332" s="190"/>
    </row>
    <row r="333" spans="2:15" ht="14.1" customHeight="1">
      <c r="B333" s="183"/>
      <c r="C333" s="183"/>
      <c r="D333" s="184"/>
      <c r="E333" s="185"/>
      <c r="F333" s="186"/>
      <c r="G333" s="186"/>
      <c r="H333" s="9"/>
      <c r="I333" s="532"/>
      <c r="J333" s="443"/>
      <c r="K333" s="187"/>
      <c r="L333" s="188"/>
      <c r="M333" s="189"/>
      <c r="N333" s="190"/>
      <c r="O333" s="190"/>
    </row>
    <row r="334" spans="2:15" ht="14.1" customHeight="1">
      <c r="B334" s="183"/>
      <c r="C334" s="183"/>
      <c r="D334" s="184"/>
      <c r="E334" s="185"/>
      <c r="F334" s="186"/>
      <c r="G334" s="186"/>
      <c r="H334" s="9"/>
      <c r="I334" s="532"/>
      <c r="J334" s="443"/>
      <c r="K334" s="187"/>
      <c r="L334" s="188"/>
      <c r="M334" s="189"/>
      <c r="N334" s="190"/>
      <c r="O334" s="190"/>
    </row>
    <row r="335" spans="2:15" ht="14.1" customHeight="1">
      <c r="B335" s="183"/>
      <c r="C335" s="183"/>
      <c r="D335" s="184"/>
      <c r="E335" s="185"/>
      <c r="F335" s="186"/>
      <c r="G335" s="186"/>
      <c r="H335" s="9"/>
      <c r="I335" s="532"/>
      <c r="J335" s="443"/>
      <c r="K335" s="187"/>
      <c r="L335" s="188"/>
      <c r="M335" s="189"/>
      <c r="N335" s="190"/>
      <c r="O335" s="190"/>
    </row>
    <row r="336" spans="2:15" ht="14.1" customHeight="1">
      <c r="B336" s="183"/>
      <c r="C336" s="183"/>
      <c r="D336" s="184"/>
      <c r="E336" s="185"/>
      <c r="F336" s="186"/>
      <c r="G336" s="186"/>
      <c r="H336" s="9"/>
      <c r="I336" s="532"/>
      <c r="J336" s="443"/>
      <c r="K336" s="187"/>
      <c r="L336" s="188"/>
      <c r="M336" s="189"/>
      <c r="N336" s="190"/>
      <c r="O336" s="190"/>
    </row>
    <row r="337" spans="2:15" ht="14.1" customHeight="1">
      <c r="B337" s="183"/>
      <c r="C337" s="183"/>
      <c r="D337" s="184"/>
      <c r="E337" s="185"/>
      <c r="F337" s="186"/>
      <c r="G337" s="186"/>
      <c r="H337" s="9"/>
      <c r="I337" s="532"/>
      <c r="J337" s="443"/>
      <c r="K337" s="187"/>
      <c r="L337" s="188"/>
      <c r="M337" s="189"/>
      <c r="N337" s="190"/>
      <c r="O337" s="190"/>
    </row>
    <row r="338" spans="2:15" ht="14.1" customHeight="1">
      <c r="B338" s="183"/>
      <c r="C338" s="183"/>
      <c r="D338" s="184"/>
      <c r="E338" s="185"/>
      <c r="F338" s="186"/>
      <c r="G338" s="186"/>
      <c r="H338" s="9"/>
      <c r="I338" s="532"/>
      <c r="J338" s="443"/>
      <c r="K338" s="187"/>
      <c r="L338" s="188"/>
      <c r="M338" s="189"/>
      <c r="N338" s="190"/>
      <c r="O338" s="190"/>
    </row>
    <row r="339" spans="2:15" ht="14.1" customHeight="1">
      <c r="B339" s="183"/>
      <c r="C339" s="183"/>
      <c r="D339" s="184"/>
      <c r="E339" s="185"/>
      <c r="F339" s="186"/>
      <c r="G339" s="186"/>
      <c r="H339" s="9"/>
      <c r="I339" s="532"/>
      <c r="J339" s="443"/>
      <c r="K339" s="187"/>
      <c r="L339" s="188"/>
      <c r="M339" s="189"/>
      <c r="N339" s="190"/>
      <c r="O339" s="190"/>
    </row>
    <row r="340" spans="2:15" ht="14.1" customHeight="1">
      <c r="B340" s="183"/>
      <c r="C340" s="183"/>
      <c r="D340" s="184"/>
      <c r="E340" s="185"/>
      <c r="F340" s="186"/>
      <c r="G340" s="186"/>
      <c r="H340" s="9"/>
      <c r="I340" s="532"/>
      <c r="J340" s="443"/>
      <c r="K340" s="187"/>
      <c r="L340" s="188"/>
      <c r="M340" s="189"/>
      <c r="N340" s="190"/>
      <c r="O340" s="190"/>
    </row>
    <row r="341" spans="2:15" ht="14.1" customHeight="1">
      <c r="B341" s="183"/>
      <c r="C341" s="183"/>
      <c r="D341" s="184"/>
      <c r="E341" s="185"/>
      <c r="F341" s="186"/>
      <c r="G341" s="186"/>
      <c r="H341" s="9"/>
      <c r="I341" s="532"/>
      <c r="J341" s="443"/>
      <c r="K341" s="187"/>
      <c r="L341" s="188"/>
      <c r="M341" s="189"/>
      <c r="N341" s="190"/>
      <c r="O341" s="190"/>
    </row>
    <row r="342" spans="2:15" ht="14.1" customHeight="1">
      <c r="B342" s="183"/>
      <c r="C342" s="183"/>
      <c r="D342" s="184"/>
      <c r="E342" s="185"/>
      <c r="F342" s="186"/>
      <c r="G342" s="186"/>
      <c r="H342" s="9"/>
      <c r="I342" s="532"/>
      <c r="J342" s="443"/>
      <c r="K342" s="187"/>
      <c r="L342" s="188"/>
      <c r="M342" s="189"/>
      <c r="N342" s="190"/>
      <c r="O342" s="190"/>
    </row>
    <row r="343" spans="2:15" ht="14.1" customHeight="1">
      <c r="B343" s="183"/>
      <c r="C343" s="183"/>
      <c r="D343" s="184"/>
      <c r="E343" s="185"/>
      <c r="F343" s="186"/>
      <c r="G343" s="186"/>
      <c r="H343" s="9"/>
      <c r="I343" s="532"/>
      <c r="J343" s="443"/>
      <c r="K343" s="187"/>
      <c r="L343" s="188"/>
      <c r="M343" s="189"/>
      <c r="N343" s="190"/>
      <c r="O343" s="190"/>
    </row>
    <row r="344" spans="2:15" ht="14.1" customHeight="1">
      <c r="B344" s="183"/>
      <c r="C344" s="183"/>
      <c r="D344" s="184"/>
      <c r="E344" s="185"/>
      <c r="F344" s="186"/>
      <c r="G344" s="186"/>
      <c r="H344" s="9"/>
      <c r="I344" s="532"/>
      <c r="J344" s="443"/>
      <c r="K344" s="187"/>
      <c r="L344" s="188"/>
      <c r="M344" s="189"/>
      <c r="N344" s="190"/>
      <c r="O344" s="190"/>
    </row>
    <row r="345" spans="2:15" ht="14.1" customHeight="1">
      <c r="B345" s="183"/>
      <c r="C345" s="183"/>
      <c r="D345" s="184"/>
      <c r="E345" s="185"/>
      <c r="F345" s="186"/>
      <c r="G345" s="186"/>
      <c r="H345" s="9"/>
      <c r="I345" s="532"/>
      <c r="J345" s="443"/>
      <c r="K345" s="187"/>
      <c r="L345" s="188"/>
      <c r="M345" s="189"/>
      <c r="N345" s="190"/>
      <c r="O345" s="190"/>
    </row>
    <row r="346" spans="2:15" ht="14.1" customHeight="1">
      <c r="B346" s="183"/>
      <c r="C346" s="183"/>
      <c r="D346" s="184"/>
      <c r="E346" s="185"/>
      <c r="F346" s="186"/>
      <c r="G346" s="186"/>
      <c r="H346" s="9"/>
      <c r="I346" s="532"/>
      <c r="J346" s="443"/>
      <c r="K346" s="187"/>
      <c r="L346" s="188"/>
      <c r="M346" s="189"/>
      <c r="N346" s="190"/>
      <c r="O346" s="190"/>
    </row>
    <row r="347" spans="2:15" ht="14.1" customHeight="1">
      <c r="B347" s="183"/>
      <c r="C347" s="183"/>
      <c r="D347" s="184"/>
      <c r="E347" s="185"/>
      <c r="F347" s="186"/>
      <c r="G347" s="186"/>
      <c r="H347" s="9"/>
      <c r="I347" s="532"/>
      <c r="J347" s="443"/>
      <c r="K347" s="187"/>
      <c r="L347" s="188"/>
      <c r="M347" s="189"/>
      <c r="N347" s="190"/>
      <c r="O347" s="190"/>
    </row>
    <row r="348" spans="2:15" ht="14.1" customHeight="1">
      <c r="B348" s="183"/>
      <c r="C348" s="183"/>
      <c r="D348" s="184"/>
      <c r="E348" s="185"/>
      <c r="F348" s="186"/>
      <c r="G348" s="186"/>
      <c r="H348" s="9"/>
      <c r="I348" s="532"/>
      <c r="J348" s="443"/>
      <c r="K348" s="187"/>
      <c r="L348" s="188"/>
      <c r="M348" s="189"/>
      <c r="N348" s="190"/>
      <c r="O348" s="190"/>
    </row>
    <row r="349" spans="2:15" ht="14.1" customHeight="1">
      <c r="B349" s="183"/>
      <c r="C349" s="183"/>
      <c r="D349" s="184"/>
      <c r="E349" s="185"/>
      <c r="F349" s="186"/>
      <c r="G349" s="186"/>
      <c r="H349" s="9"/>
      <c r="I349" s="532"/>
      <c r="J349" s="443"/>
      <c r="K349" s="187"/>
      <c r="L349" s="188"/>
      <c r="M349" s="189"/>
      <c r="N349" s="190"/>
      <c r="O349" s="190"/>
    </row>
    <row r="350" spans="2:15" ht="14.1" customHeight="1">
      <c r="B350" s="183"/>
      <c r="C350" s="183"/>
      <c r="D350" s="184"/>
      <c r="E350" s="185"/>
      <c r="F350" s="186"/>
      <c r="G350" s="186"/>
      <c r="H350" s="9"/>
      <c r="I350" s="532"/>
      <c r="J350" s="443"/>
      <c r="K350" s="187"/>
      <c r="L350" s="188"/>
      <c r="M350" s="189"/>
      <c r="N350" s="190"/>
      <c r="O350" s="190"/>
    </row>
    <row r="351" spans="2:15" ht="14.1" customHeight="1">
      <c r="B351" s="183"/>
      <c r="C351" s="183"/>
      <c r="D351" s="184"/>
      <c r="E351" s="185"/>
      <c r="F351" s="186"/>
      <c r="G351" s="186"/>
      <c r="H351" s="9"/>
      <c r="I351" s="532"/>
      <c r="J351" s="443"/>
      <c r="K351" s="187"/>
      <c r="L351" s="188"/>
      <c r="M351" s="189"/>
      <c r="N351" s="190"/>
      <c r="O351" s="190"/>
    </row>
    <row r="352" spans="2:15" ht="14.1" customHeight="1">
      <c r="B352" s="183"/>
      <c r="C352" s="183"/>
      <c r="D352" s="184"/>
      <c r="E352" s="185"/>
      <c r="F352" s="186"/>
      <c r="G352" s="186"/>
      <c r="H352" s="9"/>
      <c r="I352" s="532"/>
      <c r="J352" s="443"/>
      <c r="K352" s="187"/>
      <c r="L352" s="188"/>
      <c r="M352" s="189"/>
      <c r="N352" s="190"/>
      <c r="O352" s="190"/>
    </row>
    <row r="353" spans="2:15" ht="14.1" customHeight="1">
      <c r="B353" s="183"/>
      <c r="C353" s="183"/>
      <c r="D353" s="184"/>
      <c r="E353" s="185"/>
      <c r="F353" s="186"/>
      <c r="G353" s="186"/>
      <c r="H353" s="9"/>
      <c r="I353" s="532"/>
      <c r="J353" s="443"/>
      <c r="K353" s="187"/>
      <c r="L353" s="188"/>
      <c r="M353" s="189"/>
      <c r="N353" s="190"/>
      <c r="O353" s="190"/>
    </row>
    <row r="354" spans="2:15" ht="14.1" customHeight="1">
      <c r="B354" s="183"/>
      <c r="C354" s="183"/>
      <c r="D354" s="184"/>
      <c r="E354" s="185"/>
      <c r="F354" s="186"/>
      <c r="G354" s="186"/>
      <c r="H354" s="9"/>
      <c r="I354" s="532"/>
      <c r="J354" s="443"/>
      <c r="K354" s="187"/>
      <c r="L354" s="188"/>
      <c r="M354" s="189"/>
      <c r="N354" s="190"/>
      <c r="O354" s="190"/>
    </row>
    <row r="355" spans="2:15" ht="14.1" customHeight="1">
      <c r="B355" s="183"/>
      <c r="C355" s="183"/>
      <c r="D355" s="184"/>
      <c r="E355" s="185"/>
      <c r="F355" s="186"/>
      <c r="G355" s="186"/>
      <c r="H355" s="9"/>
      <c r="I355" s="532"/>
      <c r="J355" s="443"/>
      <c r="K355" s="187"/>
      <c r="L355" s="188"/>
      <c r="M355" s="189"/>
      <c r="N355" s="190"/>
      <c r="O355" s="190"/>
    </row>
    <row r="356" spans="2:15" ht="14.1" customHeight="1">
      <c r="B356" s="183"/>
      <c r="C356" s="183"/>
      <c r="D356" s="184"/>
      <c r="E356" s="185"/>
      <c r="F356" s="186"/>
      <c r="G356" s="186"/>
      <c r="H356" s="9"/>
      <c r="I356" s="532"/>
      <c r="J356" s="443"/>
      <c r="K356" s="187"/>
      <c r="L356" s="188"/>
      <c r="M356" s="189"/>
      <c r="N356" s="190"/>
      <c r="O356" s="190"/>
    </row>
    <row r="357" spans="2:15" ht="14.1" customHeight="1">
      <c r="B357" s="183"/>
      <c r="C357" s="183"/>
      <c r="D357" s="184"/>
      <c r="E357" s="185"/>
      <c r="F357" s="186"/>
      <c r="G357" s="186"/>
      <c r="H357" s="9"/>
      <c r="I357" s="532"/>
      <c r="J357" s="443"/>
      <c r="K357" s="187"/>
      <c r="L357" s="188"/>
      <c r="M357" s="189"/>
      <c r="N357" s="190"/>
      <c r="O357" s="190"/>
    </row>
    <row r="358" spans="2:15" ht="14.1" customHeight="1">
      <c r="B358" s="183"/>
      <c r="C358" s="183"/>
      <c r="D358" s="184"/>
      <c r="E358" s="185"/>
      <c r="F358" s="186"/>
      <c r="G358" s="186"/>
      <c r="H358" s="9"/>
      <c r="I358" s="532"/>
      <c r="J358" s="443"/>
      <c r="K358" s="187"/>
      <c r="L358" s="188"/>
      <c r="M358" s="189"/>
      <c r="N358" s="190"/>
      <c r="O358" s="190"/>
    </row>
    <row r="359" spans="2:15" ht="14.1" customHeight="1">
      <c r="B359" s="183"/>
      <c r="C359" s="183"/>
      <c r="D359" s="184"/>
      <c r="E359" s="185"/>
      <c r="F359" s="186"/>
      <c r="G359" s="186"/>
      <c r="H359" s="9"/>
      <c r="I359" s="532"/>
      <c r="J359" s="443"/>
      <c r="K359" s="187"/>
      <c r="L359" s="188"/>
      <c r="M359" s="189"/>
      <c r="N359" s="190"/>
      <c r="O359" s="190"/>
    </row>
    <row r="360" spans="2:15" ht="14.1" customHeight="1">
      <c r="B360" s="183"/>
      <c r="C360" s="183"/>
      <c r="D360" s="184"/>
      <c r="E360" s="185"/>
      <c r="F360" s="186"/>
      <c r="G360" s="186"/>
      <c r="H360" s="9"/>
      <c r="I360" s="532"/>
      <c r="J360" s="443"/>
      <c r="K360" s="187"/>
      <c r="L360" s="188"/>
      <c r="M360" s="189"/>
      <c r="N360" s="190"/>
      <c r="O360" s="190"/>
    </row>
    <row r="361" spans="2:15" ht="14.1" customHeight="1">
      <c r="B361" s="183"/>
      <c r="C361" s="183"/>
      <c r="D361" s="184"/>
      <c r="E361" s="185"/>
      <c r="F361" s="186"/>
      <c r="G361" s="186"/>
      <c r="H361" s="9"/>
      <c r="I361" s="532"/>
      <c r="J361" s="443"/>
      <c r="K361" s="187"/>
      <c r="L361" s="188"/>
      <c r="M361" s="189"/>
      <c r="N361" s="190"/>
      <c r="O361" s="190"/>
    </row>
    <row r="362" spans="2:15" ht="14.1" customHeight="1">
      <c r="B362" s="183"/>
      <c r="C362" s="183"/>
      <c r="D362" s="184"/>
      <c r="E362" s="185"/>
      <c r="F362" s="186"/>
      <c r="G362" s="186"/>
      <c r="H362" s="9"/>
      <c r="I362" s="532"/>
      <c r="J362" s="443"/>
      <c r="K362" s="187"/>
      <c r="L362" s="188"/>
      <c r="M362" s="189"/>
      <c r="N362" s="190"/>
      <c r="O362" s="190"/>
    </row>
    <row r="363" spans="2:15" ht="14.1" customHeight="1">
      <c r="B363" s="183"/>
      <c r="C363" s="183"/>
      <c r="D363" s="184"/>
      <c r="E363" s="185"/>
      <c r="F363" s="186"/>
      <c r="G363" s="186"/>
      <c r="H363" s="9"/>
      <c r="I363" s="532"/>
      <c r="J363" s="443"/>
      <c r="K363" s="187"/>
      <c r="L363" s="188"/>
      <c r="M363" s="189"/>
      <c r="N363" s="190"/>
      <c r="O363" s="190"/>
    </row>
    <row r="364" spans="2:15" ht="14.1" customHeight="1">
      <c r="B364" s="183"/>
      <c r="C364" s="183"/>
      <c r="D364" s="184"/>
      <c r="E364" s="185"/>
      <c r="F364" s="186"/>
      <c r="G364" s="186"/>
      <c r="H364" s="9"/>
      <c r="I364" s="532"/>
      <c r="J364" s="443"/>
      <c r="K364" s="187"/>
      <c r="L364" s="188"/>
      <c r="M364" s="189"/>
      <c r="N364" s="190"/>
      <c r="O364" s="190"/>
    </row>
    <row r="365" spans="2:15" ht="14.1" customHeight="1">
      <c r="B365" s="183"/>
      <c r="C365" s="183"/>
      <c r="D365" s="184"/>
      <c r="E365" s="185"/>
      <c r="F365" s="186"/>
      <c r="G365" s="186"/>
      <c r="H365" s="9"/>
      <c r="I365" s="532"/>
      <c r="J365" s="443"/>
      <c r="K365" s="187"/>
      <c r="L365" s="188"/>
      <c r="M365" s="189"/>
      <c r="N365" s="190"/>
      <c r="O365" s="190"/>
    </row>
    <row r="366" spans="2:15" ht="14.1" customHeight="1">
      <c r="B366" s="183"/>
      <c r="C366" s="183"/>
      <c r="D366" s="184"/>
      <c r="E366" s="185"/>
      <c r="F366" s="186"/>
      <c r="G366" s="186"/>
      <c r="H366" s="9"/>
      <c r="I366" s="532"/>
      <c r="J366" s="443"/>
      <c r="K366" s="187"/>
      <c r="L366" s="188"/>
      <c r="M366" s="189"/>
      <c r="N366" s="190"/>
      <c r="O366" s="190"/>
    </row>
    <row r="367" spans="2:15" ht="14.1" customHeight="1">
      <c r="B367" s="183"/>
      <c r="C367" s="183"/>
      <c r="D367" s="184"/>
      <c r="E367" s="185"/>
      <c r="F367" s="186"/>
      <c r="G367" s="186"/>
      <c r="H367" s="9"/>
      <c r="I367" s="532"/>
      <c r="J367" s="443"/>
      <c r="K367" s="187"/>
      <c r="L367" s="188"/>
      <c r="M367" s="189"/>
      <c r="N367" s="190"/>
      <c r="O367" s="190"/>
    </row>
    <row r="368" spans="2:15" ht="14.1" customHeight="1">
      <c r="B368" s="183"/>
      <c r="C368" s="183"/>
      <c r="D368" s="184"/>
      <c r="E368" s="185"/>
      <c r="F368" s="186"/>
      <c r="G368" s="186"/>
      <c r="H368" s="9"/>
      <c r="I368" s="532"/>
      <c r="J368" s="443"/>
      <c r="K368" s="187"/>
      <c r="L368" s="188"/>
      <c r="M368" s="189"/>
      <c r="N368" s="190"/>
      <c r="O368" s="190"/>
    </row>
    <row r="369" spans="2:15" ht="14.1" customHeight="1">
      <c r="B369" s="183"/>
      <c r="C369" s="183"/>
      <c r="D369" s="184"/>
      <c r="E369" s="185"/>
      <c r="F369" s="186"/>
      <c r="G369" s="186"/>
      <c r="H369" s="9"/>
      <c r="I369" s="532"/>
      <c r="J369" s="443"/>
      <c r="K369" s="187"/>
      <c r="L369" s="188"/>
      <c r="M369" s="189"/>
      <c r="N369" s="190"/>
      <c r="O369" s="190"/>
    </row>
    <row r="370" spans="2:15" ht="14.1" customHeight="1">
      <c r="B370" s="183"/>
      <c r="C370" s="183"/>
      <c r="D370" s="184"/>
      <c r="E370" s="185"/>
      <c r="F370" s="186"/>
      <c r="G370" s="186"/>
      <c r="H370" s="9"/>
      <c r="I370" s="532"/>
      <c r="J370" s="443"/>
      <c r="K370" s="187"/>
      <c r="L370" s="188"/>
      <c r="M370" s="189"/>
      <c r="N370" s="190"/>
      <c r="O370" s="190"/>
    </row>
    <row r="371" spans="2:15" ht="14.1" customHeight="1">
      <c r="B371" s="183"/>
      <c r="C371" s="183"/>
      <c r="D371" s="184"/>
      <c r="E371" s="185"/>
      <c r="F371" s="186"/>
      <c r="G371" s="186"/>
      <c r="H371" s="9"/>
      <c r="I371" s="532"/>
      <c r="J371" s="443"/>
      <c r="K371" s="187"/>
      <c r="L371" s="188"/>
      <c r="M371" s="189"/>
      <c r="N371" s="190"/>
      <c r="O371" s="190"/>
    </row>
    <row r="372" spans="2:15" ht="14.1" customHeight="1">
      <c r="B372" s="183"/>
      <c r="C372" s="183"/>
      <c r="D372" s="184"/>
      <c r="E372" s="185"/>
      <c r="F372" s="186"/>
      <c r="G372" s="186"/>
      <c r="H372" s="9"/>
      <c r="I372" s="532"/>
      <c r="J372" s="443"/>
      <c r="K372" s="187"/>
      <c r="L372" s="188"/>
      <c r="M372" s="189"/>
      <c r="N372" s="190"/>
      <c r="O372" s="190"/>
    </row>
    <row r="373" spans="2:15" ht="14.1" customHeight="1">
      <c r="B373" s="183"/>
      <c r="C373" s="183"/>
      <c r="D373" s="184"/>
      <c r="E373" s="185"/>
      <c r="F373" s="186"/>
      <c r="G373" s="186"/>
      <c r="H373" s="9"/>
      <c r="I373" s="532"/>
      <c r="J373" s="443"/>
      <c r="K373" s="187"/>
      <c r="L373" s="188"/>
      <c r="M373" s="189"/>
      <c r="N373" s="190"/>
      <c r="O373" s="190"/>
    </row>
    <row r="374" spans="2:15" ht="14.1" customHeight="1">
      <c r="B374" s="183"/>
      <c r="C374" s="183"/>
      <c r="D374" s="184"/>
      <c r="E374" s="185"/>
      <c r="F374" s="186"/>
      <c r="G374" s="186"/>
      <c r="H374" s="9"/>
      <c r="I374" s="532"/>
      <c r="J374" s="443"/>
      <c r="K374" s="187"/>
      <c r="L374" s="188"/>
      <c r="M374" s="189"/>
      <c r="N374" s="190"/>
      <c r="O374" s="190"/>
    </row>
    <row r="375" spans="2:15" ht="14.1" customHeight="1">
      <c r="B375" s="183"/>
      <c r="C375" s="183"/>
      <c r="D375" s="184"/>
      <c r="E375" s="185"/>
      <c r="F375" s="186"/>
      <c r="G375" s="186"/>
      <c r="H375" s="9"/>
      <c r="I375" s="532"/>
      <c r="J375" s="443"/>
      <c r="K375" s="187"/>
      <c r="L375" s="188"/>
      <c r="M375" s="189"/>
      <c r="N375" s="190"/>
      <c r="O375" s="190"/>
    </row>
    <row r="376" spans="2:15" ht="14.1" customHeight="1">
      <c r="B376" s="183"/>
      <c r="C376" s="183"/>
      <c r="D376" s="184"/>
      <c r="E376" s="185"/>
      <c r="F376" s="186"/>
      <c r="G376" s="186"/>
      <c r="H376" s="9"/>
      <c r="I376" s="532"/>
      <c r="J376" s="443"/>
      <c r="K376" s="187"/>
      <c r="L376" s="188"/>
      <c r="M376" s="189"/>
      <c r="N376" s="190"/>
      <c r="O376" s="190"/>
    </row>
    <row r="377" spans="2:15" ht="14.1" customHeight="1">
      <c r="B377" s="183"/>
      <c r="C377" s="183"/>
      <c r="D377" s="184"/>
      <c r="E377" s="185"/>
      <c r="F377" s="186"/>
      <c r="G377" s="186"/>
      <c r="H377" s="9"/>
      <c r="I377" s="532"/>
      <c r="J377" s="443"/>
      <c r="K377" s="187"/>
      <c r="L377" s="188"/>
      <c r="M377" s="189"/>
      <c r="N377" s="190"/>
      <c r="O377" s="190"/>
    </row>
    <row r="378" spans="2:15" ht="14.1" customHeight="1">
      <c r="B378" s="183"/>
      <c r="C378" s="183"/>
      <c r="D378" s="184"/>
      <c r="E378" s="185"/>
      <c r="F378" s="186"/>
      <c r="G378" s="186"/>
      <c r="H378" s="9"/>
      <c r="I378" s="532"/>
      <c r="J378" s="443"/>
      <c r="K378" s="187"/>
      <c r="L378" s="188"/>
      <c r="M378" s="189"/>
      <c r="N378" s="190"/>
      <c r="O378" s="190"/>
    </row>
    <row r="379" spans="2:15" ht="14.1" customHeight="1">
      <c r="B379" s="183"/>
      <c r="C379" s="183"/>
      <c r="D379" s="184"/>
      <c r="E379" s="185"/>
      <c r="F379" s="186"/>
      <c r="G379" s="186"/>
      <c r="H379" s="9"/>
      <c r="I379" s="532"/>
      <c r="J379" s="443"/>
      <c r="K379" s="187"/>
      <c r="L379" s="188"/>
      <c r="M379" s="189"/>
      <c r="N379" s="190"/>
      <c r="O379" s="190"/>
    </row>
    <row r="380" spans="2:15" ht="14.1" customHeight="1">
      <c r="B380" s="183"/>
      <c r="C380" s="183"/>
      <c r="D380" s="184"/>
      <c r="E380" s="185"/>
      <c r="F380" s="186"/>
      <c r="G380" s="186"/>
      <c r="H380" s="9"/>
      <c r="I380" s="532"/>
      <c r="J380" s="443"/>
      <c r="K380" s="187"/>
      <c r="L380" s="188"/>
      <c r="M380" s="189"/>
      <c r="N380" s="190"/>
      <c r="O380" s="190"/>
    </row>
    <row r="381" spans="2:15" ht="14.1" customHeight="1">
      <c r="B381" s="183"/>
      <c r="C381" s="183"/>
      <c r="D381" s="184"/>
      <c r="E381" s="185"/>
      <c r="F381" s="186"/>
      <c r="G381" s="186"/>
      <c r="H381" s="9"/>
      <c r="I381" s="532"/>
      <c r="J381" s="443"/>
      <c r="K381" s="187"/>
      <c r="L381" s="188"/>
      <c r="M381" s="189"/>
      <c r="N381" s="190"/>
      <c r="O381" s="190"/>
    </row>
    <row r="382" spans="2:15" ht="14.1" customHeight="1">
      <c r="B382" s="183"/>
      <c r="C382" s="183"/>
      <c r="D382" s="184"/>
      <c r="E382" s="185"/>
      <c r="F382" s="186"/>
      <c r="G382" s="186"/>
      <c r="H382" s="9"/>
      <c r="I382" s="532"/>
      <c r="J382" s="443"/>
      <c r="K382" s="187"/>
      <c r="L382" s="188"/>
      <c r="M382" s="189"/>
      <c r="N382" s="190"/>
      <c r="O382" s="190"/>
    </row>
    <row r="383" spans="2:15" ht="14.1" customHeight="1">
      <c r="B383" s="183"/>
      <c r="C383" s="183"/>
      <c r="D383" s="184"/>
      <c r="E383" s="185"/>
      <c r="F383" s="186"/>
      <c r="G383" s="186"/>
      <c r="H383" s="9"/>
      <c r="I383" s="532"/>
      <c r="J383" s="443"/>
      <c r="K383" s="187"/>
      <c r="L383" s="188"/>
      <c r="M383" s="189"/>
      <c r="N383" s="190"/>
      <c r="O383" s="190"/>
    </row>
    <row r="384" spans="2:15" ht="14.1" customHeight="1">
      <c r="B384" s="183"/>
      <c r="C384" s="183"/>
      <c r="D384" s="184"/>
      <c r="E384" s="185"/>
      <c r="F384" s="186"/>
      <c r="G384" s="186"/>
      <c r="H384" s="9"/>
      <c r="I384" s="532"/>
      <c r="J384" s="443"/>
      <c r="K384" s="187"/>
      <c r="L384" s="188"/>
      <c r="M384" s="189"/>
      <c r="N384" s="190"/>
      <c r="O384" s="190"/>
    </row>
    <row r="385" spans="2:15" ht="14.1" customHeight="1">
      <c r="B385" s="183"/>
      <c r="C385" s="183"/>
      <c r="D385" s="184"/>
      <c r="E385" s="185"/>
      <c r="F385" s="186"/>
      <c r="G385" s="186"/>
      <c r="H385" s="9"/>
      <c r="I385" s="532"/>
      <c r="J385" s="443"/>
      <c r="K385" s="187"/>
      <c r="L385" s="188"/>
      <c r="M385" s="189"/>
      <c r="N385" s="190"/>
      <c r="O385" s="190"/>
    </row>
    <row r="386" spans="2:15" ht="14.1" customHeight="1">
      <c r="B386" s="183"/>
      <c r="C386" s="183"/>
      <c r="D386" s="184"/>
      <c r="E386" s="185"/>
      <c r="F386" s="186"/>
      <c r="G386" s="186"/>
      <c r="H386" s="9"/>
      <c r="I386" s="532"/>
      <c r="J386" s="443"/>
      <c r="K386" s="187"/>
      <c r="L386" s="188"/>
      <c r="M386" s="189"/>
      <c r="N386" s="190"/>
      <c r="O386" s="190"/>
    </row>
    <row r="387" spans="2:15" ht="14.1" customHeight="1">
      <c r="B387" s="183"/>
      <c r="C387" s="183"/>
      <c r="D387" s="184"/>
      <c r="E387" s="185"/>
      <c r="F387" s="186"/>
      <c r="G387" s="186"/>
      <c r="H387" s="9"/>
      <c r="I387" s="532"/>
      <c r="J387" s="443"/>
      <c r="K387" s="187"/>
      <c r="L387" s="188"/>
      <c r="M387" s="189"/>
      <c r="N387" s="190"/>
      <c r="O387" s="190"/>
    </row>
    <row r="388" spans="2:15" ht="14.1" customHeight="1">
      <c r="B388" s="183"/>
      <c r="C388" s="183"/>
      <c r="D388" s="184"/>
      <c r="E388" s="185"/>
      <c r="F388" s="186"/>
      <c r="G388" s="186"/>
      <c r="H388" s="9"/>
      <c r="I388" s="532"/>
      <c r="J388" s="443"/>
      <c r="K388" s="187"/>
      <c r="L388" s="188"/>
      <c r="M388" s="189"/>
      <c r="N388" s="190"/>
      <c r="O388" s="190"/>
    </row>
    <row r="389" spans="2:15" ht="14.1" customHeight="1">
      <c r="B389" s="183"/>
      <c r="C389" s="183"/>
      <c r="D389" s="184"/>
      <c r="E389" s="185"/>
      <c r="F389" s="186"/>
      <c r="G389" s="186"/>
      <c r="H389" s="9"/>
      <c r="I389" s="532"/>
      <c r="J389" s="443"/>
      <c r="K389" s="187"/>
      <c r="L389" s="188"/>
      <c r="M389" s="189"/>
      <c r="N389" s="190"/>
      <c r="O389" s="190"/>
    </row>
    <row r="390" spans="2:15" ht="14.1" customHeight="1">
      <c r="B390" s="183"/>
      <c r="C390" s="183"/>
      <c r="D390" s="184"/>
      <c r="E390" s="185"/>
      <c r="F390" s="186"/>
      <c r="G390" s="186"/>
      <c r="H390" s="9"/>
      <c r="I390" s="532"/>
      <c r="J390" s="443"/>
      <c r="K390" s="187"/>
      <c r="L390" s="188"/>
      <c r="M390" s="189"/>
      <c r="N390" s="190"/>
      <c r="O390" s="190"/>
    </row>
    <row r="391" spans="2:15" ht="14.1" customHeight="1">
      <c r="B391" s="183"/>
      <c r="C391" s="183"/>
      <c r="D391" s="184"/>
      <c r="E391" s="185"/>
      <c r="F391" s="186"/>
      <c r="G391" s="186"/>
      <c r="H391" s="9"/>
      <c r="I391" s="532"/>
      <c r="J391" s="443"/>
      <c r="K391" s="187"/>
      <c r="L391" s="188"/>
      <c r="M391" s="189"/>
      <c r="N391" s="190"/>
      <c r="O391" s="190"/>
    </row>
    <row r="392" spans="2:15" ht="14.1" customHeight="1">
      <c r="B392" s="183"/>
      <c r="C392" s="183"/>
      <c r="D392" s="184"/>
      <c r="E392" s="185"/>
      <c r="F392" s="186"/>
      <c r="G392" s="186"/>
      <c r="H392" s="9"/>
      <c r="I392" s="532"/>
      <c r="J392" s="443"/>
      <c r="K392" s="187"/>
      <c r="L392" s="188"/>
      <c r="M392" s="189"/>
      <c r="N392" s="190"/>
      <c r="O392" s="190"/>
    </row>
    <row r="393" spans="2:15" ht="14.1" customHeight="1">
      <c r="B393" s="183"/>
      <c r="C393" s="183"/>
      <c r="D393" s="184"/>
      <c r="E393" s="185"/>
      <c r="F393" s="186"/>
      <c r="G393" s="186"/>
      <c r="H393" s="9"/>
      <c r="I393" s="532"/>
      <c r="J393" s="443"/>
      <c r="K393" s="187"/>
      <c r="L393" s="188"/>
      <c r="M393" s="189"/>
      <c r="N393" s="190"/>
      <c r="O393" s="190"/>
    </row>
    <row r="394" spans="2:15" ht="14.1" customHeight="1">
      <c r="B394" s="183"/>
      <c r="C394" s="183"/>
      <c r="D394" s="184"/>
      <c r="E394" s="185"/>
      <c r="F394" s="186"/>
      <c r="G394" s="186"/>
      <c r="H394" s="9"/>
      <c r="I394" s="532"/>
      <c r="J394" s="443"/>
      <c r="K394" s="187"/>
      <c r="L394" s="188"/>
      <c r="M394" s="189"/>
      <c r="N394" s="190"/>
      <c r="O394" s="190"/>
    </row>
    <row r="395" spans="2:15" ht="14.1" customHeight="1">
      <c r="B395" s="183"/>
      <c r="C395" s="183"/>
      <c r="D395" s="184"/>
      <c r="E395" s="185"/>
      <c r="F395" s="186"/>
      <c r="G395" s="186"/>
      <c r="H395" s="9"/>
      <c r="I395" s="532"/>
      <c r="J395" s="443"/>
      <c r="K395" s="187"/>
      <c r="L395" s="188"/>
      <c r="M395" s="189"/>
      <c r="N395" s="190"/>
      <c r="O395" s="190"/>
    </row>
    <row r="396" spans="2:15" ht="14.1" customHeight="1">
      <c r="B396" s="183"/>
      <c r="C396" s="183"/>
      <c r="D396" s="184"/>
      <c r="E396" s="185"/>
      <c r="F396" s="186"/>
      <c r="G396" s="186"/>
      <c r="H396" s="9"/>
      <c r="I396" s="532"/>
      <c r="J396" s="443"/>
      <c r="K396" s="187"/>
      <c r="L396" s="188"/>
      <c r="M396" s="189"/>
      <c r="N396" s="190"/>
      <c r="O396" s="190"/>
    </row>
    <row r="397" spans="2:15" ht="14.1" customHeight="1">
      <c r="B397" s="183"/>
      <c r="C397" s="183"/>
      <c r="D397" s="184"/>
      <c r="E397" s="185"/>
      <c r="F397" s="186"/>
      <c r="G397" s="186"/>
      <c r="H397" s="9"/>
      <c r="I397" s="532"/>
      <c r="J397" s="443"/>
      <c r="K397" s="187"/>
      <c r="L397" s="188"/>
      <c r="M397" s="189"/>
      <c r="N397" s="190"/>
      <c r="O397" s="190"/>
    </row>
    <row r="398" spans="2:15" ht="14.1" customHeight="1">
      <c r="B398" s="183"/>
      <c r="C398" s="183"/>
      <c r="D398" s="184"/>
      <c r="E398" s="185"/>
      <c r="F398" s="186"/>
      <c r="G398" s="186"/>
      <c r="H398" s="9"/>
      <c r="I398" s="532"/>
      <c r="J398" s="443"/>
      <c r="K398" s="187"/>
      <c r="L398" s="188"/>
      <c r="M398" s="189"/>
      <c r="N398" s="190"/>
      <c r="O398" s="190"/>
    </row>
    <row r="399" spans="2:15" ht="14.1" customHeight="1">
      <c r="B399" s="183"/>
      <c r="C399" s="183"/>
      <c r="D399" s="184"/>
      <c r="E399" s="185"/>
      <c r="F399" s="186"/>
      <c r="G399" s="186"/>
      <c r="H399" s="9"/>
      <c r="I399" s="532"/>
      <c r="J399" s="443"/>
      <c r="K399" s="187"/>
      <c r="L399" s="188"/>
      <c r="M399" s="189"/>
      <c r="N399" s="190"/>
      <c r="O399" s="190"/>
    </row>
    <row r="400" spans="2:15" ht="14.1" customHeight="1">
      <c r="B400" s="183"/>
      <c r="C400" s="183"/>
      <c r="D400" s="184"/>
      <c r="E400" s="185"/>
      <c r="F400" s="186"/>
      <c r="G400" s="186"/>
      <c r="H400" s="9"/>
      <c r="I400" s="532"/>
      <c r="J400" s="443"/>
      <c r="K400" s="187"/>
      <c r="L400" s="188"/>
      <c r="M400" s="189"/>
      <c r="N400" s="190"/>
      <c r="O400" s="190"/>
    </row>
    <row r="401" spans="2:15" ht="14.1" customHeight="1">
      <c r="B401" s="183"/>
      <c r="C401" s="183"/>
      <c r="D401" s="184"/>
      <c r="E401" s="185"/>
      <c r="F401" s="186"/>
      <c r="G401" s="186"/>
      <c r="H401" s="9"/>
      <c r="I401" s="532"/>
      <c r="J401" s="443"/>
      <c r="K401" s="187"/>
      <c r="L401" s="188"/>
      <c r="M401" s="189"/>
      <c r="N401" s="190"/>
      <c r="O401" s="190"/>
    </row>
    <row r="402" spans="2:15" ht="14.1" customHeight="1">
      <c r="B402" s="183"/>
      <c r="C402" s="183"/>
      <c r="D402" s="184"/>
      <c r="E402" s="185"/>
      <c r="F402" s="186"/>
      <c r="G402" s="186"/>
      <c r="H402" s="9"/>
      <c r="I402" s="532"/>
      <c r="J402" s="443"/>
      <c r="K402" s="187"/>
      <c r="L402" s="188"/>
      <c r="M402" s="189"/>
      <c r="N402" s="190"/>
      <c r="O402" s="190"/>
    </row>
    <row r="403" spans="2:15" ht="14.1" customHeight="1">
      <c r="B403" s="183"/>
      <c r="C403" s="183"/>
      <c r="D403" s="184"/>
      <c r="E403" s="185"/>
      <c r="F403" s="186"/>
      <c r="G403" s="186"/>
      <c r="H403" s="9"/>
      <c r="I403" s="532"/>
      <c r="J403" s="443"/>
      <c r="K403" s="187"/>
      <c r="L403" s="188"/>
      <c r="M403" s="189"/>
      <c r="N403" s="190"/>
      <c r="O403" s="190"/>
    </row>
    <row r="404" spans="2:15" ht="14.1" customHeight="1">
      <c r="B404" s="183"/>
      <c r="C404" s="183"/>
      <c r="D404" s="184"/>
      <c r="E404" s="185"/>
      <c r="F404" s="186"/>
      <c r="G404" s="186"/>
      <c r="H404" s="9"/>
      <c r="I404" s="532"/>
      <c r="J404" s="443"/>
      <c r="K404" s="187"/>
      <c r="L404" s="188"/>
      <c r="M404" s="189"/>
      <c r="N404" s="190"/>
      <c r="O404" s="190"/>
    </row>
    <row r="405" spans="2:15" ht="14.1" customHeight="1">
      <c r="B405" s="183"/>
      <c r="C405" s="183"/>
      <c r="D405" s="184"/>
      <c r="E405" s="185"/>
      <c r="F405" s="186"/>
      <c r="G405" s="186"/>
      <c r="H405" s="9"/>
      <c r="I405" s="532"/>
      <c r="J405" s="443"/>
      <c r="K405" s="187"/>
      <c r="L405" s="188"/>
      <c r="M405" s="189"/>
      <c r="N405" s="190"/>
      <c r="O405" s="190"/>
    </row>
    <row r="406" spans="2:15" ht="14.1" customHeight="1">
      <c r="B406" s="183"/>
      <c r="C406" s="183"/>
      <c r="D406" s="184"/>
      <c r="E406" s="185"/>
      <c r="F406" s="186"/>
      <c r="G406" s="186"/>
      <c r="H406" s="9"/>
      <c r="I406" s="532"/>
      <c r="J406" s="443"/>
      <c r="K406" s="187"/>
      <c r="L406" s="188"/>
      <c r="M406" s="189"/>
      <c r="N406" s="190"/>
      <c r="O406" s="190"/>
    </row>
    <row r="407" spans="2:15" ht="14.1" customHeight="1">
      <c r="B407" s="183"/>
      <c r="C407" s="183"/>
      <c r="D407" s="184"/>
      <c r="E407" s="185"/>
      <c r="F407" s="186"/>
      <c r="G407" s="186"/>
      <c r="H407" s="9"/>
      <c r="I407" s="532"/>
      <c r="J407" s="443"/>
      <c r="K407" s="187"/>
      <c r="L407" s="188"/>
      <c r="M407" s="189"/>
      <c r="N407" s="190"/>
      <c r="O407" s="190"/>
    </row>
    <row r="408" spans="2:15" ht="14.1" customHeight="1">
      <c r="B408" s="183"/>
      <c r="C408" s="183"/>
      <c r="D408" s="184"/>
      <c r="E408" s="185"/>
      <c r="F408" s="186"/>
      <c r="G408" s="186"/>
      <c r="H408" s="9"/>
      <c r="I408" s="532"/>
      <c r="J408" s="443"/>
      <c r="K408" s="187"/>
      <c r="L408" s="188"/>
      <c r="M408" s="189"/>
      <c r="N408" s="190"/>
      <c r="O408" s="190"/>
    </row>
    <row r="409" spans="2:15" ht="14.1" customHeight="1">
      <c r="B409" s="183"/>
      <c r="C409" s="183"/>
      <c r="D409" s="184"/>
      <c r="E409" s="185"/>
      <c r="F409" s="186"/>
      <c r="G409" s="186"/>
      <c r="H409" s="9"/>
      <c r="I409" s="532"/>
      <c r="J409" s="443"/>
      <c r="K409" s="187"/>
      <c r="L409" s="188"/>
      <c r="M409" s="189"/>
      <c r="N409" s="190"/>
      <c r="O409" s="190"/>
    </row>
    <row r="410" spans="2:15" ht="14.1" customHeight="1">
      <c r="B410" s="183"/>
      <c r="C410" s="183"/>
      <c r="D410" s="184"/>
      <c r="E410" s="185"/>
      <c r="F410" s="186"/>
      <c r="G410" s="186"/>
      <c r="H410" s="9"/>
      <c r="I410" s="532"/>
      <c r="J410" s="443"/>
      <c r="K410" s="187"/>
      <c r="L410" s="188"/>
      <c r="M410" s="189"/>
      <c r="N410" s="190"/>
      <c r="O410" s="190"/>
    </row>
    <row r="411" spans="2:15" ht="14.1" customHeight="1">
      <c r="B411" s="183"/>
      <c r="C411" s="183"/>
      <c r="D411" s="184"/>
      <c r="E411" s="185"/>
      <c r="F411" s="186"/>
      <c r="G411" s="186"/>
      <c r="H411" s="9"/>
      <c r="I411" s="532"/>
      <c r="J411" s="443"/>
      <c r="K411" s="187"/>
      <c r="L411" s="188"/>
      <c r="M411" s="189"/>
      <c r="N411" s="190"/>
      <c r="O411" s="190"/>
    </row>
    <row r="412" spans="2:15" ht="14.1" customHeight="1">
      <c r="B412" s="183"/>
      <c r="C412" s="183"/>
      <c r="D412" s="184"/>
      <c r="E412" s="185"/>
      <c r="F412" s="186"/>
      <c r="G412" s="186"/>
      <c r="H412" s="9"/>
      <c r="I412" s="532"/>
      <c r="J412" s="443"/>
      <c r="K412" s="187"/>
      <c r="L412" s="188"/>
      <c r="M412" s="189"/>
      <c r="N412" s="190"/>
      <c r="O412" s="190"/>
    </row>
    <row r="413" spans="2:15" ht="14.1" customHeight="1">
      <c r="B413" s="183"/>
      <c r="C413" s="183"/>
      <c r="D413" s="184"/>
      <c r="E413" s="185"/>
      <c r="F413" s="186"/>
      <c r="G413" s="186"/>
      <c r="H413" s="9"/>
      <c r="I413" s="532"/>
      <c r="J413" s="443"/>
      <c r="K413" s="187"/>
      <c r="L413" s="188"/>
      <c r="M413" s="189"/>
      <c r="N413" s="190"/>
      <c r="O413" s="190"/>
    </row>
    <row r="414" spans="2:15" ht="14.1" customHeight="1">
      <c r="B414" s="183"/>
      <c r="C414" s="183"/>
      <c r="D414" s="184"/>
      <c r="E414" s="185"/>
      <c r="F414" s="186"/>
      <c r="G414" s="186"/>
      <c r="H414" s="9"/>
      <c r="I414" s="532"/>
      <c r="J414" s="443"/>
      <c r="K414" s="187"/>
      <c r="L414" s="188"/>
      <c r="M414" s="189"/>
      <c r="N414" s="190"/>
      <c r="O414" s="190"/>
    </row>
    <row r="415" spans="2:15" ht="14.1" customHeight="1">
      <c r="B415" s="183"/>
      <c r="C415" s="183"/>
      <c r="D415" s="184"/>
      <c r="E415" s="185"/>
      <c r="F415" s="186"/>
      <c r="G415" s="186"/>
      <c r="H415" s="9"/>
      <c r="I415" s="532"/>
      <c r="J415" s="443"/>
      <c r="K415" s="187"/>
      <c r="L415" s="188"/>
      <c r="M415" s="189"/>
      <c r="N415" s="190"/>
      <c r="O415" s="190"/>
    </row>
    <row r="416" spans="2:15" ht="14.1" customHeight="1">
      <c r="B416" s="183"/>
      <c r="C416" s="183"/>
      <c r="D416" s="184"/>
      <c r="E416" s="185"/>
      <c r="F416" s="186"/>
      <c r="G416" s="186"/>
      <c r="H416" s="9"/>
      <c r="I416" s="532"/>
      <c r="J416" s="443"/>
      <c r="K416" s="187"/>
      <c r="L416" s="188"/>
      <c r="M416" s="189"/>
      <c r="N416" s="190"/>
      <c r="O416" s="190"/>
    </row>
    <row r="417" spans="2:15" ht="14.1" customHeight="1">
      <c r="B417" s="183"/>
      <c r="C417" s="183"/>
      <c r="D417" s="184"/>
      <c r="E417" s="185"/>
      <c r="F417" s="186"/>
      <c r="G417" s="186"/>
      <c r="H417" s="9"/>
      <c r="I417" s="532"/>
      <c r="J417" s="443"/>
      <c r="K417" s="187"/>
      <c r="L417" s="188"/>
      <c r="M417" s="189"/>
      <c r="N417" s="190"/>
      <c r="O417" s="190"/>
    </row>
    <row r="418" spans="2:15" ht="14.1" customHeight="1">
      <c r="B418" s="183"/>
      <c r="C418" s="183"/>
      <c r="D418" s="184"/>
      <c r="E418" s="185"/>
      <c r="F418" s="186"/>
      <c r="G418" s="186"/>
      <c r="H418" s="9"/>
      <c r="I418" s="532"/>
      <c r="J418" s="443"/>
      <c r="K418" s="187"/>
      <c r="L418" s="188"/>
      <c r="M418" s="189"/>
      <c r="N418" s="190"/>
      <c r="O418" s="190"/>
    </row>
    <row r="419" spans="2:15" ht="14.1" customHeight="1">
      <c r="B419" s="183"/>
      <c r="C419" s="183"/>
      <c r="D419" s="184"/>
      <c r="E419" s="185"/>
      <c r="F419" s="186"/>
      <c r="G419" s="186"/>
      <c r="H419" s="9"/>
      <c r="I419" s="532"/>
      <c r="J419" s="443"/>
      <c r="K419" s="187"/>
      <c r="L419" s="188"/>
      <c r="M419" s="189"/>
      <c r="N419" s="190"/>
      <c r="O419" s="190"/>
    </row>
    <row r="420" spans="2:15" ht="14.1" customHeight="1">
      <c r="B420" s="183"/>
      <c r="C420" s="183"/>
      <c r="D420" s="184"/>
      <c r="E420" s="185"/>
      <c r="F420" s="186"/>
      <c r="G420" s="186"/>
      <c r="H420" s="9"/>
      <c r="I420" s="532"/>
      <c r="J420" s="443"/>
      <c r="K420" s="187"/>
      <c r="L420" s="188"/>
      <c r="M420" s="189"/>
      <c r="N420" s="190"/>
      <c r="O420" s="190"/>
    </row>
    <row r="421" spans="2:15" ht="14.1" customHeight="1">
      <c r="B421" s="183"/>
      <c r="C421" s="183"/>
      <c r="D421" s="184"/>
      <c r="E421" s="185"/>
      <c r="F421" s="186"/>
      <c r="G421" s="186"/>
      <c r="H421" s="9"/>
      <c r="I421" s="532"/>
      <c r="J421" s="443"/>
      <c r="K421" s="187"/>
      <c r="L421" s="188"/>
      <c r="M421" s="189"/>
      <c r="N421" s="190"/>
      <c r="O421" s="190"/>
    </row>
    <row r="422" spans="2:15" ht="14.1" customHeight="1">
      <c r="B422" s="183"/>
      <c r="C422" s="183"/>
      <c r="D422" s="184"/>
      <c r="E422" s="185"/>
      <c r="F422" s="186"/>
      <c r="G422" s="186"/>
      <c r="H422" s="9"/>
      <c r="I422" s="532"/>
      <c r="J422" s="443"/>
      <c r="K422" s="187"/>
      <c r="L422" s="188"/>
      <c r="M422" s="189"/>
      <c r="N422" s="190"/>
      <c r="O422" s="190"/>
    </row>
    <row r="423" spans="2:15" ht="14.1" customHeight="1">
      <c r="B423" s="183"/>
      <c r="C423" s="183"/>
      <c r="D423" s="184"/>
      <c r="E423" s="185"/>
      <c r="F423" s="186"/>
      <c r="G423" s="186"/>
      <c r="H423" s="9"/>
      <c r="I423" s="532"/>
      <c r="J423" s="443"/>
      <c r="K423" s="187"/>
      <c r="L423" s="188"/>
      <c r="M423" s="189"/>
      <c r="N423" s="190"/>
      <c r="O423" s="190"/>
    </row>
    <row r="424" spans="2:15" ht="14.1" customHeight="1">
      <c r="B424" s="183"/>
      <c r="C424" s="183"/>
      <c r="D424" s="184"/>
      <c r="E424" s="185"/>
      <c r="F424" s="186"/>
      <c r="G424" s="186"/>
      <c r="H424" s="9"/>
      <c r="I424" s="532"/>
      <c r="J424" s="443"/>
      <c r="K424" s="187"/>
      <c r="L424" s="188"/>
      <c r="M424" s="189"/>
      <c r="N424" s="190"/>
      <c r="O424" s="190"/>
    </row>
    <row r="425" spans="2:15" ht="14.1" customHeight="1">
      <c r="B425" s="183"/>
      <c r="C425" s="183"/>
      <c r="D425" s="184"/>
      <c r="E425" s="185"/>
      <c r="F425" s="186"/>
      <c r="G425" s="186"/>
      <c r="H425" s="9"/>
      <c r="I425" s="532"/>
      <c r="J425" s="443"/>
      <c r="K425" s="187"/>
      <c r="L425" s="188"/>
      <c r="M425" s="189"/>
      <c r="N425" s="190"/>
      <c r="O425" s="190"/>
    </row>
    <row r="426" spans="2:15" ht="14.1" customHeight="1">
      <c r="B426" s="183"/>
      <c r="C426" s="183"/>
      <c r="D426" s="184"/>
      <c r="E426" s="185"/>
      <c r="F426" s="186"/>
      <c r="G426" s="186"/>
      <c r="H426" s="9"/>
      <c r="I426" s="532"/>
      <c r="J426" s="443"/>
      <c r="K426" s="187"/>
      <c r="L426" s="188"/>
      <c r="M426" s="189"/>
      <c r="N426" s="190"/>
      <c r="O426" s="190"/>
    </row>
    <row r="427" spans="2:15" ht="14.1" customHeight="1">
      <c r="B427" s="183"/>
      <c r="C427" s="183"/>
      <c r="D427" s="184"/>
      <c r="E427" s="185"/>
      <c r="F427" s="186"/>
      <c r="G427" s="186"/>
      <c r="H427" s="9"/>
      <c r="I427" s="532"/>
      <c r="J427" s="443"/>
      <c r="K427" s="187"/>
      <c r="L427" s="188"/>
      <c r="M427" s="189"/>
      <c r="N427" s="190"/>
      <c r="O427" s="190"/>
    </row>
    <row r="428" spans="2:15" ht="14.1" customHeight="1">
      <c r="B428" s="183"/>
      <c r="C428" s="183"/>
      <c r="D428" s="184"/>
      <c r="E428" s="185"/>
      <c r="F428" s="186"/>
      <c r="G428" s="186"/>
      <c r="H428" s="9"/>
      <c r="I428" s="532"/>
      <c r="J428" s="443"/>
      <c r="K428" s="187"/>
      <c r="L428" s="188"/>
      <c r="M428" s="189"/>
      <c r="N428" s="190"/>
      <c r="O428" s="190"/>
    </row>
    <row r="429" spans="2:15" ht="14.1" customHeight="1">
      <c r="B429" s="183"/>
      <c r="C429" s="183"/>
      <c r="D429" s="184"/>
      <c r="E429" s="185"/>
      <c r="F429" s="186"/>
      <c r="G429" s="186"/>
      <c r="H429" s="9"/>
      <c r="I429" s="532"/>
      <c r="J429" s="443"/>
      <c r="K429" s="187"/>
      <c r="L429" s="188"/>
      <c r="M429" s="189"/>
      <c r="N429" s="190"/>
      <c r="O429" s="190"/>
    </row>
    <row r="430" spans="2:15" ht="14.1" customHeight="1">
      <c r="B430" s="183"/>
      <c r="C430" s="183"/>
      <c r="D430" s="184"/>
      <c r="E430" s="185"/>
      <c r="F430" s="186"/>
      <c r="G430" s="186"/>
      <c r="H430" s="9"/>
      <c r="I430" s="532"/>
      <c r="J430" s="443"/>
      <c r="K430" s="187"/>
      <c r="L430" s="188"/>
      <c r="M430" s="189"/>
      <c r="N430" s="190"/>
      <c r="O430" s="190"/>
    </row>
    <row r="431" spans="2:15" ht="14.1" customHeight="1">
      <c r="B431" s="183"/>
      <c r="C431" s="183"/>
      <c r="D431" s="184"/>
      <c r="E431" s="185"/>
      <c r="F431" s="186"/>
      <c r="G431" s="186"/>
      <c r="H431" s="9"/>
      <c r="I431" s="532"/>
      <c r="J431" s="443"/>
      <c r="K431" s="187"/>
      <c r="L431" s="188"/>
      <c r="M431" s="189"/>
      <c r="N431" s="190"/>
      <c r="O431" s="190"/>
    </row>
    <row r="432" spans="2:15" ht="14.1" customHeight="1">
      <c r="B432" s="183"/>
      <c r="C432" s="183"/>
      <c r="D432" s="184"/>
      <c r="E432" s="185"/>
      <c r="F432" s="186"/>
      <c r="G432" s="186"/>
      <c r="H432" s="9"/>
      <c r="I432" s="532"/>
      <c r="J432" s="443"/>
      <c r="K432" s="187"/>
      <c r="L432" s="188"/>
      <c r="M432" s="189"/>
      <c r="N432" s="190"/>
      <c r="O432" s="190"/>
    </row>
    <row r="433" spans="2:15" ht="14.1" customHeight="1">
      <c r="B433" s="183"/>
      <c r="C433" s="183"/>
      <c r="D433" s="184"/>
      <c r="E433" s="185"/>
      <c r="F433" s="186"/>
      <c r="G433" s="186"/>
      <c r="H433" s="9"/>
      <c r="I433" s="532"/>
      <c r="J433" s="443"/>
      <c r="K433" s="187"/>
      <c r="L433" s="188"/>
      <c r="M433" s="189"/>
      <c r="N433" s="190"/>
      <c r="O433" s="190"/>
    </row>
    <row r="434" spans="2:15" ht="14.1" customHeight="1">
      <c r="B434" s="183"/>
      <c r="C434" s="183"/>
      <c r="D434" s="184"/>
      <c r="E434" s="185"/>
      <c r="F434" s="186"/>
      <c r="G434" s="186"/>
      <c r="H434" s="9"/>
      <c r="I434" s="532"/>
      <c r="J434" s="443"/>
      <c r="K434" s="187"/>
      <c r="L434" s="188"/>
      <c r="M434" s="189"/>
      <c r="N434" s="190"/>
      <c r="O434" s="190"/>
    </row>
    <row r="435" spans="2:15" ht="14.1" customHeight="1">
      <c r="B435" s="183"/>
      <c r="C435" s="183"/>
      <c r="D435" s="184"/>
      <c r="E435" s="185"/>
      <c r="F435" s="186"/>
      <c r="G435" s="186"/>
      <c r="H435" s="9"/>
      <c r="I435" s="532"/>
      <c r="J435" s="443"/>
      <c r="K435" s="187"/>
      <c r="L435" s="188"/>
      <c r="M435" s="189"/>
      <c r="N435" s="190"/>
      <c r="O435" s="190"/>
    </row>
    <row r="436" spans="2:15" ht="14.1" customHeight="1">
      <c r="B436" s="183"/>
      <c r="C436" s="183"/>
      <c r="D436" s="184"/>
      <c r="E436" s="185"/>
      <c r="F436" s="186"/>
      <c r="G436" s="186"/>
      <c r="H436" s="9"/>
      <c r="I436" s="532"/>
      <c r="J436" s="443"/>
      <c r="K436" s="187"/>
      <c r="L436" s="188"/>
      <c r="M436" s="189"/>
      <c r="N436" s="190"/>
      <c r="O436" s="190"/>
    </row>
    <row r="437" spans="2:15" ht="14.1" customHeight="1">
      <c r="B437" s="183"/>
      <c r="C437" s="183"/>
      <c r="D437" s="184"/>
      <c r="E437" s="185"/>
      <c r="F437" s="186"/>
      <c r="G437" s="186"/>
      <c r="H437" s="9"/>
      <c r="I437" s="532"/>
      <c r="J437" s="443"/>
      <c r="K437" s="187"/>
      <c r="L437" s="188"/>
      <c r="M437" s="189"/>
      <c r="N437" s="190"/>
      <c r="O437" s="190"/>
    </row>
    <row r="438" spans="2:15" ht="14.1" customHeight="1">
      <c r="B438" s="183"/>
      <c r="C438" s="183"/>
      <c r="D438" s="184"/>
      <c r="E438" s="185"/>
      <c r="F438" s="186"/>
      <c r="G438" s="186"/>
      <c r="H438" s="9"/>
      <c r="I438" s="532"/>
      <c r="J438" s="443"/>
      <c r="K438" s="187"/>
      <c r="L438" s="188"/>
      <c r="M438" s="189"/>
      <c r="N438" s="190"/>
      <c r="O438" s="190"/>
    </row>
    <row r="439" spans="2:15" ht="14.1" customHeight="1">
      <c r="B439" s="183"/>
      <c r="C439" s="183"/>
      <c r="D439" s="184"/>
      <c r="E439" s="185"/>
      <c r="F439" s="186"/>
      <c r="G439" s="186"/>
      <c r="H439" s="9"/>
      <c r="I439" s="532"/>
      <c r="J439" s="443"/>
      <c r="K439" s="187"/>
      <c r="L439" s="188"/>
      <c r="M439" s="189"/>
      <c r="N439" s="190"/>
      <c r="O439" s="190"/>
    </row>
    <row r="440" spans="2:15" ht="14.1" customHeight="1">
      <c r="B440" s="183"/>
      <c r="C440" s="183"/>
      <c r="D440" s="184"/>
      <c r="E440" s="185"/>
      <c r="F440" s="186"/>
      <c r="G440" s="186"/>
      <c r="H440" s="9"/>
      <c r="I440" s="532"/>
      <c r="J440" s="443"/>
      <c r="K440" s="187"/>
      <c r="L440" s="188"/>
      <c r="M440" s="189"/>
      <c r="N440" s="190"/>
      <c r="O440" s="190"/>
    </row>
    <row r="441" spans="2:15" ht="14.1" customHeight="1">
      <c r="B441" s="183"/>
      <c r="C441" s="183"/>
      <c r="D441" s="184"/>
      <c r="E441" s="185"/>
      <c r="F441" s="186"/>
      <c r="G441" s="186"/>
      <c r="H441" s="9"/>
      <c r="I441" s="532"/>
      <c r="J441" s="443"/>
      <c r="K441" s="187"/>
      <c r="L441" s="188"/>
      <c r="M441" s="189"/>
      <c r="N441" s="190"/>
      <c r="O441" s="190"/>
    </row>
    <row r="442" spans="2:15" ht="14.1" customHeight="1">
      <c r="B442" s="183"/>
      <c r="C442" s="183"/>
      <c r="D442" s="184"/>
      <c r="E442" s="185"/>
      <c r="F442" s="186"/>
      <c r="G442" s="186"/>
      <c r="H442" s="9"/>
      <c r="I442" s="532"/>
      <c r="J442" s="443"/>
      <c r="K442" s="187"/>
      <c r="L442" s="188"/>
      <c r="M442" s="189"/>
      <c r="N442" s="190"/>
      <c r="O442" s="190"/>
    </row>
    <row r="443" spans="2:15" ht="14.1" customHeight="1">
      <c r="B443" s="183"/>
      <c r="C443" s="183"/>
      <c r="D443" s="184"/>
      <c r="E443" s="185"/>
      <c r="F443" s="186"/>
      <c r="G443" s="186"/>
      <c r="H443" s="9"/>
      <c r="I443" s="532"/>
      <c r="J443" s="443"/>
      <c r="K443" s="187"/>
      <c r="L443" s="188"/>
      <c r="M443" s="189"/>
      <c r="N443" s="190"/>
      <c r="O443" s="190"/>
    </row>
    <row r="444" spans="2:15" ht="14.1" customHeight="1">
      <c r="B444" s="183"/>
      <c r="C444" s="183"/>
      <c r="D444" s="184"/>
      <c r="E444" s="185"/>
      <c r="F444" s="186"/>
      <c r="G444" s="186"/>
      <c r="H444" s="9"/>
      <c r="I444" s="532"/>
      <c r="J444" s="443"/>
      <c r="K444" s="187"/>
      <c r="L444" s="188"/>
      <c r="M444" s="189"/>
      <c r="N444" s="190"/>
      <c r="O444" s="190"/>
    </row>
    <row r="445" spans="2:15" ht="14.1" customHeight="1">
      <c r="B445" s="183"/>
      <c r="C445" s="183"/>
      <c r="D445" s="184"/>
      <c r="E445" s="185"/>
      <c r="F445" s="186"/>
      <c r="G445" s="186"/>
      <c r="H445" s="9"/>
      <c r="I445" s="532"/>
      <c r="J445" s="443"/>
      <c r="K445" s="187"/>
      <c r="L445" s="188"/>
      <c r="M445" s="189"/>
      <c r="N445" s="190"/>
      <c r="O445" s="190"/>
    </row>
    <row r="446" spans="2:15" ht="14.1" customHeight="1">
      <c r="B446" s="183"/>
      <c r="C446" s="183"/>
      <c r="D446" s="184"/>
      <c r="E446" s="185"/>
      <c r="F446" s="186"/>
      <c r="G446" s="186"/>
      <c r="H446" s="9"/>
      <c r="I446" s="532"/>
      <c r="J446" s="443"/>
      <c r="K446" s="187"/>
      <c r="L446" s="188"/>
      <c r="M446" s="189"/>
      <c r="N446" s="190"/>
      <c r="O446" s="190"/>
    </row>
    <row r="447" spans="2:15" ht="14.1" customHeight="1">
      <c r="B447" s="183"/>
      <c r="C447" s="183"/>
      <c r="D447" s="184"/>
      <c r="E447" s="185"/>
      <c r="F447" s="186"/>
      <c r="G447" s="186"/>
      <c r="H447" s="9"/>
      <c r="I447" s="532"/>
      <c r="J447" s="443"/>
      <c r="K447" s="187"/>
      <c r="L447" s="188"/>
      <c r="M447" s="189"/>
      <c r="N447" s="190"/>
      <c r="O447" s="190"/>
    </row>
    <row r="448" spans="2:15" ht="14.1" customHeight="1">
      <c r="B448" s="183"/>
      <c r="C448" s="183"/>
      <c r="D448" s="184"/>
      <c r="E448" s="185"/>
      <c r="F448" s="186"/>
      <c r="G448" s="186"/>
      <c r="H448" s="9"/>
      <c r="I448" s="532"/>
      <c r="J448" s="443"/>
      <c r="K448" s="187"/>
      <c r="L448" s="188"/>
      <c r="M448" s="189"/>
      <c r="N448" s="190"/>
      <c r="O448" s="190"/>
    </row>
    <row r="449" spans="2:15" ht="14.1" customHeight="1">
      <c r="B449" s="183"/>
      <c r="C449" s="183"/>
      <c r="D449" s="184"/>
      <c r="E449" s="185"/>
      <c r="F449" s="186"/>
      <c r="G449" s="186"/>
      <c r="H449" s="9"/>
      <c r="I449" s="532"/>
      <c r="J449" s="443"/>
      <c r="K449" s="187"/>
      <c r="L449" s="188"/>
      <c r="M449" s="189"/>
      <c r="N449" s="190"/>
      <c r="O449" s="190"/>
    </row>
    <row r="450" spans="2:15" ht="14.1" customHeight="1">
      <c r="B450" s="183"/>
      <c r="C450" s="183"/>
      <c r="D450" s="184"/>
      <c r="E450" s="185"/>
      <c r="F450" s="186"/>
      <c r="G450" s="186"/>
      <c r="H450" s="9"/>
      <c r="I450" s="532"/>
      <c r="J450" s="443"/>
      <c r="K450" s="187"/>
      <c r="L450" s="188"/>
      <c r="M450" s="189"/>
      <c r="N450" s="190"/>
      <c r="O450" s="190"/>
    </row>
    <row r="451" spans="2:15" ht="14.1" customHeight="1">
      <c r="B451" s="183"/>
      <c r="C451" s="183"/>
      <c r="D451" s="184"/>
      <c r="E451" s="185"/>
      <c r="F451" s="186"/>
      <c r="G451" s="186"/>
      <c r="H451" s="9"/>
      <c r="I451" s="532"/>
      <c r="J451" s="443"/>
      <c r="K451" s="187"/>
      <c r="L451" s="188"/>
      <c r="M451" s="189"/>
      <c r="N451" s="190"/>
      <c r="O451" s="190"/>
    </row>
    <row r="452" spans="2:15" ht="14.1" customHeight="1">
      <c r="B452" s="183"/>
      <c r="C452" s="183"/>
      <c r="D452" s="184"/>
      <c r="E452" s="185"/>
      <c r="F452" s="186"/>
      <c r="G452" s="186"/>
      <c r="H452" s="9"/>
      <c r="I452" s="532"/>
      <c r="J452" s="443"/>
      <c r="K452" s="187"/>
      <c r="L452" s="188"/>
      <c r="M452" s="189"/>
      <c r="N452" s="190"/>
      <c r="O452" s="190"/>
    </row>
    <row r="453" spans="2:15" ht="14.1" customHeight="1">
      <c r="B453" s="183"/>
      <c r="C453" s="183"/>
      <c r="D453" s="184"/>
      <c r="E453" s="185"/>
      <c r="F453" s="186"/>
      <c r="G453" s="186"/>
      <c r="H453" s="9"/>
      <c r="I453" s="532"/>
      <c r="J453" s="443"/>
      <c r="K453" s="187"/>
      <c r="L453" s="188"/>
      <c r="M453" s="189"/>
      <c r="N453" s="190"/>
      <c r="O453" s="190"/>
    </row>
    <row r="454" spans="2:15" ht="14.1" customHeight="1">
      <c r="B454" s="183"/>
      <c r="C454" s="183"/>
      <c r="D454" s="184"/>
      <c r="E454" s="185"/>
      <c r="F454" s="186"/>
      <c r="G454" s="186"/>
      <c r="H454" s="9"/>
      <c r="I454" s="532"/>
      <c r="J454" s="443"/>
      <c r="K454" s="187"/>
      <c r="L454" s="188"/>
      <c r="M454" s="189"/>
      <c r="N454" s="190"/>
      <c r="O454" s="190"/>
    </row>
    <row r="455" spans="2:15" ht="14.1" customHeight="1">
      <c r="B455" s="183"/>
      <c r="C455" s="183"/>
      <c r="D455" s="184"/>
      <c r="E455" s="185"/>
      <c r="F455" s="186"/>
      <c r="G455" s="186"/>
      <c r="H455" s="9"/>
      <c r="I455" s="532"/>
      <c r="J455" s="443"/>
      <c r="K455" s="187"/>
      <c r="L455" s="188"/>
      <c r="M455" s="189"/>
      <c r="N455" s="190"/>
      <c r="O455" s="190"/>
    </row>
    <row r="456" spans="2:15" ht="14.1" customHeight="1">
      <c r="B456" s="183"/>
      <c r="C456" s="183"/>
      <c r="D456" s="184"/>
      <c r="E456" s="185"/>
      <c r="F456" s="186"/>
      <c r="G456" s="186"/>
      <c r="H456" s="9"/>
      <c r="I456" s="532"/>
      <c r="J456" s="443"/>
      <c r="K456" s="187"/>
      <c r="L456" s="188"/>
      <c r="M456" s="189"/>
      <c r="N456" s="190"/>
      <c r="O456" s="190"/>
    </row>
    <row r="457" spans="2:15" ht="14.1" customHeight="1">
      <c r="B457" s="183"/>
      <c r="C457" s="183"/>
      <c r="D457" s="184"/>
      <c r="E457" s="185"/>
      <c r="F457" s="186"/>
      <c r="G457" s="186"/>
      <c r="H457" s="9"/>
      <c r="I457" s="532"/>
      <c r="J457" s="443"/>
      <c r="K457" s="187"/>
      <c r="L457" s="188"/>
      <c r="M457" s="189"/>
      <c r="N457" s="190"/>
      <c r="O457" s="190"/>
    </row>
    <row r="458" spans="2:15" ht="14.1" customHeight="1">
      <c r="B458" s="183"/>
      <c r="C458" s="183"/>
      <c r="D458" s="184"/>
      <c r="E458" s="185"/>
      <c r="F458" s="186"/>
      <c r="G458" s="186"/>
      <c r="H458" s="9"/>
      <c r="I458" s="532"/>
      <c r="J458" s="443"/>
      <c r="K458" s="187"/>
      <c r="L458" s="188"/>
      <c r="M458" s="189"/>
      <c r="N458" s="190"/>
      <c r="O458" s="190"/>
    </row>
    <row r="459" spans="2:15" ht="14.1" customHeight="1">
      <c r="B459" s="183"/>
      <c r="C459" s="183"/>
      <c r="D459" s="184"/>
      <c r="E459" s="185"/>
      <c r="F459" s="186"/>
      <c r="G459" s="186"/>
      <c r="H459" s="9"/>
      <c r="I459" s="532"/>
      <c r="J459" s="443"/>
      <c r="K459" s="187"/>
      <c r="L459" s="188"/>
      <c r="M459" s="189"/>
      <c r="N459" s="190"/>
      <c r="O459" s="190"/>
    </row>
    <row r="460" spans="2:15" ht="14.1" customHeight="1">
      <c r="B460" s="183"/>
      <c r="C460" s="183"/>
      <c r="D460" s="184"/>
      <c r="E460" s="185"/>
      <c r="F460" s="186"/>
      <c r="G460" s="186"/>
      <c r="H460" s="9"/>
      <c r="I460" s="532"/>
      <c r="J460" s="443"/>
      <c r="K460" s="187"/>
      <c r="L460" s="188"/>
      <c r="M460" s="189"/>
      <c r="N460" s="190"/>
      <c r="O460" s="190"/>
    </row>
    <row r="461" spans="2:15" ht="14.1" customHeight="1">
      <c r="B461" s="183"/>
      <c r="C461" s="183"/>
      <c r="D461" s="184"/>
      <c r="E461" s="185"/>
      <c r="F461" s="186"/>
      <c r="G461" s="186"/>
      <c r="H461" s="9"/>
      <c r="I461" s="532"/>
      <c r="J461" s="443"/>
      <c r="K461" s="187"/>
      <c r="L461" s="188"/>
      <c r="M461" s="189"/>
      <c r="N461" s="190"/>
      <c r="O461" s="190"/>
    </row>
    <row r="462" spans="2:15" ht="14.1" customHeight="1">
      <c r="B462" s="183"/>
      <c r="C462" s="183"/>
      <c r="D462" s="184"/>
      <c r="E462" s="185"/>
      <c r="F462" s="186"/>
      <c r="G462" s="186"/>
      <c r="H462" s="9"/>
      <c r="I462" s="532"/>
      <c r="J462" s="443"/>
      <c r="K462" s="187"/>
      <c r="L462" s="188"/>
      <c r="M462" s="189"/>
      <c r="N462" s="190"/>
      <c r="O462" s="190"/>
    </row>
    <row r="463" spans="2:15" ht="14.1" customHeight="1">
      <c r="B463" s="183"/>
      <c r="C463" s="183"/>
      <c r="D463" s="184"/>
      <c r="E463" s="185"/>
      <c r="F463" s="186"/>
      <c r="G463" s="186"/>
      <c r="H463" s="9"/>
      <c r="I463" s="532"/>
      <c r="J463" s="443"/>
      <c r="K463" s="187"/>
      <c r="L463" s="188"/>
      <c r="M463" s="189"/>
      <c r="N463" s="190"/>
      <c r="O463" s="190"/>
    </row>
    <row r="464" spans="2:15" ht="14.1" customHeight="1">
      <c r="B464" s="183"/>
      <c r="C464" s="183"/>
      <c r="D464" s="184"/>
      <c r="E464" s="185"/>
      <c r="F464" s="186"/>
      <c r="G464" s="186"/>
      <c r="H464" s="9"/>
      <c r="I464" s="532"/>
      <c r="J464" s="443"/>
      <c r="K464" s="187"/>
      <c r="L464" s="188"/>
      <c r="M464" s="189"/>
      <c r="N464" s="190"/>
      <c r="O464" s="190"/>
    </row>
    <row r="465" spans="2:15" ht="14.1" customHeight="1">
      <c r="B465" s="183"/>
      <c r="C465" s="183"/>
      <c r="D465" s="184"/>
      <c r="E465" s="185"/>
      <c r="F465" s="186"/>
      <c r="G465" s="186"/>
      <c r="H465" s="9"/>
      <c r="I465" s="532"/>
      <c r="J465" s="443"/>
      <c r="K465" s="187"/>
      <c r="L465" s="188"/>
      <c r="M465" s="189"/>
      <c r="N465" s="190"/>
      <c r="O465" s="190"/>
    </row>
    <row r="466" spans="2:15" ht="14.1" customHeight="1">
      <c r="B466" s="183"/>
      <c r="C466" s="183"/>
      <c r="D466" s="184"/>
      <c r="E466" s="185"/>
      <c r="F466" s="186"/>
      <c r="G466" s="186"/>
      <c r="H466" s="9"/>
      <c r="I466" s="532"/>
      <c r="J466" s="443"/>
      <c r="K466" s="187"/>
      <c r="L466" s="188"/>
      <c r="M466" s="189"/>
      <c r="N466" s="190"/>
      <c r="O466" s="190"/>
    </row>
    <row r="467" spans="2:15" ht="14.1" customHeight="1">
      <c r="B467" s="183"/>
      <c r="C467" s="183"/>
      <c r="D467" s="184"/>
      <c r="E467" s="185"/>
      <c r="F467" s="186"/>
      <c r="G467" s="186"/>
      <c r="H467" s="9"/>
      <c r="I467" s="532"/>
      <c r="J467" s="443"/>
      <c r="K467" s="187"/>
      <c r="L467" s="188"/>
      <c r="M467" s="189"/>
      <c r="N467" s="190"/>
      <c r="O467" s="190"/>
    </row>
    <row r="468" spans="2:15" ht="14.1" customHeight="1">
      <c r="B468" s="183"/>
      <c r="C468" s="183"/>
      <c r="D468" s="184"/>
      <c r="E468" s="185"/>
      <c r="F468" s="186"/>
      <c r="G468" s="186"/>
      <c r="H468" s="9"/>
      <c r="I468" s="532"/>
      <c r="J468" s="443"/>
      <c r="K468" s="187"/>
      <c r="L468" s="188"/>
      <c r="M468" s="189"/>
      <c r="N468" s="190"/>
      <c r="O468" s="190"/>
    </row>
    <row r="469" spans="2:15" ht="14.1" customHeight="1">
      <c r="B469" s="183"/>
      <c r="C469" s="183"/>
      <c r="D469" s="184"/>
      <c r="E469" s="185"/>
      <c r="F469" s="186"/>
      <c r="G469" s="186"/>
      <c r="H469" s="9"/>
      <c r="I469" s="532"/>
      <c r="J469" s="443"/>
      <c r="K469" s="187"/>
      <c r="L469" s="188"/>
      <c r="M469" s="189"/>
      <c r="N469" s="190"/>
      <c r="O469" s="190"/>
    </row>
    <row r="470" spans="2:15" ht="14.1" customHeight="1">
      <c r="B470" s="183"/>
      <c r="C470" s="183"/>
      <c r="D470" s="184"/>
      <c r="E470" s="185"/>
      <c r="F470" s="186"/>
      <c r="G470" s="186"/>
      <c r="H470" s="9"/>
      <c r="I470" s="532"/>
      <c r="J470" s="443"/>
      <c r="K470" s="187"/>
      <c r="L470" s="188"/>
      <c r="M470" s="189"/>
      <c r="N470" s="190"/>
      <c r="O470" s="190"/>
    </row>
    <row r="471" spans="2:15" ht="14.1" customHeight="1">
      <c r="B471" s="183"/>
      <c r="C471" s="183"/>
      <c r="D471" s="184"/>
      <c r="E471" s="185"/>
      <c r="F471" s="186"/>
      <c r="G471" s="186"/>
      <c r="H471" s="9"/>
      <c r="I471" s="532"/>
      <c r="J471" s="443"/>
      <c r="K471" s="187"/>
      <c r="L471" s="188"/>
      <c r="M471" s="189"/>
      <c r="N471" s="190"/>
      <c r="O471" s="190"/>
    </row>
    <row r="472" spans="2:15" ht="14.1" customHeight="1">
      <c r="B472" s="183"/>
      <c r="C472" s="183"/>
      <c r="D472" s="184"/>
      <c r="E472" s="185"/>
      <c r="F472" s="186"/>
      <c r="G472" s="186"/>
      <c r="H472" s="9"/>
      <c r="I472" s="532"/>
      <c r="J472" s="443"/>
      <c r="K472" s="187"/>
      <c r="L472" s="188"/>
      <c r="M472" s="189"/>
      <c r="N472" s="190"/>
      <c r="O472" s="190"/>
    </row>
    <row r="473" spans="2:15" ht="14.1" customHeight="1">
      <c r="B473" s="183"/>
      <c r="C473" s="183"/>
      <c r="D473" s="184"/>
      <c r="E473" s="185"/>
      <c r="F473" s="186"/>
      <c r="G473" s="186"/>
      <c r="H473" s="9"/>
      <c r="I473" s="532"/>
      <c r="J473" s="443"/>
      <c r="K473" s="187"/>
      <c r="L473" s="188"/>
      <c r="M473" s="189"/>
      <c r="N473" s="190"/>
      <c r="O473" s="190"/>
    </row>
    <row r="474" spans="2:15" ht="14.1" customHeight="1">
      <c r="B474" s="183"/>
      <c r="C474" s="183"/>
      <c r="D474" s="184"/>
      <c r="E474" s="185"/>
      <c r="F474" s="186"/>
      <c r="G474" s="186"/>
      <c r="H474" s="9"/>
      <c r="I474" s="532"/>
      <c r="J474" s="443"/>
      <c r="K474" s="187"/>
      <c r="L474" s="188"/>
      <c r="M474" s="189"/>
      <c r="N474" s="190"/>
      <c r="O474" s="190"/>
    </row>
    <row r="475" spans="2:15" ht="14.1" customHeight="1">
      <c r="B475" s="183"/>
      <c r="C475" s="183"/>
      <c r="D475" s="184"/>
      <c r="E475" s="185"/>
      <c r="F475" s="186"/>
      <c r="G475" s="186"/>
      <c r="H475" s="9"/>
      <c r="I475" s="532"/>
      <c r="J475" s="443"/>
      <c r="K475" s="187"/>
      <c r="L475" s="188"/>
      <c r="M475" s="189"/>
      <c r="N475" s="190"/>
      <c r="O475" s="190"/>
    </row>
    <row r="476" spans="2:15" ht="14.1" customHeight="1">
      <c r="B476" s="183"/>
      <c r="C476" s="183"/>
      <c r="D476" s="184"/>
      <c r="E476" s="185"/>
      <c r="F476" s="186"/>
      <c r="G476" s="186"/>
      <c r="H476" s="9"/>
      <c r="I476" s="532"/>
      <c r="J476" s="443"/>
      <c r="K476" s="187"/>
      <c r="L476" s="188"/>
      <c r="M476" s="189"/>
      <c r="N476" s="190"/>
      <c r="O476" s="190"/>
    </row>
    <row r="477" spans="2:15" ht="14.1" customHeight="1">
      <c r="B477" s="183"/>
      <c r="C477" s="183"/>
      <c r="D477" s="184"/>
      <c r="E477" s="185"/>
      <c r="F477" s="186"/>
      <c r="G477" s="186"/>
      <c r="H477" s="9"/>
      <c r="I477" s="532"/>
      <c r="J477" s="443"/>
      <c r="K477" s="187"/>
      <c r="L477" s="188"/>
      <c r="M477" s="189"/>
      <c r="N477" s="190"/>
      <c r="O477" s="190"/>
    </row>
    <row r="478" spans="2:15" ht="14.1" customHeight="1">
      <c r="B478" s="183"/>
      <c r="C478" s="183"/>
      <c r="D478" s="184"/>
      <c r="E478" s="185"/>
      <c r="F478" s="186"/>
      <c r="G478" s="186"/>
      <c r="H478" s="9"/>
      <c r="I478" s="532"/>
      <c r="J478" s="443"/>
      <c r="K478" s="187"/>
      <c r="L478" s="188"/>
      <c r="M478" s="189"/>
      <c r="N478" s="190"/>
      <c r="O478" s="190"/>
    </row>
    <row r="479" spans="2:15" ht="14.1" customHeight="1">
      <c r="B479" s="183"/>
      <c r="C479" s="183"/>
      <c r="D479" s="184"/>
      <c r="E479" s="185"/>
      <c r="F479" s="186"/>
      <c r="G479" s="186"/>
      <c r="H479" s="9"/>
      <c r="I479" s="532"/>
      <c r="J479" s="443"/>
      <c r="K479" s="187"/>
      <c r="L479" s="188"/>
      <c r="M479" s="189"/>
      <c r="N479" s="190"/>
      <c r="O479" s="190"/>
    </row>
    <row r="480" spans="2:15" ht="14.1" customHeight="1">
      <c r="B480" s="183"/>
      <c r="C480" s="183"/>
      <c r="D480" s="184"/>
      <c r="E480" s="185"/>
      <c r="F480" s="186"/>
      <c r="G480" s="186"/>
      <c r="H480" s="9"/>
      <c r="I480" s="532"/>
      <c r="J480" s="443"/>
      <c r="K480" s="187"/>
      <c r="L480" s="188"/>
      <c r="M480" s="189"/>
      <c r="N480" s="190"/>
      <c r="O480" s="190"/>
    </row>
    <row r="481" spans="2:15" ht="14.1" customHeight="1">
      <c r="B481" s="183"/>
      <c r="C481" s="183"/>
      <c r="D481" s="184"/>
      <c r="E481" s="185"/>
      <c r="F481" s="186"/>
      <c r="G481" s="186"/>
      <c r="H481" s="9"/>
      <c r="I481" s="532"/>
      <c r="J481" s="443"/>
      <c r="K481" s="187"/>
      <c r="L481" s="188"/>
      <c r="M481" s="189"/>
      <c r="N481" s="190"/>
      <c r="O481" s="190"/>
    </row>
    <row r="482" spans="2:15" ht="14.1" customHeight="1">
      <c r="B482" s="183"/>
      <c r="C482" s="183"/>
      <c r="D482" s="184"/>
      <c r="E482" s="185"/>
      <c r="F482" s="186"/>
      <c r="G482" s="186"/>
      <c r="H482" s="9"/>
      <c r="I482" s="532"/>
      <c r="J482" s="443"/>
      <c r="K482" s="187"/>
      <c r="L482" s="188"/>
      <c r="M482" s="189"/>
      <c r="N482" s="190"/>
      <c r="O482" s="190"/>
    </row>
    <row r="483" spans="2:15" ht="14.1" customHeight="1">
      <c r="B483" s="183"/>
      <c r="C483" s="183"/>
      <c r="D483" s="184"/>
      <c r="E483" s="185"/>
      <c r="F483" s="186"/>
      <c r="G483" s="186"/>
      <c r="H483" s="9"/>
      <c r="I483" s="532"/>
      <c r="J483" s="443"/>
      <c r="K483" s="187"/>
      <c r="L483" s="188"/>
      <c r="M483" s="189"/>
      <c r="N483" s="190"/>
      <c r="O483" s="190"/>
    </row>
    <row r="484" spans="2:15" ht="14.1" customHeight="1">
      <c r="B484" s="183"/>
      <c r="C484" s="183"/>
      <c r="D484" s="184"/>
      <c r="E484" s="185"/>
      <c r="F484" s="186"/>
      <c r="G484" s="186"/>
      <c r="H484" s="9"/>
      <c r="I484" s="532"/>
      <c r="J484" s="443"/>
      <c r="K484" s="187"/>
      <c r="L484" s="188"/>
      <c r="M484" s="189"/>
      <c r="N484" s="190"/>
      <c r="O484" s="190"/>
    </row>
    <row r="485" spans="2:15" ht="14.1" customHeight="1">
      <c r="B485" s="183"/>
      <c r="C485" s="183"/>
      <c r="D485" s="184"/>
      <c r="E485" s="185"/>
      <c r="F485" s="186"/>
      <c r="G485" s="186"/>
      <c r="H485" s="9"/>
      <c r="I485" s="532"/>
      <c r="J485" s="443"/>
      <c r="K485" s="187"/>
      <c r="L485" s="188"/>
      <c r="M485" s="189"/>
      <c r="N485" s="190"/>
      <c r="O485" s="190"/>
    </row>
    <row r="486" spans="2:15" ht="14.1" customHeight="1">
      <c r="B486" s="183"/>
      <c r="C486" s="183"/>
      <c r="D486" s="184"/>
      <c r="E486" s="185"/>
      <c r="F486" s="186"/>
      <c r="G486" s="186"/>
      <c r="H486" s="9"/>
      <c r="I486" s="532"/>
      <c r="J486" s="443"/>
      <c r="K486" s="187"/>
      <c r="L486" s="188"/>
      <c r="M486" s="189"/>
      <c r="N486" s="190"/>
      <c r="O486" s="190"/>
    </row>
    <row r="487" spans="2:15" ht="14.1" customHeight="1">
      <c r="B487" s="183"/>
      <c r="C487" s="183"/>
      <c r="D487" s="184"/>
      <c r="E487" s="185"/>
      <c r="F487" s="186"/>
      <c r="G487" s="186"/>
      <c r="H487" s="9"/>
      <c r="I487" s="532"/>
      <c r="J487" s="443"/>
      <c r="K487" s="187"/>
      <c r="L487" s="188"/>
      <c r="M487" s="189"/>
      <c r="N487" s="190"/>
      <c r="O487" s="190"/>
    </row>
    <row r="488" spans="2:15" ht="14.1" customHeight="1">
      <c r="B488" s="183"/>
      <c r="C488" s="183"/>
      <c r="D488" s="184"/>
      <c r="E488" s="185"/>
      <c r="F488" s="186"/>
      <c r="G488" s="186"/>
      <c r="H488" s="9"/>
      <c r="I488" s="532"/>
      <c r="J488" s="443"/>
      <c r="K488" s="187"/>
      <c r="L488" s="188"/>
      <c r="M488" s="189"/>
      <c r="N488" s="190"/>
      <c r="O488" s="190"/>
    </row>
    <row r="489" spans="2:15" ht="14.1" customHeight="1">
      <c r="B489" s="183"/>
      <c r="C489" s="183"/>
      <c r="D489" s="184"/>
      <c r="E489" s="185"/>
      <c r="F489" s="186"/>
      <c r="G489" s="186"/>
      <c r="H489" s="9"/>
      <c r="I489" s="532"/>
      <c r="J489" s="443"/>
      <c r="K489" s="187"/>
      <c r="L489" s="188"/>
      <c r="M489" s="189"/>
      <c r="N489" s="190"/>
      <c r="O489" s="190"/>
    </row>
    <row r="490" spans="2:15" ht="14.1" customHeight="1">
      <c r="B490" s="183"/>
      <c r="C490" s="183"/>
      <c r="D490" s="184"/>
      <c r="E490" s="185"/>
      <c r="F490" s="186"/>
      <c r="G490" s="186"/>
      <c r="H490" s="9"/>
      <c r="I490" s="532"/>
      <c r="J490" s="443"/>
      <c r="K490" s="187"/>
      <c r="L490" s="188"/>
      <c r="M490" s="189"/>
      <c r="N490" s="190"/>
      <c r="O490" s="190"/>
    </row>
    <row r="491" spans="2:15" ht="14.1" customHeight="1">
      <c r="B491" s="183"/>
      <c r="C491" s="183"/>
      <c r="D491" s="184"/>
      <c r="E491" s="185"/>
      <c r="F491" s="186"/>
      <c r="G491" s="186"/>
      <c r="H491" s="9"/>
      <c r="I491" s="532"/>
      <c r="J491" s="443"/>
      <c r="K491" s="187"/>
      <c r="L491" s="188"/>
      <c r="M491" s="189"/>
      <c r="N491" s="190"/>
      <c r="O491" s="190"/>
    </row>
    <row r="492" spans="2:15" ht="14.1" customHeight="1">
      <c r="B492" s="183"/>
      <c r="C492" s="183"/>
      <c r="D492" s="184"/>
      <c r="E492" s="185"/>
      <c r="F492" s="186"/>
      <c r="G492" s="186"/>
      <c r="H492" s="9"/>
      <c r="I492" s="532"/>
      <c r="J492" s="443"/>
      <c r="K492" s="187"/>
      <c r="L492" s="188"/>
      <c r="M492" s="189"/>
      <c r="N492" s="190"/>
      <c r="O492" s="190"/>
    </row>
    <row r="493" spans="2:15" ht="14.1" customHeight="1">
      <c r="B493" s="183"/>
      <c r="C493" s="183"/>
      <c r="D493" s="184"/>
      <c r="E493" s="185"/>
      <c r="F493" s="186"/>
      <c r="G493" s="186"/>
      <c r="H493" s="9"/>
      <c r="I493" s="532"/>
      <c r="J493" s="443"/>
      <c r="K493" s="187"/>
      <c r="L493" s="188"/>
      <c r="M493" s="189"/>
      <c r="N493" s="190"/>
      <c r="O493" s="190"/>
    </row>
    <row r="494" spans="2:15" ht="14.1" customHeight="1">
      <c r="B494" s="183"/>
      <c r="C494" s="183"/>
      <c r="D494" s="184"/>
      <c r="E494" s="185"/>
      <c r="F494" s="186"/>
      <c r="G494" s="186"/>
      <c r="H494" s="9"/>
      <c r="I494" s="532"/>
      <c r="J494" s="443"/>
      <c r="K494" s="187"/>
      <c r="L494" s="188"/>
      <c r="M494" s="189"/>
      <c r="N494" s="190"/>
      <c r="O494" s="190"/>
    </row>
    <row r="495" spans="2:15" ht="14.1" customHeight="1">
      <c r="B495" s="183"/>
      <c r="C495" s="183"/>
      <c r="D495" s="184"/>
      <c r="E495" s="185"/>
      <c r="F495" s="186"/>
      <c r="G495" s="186"/>
      <c r="H495" s="9"/>
      <c r="I495" s="532"/>
      <c r="J495" s="443"/>
      <c r="K495" s="187"/>
      <c r="L495" s="188"/>
      <c r="M495" s="189"/>
      <c r="N495" s="190"/>
      <c r="O495" s="190"/>
    </row>
    <row r="496" spans="2:15" ht="14.1" customHeight="1">
      <c r="B496" s="183"/>
      <c r="C496" s="183"/>
      <c r="D496" s="184"/>
      <c r="E496" s="185"/>
      <c r="F496" s="186"/>
      <c r="G496" s="186"/>
      <c r="H496" s="9"/>
      <c r="I496" s="532"/>
      <c r="J496" s="443"/>
      <c r="K496" s="187"/>
      <c r="L496" s="188"/>
      <c r="M496" s="189"/>
      <c r="N496" s="190"/>
      <c r="O496" s="190"/>
    </row>
    <row r="497" spans="2:15" ht="14.1" customHeight="1">
      <c r="B497" s="183"/>
      <c r="C497" s="183"/>
      <c r="D497" s="184"/>
      <c r="E497" s="185"/>
      <c r="F497" s="186"/>
      <c r="G497" s="186"/>
      <c r="H497" s="9"/>
      <c r="I497" s="532"/>
      <c r="J497" s="443"/>
      <c r="K497" s="187"/>
      <c r="L497" s="188"/>
      <c r="M497" s="189"/>
      <c r="N497" s="190"/>
      <c r="O497" s="190"/>
    </row>
    <row r="498" spans="2:15" ht="14.1" customHeight="1">
      <c r="B498" s="183"/>
      <c r="C498" s="183"/>
      <c r="D498" s="184"/>
      <c r="E498" s="185"/>
      <c r="F498" s="186"/>
      <c r="G498" s="186"/>
      <c r="H498" s="9"/>
      <c r="I498" s="532"/>
      <c r="J498" s="443"/>
      <c r="K498" s="187"/>
      <c r="L498" s="188"/>
      <c r="M498" s="189"/>
      <c r="N498" s="190"/>
      <c r="O498" s="190"/>
    </row>
    <row r="499" spans="2:15" ht="14.1" customHeight="1">
      <c r="B499" s="183"/>
      <c r="C499" s="183"/>
      <c r="D499" s="184"/>
      <c r="E499" s="185"/>
      <c r="F499" s="186"/>
      <c r="G499" s="186"/>
      <c r="H499" s="9"/>
      <c r="I499" s="532"/>
      <c r="J499" s="443"/>
      <c r="K499" s="187"/>
      <c r="L499" s="188"/>
      <c r="M499" s="189"/>
      <c r="N499" s="190"/>
      <c r="O499" s="190"/>
    </row>
    <row r="500" spans="2:15" ht="14.1" customHeight="1">
      <c r="B500" s="183"/>
      <c r="C500" s="183"/>
      <c r="D500" s="184"/>
      <c r="E500" s="185"/>
      <c r="F500" s="186"/>
      <c r="G500" s="186"/>
      <c r="H500" s="9"/>
      <c r="I500" s="532"/>
      <c r="J500" s="443"/>
      <c r="K500" s="187"/>
      <c r="L500" s="188"/>
      <c r="M500" s="189"/>
      <c r="N500" s="190"/>
      <c r="O500" s="190"/>
    </row>
    <row r="501" spans="2:15" ht="14.1" customHeight="1">
      <c r="B501" s="183"/>
      <c r="C501" s="183"/>
      <c r="D501" s="184"/>
      <c r="E501" s="185"/>
      <c r="F501" s="186"/>
      <c r="G501" s="186"/>
      <c r="H501" s="9"/>
      <c r="I501" s="532"/>
      <c r="J501" s="443"/>
      <c r="K501" s="187"/>
      <c r="L501" s="188"/>
      <c r="M501" s="189"/>
      <c r="N501" s="190"/>
      <c r="O501" s="190"/>
    </row>
    <row r="502" spans="2:15" ht="14.1" customHeight="1">
      <c r="B502" s="183"/>
      <c r="C502" s="183"/>
      <c r="D502" s="184"/>
      <c r="E502" s="185"/>
      <c r="F502" s="186"/>
      <c r="G502" s="186"/>
      <c r="H502" s="9"/>
      <c r="I502" s="532"/>
      <c r="J502" s="443"/>
      <c r="K502" s="187"/>
      <c r="L502" s="188"/>
      <c r="M502" s="189"/>
      <c r="N502" s="190"/>
      <c r="O502" s="190"/>
    </row>
    <row r="503" spans="2:15" ht="14.1" customHeight="1">
      <c r="B503" s="183"/>
      <c r="C503" s="183"/>
      <c r="D503" s="184"/>
      <c r="E503" s="185"/>
      <c r="F503" s="186"/>
      <c r="G503" s="186"/>
      <c r="H503" s="9"/>
      <c r="I503" s="532"/>
      <c r="J503" s="443"/>
      <c r="K503" s="187"/>
      <c r="L503" s="188"/>
      <c r="M503" s="189"/>
      <c r="N503" s="190"/>
      <c r="O503" s="190"/>
    </row>
    <row r="504" spans="2:15" ht="14.1" customHeight="1">
      <c r="B504" s="183"/>
      <c r="C504" s="183"/>
      <c r="D504" s="184"/>
      <c r="E504" s="185"/>
      <c r="F504" s="186"/>
      <c r="G504" s="186"/>
      <c r="H504" s="9"/>
      <c r="I504" s="532"/>
      <c r="J504" s="443"/>
      <c r="K504" s="187"/>
      <c r="L504" s="188"/>
      <c r="M504" s="189"/>
      <c r="N504" s="190"/>
      <c r="O504" s="190"/>
    </row>
    <row r="505" spans="2:15" ht="14.1" customHeight="1">
      <c r="B505" s="183"/>
      <c r="C505" s="183"/>
      <c r="D505" s="184"/>
      <c r="E505" s="185"/>
      <c r="F505" s="186"/>
      <c r="G505" s="186"/>
      <c r="H505" s="9"/>
      <c r="I505" s="532"/>
      <c r="J505" s="443"/>
      <c r="K505" s="187"/>
      <c r="L505" s="188"/>
      <c r="M505" s="189"/>
      <c r="N505" s="190"/>
      <c r="O505" s="190"/>
    </row>
    <row r="506" spans="2:15" ht="14.1" customHeight="1">
      <c r="B506" s="183"/>
      <c r="C506" s="183"/>
      <c r="D506" s="184"/>
      <c r="E506" s="185"/>
      <c r="F506" s="186"/>
      <c r="G506" s="186"/>
      <c r="H506" s="9"/>
      <c r="I506" s="532"/>
      <c r="J506" s="443"/>
      <c r="K506" s="187"/>
      <c r="L506" s="188"/>
      <c r="M506" s="189"/>
      <c r="N506" s="190"/>
      <c r="O506" s="190"/>
    </row>
    <row r="507" spans="2:15" ht="14.1" customHeight="1">
      <c r="B507" s="183"/>
      <c r="C507" s="183"/>
      <c r="D507" s="184"/>
      <c r="E507" s="185"/>
      <c r="F507" s="186"/>
      <c r="G507" s="186"/>
      <c r="H507" s="9"/>
      <c r="I507" s="532"/>
      <c r="J507" s="443"/>
      <c r="K507" s="187"/>
      <c r="L507" s="188"/>
      <c r="M507" s="189"/>
      <c r="N507" s="190"/>
      <c r="O507" s="190"/>
    </row>
    <row r="508" spans="2:15" ht="14.1" customHeight="1">
      <c r="B508" s="183"/>
      <c r="C508" s="183"/>
      <c r="D508" s="184"/>
      <c r="E508" s="185"/>
      <c r="F508" s="186"/>
      <c r="G508" s="186"/>
      <c r="H508" s="9"/>
      <c r="I508" s="532"/>
      <c r="J508" s="443"/>
      <c r="K508" s="187"/>
      <c r="L508" s="188"/>
      <c r="M508" s="189"/>
      <c r="N508" s="190"/>
      <c r="O508" s="190"/>
    </row>
    <row r="509" spans="2:15" ht="14.1" customHeight="1">
      <c r="B509" s="183"/>
      <c r="C509" s="183"/>
      <c r="D509" s="184"/>
      <c r="E509" s="185"/>
      <c r="F509" s="186"/>
      <c r="G509" s="186"/>
      <c r="H509" s="9"/>
      <c r="I509" s="532"/>
      <c r="J509" s="443"/>
      <c r="K509" s="187"/>
      <c r="L509" s="188"/>
      <c r="M509" s="189"/>
      <c r="N509" s="190"/>
      <c r="O509" s="190"/>
    </row>
    <row r="510" spans="2:15" ht="14.1" customHeight="1">
      <c r="B510" s="183"/>
      <c r="C510" s="183"/>
      <c r="D510" s="184"/>
      <c r="E510" s="185"/>
      <c r="F510" s="186"/>
      <c r="G510" s="186"/>
      <c r="H510" s="9"/>
      <c r="I510" s="532"/>
      <c r="J510" s="443"/>
      <c r="K510" s="187"/>
      <c r="L510" s="188"/>
      <c r="M510" s="189"/>
      <c r="N510" s="190"/>
      <c r="O510" s="190"/>
    </row>
    <row r="511" spans="2:15" ht="14.1" customHeight="1">
      <c r="B511" s="183"/>
      <c r="C511" s="183"/>
      <c r="D511" s="184"/>
      <c r="E511" s="185"/>
      <c r="F511" s="186"/>
      <c r="G511" s="186"/>
      <c r="H511" s="9"/>
      <c r="I511" s="532"/>
      <c r="J511" s="443"/>
      <c r="K511" s="187"/>
      <c r="L511" s="188"/>
      <c r="M511" s="189"/>
      <c r="N511" s="190"/>
      <c r="O511" s="190"/>
    </row>
    <row r="512" spans="2:15" ht="14.1" customHeight="1">
      <c r="B512" s="183"/>
      <c r="C512" s="183"/>
      <c r="D512" s="184"/>
      <c r="E512" s="185"/>
      <c r="F512" s="186"/>
      <c r="G512" s="186"/>
      <c r="H512" s="9"/>
      <c r="I512" s="532"/>
      <c r="J512" s="443"/>
      <c r="K512" s="187"/>
      <c r="L512" s="188"/>
      <c r="M512" s="189"/>
      <c r="N512" s="190"/>
      <c r="O512" s="190"/>
    </row>
    <row r="513" spans="2:15" ht="14.1" customHeight="1">
      <c r="B513" s="183"/>
      <c r="C513" s="183"/>
      <c r="D513" s="184"/>
      <c r="E513" s="185"/>
      <c r="F513" s="186"/>
      <c r="G513" s="186"/>
      <c r="H513" s="9"/>
      <c r="I513" s="532"/>
      <c r="J513" s="443"/>
      <c r="K513" s="187"/>
      <c r="L513" s="188"/>
      <c r="M513" s="189"/>
      <c r="N513" s="190"/>
      <c r="O513" s="190"/>
    </row>
    <row r="514" spans="2:15" ht="14.1" customHeight="1">
      <c r="B514" s="183"/>
      <c r="C514" s="183"/>
      <c r="D514" s="184"/>
      <c r="E514" s="185"/>
      <c r="F514" s="186"/>
      <c r="G514" s="186"/>
      <c r="H514" s="9"/>
      <c r="I514" s="532"/>
      <c r="J514" s="443"/>
      <c r="K514" s="187"/>
      <c r="L514" s="188"/>
      <c r="M514" s="189"/>
      <c r="N514" s="190"/>
      <c r="O514" s="190"/>
    </row>
    <row r="515" spans="2:15" ht="14.1" customHeight="1">
      <c r="B515" s="183"/>
      <c r="C515" s="183"/>
      <c r="D515" s="184"/>
      <c r="E515" s="185"/>
      <c r="F515" s="186"/>
      <c r="G515" s="186"/>
      <c r="H515" s="9"/>
      <c r="I515" s="532"/>
      <c r="J515" s="443"/>
      <c r="K515" s="187"/>
      <c r="L515" s="188"/>
      <c r="M515" s="189"/>
      <c r="N515" s="190"/>
      <c r="O515" s="190"/>
    </row>
    <row r="516" spans="2:15" ht="14.1" customHeight="1">
      <c r="B516" s="183"/>
      <c r="C516" s="183"/>
      <c r="D516" s="184"/>
      <c r="E516" s="185"/>
      <c r="F516" s="186"/>
      <c r="G516" s="186"/>
      <c r="H516" s="9"/>
      <c r="I516" s="532"/>
      <c r="J516" s="443"/>
      <c r="K516" s="187"/>
      <c r="L516" s="188"/>
      <c r="M516" s="189"/>
      <c r="N516" s="190"/>
      <c r="O516" s="190"/>
    </row>
    <row r="517" spans="2:15" ht="14.1" customHeight="1">
      <c r="B517" s="183"/>
      <c r="C517" s="183"/>
      <c r="D517" s="184"/>
      <c r="E517" s="185"/>
      <c r="F517" s="186"/>
      <c r="G517" s="186"/>
      <c r="H517" s="9"/>
      <c r="I517" s="532"/>
      <c r="J517" s="443"/>
      <c r="K517" s="187"/>
      <c r="L517" s="188"/>
      <c r="M517" s="189"/>
      <c r="N517" s="190"/>
      <c r="O517" s="190"/>
    </row>
    <row r="518" spans="2:15" ht="14.1" customHeight="1">
      <c r="B518" s="183"/>
      <c r="C518" s="183"/>
      <c r="D518" s="184"/>
      <c r="E518" s="185"/>
      <c r="F518" s="186"/>
      <c r="G518" s="186"/>
      <c r="H518" s="9"/>
      <c r="I518" s="532"/>
      <c r="J518" s="443"/>
      <c r="K518" s="187"/>
      <c r="L518" s="188"/>
      <c r="M518" s="189"/>
      <c r="N518" s="190"/>
      <c r="O518" s="190"/>
    </row>
    <row r="519" spans="2:15" ht="14.1" customHeight="1">
      <c r="B519" s="183"/>
      <c r="C519" s="183"/>
      <c r="D519" s="184"/>
      <c r="E519" s="185"/>
      <c r="F519" s="186"/>
      <c r="G519" s="186"/>
      <c r="H519" s="9"/>
      <c r="I519" s="532"/>
      <c r="J519" s="443"/>
      <c r="K519" s="187"/>
      <c r="L519" s="188"/>
      <c r="M519" s="189"/>
      <c r="N519" s="190"/>
      <c r="O519" s="190"/>
    </row>
    <row r="520" spans="2:15" ht="14.1" customHeight="1">
      <c r="B520" s="183"/>
      <c r="C520" s="183"/>
      <c r="D520" s="184"/>
      <c r="E520" s="185"/>
      <c r="F520" s="186"/>
      <c r="G520" s="186"/>
      <c r="H520" s="9"/>
      <c r="I520" s="532"/>
      <c r="J520" s="443"/>
      <c r="K520" s="187"/>
      <c r="L520" s="188"/>
      <c r="M520" s="189"/>
      <c r="N520" s="190"/>
      <c r="O520" s="190"/>
    </row>
    <row r="521" spans="2:15" ht="14.1" customHeight="1">
      <c r="B521" s="183"/>
      <c r="C521" s="183"/>
      <c r="D521" s="184"/>
      <c r="E521" s="185"/>
      <c r="F521" s="186"/>
      <c r="G521" s="186"/>
      <c r="H521" s="9"/>
      <c r="I521" s="532"/>
      <c r="J521" s="443"/>
      <c r="K521" s="187"/>
      <c r="L521" s="188"/>
      <c r="M521" s="189"/>
      <c r="N521" s="190"/>
      <c r="O521" s="190"/>
    </row>
    <row r="522" spans="2:15" ht="14.1" customHeight="1">
      <c r="B522" s="183"/>
      <c r="C522" s="183"/>
      <c r="D522" s="184"/>
      <c r="E522" s="185"/>
      <c r="F522" s="186"/>
      <c r="G522" s="186"/>
      <c r="H522" s="9"/>
      <c r="I522" s="532"/>
      <c r="J522" s="443"/>
      <c r="K522" s="187"/>
      <c r="L522" s="188"/>
      <c r="M522" s="189"/>
      <c r="N522" s="190"/>
      <c r="O522" s="190"/>
    </row>
    <row r="523" spans="2:15" ht="14.1" customHeight="1">
      <c r="B523" s="183"/>
      <c r="C523" s="183"/>
      <c r="D523" s="184"/>
      <c r="E523" s="185"/>
      <c r="F523" s="186"/>
      <c r="G523" s="186"/>
      <c r="H523" s="9"/>
      <c r="I523" s="532"/>
      <c r="J523" s="443"/>
      <c r="K523" s="187"/>
      <c r="L523" s="188"/>
      <c r="M523" s="189"/>
      <c r="N523" s="190"/>
      <c r="O523" s="190"/>
    </row>
    <row r="524" spans="2:15" ht="14.1" customHeight="1">
      <c r="B524" s="183"/>
      <c r="C524" s="183"/>
      <c r="D524" s="184"/>
      <c r="E524" s="185"/>
      <c r="F524" s="186"/>
      <c r="G524" s="186"/>
      <c r="H524" s="9"/>
      <c r="I524" s="532"/>
      <c r="J524" s="443"/>
      <c r="K524" s="187"/>
      <c r="L524" s="188"/>
      <c r="M524" s="189"/>
      <c r="N524" s="190"/>
      <c r="O524" s="190"/>
    </row>
    <row r="525" spans="2:15" ht="14.1" customHeight="1">
      <c r="B525" s="183"/>
      <c r="C525" s="183"/>
      <c r="D525" s="184"/>
      <c r="E525" s="185"/>
      <c r="F525" s="186"/>
      <c r="G525" s="186"/>
      <c r="H525" s="9"/>
      <c r="I525" s="532"/>
      <c r="J525" s="443"/>
      <c r="K525" s="187"/>
      <c r="L525" s="188"/>
      <c r="M525" s="189"/>
      <c r="N525" s="190"/>
      <c r="O525" s="190"/>
    </row>
    <row r="526" spans="2:15" ht="14.1" customHeight="1">
      <c r="B526" s="183"/>
      <c r="C526" s="183"/>
      <c r="D526" s="184"/>
      <c r="E526" s="185"/>
      <c r="F526" s="186"/>
      <c r="G526" s="186"/>
      <c r="H526" s="9"/>
      <c r="I526" s="532"/>
      <c r="J526" s="443"/>
      <c r="K526" s="187"/>
      <c r="L526" s="188"/>
      <c r="M526" s="189"/>
      <c r="N526" s="190"/>
      <c r="O526" s="190"/>
    </row>
    <row r="527" spans="2:15" ht="14.1" customHeight="1">
      <c r="B527" s="183"/>
      <c r="C527" s="183"/>
      <c r="D527" s="184"/>
      <c r="E527" s="185"/>
      <c r="F527" s="186"/>
      <c r="G527" s="186"/>
      <c r="H527" s="9"/>
      <c r="I527" s="532"/>
      <c r="J527" s="443"/>
      <c r="K527" s="187"/>
      <c r="L527" s="188"/>
      <c r="M527" s="189"/>
      <c r="N527" s="190"/>
      <c r="O527" s="190"/>
    </row>
    <row r="528" spans="2:15" ht="14.1" customHeight="1">
      <c r="B528" s="183"/>
      <c r="C528" s="183"/>
      <c r="D528" s="184"/>
      <c r="E528" s="185"/>
      <c r="F528" s="186"/>
      <c r="G528" s="186"/>
      <c r="H528" s="9"/>
      <c r="I528" s="532"/>
      <c r="J528" s="443"/>
      <c r="K528" s="187"/>
      <c r="L528" s="188"/>
      <c r="M528" s="189"/>
      <c r="N528" s="190"/>
      <c r="O528" s="190"/>
    </row>
    <row r="529" spans="2:15" ht="14.1" customHeight="1">
      <c r="B529" s="183"/>
      <c r="C529" s="183"/>
      <c r="D529" s="184"/>
      <c r="E529" s="185"/>
      <c r="F529" s="186"/>
      <c r="G529" s="186"/>
      <c r="H529" s="9"/>
      <c r="I529" s="532"/>
      <c r="J529" s="443"/>
      <c r="K529" s="187"/>
      <c r="L529" s="188"/>
      <c r="M529" s="189"/>
      <c r="N529" s="190"/>
      <c r="O529" s="190"/>
    </row>
    <row r="530" spans="2:15" ht="14.1" customHeight="1">
      <c r="B530" s="183"/>
      <c r="C530" s="183"/>
      <c r="D530" s="184"/>
      <c r="E530" s="185"/>
      <c r="F530" s="186"/>
      <c r="G530" s="186"/>
      <c r="H530" s="9"/>
      <c r="I530" s="532"/>
      <c r="J530" s="443"/>
      <c r="K530" s="187"/>
      <c r="L530" s="188"/>
      <c r="M530" s="189"/>
      <c r="N530" s="190"/>
      <c r="O530" s="190"/>
    </row>
    <row r="531" spans="2:15" ht="14.1" customHeight="1">
      <c r="B531" s="183"/>
      <c r="C531" s="183"/>
      <c r="D531" s="184"/>
      <c r="E531" s="185"/>
      <c r="F531" s="186"/>
      <c r="G531" s="186"/>
      <c r="H531" s="9"/>
      <c r="I531" s="532"/>
      <c r="J531" s="443"/>
      <c r="K531" s="187"/>
      <c r="L531" s="188"/>
      <c r="M531" s="189"/>
      <c r="N531" s="190"/>
      <c r="O531" s="190"/>
    </row>
    <row r="532" spans="2:15" ht="14.1" customHeight="1">
      <c r="B532" s="183"/>
      <c r="C532" s="183"/>
      <c r="D532" s="184"/>
      <c r="E532" s="185"/>
      <c r="F532" s="186"/>
      <c r="G532" s="186"/>
      <c r="H532" s="9"/>
      <c r="I532" s="532"/>
      <c r="J532" s="443"/>
      <c r="K532" s="187"/>
      <c r="L532" s="188"/>
      <c r="M532" s="189"/>
      <c r="N532" s="190"/>
      <c r="O532" s="190"/>
    </row>
    <row r="533" spans="2:15" ht="14.1" customHeight="1">
      <c r="B533" s="183"/>
      <c r="C533" s="183"/>
      <c r="D533" s="184"/>
      <c r="E533" s="185"/>
      <c r="F533" s="186"/>
      <c r="G533" s="186"/>
      <c r="H533" s="9"/>
      <c r="I533" s="532"/>
      <c r="J533" s="443"/>
      <c r="K533" s="187"/>
      <c r="L533" s="188"/>
      <c r="M533" s="189"/>
      <c r="N533" s="190"/>
      <c r="O533" s="190"/>
    </row>
    <row r="534" spans="2:15" ht="14.1" customHeight="1">
      <c r="B534" s="183"/>
      <c r="C534" s="183"/>
      <c r="D534" s="184"/>
      <c r="E534" s="185"/>
      <c r="F534" s="186"/>
      <c r="G534" s="186"/>
      <c r="H534" s="9"/>
      <c r="I534" s="532"/>
      <c r="J534" s="443"/>
      <c r="K534" s="187"/>
      <c r="L534" s="188"/>
      <c r="M534" s="189"/>
      <c r="N534" s="190"/>
      <c r="O534" s="190"/>
    </row>
    <row r="535" spans="2:15" ht="14.1" customHeight="1">
      <c r="B535" s="183"/>
      <c r="C535" s="183"/>
      <c r="D535" s="184"/>
      <c r="E535" s="185"/>
      <c r="F535" s="186"/>
      <c r="G535" s="186"/>
      <c r="H535" s="9"/>
      <c r="I535" s="532"/>
      <c r="J535" s="443"/>
      <c r="K535" s="187"/>
      <c r="L535" s="188"/>
      <c r="M535" s="189"/>
      <c r="N535" s="190"/>
      <c r="O535" s="190"/>
    </row>
    <row r="536" spans="2:15" ht="14.1" customHeight="1">
      <c r="B536" s="183"/>
      <c r="C536" s="183"/>
      <c r="D536" s="184"/>
      <c r="E536" s="185"/>
      <c r="F536" s="186"/>
      <c r="G536" s="186"/>
      <c r="H536" s="9"/>
      <c r="I536" s="532"/>
      <c r="J536" s="443"/>
      <c r="K536" s="187"/>
      <c r="L536" s="188"/>
      <c r="M536" s="189"/>
      <c r="N536" s="190"/>
      <c r="O536" s="190"/>
    </row>
    <row r="537" spans="2:15" ht="14.1" customHeight="1">
      <c r="B537" s="183"/>
      <c r="C537" s="183"/>
      <c r="D537" s="184"/>
      <c r="E537" s="185"/>
      <c r="F537" s="186"/>
      <c r="G537" s="186"/>
      <c r="H537" s="9"/>
      <c r="I537" s="532"/>
      <c r="J537" s="443"/>
      <c r="K537" s="187"/>
      <c r="L537" s="188"/>
      <c r="M537" s="189"/>
      <c r="N537" s="190"/>
      <c r="O537" s="190"/>
    </row>
    <row r="538" spans="2:15" ht="14.1" customHeight="1">
      <c r="B538" s="183"/>
      <c r="C538" s="183"/>
      <c r="D538" s="184"/>
      <c r="E538" s="185"/>
      <c r="F538" s="186"/>
      <c r="G538" s="186"/>
      <c r="H538" s="9"/>
      <c r="I538" s="532"/>
      <c r="J538" s="443"/>
      <c r="K538" s="187"/>
      <c r="L538" s="188"/>
      <c r="M538" s="189"/>
      <c r="N538" s="190"/>
      <c r="O538" s="190"/>
    </row>
    <row r="539" spans="2:15" ht="14.1" customHeight="1">
      <c r="B539" s="183"/>
      <c r="C539" s="183"/>
      <c r="D539" s="184"/>
      <c r="E539" s="185"/>
      <c r="F539" s="186"/>
      <c r="G539" s="186"/>
      <c r="H539" s="9"/>
      <c r="I539" s="532"/>
      <c r="J539" s="443"/>
      <c r="K539" s="187"/>
      <c r="L539" s="188"/>
      <c r="M539" s="189"/>
      <c r="N539" s="190"/>
      <c r="O539" s="190"/>
    </row>
    <row r="540" spans="2:15" ht="14.1" customHeight="1">
      <c r="B540" s="183"/>
      <c r="C540" s="183"/>
      <c r="D540" s="184"/>
      <c r="E540" s="185"/>
      <c r="F540" s="186"/>
      <c r="G540" s="186"/>
      <c r="H540" s="9"/>
      <c r="I540" s="532"/>
      <c r="J540" s="443"/>
      <c r="K540" s="187"/>
      <c r="L540" s="188"/>
      <c r="M540" s="189"/>
      <c r="N540" s="190"/>
      <c r="O540" s="190"/>
    </row>
    <row r="541" spans="2:15" ht="14.1" customHeight="1">
      <c r="B541" s="183"/>
      <c r="C541" s="183"/>
      <c r="D541" s="184"/>
      <c r="E541" s="185"/>
      <c r="F541" s="186"/>
      <c r="G541" s="186"/>
      <c r="H541" s="9"/>
      <c r="I541" s="532"/>
      <c r="J541" s="443"/>
      <c r="K541" s="187"/>
      <c r="L541" s="188"/>
      <c r="M541" s="189"/>
      <c r="N541" s="190"/>
      <c r="O541" s="190"/>
    </row>
    <row r="542" spans="2:15" ht="14.1" customHeight="1">
      <c r="B542" s="183"/>
      <c r="C542" s="183"/>
      <c r="D542" s="184"/>
      <c r="E542" s="185"/>
      <c r="F542" s="186"/>
      <c r="G542" s="186"/>
      <c r="H542" s="9"/>
      <c r="I542" s="532"/>
      <c r="J542" s="443"/>
      <c r="K542" s="187"/>
      <c r="L542" s="188"/>
      <c r="M542" s="189"/>
      <c r="N542" s="190"/>
      <c r="O542" s="190"/>
    </row>
    <row r="543" spans="2:15" ht="14.1" customHeight="1">
      <c r="B543" s="183"/>
      <c r="C543" s="183"/>
      <c r="D543" s="184"/>
      <c r="E543" s="185"/>
      <c r="F543" s="186"/>
      <c r="G543" s="186"/>
      <c r="H543" s="9"/>
      <c r="I543" s="532"/>
      <c r="J543" s="443"/>
      <c r="K543" s="187"/>
      <c r="L543" s="188"/>
      <c r="M543" s="189"/>
      <c r="N543" s="190"/>
      <c r="O543" s="190"/>
    </row>
    <row r="544" spans="2:15" ht="14.1" customHeight="1">
      <c r="B544" s="183"/>
      <c r="C544" s="183"/>
      <c r="D544" s="184"/>
      <c r="E544" s="185"/>
      <c r="F544" s="186"/>
      <c r="G544" s="186"/>
      <c r="H544" s="9"/>
      <c r="I544" s="532"/>
      <c r="J544" s="443"/>
      <c r="K544" s="187"/>
      <c r="L544" s="188"/>
      <c r="M544" s="189"/>
      <c r="N544" s="190"/>
      <c r="O544" s="190"/>
    </row>
    <row r="545" spans="2:15" ht="14.1" customHeight="1">
      <c r="B545" s="183"/>
      <c r="C545" s="183"/>
      <c r="D545" s="184"/>
      <c r="E545" s="185"/>
      <c r="F545" s="186"/>
      <c r="G545" s="186"/>
      <c r="H545" s="9"/>
      <c r="I545" s="532"/>
      <c r="J545" s="443"/>
      <c r="K545" s="187"/>
      <c r="L545" s="188"/>
      <c r="M545" s="189"/>
      <c r="N545" s="190"/>
      <c r="O545" s="190"/>
    </row>
    <row r="546" spans="2:15" ht="14.1" customHeight="1">
      <c r="B546" s="183"/>
      <c r="C546" s="183"/>
      <c r="D546" s="184"/>
      <c r="E546" s="185"/>
      <c r="F546" s="186"/>
      <c r="G546" s="186"/>
      <c r="H546" s="9"/>
      <c r="I546" s="532"/>
      <c r="J546" s="443"/>
      <c r="K546" s="187"/>
      <c r="L546" s="188"/>
      <c r="M546" s="189"/>
      <c r="N546" s="190"/>
      <c r="O546" s="190"/>
    </row>
    <row r="547" spans="2:15" ht="14.1" customHeight="1">
      <c r="B547" s="183"/>
      <c r="C547" s="183"/>
      <c r="D547" s="184"/>
      <c r="E547" s="185"/>
      <c r="F547" s="186"/>
      <c r="G547" s="186"/>
      <c r="H547" s="9"/>
      <c r="I547" s="532"/>
      <c r="J547" s="443"/>
      <c r="K547" s="187"/>
      <c r="L547" s="188"/>
      <c r="M547" s="189"/>
      <c r="N547" s="190"/>
      <c r="O547" s="190"/>
    </row>
    <row r="548" spans="2:15" ht="14.1" customHeight="1">
      <c r="B548" s="183"/>
      <c r="C548" s="183"/>
      <c r="D548" s="184"/>
      <c r="E548" s="185"/>
      <c r="F548" s="186"/>
      <c r="G548" s="186"/>
      <c r="H548" s="9"/>
      <c r="I548" s="532"/>
      <c r="J548" s="443"/>
      <c r="K548" s="187"/>
      <c r="L548" s="188"/>
      <c r="M548" s="189"/>
      <c r="N548" s="190"/>
      <c r="O548" s="190"/>
    </row>
    <row r="549" spans="2:15" ht="14.1" customHeight="1">
      <c r="B549" s="183"/>
      <c r="C549" s="183"/>
      <c r="D549" s="184"/>
      <c r="E549" s="185"/>
      <c r="F549" s="186"/>
      <c r="G549" s="186"/>
      <c r="H549" s="9"/>
      <c r="I549" s="532"/>
      <c r="J549" s="443"/>
      <c r="K549" s="187"/>
      <c r="L549" s="188"/>
      <c r="M549" s="189"/>
      <c r="N549" s="190"/>
      <c r="O549" s="190"/>
    </row>
    <row r="550" spans="2:15" ht="14.1" customHeight="1">
      <c r="B550" s="183"/>
      <c r="C550" s="183"/>
      <c r="D550" s="184"/>
      <c r="E550" s="185"/>
      <c r="F550" s="186"/>
      <c r="G550" s="186"/>
      <c r="H550" s="9"/>
      <c r="I550" s="532"/>
      <c r="J550" s="443"/>
      <c r="K550" s="187"/>
      <c r="L550" s="188"/>
      <c r="M550" s="189"/>
      <c r="N550" s="190"/>
      <c r="O550" s="190"/>
    </row>
    <row r="551" spans="2:15" ht="14.1" customHeight="1">
      <c r="B551" s="183"/>
      <c r="C551" s="183"/>
      <c r="D551" s="184"/>
      <c r="E551" s="185"/>
      <c r="F551" s="186"/>
      <c r="G551" s="186"/>
      <c r="H551" s="9"/>
      <c r="I551" s="532"/>
      <c r="J551" s="443"/>
      <c r="K551" s="187"/>
      <c r="L551" s="188"/>
      <c r="M551" s="189"/>
      <c r="N551" s="190"/>
      <c r="O551" s="190"/>
    </row>
    <row r="552" spans="2:15" ht="14.1" customHeight="1">
      <c r="B552" s="183"/>
      <c r="C552" s="183"/>
      <c r="D552" s="184"/>
      <c r="E552" s="185"/>
      <c r="F552" s="186"/>
      <c r="G552" s="186"/>
      <c r="H552" s="9"/>
      <c r="I552" s="532"/>
      <c r="J552" s="443"/>
      <c r="K552" s="187"/>
      <c r="L552" s="188"/>
      <c r="M552" s="189"/>
      <c r="N552" s="190"/>
      <c r="O552" s="190"/>
    </row>
    <row r="553" spans="2:15" ht="14.1" customHeight="1">
      <c r="B553" s="183"/>
      <c r="C553" s="183"/>
      <c r="D553" s="184"/>
      <c r="E553" s="185"/>
      <c r="F553" s="186"/>
      <c r="G553" s="186"/>
      <c r="H553" s="9"/>
      <c r="I553" s="532"/>
      <c r="J553" s="443"/>
      <c r="K553" s="187"/>
      <c r="L553" s="188"/>
      <c r="M553" s="189"/>
      <c r="N553" s="190"/>
      <c r="O553" s="190"/>
    </row>
    <row r="554" spans="2:15" ht="14.1" customHeight="1">
      <c r="B554" s="183"/>
      <c r="C554" s="183"/>
      <c r="D554" s="184"/>
      <c r="E554" s="185"/>
      <c r="F554" s="186"/>
      <c r="G554" s="186"/>
      <c r="H554" s="9"/>
      <c r="I554" s="532"/>
      <c r="J554" s="443"/>
      <c r="K554" s="187"/>
      <c r="L554" s="188"/>
      <c r="M554" s="189"/>
      <c r="N554" s="190"/>
      <c r="O554" s="190"/>
    </row>
    <row r="555" spans="2:15" ht="14.1" customHeight="1">
      <c r="B555" s="183"/>
      <c r="C555" s="183"/>
      <c r="D555" s="184"/>
      <c r="E555" s="185"/>
      <c r="F555" s="186"/>
      <c r="G555" s="186"/>
      <c r="H555" s="9"/>
      <c r="I555" s="532"/>
      <c r="J555" s="443"/>
      <c r="K555" s="187"/>
      <c r="L555" s="188"/>
      <c r="M555" s="189"/>
      <c r="N555" s="190"/>
      <c r="O555" s="190"/>
    </row>
    <row r="556" spans="2:15" ht="14.1" customHeight="1">
      <c r="B556" s="191"/>
      <c r="C556" s="191"/>
      <c r="D556" s="191"/>
      <c r="E556" s="192"/>
      <c r="F556" s="9"/>
      <c r="G556" s="9"/>
      <c r="H556" s="9"/>
      <c r="I556" s="533"/>
      <c r="J556" s="444"/>
      <c r="K556" s="193"/>
      <c r="L556" s="9"/>
      <c r="M556" s="9"/>
      <c r="N556" s="9"/>
      <c r="O556" s="9"/>
    </row>
    <row r="557" spans="2:15" ht="14.1" customHeight="1">
      <c r="B557" s="191"/>
      <c r="C557" s="191"/>
      <c r="D557" s="191"/>
      <c r="E557" s="192"/>
      <c r="F557" s="9"/>
      <c r="G557" s="9"/>
      <c r="H557" s="9"/>
      <c r="I557" s="533"/>
      <c r="J557" s="444"/>
      <c r="K557" s="193"/>
      <c r="L557" s="9"/>
      <c r="M557" s="9"/>
      <c r="N557" s="9"/>
      <c r="O557" s="9"/>
    </row>
    <row r="558" spans="2:15" ht="14.1" customHeight="1">
      <c r="B558" s="191"/>
      <c r="C558" s="191"/>
      <c r="D558" s="191"/>
      <c r="E558" s="192"/>
      <c r="F558" s="9"/>
      <c r="G558" s="9"/>
      <c r="H558" s="9"/>
      <c r="I558" s="533"/>
      <c r="J558" s="444"/>
      <c r="K558" s="193"/>
      <c r="L558" s="9"/>
      <c r="M558" s="9"/>
      <c r="N558" s="9"/>
      <c r="O558" s="9"/>
    </row>
    <row r="559" spans="2:15" ht="14.1" customHeight="1">
      <c r="B559" s="191"/>
      <c r="C559" s="191"/>
      <c r="D559" s="191"/>
      <c r="E559" s="192"/>
      <c r="F559" s="9"/>
      <c r="G559" s="9"/>
      <c r="H559" s="9"/>
      <c r="I559" s="533"/>
      <c r="J559" s="444"/>
      <c r="K559" s="193"/>
      <c r="L559" s="9"/>
      <c r="M559" s="9"/>
      <c r="N559" s="9"/>
      <c r="O559" s="9"/>
    </row>
    <row r="560" spans="2:15" ht="14.1" customHeight="1">
      <c r="B560" s="191"/>
      <c r="C560" s="191"/>
      <c r="D560" s="191"/>
      <c r="E560" s="192"/>
      <c r="F560" s="9"/>
      <c r="G560" s="9"/>
      <c r="H560" s="9"/>
      <c r="I560" s="533"/>
      <c r="J560" s="444"/>
      <c r="K560" s="193"/>
      <c r="L560" s="9"/>
      <c r="M560" s="9"/>
      <c r="N560" s="9"/>
      <c r="O560" s="9"/>
    </row>
    <row r="561" spans="2:15" ht="14.1" customHeight="1">
      <c r="B561" s="191"/>
      <c r="C561" s="191"/>
      <c r="D561" s="191"/>
      <c r="E561" s="192"/>
      <c r="F561" s="9"/>
      <c r="G561" s="9"/>
      <c r="H561" s="9"/>
      <c r="I561" s="533"/>
      <c r="J561" s="444"/>
      <c r="K561" s="193"/>
      <c r="L561" s="9"/>
      <c r="M561" s="9"/>
      <c r="N561" s="9"/>
      <c r="O561" s="9"/>
    </row>
    <row r="562" spans="2:15" ht="14.1" customHeight="1">
      <c r="B562" s="191"/>
      <c r="C562" s="191"/>
      <c r="D562" s="191"/>
      <c r="E562" s="192"/>
      <c r="F562" s="9"/>
      <c r="G562" s="9"/>
      <c r="H562" s="9"/>
      <c r="I562" s="533"/>
      <c r="J562" s="444"/>
      <c r="K562" s="193"/>
      <c r="L562" s="9"/>
      <c r="M562" s="9"/>
      <c r="N562" s="9"/>
      <c r="O562" s="9"/>
    </row>
    <row r="563" spans="2:15" ht="14.1" customHeight="1">
      <c r="B563" s="191"/>
      <c r="C563" s="191"/>
      <c r="D563" s="191"/>
      <c r="E563" s="192"/>
      <c r="F563" s="9"/>
      <c r="G563" s="9"/>
      <c r="H563" s="9"/>
      <c r="I563" s="533"/>
      <c r="J563" s="444"/>
      <c r="K563" s="193"/>
      <c r="L563" s="9"/>
      <c r="M563" s="9"/>
      <c r="N563" s="9"/>
      <c r="O563" s="9"/>
    </row>
    <row r="564" spans="2:15" ht="14.1" customHeight="1">
      <c r="B564" s="191"/>
      <c r="C564" s="191"/>
      <c r="D564" s="191"/>
      <c r="E564" s="192"/>
      <c r="F564" s="9"/>
      <c r="G564" s="9"/>
      <c r="H564" s="9"/>
      <c r="I564" s="533"/>
      <c r="J564" s="444"/>
      <c r="K564" s="193"/>
      <c r="L564" s="9"/>
      <c r="M564" s="9"/>
      <c r="N564" s="9"/>
      <c r="O564" s="9"/>
    </row>
    <row r="565" spans="2:15" ht="14.1" customHeight="1">
      <c r="B565" s="191"/>
      <c r="C565" s="191"/>
      <c r="D565" s="191"/>
      <c r="E565" s="192"/>
      <c r="F565" s="9"/>
      <c r="G565" s="9"/>
      <c r="H565" s="9"/>
      <c r="I565" s="533"/>
      <c r="J565" s="444"/>
      <c r="K565" s="193"/>
      <c r="L565" s="9"/>
      <c r="M565" s="9"/>
      <c r="N565" s="9"/>
      <c r="O565" s="9"/>
    </row>
    <row r="566" spans="2:15" ht="14.1" customHeight="1">
      <c r="B566" s="191"/>
      <c r="C566" s="191"/>
      <c r="D566" s="191"/>
      <c r="E566" s="192"/>
      <c r="F566" s="9"/>
      <c r="G566" s="9"/>
      <c r="H566" s="9"/>
      <c r="I566" s="533"/>
      <c r="J566" s="444"/>
      <c r="K566" s="193"/>
      <c r="L566" s="9"/>
      <c r="M566" s="9"/>
      <c r="N566" s="9"/>
      <c r="O566" s="9"/>
    </row>
    <row r="567" spans="2:15" ht="14.1" customHeight="1">
      <c r="B567" s="191"/>
      <c r="C567" s="191"/>
      <c r="D567" s="191"/>
      <c r="E567" s="192"/>
      <c r="F567" s="9"/>
      <c r="G567" s="9"/>
      <c r="H567" s="9"/>
      <c r="I567" s="533"/>
      <c r="J567" s="444"/>
      <c r="K567" s="193"/>
      <c r="L567" s="9"/>
      <c r="M567" s="9"/>
      <c r="N567" s="9"/>
      <c r="O567" s="9"/>
    </row>
    <row r="568" spans="2:15" ht="14.1" customHeight="1">
      <c r="B568" s="191"/>
      <c r="C568" s="191"/>
      <c r="D568" s="191"/>
      <c r="E568" s="192"/>
      <c r="F568" s="9"/>
      <c r="G568" s="9"/>
      <c r="H568" s="9"/>
      <c r="I568" s="533"/>
      <c r="J568" s="444"/>
      <c r="K568" s="193"/>
      <c r="L568" s="9"/>
      <c r="M568" s="9"/>
      <c r="N568" s="9"/>
      <c r="O568" s="9"/>
    </row>
    <row r="569" spans="2:15" ht="14.1" customHeight="1">
      <c r="B569" s="191"/>
      <c r="C569" s="191"/>
      <c r="D569" s="191"/>
      <c r="E569" s="192"/>
      <c r="F569" s="9"/>
      <c r="G569" s="9"/>
      <c r="H569" s="9"/>
      <c r="I569" s="533"/>
      <c r="J569" s="444"/>
      <c r="K569" s="193"/>
      <c r="L569" s="9"/>
      <c r="M569" s="9"/>
      <c r="N569" s="9"/>
      <c r="O569" s="9"/>
    </row>
    <row r="570" spans="2:15" ht="14.1" customHeight="1">
      <c r="B570" s="191"/>
      <c r="C570" s="191"/>
      <c r="D570" s="191"/>
      <c r="E570" s="192"/>
      <c r="F570" s="9"/>
      <c r="G570" s="9"/>
      <c r="H570" s="9"/>
      <c r="I570" s="533"/>
      <c r="J570" s="444"/>
      <c r="K570" s="193"/>
      <c r="L570" s="9"/>
      <c r="M570" s="9"/>
      <c r="N570" s="9"/>
      <c r="O570" s="9"/>
    </row>
    <row r="571" spans="2:15" ht="14.1" customHeight="1">
      <c r="B571" s="191"/>
      <c r="C571" s="191"/>
      <c r="D571" s="191"/>
      <c r="E571" s="192"/>
      <c r="F571" s="9"/>
      <c r="G571" s="9"/>
      <c r="H571" s="9"/>
      <c r="I571" s="533"/>
      <c r="J571" s="444"/>
      <c r="K571" s="193"/>
      <c r="L571" s="9"/>
      <c r="M571" s="9"/>
      <c r="N571" s="9"/>
      <c r="O571" s="9"/>
    </row>
    <row r="572" spans="2:15" ht="14.1" customHeight="1">
      <c r="B572" s="191"/>
      <c r="C572" s="191"/>
      <c r="D572" s="191"/>
      <c r="E572" s="192"/>
      <c r="F572" s="9"/>
      <c r="G572" s="9"/>
      <c r="H572" s="9"/>
      <c r="I572" s="533"/>
      <c r="J572" s="444"/>
      <c r="K572" s="193"/>
      <c r="L572" s="9"/>
      <c r="M572" s="9"/>
      <c r="N572" s="9"/>
      <c r="O572" s="9"/>
    </row>
    <row r="573" spans="2:15" ht="14.1" customHeight="1">
      <c r="B573" s="191"/>
      <c r="C573" s="191"/>
      <c r="D573" s="191"/>
      <c r="E573" s="192"/>
      <c r="F573" s="9"/>
      <c r="G573" s="9"/>
      <c r="H573" s="9"/>
      <c r="I573" s="533"/>
      <c r="J573" s="444"/>
      <c r="K573" s="193"/>
      <c r="L573" s="9"/>
      <c r="M573" s="9"/>
      <c r="N573" s="9"/>
      <c r="O573" s="9"/>
    </row>
    <row r="574" spans="2:15" ht="14.1" customHeight="1">
      <c r="B574" s="191"/>
      <c r="C574" s="191"/>
      <c r="D574" s="191"/>
      <c r="E574" s="192"/>
      <c r="F574" s="9"/>
      <c r="G574" s="9"/>
      <c r="H574" s="9"/>
      <c r="I574" s="533"/>
      <c r="J574" s="444"/>
      <c r="K574" s="193"/>
      <c r="L574" s="9"/>
      <c r="M574" s="9"/>
      <c r="N574" s="9"/>
      <c r="O574" s="9"/>
    </row>
    <row r="575" spans="2:15" ht="14.1" customHeight="1">
      <c r="B575" s="191"/>
      <c r="C575" s="191"/>
      <c r="D575" s="191"/>
      <c r="E575" s="192"/>
      <c r="F575" s="9"/>
      <c r="G575" s="9"/>
      <c r="H575" s="9"/>
      <c r="I575" s="533"/>
      <c r="J575" s="444"/>
      <c r="K575" s="193"/>
      <c r="L575" s="9"/>
      <c r="M575" s="9"/>
      <c r="N575" s="9"/>
      <c r="O575" s="9"/>
    </row>
    <row r="576" spans="2:15" ht="14.1" customHeight="1">
      <c r="B576" s="191"/>
      <c r="C576" s="191"/>
      <c r="D576" s="191"/>
      <c r="E576" s="192"/>
      <c r="F576" s="9"/>
      <c r="G576" s="9"/>
      <c r="H576" s="9"/>
      <c r="I576" s="533"/>
      <c r="J576" s="444"/>
      <c r="K576" s="193"/>
      <c r="L576" s="9"/>
      <c r="M576" s="9"/>
      <c r="N576" s="9"/>
      <c r="O576" s="9"/>
    </row>
    <row r="577" spans="2:15" ht="14.1" customHeight="1">
      <c r="B577" s="191"/>
      <c r="C577" s="191"/>
      <c r="D577" s="191"/>
      <c r="E577" s="192"/>
      <c r="F577" s="9"/>
      <c r="G577" s="9"/>
      <c r="H577" s="9"/>
      <c r="I577" s="533"/>
      <c r="J577" s="444"/>
      <c r="K577" s="193"/>
      <c r="L577" s="9"/>
      <c r="M577" s="9"/>
      <c r="N577" s="9"/>
      <c r="O577" s="9"/>
    </row>
    <row r="578" spans="2:15" ht="14.1" customHeight="1">
      <c r="B578" s="191"/>
      <c r="C578" s="191"/>
      <c r="D578" s="191"/>
      <c r="E578" s="192"/>
      <c r="F578" s="9"/>
      <c r="G578" s="9"/>
      <c r="H578" s="9"/>
      <c r="I578" s="533"/>
      <c r="J578" s="444"/>
      <c r="K578" s="193"/>
      <c r="L578" s="9"/>
      <c r="M578" s="9"/>
      <c r="N578" s="9"/>
      <c r="O578" s="9"/>
    </row>
    <row r="579" spans="2:15" ht="14.1" customHeight="1">
      <c r="B579" s="191"/>
      <c r="C579" s="191"/>
      <c r="D579" s="191"/>
      <c r="E579" s="192"/>
      <c r="F579" s="9"/>
      <c r="G579" s="9"/>
      <c r="H579" s="9"/>
      <c r="I579" s="533"/>
      <c r="J579" s="444"/>
      <c r="K579" s="193"/>
      <c r="L579" s="9"/>
      <c r="M579" s="9"/>
      <c r="N579" s="9"/>
      <c r="O579" s="9"/>
    </row>
    <row r="580" spans="2:15" ht="14.1" customHeight="1">
      <c r="B580" s="191"/>
      <c r="C580" s="191"/>
      <c r="D580" s="191"/>
      <c r="E580" s="192"/>
      <c r="F580" s="9"/>
      <c r="G580" s="9"/>
      <c r="H580" s="9"/>
      <c r="I580" s="533"/>
      <c r="J580" s="444"/>
      <c r="K580" s="193"/>
      <c r="L580" s="9"/>
      <c r="M580" s="9"/>
      <c r="N580" s="9"/>
      <c r="O580" s="9"/>
    </row>
    <row r="581" spans="2:15" ht="14.1" customHeight="1">
      <c r="B581" s="191"/>
      <c r="C581" s="191"/>
      <c r="D581" s="191"/>
      <c r="E581" s="192"/>
      <c r="F581" s="9"/>
      <c r="G581" s="9"/>
      <c r="H581" s="9"/>
      <c r="I581" s="533"/>
      <c r="J581" s="444"/>
      <c r="K581" s="193"/>
      <c r="L581" s="9"/>
      <c r="M581" s="9"/>
      <c r="N581" s="9"/>
      <c r="O581" s="9"/>
    </row>
    <row r="582" spans="2:15" ht="14.1" customHeight="1">
      <c r="B582" s="191"/>
      <c r="C582" s="191"/>
      <c r="D582" s="191"/>
      <c r="E582" s="192"/>
      <c r="F582" s="9"/>
      <c r="G582" s="9"/>
      <c r="H582" s="9"/>
      <c r="I582" s="533"/>
      <c r="J582" s="444"/>
      <c r="K582" s="193"/>
      <c r="L582" s="9"/>
      <c r="M582" s="9"/>
      <c r="N582" s="9"/>
      <c r="O582" s="9"/>
    </row>
    <row r="583" spans="2:15" ht="14.1" customHeight="1">
      <c r="B583" s="191"/>
      <c r="C583" s="191"/>
      <c r="D583" s="191"/>
      <c r="E583" s="192"/>
      <c r="F583" s="9"/>
      <c r="G583" s="9"/>
      <c r="H583" s="9"/>
      <c r="I583" s="533"/>
      <c r="J583" s="444"/>
      <c r="K583" s="193"/>
      <c r="L583" s="9"/>
      <c r="M583" s="9"/>
      <c r="N583" s="9"/>
      <c r="O583" s="9"/>
    </row>
    <row r="584" spans="2:15" ht="14.1" customHeight="1">
      <c r="B584" s="191"/>
      <c r="C584" s="191"/>
      <c r="D584" s="191"/>
      <c r="E584" s="192"/>
      <c r="F584" s="9"/>
      <c r="G584" s="9"/>
      <c r="H584" s="9"/>
      <c r="I584" s="533"/>
      <c r="J584" s="444"/>
      <c r="K584" s="193"/>
      <c r="L584" s="9"/>
      <c r="M584" s="9"/>
      <c r="N584" s="9"/>
      <c r="O584" s="9"/>
    </row>
    <row r="585" spans="2:15" ht="14.1" customHeight="1">
      <c r="B585" s="191"/>
      <c r="C585" s="191"/>
      <c r="D585" s="191"/>
      <c r="E585" s="192"/>
      <c r="F585" s="9"/>
      <c r="G585" s="9"/>
      <c r="H585" s="9"/>
      <c r="I585" s="533"/>
      <c r="J585" s="444"/>
      <c r="K585" s="193"/>
      <c r="L585" s="9"/>
      <c r="M585" s="9"/>
      <c r="N585" s="9"/>
      <c r="O585" s="9"/>
    </row>
    <row r="586" spans="2:15" ht="14.1" customHeight="1">
      <c r="B586" s="191"/>
      <c r="C586" s="191"/>
      <c r="D586" s="191"/>
      <c r="E586" s="192"/>
      <c r="F586" s="9"/>
      <c r="G586" s="9"/>
      <c r="H586" s="9"/>
      <c r="I586" s="533"/>
      <c r="J586" s="444"/>
      <c r="K586" s="193"/>
      <c r="L586" s="9"/>
      <c r="M586" s="9"/>
      <c r="N586" s="9"/>
      <c r="O586" s="9"/>
    </row>
    <row r="587" spans="2:15" ht="14.1" customHeight="1">
      <c r="B587" s="191"/>
      <c r="C587" s="191"/>
      <c r="D587" s="191"/>
      <c r="E587" s="192"/>
      <c r="F587" s="9"/>
      <c r="G587" s="9"/>
      <c r="H587" s="9"/>
      <c r="I587" s="533"/>
      <c r="J587" s="444"/>
      <c r="K587" s="193"/>
      <c r="L587" s="9"/>
      <c r="M587" s="9"/>
      <c r="N587" s="9"/>
      <c r="O587" s="9"/>
    </row>
    <row r="588" spans="2:15" ht="14.1" customHeight="1">
      <c r="B588" s="191"/>
      <c r="C588" s="191"/>
      <c r="D588" s="191"/>
      <c r="E588" s="192"/>
      <c r="F588" s="9"/>
      <c r="G588" s="9"/>
      <c r="H588" s="9"/>
      <c r="I588" s="533"/>
      <c r="J588" s="444"/>
      <c r="K588" s="193"/>
      <c r="L588" s="9"/>
      <c r="M588" s="9"/>
      <c r="N588" s="9"/>
      <c r="O588" s="9"/>
    </row>
    <row r="589" spans="2:15" ht="14.1" customHeight="1">
      <c r="B589" s="191"/>
      <c r="C589" s="191"/>
      <c r="D589" s="191"/>
      <c r="E589" s="192"/>
      <c r="F589" s="9"/>
      <c r="G589" s="9"/>
      <c r="H589" s="9"/>
      <c r="I589" s="533"/>
      <c r="J589" s="444"/>
      <c r="K589" s="193"/>
      <c r="L589" s="9"/>
      <c r="M589" s="9"/>
      <c r="N589" s="9"/>
      <c r="O589" s="9"/>
    </row>
    <row r="590" spans="2:15" ht="14.1" customHeight="1">
      <c r="B590" s="191"/>
      <c r="C590" s="191"/>
      <c r="D590" s="191"/>
      <c r="E590" s="192"/>
      <c r="F590" s="9"/>
      <c r="G590" s="9"/>
      <c r="H590" s="9"/>
      <c r="I590" s="533"/>
      <c r="J590" s="444"/>
      <c r="K590" s="193"/>
      <c r="L590" s="9"/>
      <c r="M590" s="9"/>
      <c r="N590" s="9"/>
      <c r="O590" s="9"/>
    </row>
    <row r="591" spans="2:15" ht="14.1" customHeight="1">
      <c r="B591" s="191"/>
      <c r="C591" s="191"/>
      <c r="D591" s="191"/>
      <c r="E591" s="192"/>
      <c r="F591" s="9"/>
      <c r="G591" s="9"/>
      <c r="H591" s="9"/>
      <c r="I591" s="533"/>
      <c r="J591" s="444"/>
      <c r="K591" s="193"/>
      <c r="L591" s="9"/>
      <c r="M591" s="9"/>
      <c r="N591" s="9"/>
      <c r="O591" s="9"/>
    </row>
    <row r="592" spans="2:15" ht="14.1" customHeight="1">
      <c r="B592" s="191"/>
      <c r="C592" s="191"/>
      <c r="D592" s="191"/>
      <c r="E592" s="192"/>
      <c r="F592" s="9"/>
      <c r="G592" s="9"/>
      <c r="H592" s="9"/>
      <c r="I592" s="533"/>
      <c r="J592" s="444"/>
      <c r="K592" s="193"/>
      <c r="L592" s="9"/>
      <c r="M592" s="9"/>
      <c r="N592" s="9"/>
      <c r="O592" s="9"/>
    </row>
    <row r="593" spans="2:15" ht="14.1" customHeight="1">
      <c r="B593" s="191"/>
      <c r="C593" s="191"/>
      <c r="D593" s="191"/>
      <c r="E593" s="192"/>
      <c r="F593" s="9"/>
      <c r="G593" s="9"/>
      <c r="H593" s="9"/>
      <c r="I593" s="533"/>
      <c r="J593" s="444"/>
      <c r="K593" s="193"/>
      <c r="L593" s="9"/>
      <c r="M593" s="9"/>
      <c r="N593" s="9"/>
      <c r="O593" s="9"/>
    </row>
    <row r="594" spans="2:15" ht="14.1" customHeight="1">
      <c r="B594" s="191"/>
      <c r="C594" s="191"/>
      <c r="D594" s="191"/>
      <c r="E594" s="192"/>
      <c r="F594" s="9"/>
      <c r="G594" s="9"/>
      <c r="H594" s="9"/>
      <c r="I594" s="533"/>
      <c r="J594" s="444"/>
      <c r="K594" s="193"/>
      <c r="L594" s="9"/>
      <c r="M594" s="9"/>
      <c r="N594" s="9"/>
      <c r="O594" s="9"/>
    </row>
    <row r="595" spans="2:15" ht="14.1" customHeight="1">
      <c r="B595" s="191"/>
      <c r="C595" s="191"/>
      <c r="D595" s="191"/>
      <c r="E595" s="192"/>
      <c r="F595" s="9"/>
      <c r="G595" s="9"/>
      <c r="H595" s="9"/>
      <c r="I595" s="533"/>
      <c r="J595" s="444"/>
      <c r="K595" s="193"/>
      <c r="L595" s="9"/>
      <c r="M595" s="9"/>
      <c r="N595" s="9"/>
      <c r="O595" s="9"/>
    </row>
    <row r="596" spans="2:15" ht="14.1" customHeight="1">
      <c r="B596" s="191"/>
      <c r="C596" s="191"/>
      <c r="D596" s="191"/>
      <c r="E596" s="192"/>
      <c r="F596" s="9"/>
      <c r="G596" s="9"/>
      <c r="H596" s="9"/>
      <c r="I596" s="533"/>
      <c r="J596" s="444"/>
      <c r="K596" s="193"/>
      <c r="L596" s="9"/>
      <c r="M596" s="9"/>
      <c r="N596" s="9"/>
      <c r="O596" s="9"/>
    </row>
    <row r="597" spans="2:15" ht="14.1" customHeight="1">
      <c r="B597" s="191"/>
      <c r="C597" s="191"/>
      <c r="D597" s="191"/>
      <c r="E597" s="192"/>
      <c r="F597" s="9"/>
      <c r="G597" s="9"/>
      <c r="H597" s="9"/>
      <c r="I597" s="533"/>
      <c r="J597" s="444"/>
      <c r="K597" s="193"/>
      <c r="L597" s="9"/>
      <c r="M597" s="9"/>
      <c r="N597" s="9"/>
      <c r="O597" s="9"/>
    </row>
    <row r="598" spans="2:15" ht="14.1" customHeight="1">
      <c r="B598" s="191"/>
      <c r="C598" s="191"/>
      <c r="D598" s="191"/>
      <c r="E598" s="192"/>
      <c r="F598" s="9"/>
      <c r="G598" s="9"/>
      <c r="H598" s="9"/>
      <c r="I598" s="533"/>
      <c r="J598" s="444"/>
      <c r="K598" s="193"/>
      <c r="L598" s="9"/>
      <c r="M598" s="9"/>
      <c r="N598" s="9"/>
      <c r="O598" s="9"/>
    </row>
    <row r="599" spans="2:15" ht="14.1" customHeight="1">
      <c r="B599" s="191"/>
      <c r="C599" s="191"/>
      <c r="D599" s="191"/>
      <c r="E599" s="192"/>
      <c r="F599" s="9"/>
      <c r="G599" s="9"/>
      <c r="H599" s="9"/>
      <c r="I599" s="533"/>
      <c r="J599" s="444"/>
      <c r="K599" s="193"/>
      <c r="L599" s="9"/>
      <c r="M599" s="9"/>
      <c r="N599" s="9"/>
      <c r="O599" s="9"/>
    </row>
    <row r="600" spans="2:15" ht="14.1" customHeight="1">
      <c r="B600" s="191"/>
      <c r="C600" s="191"/>
      <c r="D600" s="191"/>
      <c r="E600" s="192"/>
      <c r="F600" s="9"/>
      <c r="G600" s="9"/>
      <c r="H600" s="9"/>
      <c r="I600" s="533"/>
      <c r="J600" s="444"/>
      <c r="K600" s="193"/>
      <c r="L600" s="9"/>
      <c r="M600" s="9"/>
      <c r="N600" s="9"/>
      <c r="O600" s="9"/>
    </row>
    <row r="601" spans="2:15" ht="14.1" customHeight="1">
      <c r="B601" s="191"/>
      <c r="C601" s="191"/>
      <c r="D601" s="191"/>
      <c r="E601" s="192"/>
      <c r="F601" s="9"/>
      <c r="G601" s="9"/>
      <c r="H601" s="9"/>
      <c r="I601" s="533"/>
      <c r="J601" s="444"/>
      <c r="K601" s="193"/>
      <c r="L601" s="9"/>
      <c r="M601" s="9"/>
      <c r="N601" s="9"/>
      <c r="O601" s="9"/>
    </row>
    <row r="602" spans="2:15" ht="14.1" customHeight="1">
      <c r="B602" s="191"/>
      <c r="C602" s="191"/>
      <c r="D602" s="191"/>
      <c r="E602" s="192"/>
      <c r="F602" s="9"/>
      <c r="G602" s="9"/>
      <c r="H602" s="9"/>
      <c r="I602" s="533"/>
      <c r="J602" s="444"/>
      <c r="K602" s="193"/>
      <c r="L602" s="9"/>
      <c r="M602" s="9"/>
      <c r="N602" s="9"/>
      <c r="O602" s="9"/>
    </row>
    <row r="603" spans="2:15" ht="14.1" customHeight="1">
      <c r="B603" s="191"/>
      <c r="C603" s="191"/>
      <c r="D603" s="191"/>
      <c r="E603" s="192"/>
      <c r="F603" s="9"/>
      <c r="G603" s="9"/>
      <c r="H603" s="9"/>
      <c r="I603" s="533"/>
      <c r="J603" s="444"/>
      <c r="K603" s="193"/>
      <c r="L603" s="9"/>
      <c r="M603" s="9"/>
      <c r="N603" s="9"/>
      <c r="O603" s="9"/>
    </row>
    <row r="604" spans="2:15" ht="14.1" customHeight="1">
      <c r="B604" s="191"/>
      <c r="C604" s="191"/>
      <c r="D604" s="191"/>
      <c r="E604" s="192"/>
      <c r="F604" s="9"/>
      <c r="G604" s="9"/>
      <c r="H604" s="9"/>
      <c r="I604" s="533"/>
      <c r="J604" s="444"/>
      <c r="K604" s="193"/>
      <c r="L604" s="9"/>
      <c r="M604" s="9"/>
      <c r="N604" s="9"/>
      <c r="O604" s="9"/>
    </row>
    <row r="605" spans="2:15" ht="14.1" customHeight="1">
      <c r="B605" s="191"/>
      <c r="C605" s="191"/>
      <c r="D605" s="191"/>
      <c r="E605" s="192"/>
      <c r="F605" s="9"/>
      <c r="G605" s="9"/>
      <c r="H605" s="9"/>
      <c r="I605" s="533"/>
      <c r="J605" s="444"/>
      <c r="K605" s="193"/>
      <c r="L605" s="9"/>
      <c r="M605" s="9"/>
      <c r="N605" s="9"/>
      <c r="O605" s="9"/>
    </row>
    <row r="606" spans="2:15" ht="14.1" customHeight="1">
      <c r="B606" s="191"/>
      <c r="C606" s="191"/>
      <c r="D606" s="191"/>
      <c r="E606" s="192"/>
      <c r="F606" s="9"/>
      <c r="G606" s="9"/>
      <c r="H606" s="9"/>
      <c r="I606" s="533"/>
      <c r="J606" s="444"/>
      <c r="K606" s="193"/>
      <c r="L606" s="9"/>
      <c r="M606" s="9"/>
      <c r="N606" s="9"/>
      <c r="O606" s="9"/>
    </row>
    <row r="607" spans="2:15" ht="14.1" customHeight="1">
      <c r="B607" s="191"/>
      <c r="C607" s="191"/>
      <c r="D607" s="191"/>
      <c r="E607" s="192"/>
      <c r="F607" s="9"/>
      <c r="G607" s="9"/>
      <c r="H607" s="9"/>
      <c r="I607" s="533"/>
      <c r="J607" s="444"/>
      <c r="K607" s="193"/>
      <c r="L607" s="9"/>
      <c r="M607" s="9"/>
      <c r="N607" s="9"/>
      <c r="O607" s="9"/>
    </row>
    <row r="608" spans="2:15" ht="14.1" customHeight="1">
      <c r="B608" s="191"/>
      <c r="C608" s="191"/>
      <c r="D608" s="191"/>
      <c r="E608" s="192"/>
      <c r="F608" s="9"/>
      <c r="G608" s="9"/>
      <c r="H608" s="9"/>
      <c r="I608" s="533"/>
      <c r="J608" s="444"/>
      <c r="K608" s="193"/>
      <c r="L608" s="9"/>
      <c r="M608" s="9"/>
      <c r="N608" s="9"/>
      <c r="O608" s="9"/>
    </row>
    <row r="609" spans="2:15" ht="14.1" customHeight="1">
      <c r="B609" s="191"/>
      <c r="C609" s="191"/>
      <c r="D609" s="191"/>
      <c r="E609" s="192"/>
      <c r="F609" s="9"/>
      <c r="G609" s="9"/>
      <c r="H609" s="9"/>
      <c r="I609" s="533"/>
      <c r="J609" s="444"/>
      <c r="K609" s="193"/>
      <c r="L609" s="9"/>
      <c r="M609" s="9"/>
      <c r="N609" s="9"/>
      <c r="O609" s="9"/>
    </row>
    <row r="610" spans="2:15" ht="14.1" customHeight="1">
      <c r="B610" s="191"/>
      <c r="C610" s="191"/>
      <c r="D610" s="191"/>
      <c r="E610" s="192"/>
      <c r="F610" s="9"/>
      <c r="G610" s="9"/>
      <c r="H610" s="9"/>
      <c r="I610" s="533"/>
      <c r="J610" s="444"/>
      <c r="K610" s="193"/>
      <c r="L610" s="9"/>
      <c r="M610" s="9"/>
      <c r="N610" s="9"/>
      <c r="O610" s="9"/>
    </row>
    <row r="611" spans="2:15" ht="14.1" customHeight="1">
      <c r="B611" s="191"/>
      <c r="C611" s="191"/>
      <c r="D611" s="191"/>
      <c r="E611" s="192"/>
      <c r="F611" s="9"/>
      <c r="G611" s="9"/>
      <c r="H611" s="9"/>
      <c r="I611" s="533"/>
      <c r="J611" s="444"/>
      <c r="K611" s="193"/>
      <c r="L611" s="9"/>
      <c r="M611" s="9"/>
      <c r="N611" s="9"/>
      <c r="O611" s="9"/>
    </row>
    <row r="612" spans="2:15" ht="14.1" customHeight="1">
      <c r="B612" s="191"/>
      <c r="C612" s="191"/>
      <c r="D612" s="191"/>
      <c r="E612" s="192"/>
      <c r="F612" s="9"/>
      <c r="G612" s="9"/>
      <c r="H612" s="9"/>
      <c r="I612" s="533"/>
      <c r="J612" s="444"/>
      <c r="K612" s="193"/>
      <c r="L612" s="9"/>
      <c r="M612" s="9"/>
      <c r="N612" s="9"/>
      <c r="O612" s="9"/>
    </row>
    <row r="613" spans="2:15" ht="14.1" customHeight="1">
      <c r="B613" s="191"/>
      <c r="C613" s="191"/>
      <c r="D613" s="191"/>
      <c r="E613" s="192"/>
      <c r="F613" s="9"/>
      <c r="G613" s="9"/>
      <c r="H613" s="9"/>
      <c r="I613" s="533"/>
      <c r="J613" s="444"/>
      <c r="K613" s="193"/>
      <c r="L613" s="9"/>
      <c r="M613" s="9"/>
      <c r="N613" s="9"/>
      <c r="O613" s="9"/>
    </row>
    <row r="614" spans="2:15" ht="14.1" customHeight="1">
      <c r="B614" s="191"/>
      <c r="C614" s="191"/>
      <c r="D614" s="191"/>
      <c r="E614" s="192"/>
      <c r="F614" s="9"/>
      <c r="G614" s="9"/>
      <c r="H614" s="9"/>
      <c r="I614" s="533"/>
      <c r="J614" s="444"/>
      <c r="K614" s="193"/>
      <c r="L614" s="9"/>
      <c r="M614" s="9"/>
      <c r="N614" s="9"/>
      <c r="O614" s="9"/>
    </row>
    <row r="615" spans="2:15" ht="14.1" customHeight="1">
      <c r="B615" s="191"/>
      <c r="C615" s="191"/>
      <c r="D615" s="191"/>
      <c r="E615" s="192"/>
      <c r="F615" s="9"/>
      <c r="G615" s="9"/>
      <c r="H615" s="9"/>
      <c r="I615" s="533"/>
      <c r="J615" s="444"/>
      <c r="K615" s="193"/>
      <c r="L615" s="9"/>
      <c r="M615" s="9"/>
      <c r="N615" s="9"/>
      <c r="O615" s="9"/>
    </row>
    <row r="616" spans="2:15" ht="14.1" customHeight="1">
      <c r="B616" s="191"/>
      <c r="C616" s="191"/>
      <c r="D616" s="191"/>
      <c r="E616" s="192"/>
      <c r="F616" s="9"/>
      <c r="G616" s="9"/>
      <c r="H616" s="9"/>
      <c r="I616" s="533"/>
      <c r="J616" s="444"/>
      <c r="K616" s="193"/>
      <c r="L616" s="9"/>
      <c r="M616" s="9"/>
      <c r="N616" s="9"/>
      <c r="O616" s="9"/>
    </row>
    <row r="617" spans="2:15" ht="14.1" customHeight="1">
      <c r="B617" s="191"/>
      <c r="C617" s="191"/>
      <c r="D617" s="191"/>
      <c r="E617" s="192"/>
      <c r="F617" s="9"/>
      <c r="G617" s="9"/>
      <c r="H617" s="9"/>
      <c r="I617" s="533"/>
      <c r="J617" s="444"/>
      <c r="K617" s="193"/>
      <c r="L617" s="9"/>
      <c r="M617" s="9"/>
      <c r="N617" s="9"/>
      <c r="O617" s="9"/>
    </row>
    <row r="618" spans="2:15" ht="14.1" customHeight="1">
      <c r="B618" s="191"/>
      <c r="C618" s="191"/>
      <c r="D618" s="191"/>
      <c r="E618" s="192"/>
      <c r="F618" s="9"/>
      <c r="G618" s="9"/>
      <c r="H618" s="9"/>
      <c r="I618" s="533"/>
      <c r="J618" s="444"/>
      <c r="K618" s="193"/>
      <c r="L618" s="9"/>
      <c r="M618" s="9"/>
      <c r="N618" s="9"/>
      <c r="O618" s="9"/>
    </row>
    <row r="619" spans="2:15" ht="14.1" customHeight="1">
      <c r="B619" s="191"/>
      <c r="C619" s="191"/>
      <c r="D619" s="191"/>
      <c r="E619" s="192"/>
      <c r="F619" s="9"/>
      <c r="G619" s="9"/>
      <c r="H619" s="9"/>
      <c r="I619" s="533"/>
      <c r="J619" s="444"/>
      <c r="K619" s="193"/>
      <c r="L619" s="9"/>
      <c r="M619" s="9"/>
      <c r="N619" s="9"/>
      <c r="O619" s="9"/>
    </row>
    <row r="620" spans="2:15" ht="14.1" customHeight="1">
      <c r="B620" s="191"/>
      <c r="C620" s="191"/>
      <c r="D620" s="191"/>
      <c r="E620" s="192"/>
      <c r="F620" s="9"/>
      <c r="G620" s="9"/>
      <c r="H620" s="9"/>
      <c r="I620" s="533"/>
      <c r="J620" s="444"/>
      <c r="K620" s="193"/>
      <c r="L620" s="9"/>
      <c r="M620" s="9"/>
      <c r="N620" s="9"/>
      <c r="O620" s="9"/>
    </row>
    <row r="621" spans="2:15" ht="14.1" customHeight="1">
      <c r="B621" s="191"/>
      <c r="C621" s="191"/>
      <c r="D621" s="191"/>
      <c r="E621" s="192"/>
      <c r="F621" s="9"/>
      <c r="G621" s="9"/>
      <c r="H621" s="9"/>
      <c r="I621" s="533"/>
      <c r="J621" s="444"/>
      <c r="K621" s="193"/>
      <c r="L621" s="9"/>
      <c r="M621" s="9"/>
      <c r="N621" s="9"/>
      <c r="O621" s="9"/>
    </row>
    <row r="622" spans="2:15" ht="14.1" customHeight="1">
      <c r="B622" s="191"/>
      <c r="C622" s="191"/>
      <c r="D622" s="191"/>
      <c r="E622" s="192"/>
      <c r="F622" s="9"/>
      <c r="G622" s="9"/>
      <c r="H622" s="9"/>
      <c r="I622" s="533"/>
      <c r="J622" s="444"/>
      <c r="K622" s="193"/>
      <c r="L622" s="9"/>
      <c r="M622" s="9"/>
      <c r="N622" s="9"/>
      <c r="O622" s="9"/>
    </row>
    <row r="623" spans="2:15" ht="14.1" customHeight="1">
      <c r="B623" s="191"/>
      <c r="C623" s="191"/>
      <c r="D623" s="191"/>
      <c r="E623" s="192"/>
      <c r="F623" s="9"/>
      <c r="G623" s="9"/>
      <c r="H623" s="9"/>
      <c r="I623" s="533"/>
      <c r="J623" s="444"/>
      <c r="K623" s="193"/>
      <c r="L623" s="9"/>
      <c r="M623" s="9"/>
      <c r="N623" s="9"/>
      <c r="O623" s="9"/>
    </row>
    <row r="624" spans="2:15" ht="14.1" customHeight="1">
      <c r="B624" s="191"/>
      <c r="C624" s="191"/>
      <c r="D624" s="191"/>
      <c r="E624" s="192"/>
      <c r="F624" s="9"/>
      <c r="G624" s="9"/>
      <c r="H624" s="9"/>
      <c r="I624" s="533"/>
      <c r="J624" s="444"/>
      <c r="K624" s="193"/>
      <c r="L624" s="9"/>
      <c r="M624" s="9"/>
      <c r="N624" s="9"/>
      <c r="O624" s="9"/>
    </row>
    <row r="625" spans="2:15" ht="14.1" customHeight="1">
      <c r="B625" s="191"/>
      <c r="C625" s="191"/>
      <c r="D625" s="191"/>
      <c r="E625" s="192"/>
      <c r="F625" s="9"/>
      <c r="G625" s="9"/>
      <c r="H625" s="9"/>
      <c r="I625" s="533"/>
      <c r="J625" s="444"/>
      <c r="K625" s="193"/>
      <c r="L625" s="9"/>
      <c r="M625" s="9"/>
      <c r="N625" s="9"/>
      <c r="O625" s="9"/>
    </row>
    <row r="626" spans="2:15" ht="14.1" customHeight="1">
      <c r="B626" s="191"/>
      <c r="C626" s="191"/>
      <c r="D626" s="191"/>
      <c r="E626" s="192"/>
      <c r="F626" s="9"/>
      <c r="G626" s="9"/>
      <c r="H626" s="9"/>
      <c r="I626" s="533"/>
      <c r="J626" s="444"/>
      <c r="K626" s="193"/>
      <c r="L626" s="9"/>
      <c r="M626" s="9"/>
      <c r="N626" s="9"/>
      <c r="O626" s="9"/>
    </row>
    <row r="627" spans="2:15" ht="14.1" customHeight="1">
      <c r="B627" s="191"/>
      <c r="C627" s="191"/>
      <c r="D627" s="191"/>
      <c r="E627" s="192"/>
      <c r="F627" s="9"/>
      <c r="G627" s="9"/>
      <c r="H627" s="9"/>
      <c r="I627" s="533"/>
      <c r="J627" s="444"/>
      <c r="K627" s="193"/>
      <c r="L627" s="9"/>
      <c r="M627" s="9"/>
      <c r="N627" s="9"/>
      <c r="O627" s="9"/>
    </row>
    <row r="628" spans="2:15" ht="14.1" customHeight="1">
      <c r="B628" s="191"/>
      <c r="C628" s="191"/>
      <c r="D628" s="191"/>
      <c r="E628" s="192"/>
      <c r="F628" s="9"/>
      <c r="G628" s="9"/>
      <c r="H628" s="9"/>
      <c r="I628" s="533"/>
      <c r="J628" s="444"/>
      <c r="K628" s="193"/>
      <c r="L628" s="9"/>
      <c r="M628" s="9"/>
      <c r="N628" s="9"/>
      <c r="O628" s="9"/>
    </row>
    <row r="629" spans="2:15" ht="14.1" customHeight="1">
      <c r="B629" s="191"/>
      <c r="C629" s="191"/>
      <c r="D629" s="191"/>
      <c r="E629" s="192"/>
      <c r="F629" s="9"/>
      <c r="G629" s="9"/>
      <c r="H629" s="9"/>
      <c r="I629" s="533"/>
      <c r="J629" s="444"/>
      <c r="K629" s="193"/>
      <c r="L629" s="9"/>
      <c r="M629" s="9"/>
      <c r="N629" s="9"/>
      <c r="O629" s="9"/>
    </row>
    <row r="630" spans="2:15" ht="14.1" customHeight="1">
      <c r="B630" s="191"/>
      <c r="C630" s="191"/>
      <c r="D630" s="191"/>
      <c r="E630" s="192"/>
      <c r="F630" s="9"/>
      <c r="G630" s="9"/>
      <c r="H630" s="9"/>
      <c r="I630" s="533"/>
      <c r="J630" s="444"/>
      <c r="K630" s="193"/>
      <c r="L630" s="9"/>
      <c r="M630" s="9"/>
      <c r="N630" s="9"/>
      <c r="O630" s="9"/>
    </row>
    <row r="631" spans="2:15" ht="14.1" customHeight="1">
      <c r="B631" s="191"/>
      <c r="C631" s="191"/>
      <c r="D631" s="191"/>
      <c r="E631" s="192"/>
      <c r="F631" s="9"/>
      <c r="G631" s="9"/>
      <c r="H631" s="9"/>
      <c r="I631" s="533"/>
      <c r="J631" s="444"/>
      <c r="K631" s="193"/>
      <c r="L631" s="9"/>
      <c r="M631" s="9"/>
      <c r="N631" s="9"/>
      <c r="O631" s="9"/>
    </row>
    <row r="632" spans="2:15" ht="14.1" customHeight="1">
      <c r="B632" s="191"/>
      <c r="C632" s="191"/>
      <c r="D632" s="191"/>
      <c r="E632" s="192"/>
      <c r="F632" s="9"/>
      <c r="G632" s="9"/>
      <c r="H632" s="9"/>
      <c r="I632" s="533"/>
      <c r="J632" s="444"/>
      <c r="K632" s="193"/>
      <c r="L632" s="9"/>
      <c r="M632" s="9"/>
      <c r="N632" s="9"/>
      <c r="O632" s="9"/>
    </row>
    <row r="633" spans="2:15" ht="14.1" customHeight="1">
      <c r="B633" s="191"/>
      <c r="C633" s="191"/>
      <c r="D633" s="191"/>
      <c r="E633" s="192"/>
      <c r="F633" s="9"/>
      <c r="G633" s="9"/>
      <c r="H633" s="9"/>
      <c r="I633" s="533"/>
      <c r="J633" s="444"/>
      <c r="K633" s="193"/>
      <c r="L633" s="9"/>
      <c r="M633" s="9"/>
      <c r="N633" s="9"/>
      <c r="O633" s="9"/>
    </row>
    <row r="634" spans="2:15" ht="14.1" customHeight="1">
      <c r="B634" s="191"/>
      <c r="C634" s="191"/>
      <c r="D634" s="191"/>
      <c r="E634" s="192"/>
      <c r="F634" s="9"/>
      <c r="G634" s="9"/>
      <c r="H634" s="9"/>
      <c r="I634" s="533"/>
      <c r="J634" s="444"/>
      <c r="K634" s="193"/>
      <c r="L634" s="9"/>
      <c r="M634" s="9"/>
      <c r="N634" s="9"/>
      <c r="O634" s="9"/>
    </row>
    <row r="635" spans="2:15" ht="14.1" customHeight="1">
      <c r="B635" s="191"/>
      <c r="C635" s="191"/>
      <c r="D635" s="191"/>
      <c r="E635" s="192"/>
      <c r="F635" s="9"/>
      <c r="G635" s="9"/>
      <c r="H635" s="9"/>
      <c r="I635" s="533"/>
      <c r="J635" s="444"/>
      <c r="K635" s="193"/>
      <c r="L635" s="9"/>
      <c r="M635" s="9"/>
      <c r="N635" s="9"/>
      <c r="O635" s="9"/>
    </row>
    <row r="636" spans="2:15" ht="14.1" customHeight="1">
      <c r="B636" s="191"/>
      <c r="C636" s="191"/>
      <c r="D636" s="191"/>
      <c r="E636" s="192"/>
      <c r="F636" s="9"/>
      <c r="G636" s="9"/>
      <c r="H636" s="9"/>
      <c r="I636" s="533"/>
      <c r="J636" s="444"/>
      <c r="K636" s="193"/>
      <c r="L636" s="9"/>
      <c r="M636" s="9"/>
      <c r="N636" s="9"/>
      <c r="O636" s="9"/>
    </row>
    <row r="637" spans="2:15" ht="14.1" customHeight="1">
      <c r="B637" s="191"/>
      <c r="C637" s="191"/>
      <c r="D637" s="191"/>
      <c r="E637" s="192"/>
      <c r="F637" s="9"/>
      <c r="G637" s="9"/>
      <c r="H637" s="9"/>
      <c r="I637" s="533"/>
      <c r="J637" s="444"/>
      <c r="K637" s="193"/>
      <c r="L637" s="9"/>
      <c r="M637" s="9"/>
      <c r="N637" s="9"/>
      <c r="O637" s="9"/>
    </row>
    <row r="638" spans="2:15" ht="14.1" customHeight="1">
      <c r="B638" s="191"/>
      <c r="C638" s="191"/>
      <c r="D638" s="191"/>
      <c r="E638" s="192"/>
      <c r="F638" s="9"/>
      <c r="G638" s="9"/>
      <c r="H638" s="9"/>
      <c r="I638" s="533"/>
      <c r="J638" s="444"/>
      <c r="K638" s="193"/>
      <c r="L638" s="9"/>
      <c r="M638" s="9"/>
      <c r="N638" s="9"/>
      <c r="O638" s="9"/>
    </row>
    <row r="639" spans="2:15" ht="14.1" customHeight="1">
      <c r="B639" s="191"/>
      <c r="C639" s="191"/>
      <c r="D639" s="191"/>
      <c r="E639" s="192"/>
      <c r="F639" s="9"/>
      <c r="G639" s="9"/>
      <c r="H639" s="9"/>
      <c r="I639" s="533"/>
      <c r="J639" s="444"/>
      <c r="K639" s="193"/>
      <c r="L639" s="9"/>
      <c r="M639" s="9"/>
      <c r="N639" s="9"/>
      <c r="O639" s="9"/>
    </row>
    <row r="640" spans="2:15" ht="14.1" customHeight="1">
      <c r="B640" s="191"/>
      <c r="C640" s="191"/>
      <c r="D640" s="191"/>
      <c r="E640" s="192"/>
      <c r="F640" s="9"/>
      <c r="G640" s="9"/>
      <c r="H640" s="9"/>
      <c r="I640" s="533"/>
      <c r="J640" s="444"/>
      <c r="K640" s="193"/>
      <c r="L640" s="9"/>
      <c r="M640" s="9"/>
      <c r="N640" s="9"/>
      <c r="O640" s="9"/>
    </row>
    <row r="641" spans="2:15" ht="14.1" customHeight="1">
      <c r="B641" s="191"/>
      <c r="C641" s="191"/>
      <c r="D641" s="191"/>
      <c r="E641" s="192"/>
      <c r="F641" s="9"/>
      <c r="G641" s="9"/>
      <c r="H641" s="9"/>
      <c r="I641" s="533"/>
      <c r="J641" s="444"/>
      <c r="K641" s="193"/>
      <c r="L641" s="9"/>
      <c r="M641" s="9"/>
      <c r="N641" s="9"/>
      <c r="O641" s="9"/>
    </row>
    <row r="642" spans="2:15" ht="14.1" customHeight="1">
      <c r="B642" s="191"/>
      <c r="C642" s="191"/>
      <c r="D642" s="191"/>
      <c r="E642" s="192"/>
      <c r="F642" s="9"/>
      <c r="G642" s="9"/>
      <c r="H642" s="9"/>
      <c r="I642" s="533"/>
      <c r="J642" s="444"/>
      <c r="K642" s="193"/>
      <c r="L642" s="9"/>
      <c r="M642" s="9"/>
      <c r="N642" s="9"/>
      <c r="O642" s="9"/>
    </row>
    <row r="643" spans="2:15" ht="14.1" customHeight="1">
      <c r="B643" s="191"/>
      <c r="C643" s="191"/>
      <c r="D643" s="191"/>
      <c r="E643" s="192"/>
      <c r="F643" s="9"/>
      <c r="G643" s="9"/>
      <c r="H643" s="9"/>
      <c r="I643" s="533"/>
      <c r="J643" s="444"/>
      <c r="K643" s="193"/>
      <c r="L643" s="9"/>
      <c r="M643" s="9"/>
      <c r="N643" s="9"/>
      <c r="O643" s="9"/>
    </row>
    <row r="644" spans="2:15" ht="14.1" customHeight="1">
      <c r="B644" s="191"/>
      <c r="C644" s="191"/>
      <c r="D644" s="191"/>
      <c r="E644" s="192"/>
      <c r="F644" s="9"/>
      <c r="G644" s="9"/>
      <c r="H644" s="9"/>
      <c r="I644" s="533"/>
      <c r="J644" s="444"/>
      <c r="K644" s="193"/>
      <c r="L644" s="9"/>
      <c r="M644" s="9"/>
      <c r="N644" s="9"/>
      <c r="O644" s="9"/>
    </row>
    <row r="645" spans="2:15" ht="14.1" customHeight="1">
      <c r="B645" s="191"/>
      <c r="C645" s="191"/>
      <c r="D645" s="191"/>
      <c r="E645" s="192"/>
      <c r="F645" s="9"/>
      <c r="G645" s="9"/>
      <c r="H645" s="9"/>
      <c r="I645" s="533"/>
      <c r="J645" s="444"/>
      <c r="K645" s="193"/>
      <c r="L645" s="9"/>
      <c r="M645" s="9"/>
      <c r="N645" s="9"/>
      <c r="O645" s="9"/>
    </row>
    <row r="646" spans="2:15" ht="14.1" customHeight="1">
      <c r="B646" s="191"/>
      <c r="C646" s="191"/>
      <c r="D646" s="191"/>
      <c r="E646" s="192"/>
      <c r="F646" s="9"/>
      <c r="G646" s="9"/>
      <c r="H646" s="9"/>
      <c r="I646" s="533"/>
      <c r="J646" s="444"/>
      <c r="K646" s="193"/>
      <c r="L646" s="9"/>
      <c r="M646" s="9"/>
      <c r="N646" s="9"/>
      <c r="O646" s="9"/>
    </row>
    <row r="647" spans="2:15" ht="14.1" customHeight="1">
      <c r="B647" s="191"/>
      <c r="C647" s="191"/>
      <c r="D647" s="191"/>
      <c r="E647" s="192"/>
      <c r="F647" s="9"/>
      <c r="G647" s="9"/>
      <c r="H647" s="9"/>
      <c r="I647" s="533"/>
      <c r="J647" s="444"/>
      <c r="K647" s="193"/>
      <c r="L647" s="9"/>
      <c r="M647" s="9"/>
      <c r="N647" s="9"/>
      <c r="O647" s="9"/>
    </row>
    <row r="648" spans="2:15" ht="14.1" customHeight="1">
      <c r="B648" s="191"/>
      <c r="C648" s="191"/>
      <c r="D648" s="191"/>
      <c r="E648" s="192"/>
      <c r="F648" s="9"/>
      <c r="G648" s="9"/>
      <c r="H648" s="9"/>
      <c r="I648" s="533"/>
      <c r="J648" s="444"/>
      <c r="K648" s="193"/>
      <c r="L648" s="9"/>
      <c r="M648" s="9"/>
      <c r="N648" s="9"/>
      <c r="O648" s="9"/>
    </row>
    <row r="649" spans="2:15" ht="14.1" customHeight="1">
      <c r="B649" s="191"/>
      <c r="C649" s="191"/>
      <c r="D649" s="191"/>
      <c r="E649" s="192"/>
      <c r="F649" s="9"/>
      <c r="G649" s="9"/>
      <c r="H649" s="9"/>
      <c r="I649" s="533"/>
      <c r="J649" s="444"/>
      <c r="K649" s="193"/>
      <c r="L649" s="9"/>
      <c r="M649" s="9"/>
      <c r="N649" s="9"/>
      <c r="O649" s="9"/>
    </row>
    <row r="650" spans="2:15" ht="14.1" customHeight="1">
      <c r="B650" s="191"/>
      <c r="C650" s="191"/>
      <c r="D650" s="191"/>
      <c r="E650" s="192"/>
      <c r="F650" s="9"/>
      <c r="G650" s="9"/>
      <c r="H650" s="9"/>
      <c r="I650" s="533"/>
      <c r="J650" s="444"/>
      <c r="K650" s="193"/>
      <c r="L650" s="9"/>
      <c r="M650" s="9"/>
      <c r="N650" s="9"/>
      <c r="O650" s="9"/>
    </row>
    <row r="651" spans="2:15" ht="14.1" customHeight="1">
      <c r="B651" s="191"/>
      <c r="C651" s="191"/>
      <c r="D651" s="191"/>
      <c r="E651" s="192"/>
      <c r="F651" s="9"/>
      <c r="G651" s="9"/>
      <c r="H651" s="9"/>
      <c r="I651" s="533"/>
      <c r="J651" s="444"/>
      <c r="K651" s="193"/>
      <c r="L651" s="9"/>
      <c r="M651" s="9"/>
      <c r="N651" s="9"/>
      <c r="O651" s="9"/>
    </row>
    <row r="652" spans="2:15" ht="14.1" customHeight="1">
      <c r="B652" s="191"/>
      <c r="C652" s="191"/>
      <c r="D652" s="191"/>
      <c r="E652" s="192"/>
      <c r="F652" s="9"/>
      <c r="G652" s="9"/>
      <c r="H652" s="9"/>
      <c r="I652" s="533"/>
      <c r="J652" s="444"/>
      <c r="K652" s="193"/>
      <c r="L652" s="9"/>
      <c r="M652" s="9"/>
      <c r="N652" s="9"/>
      <c r="O652" s="9"/>
    </row>
    <row r="653" spans="2:15" ht="14.1" customHeight="1">
      <c r="B653" s="191"/>
      <c r="C653" s="191"/>
      <c r="D653" s="191"/>
      <c r="E653" s="192"/>
      <c r="F653" s="9"/>
      <c r="G653" s="9"/>
      <c r="H653" s="9"/>
      <c r="I653" s="533"/>
      <c r="J653" s="444"/>
      <c r="K653" s="193"/>
      <c r="L653" s="9"/>
      <c r="M653" s="9"/>
      <c r="N653" s="9"/>
      <c r="O653" s="9"/>
    </row>
    <row r="654" spans="2:15" ht="14.1" customHeight="1">
      <c r="B654" s="191"/>
      <c r="C654" s="191"/>
      <c r="D654" s="191"/>
      <c r="E654" s="192"/>
      <c r="F654" s="9"/>
      <c r="G654" s="9"/>
      <c r="H654" s="9"/>
      <c r="I654" s="533"/>
      <c r="J654" s="444"/>
      <c r="K654" s="193"/>
      <c r="L654" s="9"/>
      <c r="M654" s="9"/>
      <c r="N654" s="9"/>
      <c r="O654" s="9"/>
    </row>
    <row r="655" spans="2:15" ht="14.1" customHeight="1">
      <c r="B655" s="191"/>
      <c r="C655" s="191"/>
      <c r="D655" s="191"/>
      <c r="E655" s="192"/>
      <c r="F655" s="9"/>
      <c r="G655" s="9"/>
      <c r="H655" s="9"/>
      <c r="I655" s="533"/>
      <c r="J655" s="444"/>
      <c r="K655" s="193"/>
      <c r="L655" s="9"/>
      <c r="M655" s="9"/>
      <c r="N655" s="9"/>
      <c r="O655" s="9"/>
    </row>
    <row r="656" spans="2:15" ht="14.1" customHeight="1">
      <c r="B656" s="191"/>
      <c r="C656" s="191"/>
      <c r="D656" s="191"/>
      <c r="E656" s="192"/>
      <c r="F656" s="9"/>
      <c r="G656" s="9"/>
      <c r="H656" s="9"/>
      <c r="I656" s="533"/>
      <c r="J656" s="444"/>
      <c r="K656" s="193"/>
      <c r="L656" s="9"/>
      <c r="M656" s="9"/>
      <c r="N656" s="9"/>
      <c r="O656" s="9"/>
    </row>
    <row r="657" spans="2:15" ht="14.1" customHeight="1">
      <c r="B657" s="191"/>
      <c r="C657" s="191"/>
      <c r="D657" s="191"/>
      <c r="E657" s="192"/>
      <c r="F657" s="9"/>
      <c r="G657" s="9"/>
      <c r="H657" s="9"/>
      <c r="I657" s="533"/>
      <c r="J657" s="444"/>
      <c r="K657" s="193"/>
      <c r="L657" s="9"/>
      <c r="M657" s="9"/>
      <c r="N657" s="9"/>
      <c r="O657" s="9"/>
    </row>
    <row r="658" spans="2:15" ht="14.1" customHeight="1">
      <c r="E658" s="192"/>
      <c r="F658" s="9"/>
      <c r="G658" s="9"/>
      <c r="H658" s="9"/>
      <c r="I658" s="533"/>
      <c r="J658" s="444"/>
      <c r="K658" s="193"/>
      <c r="L658" s="9"/>
      <c r="M658" s="9"/>
      <c r="N658" s="9"/>
      <c r="O658" s="9"/>
    </row>
    <row r="659" spans="2:15" ht="14.1" customHeight="1">
      <c r="E659" s="192"/>
      <c r="F659" s="9"/>
      <c r="G659" s="9"/>
      <c r="H659" s="9"/>
      <c r="I659" s="533"/>
      <c r="J659" s="444"/>
      <c r="K659" s="193"/>
      <c r="L659" s="9"/>
      <c r="M659" s="9"/>
      <c r="N659" s="9"/>
      <c r="O659" s="9"/>
    </row>
    <row r="660" spans="2:15" ht="14.1" customHeight="1">
      <c r="E660" s="192"/>
      <c r="F660" s="9"/>
      <c r="G660" s="9"/>
      <c r="H660" s="9"/>
      <c r="I660" s="533"/>
      <c r="J660" s="444"/>
      <c r="K660" s="193"/>
      <c r="L660" s="9"/>
      <c r="M660" s="9"/>
      <c r="N660" s="9"/>
      <c r="O660" s="9"/>
    </row>
    <row r="661" spans="2:15" ht="14.1" customHeight="1">
      <c r="E661" s="192"/>
      <c r="F661" s="9"/>
      <c r="G661" s="9"/>
      <c r="H661" s="9"/>
      <c r="I661" s="533"/>
      <c r="J661" s="444"/>
      <c r="K661" s="193"/>
      <c r="L661" s="9"/>
      <c r="M661" s="9"/>
      <c r="N661" s="9"/>
      <c r="O661" s="9"/>
    </row>
  </sheetData>
  <autoFilter ref="B9:Q279" xr:uid="{00000000-0009-0000-0000-000004000000}"/>
  <phoneticPr fontId="9"/>
  <printOptions horizontalCentered="1" gridLinesSet="0"/>
  <pageMargins left="0.19685039370078741" right="0.19685039370078741" top="0.59055118110236227" bottom="0.78740157480314965" header="0.39370078740157483" footer="0.19685039370078741"/>
  <pageSetup paperSize="9" scale="45" fitToHeight="0" orientation="landscape" r:id="rId1"/>
  <headerFooter alignWithMargins="0">
    <oddFooter>&amp;L&amp;"Verdana,Standaard"&amp;F-&amp;A
Atir b.v. ©&amp;R&amp;"Verdana,Standaard"printversie &amp;D</oddFooter>
  </headerFooter>
  <rowBreaks count="5" manualBreakCount="5">
    <brk id="55" min="1" max="21" man="1"/>
    <brk id="105" min="1" max="21" man="1"/>
    <brk id="165" min="1" max="21" man="1"/>
    <brk id="214" min="1" max="21" man="1"/>
    <brk id="264" min="1"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4"/>
  <sheetViews>
    <sheetView showGridLines="0" showZeros="0" showOutlineSymbols="0" zoomScaleNormal="100" zoomScaleSheetLayoutView="100" workbookViewId="0">
      <pane ySplit="9" topLeftCell="A10" activePane="bottomLeft" state="frozen"/>
      <selection activeCell="E32" sqref="E32"/>
      <selection pane="bottomLeft" activeCell="B44" sqref="B44:B46"/>
    </sheetView>
  </sheetViews>
  <sheetFormatPr defaultColWidth="9.28515625" defaultRowHeight="13.5"/>
  <cols>
    <col min="1" max="1" width="45.5703125" style="4" customWidth="1"/>
    <col min="2" max="2" width="18.28515625" style="4" customWidth="1"/>
    <col min="3" max="3" width="18.42578125" style="4" customWidth="1"/>
    <col min="4" max="4" width="10.7109375" style="4" customWidth="1"/>
    <col min="5" max="5" width="11.140625" style="4" customWidth="1"/>
    <col min="6" max="6" width="2.140625" style="4" customWidth="1"/>
    <col min="7" max="7" width="7.85546875" style="4" customWidth="1"/>
    <col min="8" max="8" width="27" style="4" bestFit="1" customWidth="1"/>
    <col min="9" max="16384" width="9.28515625" style="4"/>
  </cols>
  <sheetData>
    <row r="1" spans="1:9">
      <c r="A1" s="448" t="s">
        <v>26</v>
      </c>
      <c r="B1" s="195"/>
      <c r="C1" s="46"/>
      <c r="D1" s="46"/>
      <c r="E1" s="46"/>
      <c r="F1" s="3"/>
      <c r="G1" s="3"/>
      <c r="H1" s="47"/>
    </row>
    <row r="2" spans="1:9">
      <c r="A2" s="2"/>
      <c r="B2" s="2"/>
      <c r="C2" s="2"/>
      <c r="D2" s="2"/>
      <c r="E2" s="2"/>
      <c r="F2" s="3"/>
      <c r="G2" s="3"/>
    </row>
    <row r="3" spans="1:9" ht="17.25">
      <c r="A3" s="112" t="str">
        <f>'1-Contractblad totaal'!A3</f>
        <v>Naam opdrachtgever</v>
      </c>
      <c r="B3" s="141" t="str">
        <f>'1-Contractblad totaal'!B3</f>
        <v>Gemeente Smallingerland</v>
      </c>
      <c r="C3" s="2"/>
      <c r="D3" s="2"/>
      <c r="E3" s="498"/>
      <c r="F3" s="3"/>
      <c r="G3" s="3"/>
    </row>
    <row r="4" spans="1:9" ht="17.25">
      <c r="A4" s="112" t="str">
        <f>'1-Contractblad totaal'!A4</f>
        <v>Calculatie onderdeel</v>
      </c>
      <c r="B4" s="141" t="str">
        <f ca="1">MID(CELL("bestandsnaam",$C$9),SEARCH("]",CELL("bestandsnaam",$C$9),1)+1,256)</f>
        <v>5-Premies en opslagen</v>
      </c>
      <c r="C4" s="196"/>
      <c r="D4" s="197"/>
      <c r="E4" s="198"/>
      <c r="F4" s="6"/>
      <c r="G4" s="6"/>
    </row>
    <row r="5" spans="1:9" ht="17.25">
      <c r="A5" s="112" t="str">
        <f>'1-Contractblad totaal'!A5</f>
        <v>Gebouw/plaats</v>
      </c>
      <c r="B5" s="141" t="str">
        <f>'1-Contractblad totaal'!B5</f>
        <v>Drachten</v>
      </c>
      <c r="C5" s="112"/>
      <c r="D5" s="199"/>
      <c r="E5" s="200"/>
      <c r="F5" s="8"/>
      <c r="G5" s="6"/>
    </row>
    <row r="6" spans="1:9" ht="17.25">
      <c r="A6" s="112" t="str">
        <f>'1-Contractblad totaal'!A6</f>
        <v>Referentie nummer</v>
      </c>
      <c r="B6" s="141" t="str">
        <f>'1-Contractblad totaal'!B6</f>
        <v>GS-EA-AS-2020</v>
      </c>
      <c r="C6" s="149"/>
      <c r="D6" s="199"/>
      <c r="E6" s="505"/>
      <c r="F6" s="504"/>
      <c r="G6" s="506"/>
      <c r="H6" s="507"/>
    </row>
    <row r="7" spans="1:9" ht="17.25">
      <c r="A7" s="112" t="str">
        <f>'1-Contractblad totaal'!A8</f>
        <v>Naam dienstverlener</v>
      </c>
      <c r="B7" s="141">
        <f>'1-Contractblad totaal'!B8</f>
        <v>0</v>
      </c>
      <c r="C7" s="201"/>
      <c r="D7" s="22"/>
      <c r="E7" s="202"/>
      <c r="F7" s="8"/>
      <c r="G7" s="6"/>
      <c r="H7" s="9"/>
      <c r="I7" s="9"/>
    </row>
    <row r="8" spans="1:9" ht="15.75">
      <c r="A8" s="112" t="str">
        <f>'1-Contractblad totaal'!A9</f>
        <v>Prijspeil</v>
      </c>
      <c r="B8" s="113">
        <f>'1-Contractblad totaal'!B9</f>
        <v>44013</v>
      </c>
      <c r="C8" s="200"/>
      <c r="D8" s="200"/>
      <c r="E8" s="200"/>
      <c r="F8" s="8"/>
      <c r="G8" s="6"/>
    </row>
    <row r="9" spans="1:9" ht="15">
      <c r="A9" s="203"/>
      <c r="B9" s="200"/>
      <c r="C9" s="200"/>
      <c r="D9" s="200"/>
      <c r="E9" s="200"/>
      <c r="F9" s="8"/>
      <c r="G9" s="6"/>
    </row>
    <row r="10" spans="1:9" ht="18">
      <c r="A10" s="236" t="s">
        <v>3</v>
      </c>
      <c r="B10" s="237"/>
      <c r="C10" s="238"/>
      <c r="D10" s="200"/>
      <c r="E10" s="200"/>
      <c r="F10" s="8"/>
      <c r="G10" s="6"/>
    </row>
    <row r="11" spans="1:9">
      <c r="A11" s="204"/>
      <c r="B11" s="5"/>
      <c r="C11" s="5"/>
      <c r="D11" s="200"/>
      <c r="E11" s="200"/>
      <c r="F11" s="6"/>
      <c r="G11" s="6"/>
    </row>
    <row r="12" spans="1:9">
      <c r="A12" s="205"/>
      <c r="B12" s="206"/>
      <c r="C12" s="207" t="s">
        <v>41</v>
      </c>
      <c r="D12" s="200"/>
      <c r="E12" s="200"/>
      <c r="F12" s="8"/>
      <c r="G12" s="6"/>
    </row>
    <row r="13" spans="1:9">
      <c r="A13" s="208" t="s">
        <v>92</v>
      </c>
      <c r="B13" s="175"/>
      <c r="C13" s="449"/>
      <c r="D13" s="200"/>
      <c r="E13" s="200"/>
      <c r="F13" s="209"/>
      <c r="G13" s="6"/>
    </row>
    <row r="14" spans="1:9">
      <c r="A14" s="208" t="s">
        <v>209</v>
      </c>
      <c r="B14" s="175"/>
      <c r="C14" s="449"/>
      <c r="D14" s="200"/>
      <c r="E14" s="200"/>
      <c r="F14" s="209"/>
      <c r="G14" s="6"/>
      <c r="H14" s="47"/>
    </row>
    <row r="15" spans="1:9">
      <c r="A15" s="208" t="s">
        <v>93</v>
      </c>
      <c r="B15" s="175"/>
      <c r="C15" s="449"/>
      <c r="D15" s="200"/>
      <c r="E15" s="200"/>
      <c r="F15" s="209"/>
      <c r="G15" s="6"/>
      <c r="H15" s="47"/>
    </row>
    <row r="16" spans="1:9">
      <c r="A16" s="210" t="s">
        <v>8</v>
      </c>
      <c r="B16" s="211"/>
      <c r="C16" s="212">
        <f>SUM(C13:C15)</f>
        <v>0</v>
      </c>
      <c r="D16" s="200"/>
      <c r="E16" s="200"/>
      <c r="F16" s="6"/>
      <c r="G16" s="47"/>
    </row>
    <row r="17" spans="1:9">
      <c r="A17" s="210"/>
      <c r="B17" s="211"/>
      <c r="C17" s="212"/>
      <c r="D17" s="200"/>
      <c r="E17" s="200"/>
      <c r="F17" s="6"/>
      <c r="G17" s="47"/>
    </row>
    <row r="18" spans="1:9">
      <c r="A18" s="584" t="s">
        <v>94</v>
      </c>
      <c r="B18" s="585"/>
      <c r="C18" s="449"/>
      <c r="D18" s="200"/>
      <c r="E18" s="200"/>
      <c r="F18" s="6"/>
    </row>
    <row r="19" spans="1:9">
      <c r="A19" s="516" t="s">
        <v>238</v>
      </c>
      <c r="B19" s="514"/>
      <c r="C19" s="515"/>
      <c r="D19" s="200"/>
      <c r="E19" s="200"/>
      <c r="F19" s="6"/>
    </row>
    <row r="20" spans="1:9">
      <c r="A20" s="584" t="s">
        <v>95</v>
      </c>
      <c r="B20" s="585"/>
      <c r="C20" s="449"/>
      <c r="D20" s="200"/>
      <c r="E20" s="200"/>
      <c r="F20" s="6"/>
    </row>
    <row r="21" spans="1:9">
      <c r="A21" s="584" t="s">
        <v>36</v>
      </c>
      <c r="B21" s="585"/>
      <c r="C21" s="213" t="e">
        <f>C35</f>
        <v>#DIV/0!</v>
      </c>
      <c r="D21" s="200"/>
      <c r="E21" s="200"/>
      <c r="F21" s="6"/>
    </row>
    <row r="22" spans="1:9">
      <c r="A22" s="584" t="s">
        <v>37</v>
      </c>
      <c r="B22" s="585"/>
      <c r="C22" s="449"/>
      <c r="D22" s="200"/>
      <c r="E22" s="200"/>
      <c r="F22" s="6"/>
    </row>
    <row r="23" spans="1:9">
      <c r="A23" s="584" t="s">
        <v>77</v>
      </c>
      <c r="B23" s="585"/>
      <c r="C23" s="449"/>
      <c r="D23" s="200"/>
      <c r="E23" s="200"/>
      <c r="F23" s="6"/>
    </row>
    <row r="24" spans="1:9">
      <c r="A24" s="584" t="s">
        <v>227</v>
      </c>
      <c r="B24" s="585"/>
      <c r="C24" s="449"/>
      <c r="D24" s="200"/>
      <c r="E24" s="200"/>
      <c r="F24" s="6"/>
    </row>
    <row r="25" spans="1:9">
      <c r="A25" s="586" t="s">
        <v>76</v>
      </c>
      <c r="B25" s="587"/>
      <c r="C25" s="214" t="e">
        <f>SUM(C16:C24)</f>
        <v>#DIV/0!</v>
      </c>
      <c r="D25" s="200"/>
      <c r="E25" s="200"/>
      <c r="F25" s="6"/>
    </row>
    <row r="26" spans="1:9">
      <c r="A26" s="215"/>
      <c r="B26" s="197"/>
      <c r="C26" s="18"/>
      <c r="D26" s="200"/>
      <c r="E26" s="200"/>
      <c r="F26" s="19"/>
      <c r="G26" s="6"/>
    </row>
    <row r="27" spans="1:9" ht="18">
      <c r="A27" s="236" t="s">
        <v>70</v>
      </c>
      <c r="B27" s="237"/>
      <c r="C27" s="238"/>
      <c r="D27" s="200"/>
      <c r="E27" s="200"/>
      <c r="F27" s="8"/>
      <c r="G27" s="6"/>
    </row>
    <row r="28" spans="1:9">
      <c r="A28" s="204"/>
      <c r="B28" s="5"/>
      <c r="C28" s="5"/>
      <c r="D28" s="200"/>
      <c r="E28" s="200"/>
      <c r="F28" s="6"/>
      <c r="G28" s="6"/>
      <c r="H28" s="47"/>
    </row>
    <row r="29" spans="1:9">
      <c r="A29" s="5"/>
      <c r="B29" s="5"/>
      <c r="C29" s="216" t="s">
        <v>16</v>
      </c>
      <c r="D29" s="200"/>
      <c r="E29" s="200"/>
      <c r="F29" s="6"/>
      <c r="G29" s="6"/>
      <c r="H29" s="47"/>
    </row>
    <row r="30" spans="1:9">
      <c r="A30" s="208" t="s">
        <v>22</v>
      </c>
      <c r="B30" s="206"/>
      <c r="C30" s="217">
        <f>'6-Opbouw uurtarief productie'!E22</f>
        <v>0</v>
      </c>
      <c r="D30" s="200"/>
      <c r="E30" s="200"/>
      <c r="F30" s="47"/>
      <c r="G30" s="6"/>
      <c r="H30" s="47"/>
      <c r="I30" s="47"/>
    </row>
    <row r="31" spans="1:9">
      <c r="A31" s="208" t="s">
        <v>54</v>
      </c>
      <c r="B31" s="483" t="s">
        <v>215</v>
      </c>
      <c r="C31" s="450"/>
      <c r="D31" s="200"/>
      <c r="E31" s="200"/>
      <c r="F31" s="8"/>
      <c r="G31" s="6"/>
      <c r="H31" s="47"/>
      <c r="I31" s="47"/>
    </row>
    <row r="32" spans="1:9">
      <c r="A32" s="208" t="s">
        <v>48</v>
      </c>
      <c r="B32" s="206"/>
      <c r="C32" s="218">
        <f>C30+C31</f>
        <v>0</v>
      </c>
      <c r="D32" s="200"/>
      <c r="E32" s="200"/>
      <c r="F32" s="8"/>
      <c r="G32" s="6"/>
      <c r="H32" s="47"/>
      <c r="I32" s="47"/>
    </row>
    <row r="33" spans="1:8">
      <c r="A33" s="219" t="s">
        <v>0</v>
      </c>
      <c r="B33" s="220"/>
      <c r="C33" s="451"/>
      <c r="E33" s="221"/>
      <c r="F33" s="8"/>
      <c r="G33" s="6"/>
      <c r="H33" s="47"/>
    </row>
    <row r="34" spans="1:8">
      <c r="A34" s="204"/>
      <c r="B34" s="222"/>
      <c r="C34" s="223"/>
      <c r="E34" s="5"/>
      <c r="F34" s="6"/>
      <c r="G34" s="6"/>
      <c r="H34" s="47"/>
    </row>
    <row r="35" spans="1:8">
      <c r="A35" s="403" t="s">
        <v>49</v>
      </c>
      <c r="B35" s="330"/>
      <c r="C35" s="404" t="e">
        <f>(C32/C30)*C33</f>
        <v>#DIV/0!</v>
      </c>
      <c r="E35" s="224"/>
      <c r="F35" s="8"/>
      <c r="G35" s="225"/>
      <c r="H35" s="47"/>
    </row>
    <row r="36" spans="1:8">
      <c r="A36" s="204"/>
      <c r="B36" s="5"/>
      <c r="C36" s="5"/>
      <c r="E36" s="224"/>
      <c r="F36" s="8"/>
      <c r="G36" s="6"/>
    </row>
    <row r="37" spans="1:8" ht="18">
      <c r="A37" s="239" t="s">
        <v>57</v>
      </c>
      <c r="B37" s="240"/>
      <c r="C37" s="241"/>
      <c r="E37" s="224"/>
      <c r="F37" s="8"/>
      <c r="G37" s="6"/>
    </row>
    <row r="38" spans="1:8">
      <c r="A38" s="215"/>
      <c r="B38" s="197"/>
      <c r="C38" s="18"/>
      <c r="E38" s="224"/>
      <c r="F38" s="8"/>
      <c r="G38" s="6"/>
    </row>
    <row r="39" spans="1:8">
      <c r="A39" s="215"/>
      <c r="B39" s="425" t="s">
        <v>82</v>
      </c>
      <c r="C39" s="18"/>
      <c r="E39" s="224"/>
      <c r="F39" s="8"/>
      <c r="G39" s="6"/>
    </row>
    <row r="40" spans="1:8">
      <c r="A40" s="226" t="s">
        <v>5</v>
      </c>
      <c r="B40" s="452"/>
      <c r="C40" s="18"/>
      <c r="E40" s="224"/>
      <c r="F40" s="8"/>
      <c r="G40" s="24"/>
    </row>
    <row r="41" spans="1:8">
      <c r="A41" s="226" t="s">
        <v>4</v>
      </c>
      <c r="B41" s="452"/>
      <c r="C41" s="18"/>
      <c r="E41" s="224"/>
      <c r="F41" s="8"/>
      <c r="G41" s="24"/>
    </row>
    <row r="42" spans="1:8">
      <c r="A42" s="405" t="s">
        <v>6</v>
      </c>
      <c r="B42" s="406">
        <f>B40-B41</f>
        <v>0</v>
      </c>
      <c r="C42" s="18"/>
      <c r="E42" s="224"/>
      <c r="F42" s="8"/>
      <c r="G42" s="12"/>
    </row>
    <row r="43" spans="1:8">
      <c r="A43" s="227"/>
      <c r="B43" s="228"/>
      <c r="C43" s="18"/>
      <c r="E43" s="224"/>
      <c r="F43" s="8"/>
      <c r="G43" s="12"/>
    </row>
    <row r="44" spans="1:8">
      <c r="A44" s="226" t="s">
        <v>31</v>
      </c>
      <c r="B44" s="452"/>
      <c r="C44" s="18"/>
      <c r="E44" s="224"/>
      <c r="F44" s="8"/>
      <c r="G44" s="12"/>
    </row>
    <row r="45" spans="1:8">
      <c r="A45" s="226" t="s">
        <v>21</v>
      </c>
      <c r="B45" s="452"/>
      <c r="C45" s="18"/>
      <c r="E45" s="224"/>
      <c r="F45" s="8"/>
      <c r="G45" s="12"/>
    </row>
    <row r="46" spans="1:8">
      <c r="A46" s="226" t="s">
        <v>43</v>
      </c>
      <c r="B46" s="452"/>
      <c r="C46" s="18"/>
      <c r="E46" s="224"/>
      <c r="F46" s="8"/>
      <c r="G46" s="12"/>
    </row>
    <row r="47" spans="1:8">
      <c r="A47" s="226" t="s">
        <v>52</v>
      </c>
      <c r="B47" s="452"/>
      <c r="C47" s="18"/>
      <c r="E47" s="224"/>
      <c r="F47" s="8"/>
      <c r="G47" s="12"/>
    </row>
    <row r="48" spans="1:8">
      <c r="A48" s="405" t="s">
        <v>28</v>
      </c>
      <c r="B48" s="406">
        <f>B42-SUM(B44:B47)</f>
        <v>0</v>
      </c>
      <c r="C48" s="18"/>
      <c r="E48" s="224"/>
      <c r="F48" s="8"/>
      <c r="G48" s="12"/>
    </row>
    <row r="49" spans="1:7">
      <c r="A49" s="229"/>
      <c r="B49" s="228"/>
      <c r="C49" s="18"/>
      <c r="E49" s="224"/>
      <c r="F49" s="8"/>
      <c r="G49" s="12"/>
    </row>
    <row r="50" spans="1:7">
      <c r="A50" s="230" t="s">
        <v>71</v>
      </c>
      <c r="B50" s="231">
        <f>IF(B44=0,0,B44/$B$48)</f>
        <v>0</v>
      </c>
      <c r="C50" s="18"/>
      <c r="E50" s="224"/>
      <c r="F50" s="8"/>
      <c r="G50" s="12"/>
    </row>
    <row r="51" spans="1:7">
      <c r="A51" s="230" t="s">
        <v>21</v>
      </c>
      <c r="B51" s="231">
        <f>IF(B45=0,0,B45/$B$48)</f>
        <v>0</v>
      </c>
      <c r="C51" s="18"/>
      <c r="E51" s="224"/>
      <c r="F51" s="8"/>
      <c r="G51" s="12"/>
    </row>
    <row r="52" spans="1:7">
      <c r="A52" s="226" t="s">
        <v>43</v>
      </c>
      <c r="B52" s="231">
        <f>IF(B46=0,0,B46/$B$48)</f>
        <v>0</v>
      </c>
      <c r="C52" s="18"/>
      <c r="E52" s="224"/>
      <c r="F52" s="8"/>
      <c r="G52" s="12"/>
    </row>
    <row r="53" spans="1:7">
      <c r="A53" s="230" t="s">
        <v>52</v>
      </c>
      <c r="B53" s="231">
        <f>IF(B47=0,0,B47/$B$48)</f>
        <v>0</v>
      </c>
      <c r="C53" s="18"/>
      <c r="E53" s="224"/>
      <c r="F53" s="8"/>
      <c r="G53" s="33"/>
    </row>
    <row r="54" spans="1:7">
      <c r="A54" s="405" t="s">
        <v>78</v>
      </c>
      <c r="B54" s="407">
        <f>SUM(B50:B53)</f>
        <v>0</v>
      </c>
      <c r="C54" s="18"/>
      <c r="E54" s="224"/>
      <c r="F54" s="8"/>
      <c r="G54" s="36"/>
    </row>
    <row r="55" spans="1:7">
      <c r="A55" s="40"/>
      <c r="B55" s="40"/>
      <c r="C55" s="40"/>
      <c r="E55" s="224"/>
      <c r="F55" s="8"/>
      <c r="G55" s="3"/>
    </row>
    <row r="56" spans="1:7">
      <c r="A56" s="44"/>
      <c r="B56" s="45"/>
      <c r="C56" s="45"/>
      <c r="E56" s="224"/>
      <c r="F56" s="8"/>
      <c r="G56" s="3"/>
    </row>
    <row r="57" spans="1:7" s="47" customFormat="1"/>
    <row r="58" spans="1:7" s="47" customFormat="1"/>
    <row r="59" spans="1:7" s="47" customFormat="1" ht="16.5">
      <c r="A59" s="232"/>
      <c r="B59" s="1"/>
    </row>
    <row r="60" spans="1:7" s="47" customFormat="1" ht="16.5">
      <c r="A60" s="232"/>
      <c r="B60" s="1"/>
    </row>
    <row r="61" spans="1:7" s="47" customFormat="1" ht="16.5">
      <c r="A61" s="232"/>
      <c r="B61" s="1"/>
    </row>
    <row r="62" spans="1:7" s="47" customFormat="1" ht="16.5">
      <c r="A62" s="232"/>
      <c r="B62" s="1"/>
    </row>
    <row r="63" spans="1:7" s="47" customFormat="1" ht="16.5">
      <c r="A63" s="233"/>
      <c r="B63" s="1"/>
    </row>
    <row r="64" spans="1:7" s="47" customFormat="1" ht="16.5">
      <c r="A64" s="1"/>
      <c r="B64" s="1"/>
    </row>
    <row r="65" spans="1:3" s="47" customFormat="1" ht="16.5">
      <c r="A65" s="1"/>
      <c r="B65" s="1"/>
    </row>
    <row r="66" spans="1:3" s="47" customFormat="1" ht="16.5">
      <c r="A66" s="1"/>
      <c r="B66" s="1"/>
    </row>
    <row r="67" spans="1:3" s="47" customFormat="1" ht="16.5">
      <c r="A67" s="1"/>
      <c r="B67" s="1"/>
    </row>
    <row r="68" spans="1:3" s="47" customFormat="1" ht="16.5">
      <c r="A68" s="1"/>
      <c r="B68" s="1"/>
    </row>
    <row r="69" spans="1:3" s="47" customFormat="1" ht="16.5">
      <c r="A69" s="1"/>
      <c r="B69" s="1"/>
    </row>
    <row r="70" spans="1:3" s="47" customFormat="1" ht="16.5">
      <c r="A70" s="1"/>
      <c r="B70" s="1"/>
    </row>
    <row r="71" spans="1:3" s="47" customFormat="1" ht="16.5">
      <c r="A71" s="1"/>
      <c r="B71" s="234"/>
    </row>
    <row r="72" spans="1:3" s="47" customFormat="1" ht="16.5">
      <c r="A72" s="1"/>
      <c r="B72" s="1"/>
    </row>
    <row r="73" spans="1:3" s="47" customFormat="1" ht="16.5">
      <c r="B73" s="1"/>
    </row>
    <row r="74" spans="1:3" s="47" customFormat="1" ht="16.5">
      <c r="A74" s="1"/>
      <c r="B74" s="1"/>
      <c r="C74" s="1"/>
    </row>
    <row r="75" spans="1:3" s="47" customFormat="1" ht="16.5">
      <c r="A75" s="235"/>
      <c r="B75" s="1"/>
      <c r="C75" s="235"/>
    </row>
    <row r="76" spans="1:3" s="47" customFormat="1" ht="16.5">
      <c r="A76" s="1"/>
      <c r="B76" s="1"/>
      <c r="C76" s="1"/>
    </row>
    <row r="77" spans="1:3" s="47" customFormat="1" ht="16.5">
      <c r="A77" s="1"/>
      <c r="B77" s="1"/>
      <c r="C77" s="1"/>
    </row>
    <row r="78" spans="1:3" s="47" customFormat="1" ht="16.5">
      <c r="A78" s="1"/>
      <c r="B78" s="1"/>
      <c r="C78" s="1"/>
    </row>
    <row r="79" spans="1:3" s="47" customFormat="1" ht="16.5">
      <c r="A79" s="235"/>
      <c r="B79" s="1"/>
      <c r="C79" s="235"/>
    </row>
    <row r="80" spans="1:3" s="47" customFormat="1" ht="16.5">
      <c r="A80" s="235"/>
      <c r="B80" s="1"/>
      <c r="C80" s="235"/>
    </row>
    <row r="81" spans="1:3" s="47" customFormat="1" ht="16.5">
      <c r="A81" s="235"/>
      <c r="B81" s="1"/>
      <c r="C81" s="235"/>
    </row>
    <row r="82" spans="1:3" s="47" customFormat="1" ht="16.5">
      <c r="A82" s="1"/>
      <c r="B82" s="1"/>
    </row>
    <row r="83" spans="1:3" s="47" customFormat="1" ht="16.5">
      <c r="A83" s="1"/>
      <c r="B83" s="1"/>
    </row>
    <row r="84" spans="1:3" s="47" customFormat="1" ht="16.5">
      <c r="A84" s="1"/>
      <c r="B84" s="1"/>
    </row>
  </sheetData>
  <dataConsolidate/>
  <mergeCells count="7">
    <mergeCell ref="A18:B18"/>
    <mergeCell ref="A25:B25"/>
    <mergeCell ref="A21:B21"/>
    <mergeCell ref="A20:B20"/>
    <mergeCell ref="A24:B24"/>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67"/>
  <sheetViews>
    <sheetView showGridLines="0" showZeros="0" showOutlineSymbols="0" zoomScale="90" zoomScaleNormal="90" zoomScalePageLayoutView="50" workbookViewId="0">
      <pane ySplit="10" topLeftCell="A11" activePane="bottomLeft" state="frozen"/>
      <selection activeCell="E32" sqref="E32"/>
      <selection pane="bottomLeft" activeCell="I24" sqref="I24:N32"/>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5703125" style="4" customWidth="1"/>
    <col min="9" max="15" width="11.42578125" style="4"/>
    <col min="16" max="16" width="31.140625" style="4" customWidth="1"/>
    <col min="17" max="16384" width="11.42578125" style="4"/>
  </cols>
  <sheetData>
    <row r="1" spans="1:15" ht="12.75" customHeight="1">
      <c r="A1" s="448" t="s">
        <v>26</v>
      </c>
      <c r="B1" s="195"/>
      <c r="C1" s="46"/>
      <c r="D1" s="46"/>
      <c r="E1" s="46"/>
      <c r="F1" s="3"/>
      <c r="H1" s="591"/>
      <c r="I1" s="591"/>
      <c r="J1" s="591"/>
      <c r="K1" s="591"/>
      <c r="L1" s="591"/>
      <c r="M1" s="591"/>
      <c r="N1" s="591"/>
    </row>
    <row r="2" spans="1:15">
      <c r="A2" s="242"/>
      <c r="B2" s="243"/>
      <c r="C2" s="244"/>
      <c r="D2" s="243"/>
      <c r="E2" s="245"/>
      <c r="F2" s="246"/>
      <c r="H2" s="591"/>
      <c r="I2" s="591"/>
      <c r="J2" s="591"/>
      <c r="K2" s="591"/>
      <c r="L2" s="591"/>
      <c r="M2" s="591"/>
      <c r="N2" s="591"/>
    </row>
    <row r="3" spans="1:15" ht="14.25" customHeight="1">
      <c r="A3" s="311" t="str">
        <f>'1-Contractblad totaal'!A3</f>
        <v>Naam opdrachtgever</v>
      </c>
      <c r="B3" s="312" t="str">
        <f>'1-Contractblad totaal'!B3</f>
        <v>Gemeente Smallingerland</v>
      </c>
      <c r="C3" s="313"/>
      <c r="D3" s="243"/>
      <c r="E3" s="248"/>
      <c r="F3" s="249"/>
      <c r="H3" s="591"/>
      <c r="I3" s="591"/>
      <c r="J3" s="591"/>
      <c r="K3" s="591"/>
      <c r="L3" s="591"/>
      <c r="M3" s="591"/>
      <c r="N3" s="591"/>
    </row>
    <row r="4" spans="1:15" ht="15.75" customHeight="1">
      <c r="A4" s="311" t="str">
        <f>'1-Contractblad totaal'!A4</f>
        <v>Calculatie onderdeel</v>
      </c>
      <c r="B4" s="314" t="str">
        <f ca="1">MID(CELL("bestandsnaam",$C$9),SEARCH("]",CELL("bestandsnaam",$C$9),1)+1,256)</f>
        <v>6-Opbouw uurtarief productie</v>
      </c>
      <c r="C4" s="315"/>
      <c r="D4" s="252"/>
      <c r="E4" s="323"/>
      <c r="H4" s="591"/>
      <c r="I4" s="591"/>
      <c r="J4" s="591"/>
      <c r="K4" s="591"/>
      <c r="L4" s="591"/>
      <c r="M4" s="591"/>
      <c r="N4" s="591"/>
    </row>
    <row r="5" spans="1:15" ht="17.25">
      <c r="A5" s="311" t="str">
        <f>'1-Contractblad totaal'!A5</f>
        <v>Gebouw/plaats</v>
      </c>
      <c r="B5" s="312" t="str">
        <f>'1-Contractblad totaal'!B5</f>
        <v>Drachten</v>
      </c>
      <c r="C5" s="315"/>
      <c r="D5" s="252"/>
      <c r="H5" s="591"/>
      <c r="I5" s="591"/>
      <c r="J5" s="591"/>
      <c r="K5" s="591"/>
      <c r="L5" s="591"/>
      <c r="M5" s="591"/>
      <c r="N5" s="591"/>
    </row>
    <row r="6" spans="1:15" ht="17.25">
      <c r="A6" s="311" t="str">
        <f>'1-Contractblad totaal'!A6</f>
        <v>Referentie nummer</v>
      </c>
      <c r="B6" s="312" t="str">
        <f>'1-Contractblad totaal'!B6</f>
        <v>GS-EA-AS-2020</v>
      </c>
      <c r="C6" s="315"/>
      <c r="D6" s="252"/>
      <c r="H6" s="253"/>
      <c r="I6" s="253"/>
      <c r="J6" s="253"/>
      <c r="K6" s="253"/>
      <c r="L6" s="253"/>
      <c r="M6" s="253"/>
      <c r="N6" s="253"/>
    </row>
    <row r="7" spans="1:15" s="9" customFormat="1" ht="17.25">
      <c r="A7" s="311" t="str">
        <f>'1-Contractblad totaal'!A8</f>
        <v>Naam dienstverlener</v>
      </c>
      <c r="B7" s="312">
        <f>'1-Contractblad totaal'!B8</f>
        <v>0</v>
      </c>
      <c r="C7" s="315"/>
      <c r="D7" s="252"/>
      <c r="H7" s="253"/>
      <c r="I7" s="253"/>
      <c r="J7" s="253"/>
      <c r="K7" s="253"/>
      <c r="L7" s="253"/>
      <c r="M7" s="253"/>
      <c r="N7" s="253"/>
    </row>
    <row r="8" spans="1:15" ht="15.75">
      <c r="A8" s="311" t="str">
        <f>'1-Contractblad totaal'!A9</f>
        <v>Prijspeil</v>
      </c>
      <c r="B8" s="113">
        <f>'1-Contractblad totaal'!B9</f>
        <v>44013</v>
      </c>
      <c r="C8" s="315"/>
      <c r="D8" s="252"/>
      <c r="I8" s="253"/>
      <c r="J8" s="253"/>
      <c r="K8" s="253"/>
      <c r="L8" s="253"/>
      <c r="M8" s="253"/>
      <c r="N8" s="253"/>
      <c r="O8" s="257"/>
    </row>
    <row r="9" spans="1:15" ht="17.25">
      <c r="A9" s="247"/>
      <c r="B9" s="250"/>
      <c r="C9" s="251"/>
      <c r="D9" s="252"/>
      <c r="E9" s="254"/>
      <c r="F9" s="255"/>
    </row>
    <row r="10" spans="1:15" s="257" customFormat="1" ht="30.75" customHeight="1">
      <c r="A10" s="316" t="s">
        <v>221</v>
      </c>
      <c r="B10" s="317"/>
      <c r="C10" s="318"/>
      <c r="D10" s="256"/>
      <c r="E10" s="589" t="s">
        <v>222</v>
      </c>
      <c r="F10" s="590"/>
      <c r="H10" s="319" t="s">
        <v>154</v>
      </c>
      <c r="I10" s="592" t="s">
        <v>239</v>
      </c>
      <c r="J10" s="592"/>
      <c r="K10" s="592"/>
      <c r="L10" s="592"/>
      <c r="M10" s="592"/>
      <c r="N10" s="592"/>
    </row>
    <row r="11" spans="1:15" ht="30" customHeight="1">
      <c r="A11" s="258"/>
      <c r="B11" s="259" t="s">
        <v>63</v>
      </c>
      <c r="C11" s="260" t="s">
        <v>63</v>
      </c>
      <c r="D11" s="252"/>
      <c r="E11" s="261"/>
      <c r="F11" s="262"/>
      <c r="H11" s="258"/>
      <c r="I11" s="263">
        <v>1</v>
      </c>
      <c r="J11" s="263">
        <v>2</v>
      </c>
      <c r="K11" s="263">
        <v>3</v>
      </c>
      <c r="L11" s="263">
        <v>4</v>
      </c>
      <c r="M11" s="263">
        <v>5</v>
      </c>
      <c r="N11" s="263">
        <v>6</v>
      </c>
    </row>
    <row r="12" spans="1:15">
      <c r="A12" s="258" t="s">
        <v>40</v>
      </c>
      <c r="B12" s="264"/>
      <c r="C12" s="265"/>
      <c r="D12" s="252"/>
      <c r="E12" s="266">
        <f>SUM(I46:N46)</f>
        <v>0</v>
      </c>
      <c r="F12" s="267"/>
      <c r="H12" s="258" t="s">
        <v>155</v>
      </c>
      <c r="I12" s="512"/>
      <c r="J12" s="512"/>
      <c r="K12" s="512"/>
      <c r="L12" s="512"/>
      <c r="M12" s="512"/>
      <c r="N12" s="513"/>
    </row>
    <row r="13" spans="1:15" ht="14.25">
      <c r="A13" s="258" t="s">
        <v>15</v>
      </c>
      <c r="B13" s="268"/>
      <c r="C13" s="269" t="s">
        <v>68</v>
      </c>
      <c r="D13" s="252"/>
      <c r="E13" s="453">
        <v>0</v>
      </c>
      <c r="F13" s="267"/>
      <c r="H13" s="258" t="s">
        <v>146</v>
      </c>
      <c r="I13" s="512"/>
      <c r="J13" s="512"/>
      <c r="K13" s="512"/>
      <c r="L13" s="512"/>
      <c r="M13" s="512"/>
      <c r="N13" s="513"/>
    </row>
    <row r="14" spans="1:15" ht="14.25">
      <c r="A14" s="258" t="s">
        <v>45</v>
      </c>
      <c r="B14" s="268"/>
      <c r="C14" s="269" t="s">
        <v>68</v>
      </c>
      <c r="D14" s="252"/>
      <c r="E14" s="453">
        <v>0</v>
      </c>
      <c r="F14" s="267"/>
      <c r="H14" s="258" t="s">
        <v>147</v>
      </c>
      <c r="I14" s="512"/>
      <c r="J14" s="512"/>
      <c r="K14" s="512"/>
      <c r="L14" s="512"/>
      <c r="M14" s="512"/>
      <c r="N14" s="513"/>
    </row>
    <row r="15" spans="1:15" s="47" customFormat="1" ht="14.25">
      <c r="A15" s="270" t="s">
        <v>33</v>
      </c>
      <c r="B15" s="271"/>
      <c r="C15" s="272"/>
      <c r="D15" s="252"/>
      <c r="E15" s="273"/>
      <c r="F15" s="267"/>
      <c r="H15" s="258" t="s">
        <v>148</v>
      </c>
      <c r="I15" s="512"/>
      <c r="J15" s="512"/>
      <c r="K15" s="512"/>
      <c r="L15" s="512"/>
      <c r="M15" s="512"/>
      <c r="N15" s="513"/>
    </row>
    <row r="16" spans="1:15" ht="14.25">
      <c r="A16" s="408" t="s">
        <v>13</v>
      </c>
      <c r="B16" s="409"/>
      <c r="C16" s="410"/>
      <c r="D16" s="411"/>
      <c r="E16" s="412">
        <f>SUM(E12:E15)</f>
        <v>0</v>
      </c>
      <c r="F16" s="267"/>
      <c r="H16" s="258" t="s">
        <v>149</v>
      </c>
      <c r="I16" s="512"/>
      <c r="J16" s="512"/>
      <c r="K16" s="512"/>
      <c r="L16" s="512"/>
      <c r="M16" s="512"/>
      <c r="N16" s="513"/>
    </row>
    <row r="17" spans="1:14" ht="14.25">
      <c r="A17" s="270"/>
      <c r="B17" s="274"/>
      <c r="C17" s="275"/>
      <c r="D17" s="252"/>
      <c r="E17" s="276"/>
      <c r="F17" s="267"/>
      <c r="H17" s="258" t="s">
        <v>150</v>
      </c>
      <c r="I17" s="512"/>
      <c r="J17" s="512"/>
      <c r="K17" s="512"/>
      <c r="L17" s="512"/>
      <c r="M17" s="512"/>
      <c r="N17" s="513"/>
    </row>
    <row r="18" spans="1:14" ht="14.25">
      <c r="A18" s="277" t="s">
        <v>58</v>
      </c>
      <c r="B18" s="278"/>
      <c r="C18" s="454"/>
      <c r="D18" s="252"/>
      <c r="E18" s="273">
        <f>$C18*E16</f>
        <v>0</v>
      </c>
      <c r="F18" s="267"/>
      <c r="H18" s="258" t="s">
        <v>151</v>
      </c>
      <c r="I18" s="512"/>
      <c r="J18" s="512"/>
      <c r="K18" s="512"/>
      <c r="L18" s="512"/>
      <c r="M18" s="512"/>
      <c r="N18" s="513"/>
    </row>
    <row r="19" spans="1:14" s="47" customFormat="1" ht="14.25">
      <c r="A19" s="277" t="s">
        <v>89</v>
      </c>
      <c r="B19" s="278"/>
      <c r="C19" s="454"/>
      <c r="D19" s="252"/>
      <c r="E19" s="273">
        <f>$C19*E16</f>
        <v>0</v>
      </c>
      <c r="F19" s="267"/>
      <c r="H19" s="258" t="s">
        <v>152</v>
      </c>
      <c r="I19" s="512"/>
      <c r="J19" s="512"/>
      <c r="K19" s="512"/>
      <c r="L19" s="512"/>
      <c r="M19" s="512"/>
      <c r="N19" s="513"/>
    </row>
    <row r="20" spans="1:14" ht="14.25">
      <c r="A20" s="408" t="s">
        <v>53</v>
      </c>
      <c r="B20" s="279"/>
      <c r="C20" s="272"/>
      <c r="D20" s="252"/>
      <c r="E20" s="412">
        <f>SUM(E16:E19)</f>
        <v>0</v>
      </c>
      <c r="F20" s="280">
        <f>IF(E20=0,0,E20/E$48)</f>
        <v>0</v>
      </c>
      <c r="H20" s="258" t="s">
        <v>153</v>
      </c>
      <c r="I20" s="512"/>
      <c r="J20" s="512"/>
      <c r="K20" s="512"/>
      <c r="L20" s="512"/>
      <c r="M20" s="512"/>
      <c r="N20" s="513"/>
    </row>
    <row r="21" spans="1:14" ht="14.25">
      <c r="A21" s="270"/>
      <c r="B21" s="274"/>
      <c r="C21" s="275"/>
      <c r="D21" s="252"/>
      <c r="E21" s="276"/>
      <c r="F21" s="267"/>
    </row>
    <row r="22" spans="1:14" s="284" customFormat="1" ht="14.25">
      <c r="A22" s="416" t="s">
        <v>60</v>
      </c>
      <c r="B22" s="278"/>
      <c r="C22" s="275"/>
      <c r="D22" s="282"/>
      <c r="E22" s="517">
        <f>E20*0.96</f>
        <v>0</v>
      </c>
      <c r="F22" s="283"/>
      <c r="H22" s="319" t="s">
        <v>154</v>
      </c>
      <c r="I22" s="593" t="s">
        <v>157</v>
      </c>
      <c r="J22" s="594"/>
      <c r="K22" s="594"/>
      <c r="L22" s="594"/>
      <c r="M22" s="594"/>
      <c r="N22" s="595"/>
    </row>
    <row r="23" spans="1:14" ht="14.25" customHeight="1">
      <c r="A23" s="277" t="s">
        <v>72</v>
      </c>
      <c r="B23" s="278"/>
      <c r="C23" s="285" t="s">
        <v>46</v>
      </c>
      <c r="D23" s="252"/>
      <c r="E23" s="273" t="e">
        <f>E22*'5-Premies en opslagen'!$C25</f>
        <v>#DIV/0!</v>
      </c>
      <c r="F23" s="267"/>
      <c r="H23" s="258"/>
      <c r="I23" s="263">
        <v>1</v>
      </c>
      <c r="J23" s="263">
        <v>2</v>
      </c>
      <c r="K23" s="263">
        <v>3</v>
      </c>
      <c r="L23" s="263">
        <v>4</v>
      </c>
      <c r="M23" s="263">
        <v>5</v>
      </c>
      <c r="N23" s="263">
        <v>6</v>
      </c>
    </row>
    <row r="24" spans="1:14" ht="12.75" customHeight="1">
      <c r="A24" s="408" t="s">
        <v>69</v>
      </c>
      <c r="B24" s="320"/>
      <c r="C24" s="272"/>
      <c r="D24" s="252"/>
      <c r="E24" s="412" t="e">
        <f>E23+E20</f>
        <v>#DIV/0!</v>
      </c>
      <c r="F24" s="280" t="e">
        <f>IF(E24=0,0,E24/E$48)</f>
        <v>#DIV/0!</v>
      </c>
      <c r="H24" s="258" t="s">
        <v>155</v>
      </c>
      <c r="I24" s="456"/>
      <c r="J24" s="456"/>
      <c r="K24" s="456"/>
      <c r="L24" s="456"/>
      <c r="M24" s="456"/>
      <c r="N24" s="456"/>
    </row>
    <row r="25" spans="1:14" ht="12.75" customHeight="1">
      <c r="A25" s="270"/>
      <c r="B25" s="279"/>
      <c r="C25" s="272"/>
      <c r="D25" s="252"/>
      <c r="E25" s="261"/>
      <c r="F25" s="267"/>
      <c r="H25" s="258" t="s">
        <v>146</v>
      </c>
      <c r="I25" s="456"/>
      <c r="J25" s="456"/>
      <c r="K25" s="456"/>
      <c r="L25" s="456"/>
      <c r="M25" s="456"/>
      <c r="N25" s="456"/>
    </row>
    <row r="26" spans="1:14" ht="14.25">
      <c r="A26" s="277" t="s">
        <v>35</v>
      </c>
      <c r="B26" s="278"/>
      <c r="C26" s="285" t="s">
        <v>46</v>
      </c>
      <c r="D26" s="252"/>
      <c r="E26" s="273" t="e">
        <f>E24*'5-Premies en opslagen'!$B54</f>
        <v>#DIV/0!</v>
      </c>
      <c r="F26" s="267"/>
      <c r="H26" s="258" t="s">
        <v>147</v>
      </c>
      <c r="I26" s="456"/>
      <c r="J26" s="456"/>
      <c r="K26" s="456"/>
      <c r="L26" s="456"/>
      <c r="M26" s="456"/>
      <c r="N26" s="456"/>
    </row>
    <row r="27" spans="1:14" ht="14.25">
      <c r="A27" s="408" t="s">
        <v>79</v>
      </c>
      <c r="B27" s="279"/>
      <c r="C27" s="272"/>
      <c r="D27" s="252"/>
      <c r="E27" s="412" t="e">
        <f>SUM(E24:E26)</f>
        <v>#DIV/0!</v>
      </c>
      <c r="F27" s="280" t="e">
        <f>IF(E27=0,0,E27/E$48)</f>
        <v>#DIV/0!</v>
      </c>
      <c r="H27" s="258" t="s">
        <v>148</v>
      </c>
      <c r="I27" s="456"/>
      <c r="J27" s="456"/>
      <c r="K27" s="456"/>
      <c r="L27" s="456"/>
      <c r="M27" s="456"/>
      <c r="N27" s="456"/>
    </row>
    <row r="28" spans="1:14" ht="14.25">
      <c r="A28" s="270"/>
      <c r="B28" s="279"/>
      <c r="C28" s="272"/>
      <c r="D28" s="252"/>
      <c r="E28" s="261"/>
      <c r="F28" s="267"/>
      <c r="H28" s="258" t="s">
        <v>149</v>
      </c>
      <c r="I28" s="456"/>
      <c r="J28" s="456"/>
      <c r="K28" s="456"/>
      <c r="L28" s="456"/>
      <c r="M28" s="456"/>
      <c r="N28" s="456"/>
    </row>
    <row r="29" spans="1:14" ht="14.25">
      <c r="A29" s="270" t="s">
        <v>61</v>
      </c>
      <c r="B29" s="286"/>
      <c r="C29" s="269" t="s">
        <v>68</v>
      </c>
      <c r="D29" s="252"/>
      <c r="E29" s="453"/>
      <c r="F29" s="267">
        <v>0</v>
      </c>
      <c r="H29" s="258" t="s">
        <v>150</v>
      </c>
      <c r="I29" s="456"/>
      <c r="J29" s="456"/>
      <c r="K29" s="456"/>
      <c r="L29" s="456"/>
      <c r="M29" s="456"/>
      <c r="N29" s="456"/>
    </row>
    <row r="30" spans="1:14" ht="14.25">
      <c r="A30" s="270" t="s">
        <v>65</v>
      </c>
      <c r="B30" s="287"/>
      <c r="C30" s="269" t="s">
        <v>68</v>
      </c>
      <c r="D30" s="252"/>
      <c r="E30" s="453"/>
      <c r="F30" s="267">
        <v>0</v>
      </c>
      <c r="H30" s="258" t="s">
        <v>151</v>
      </c>
      <c r="I30" s="456"/>
      <c r="J30" s="456"/>
      <c r="K30" s="456"/>
      <c r="L30" s="456"/>
      <c r="M30" s="456"/>
      <c r="N30" s="456"/>
    </row>
    <row r="31" spans="1:14" ht="12.75" customHeight="1">
      <c r="A31" s="270" t="s">
        <v>66</v>
      </c>
      <c r="B31" s="279"/>
      <c r="C31" s="272" t="s">
        <v>63</v>
      </c>
      <c r="D31" s="252"/>
      <c r="E31" s="288" t="s">
        <v>18</v>
      </c>
      <c r="F31" s="267"/>
      <c r="H31" s="258" t="s">
        <v>152</v>
      </c>
      <c r="I31" s="456"/>
      <c r="J31" s="456"/>
      <c r="K31" s="456"/>
      <c r="L31" s="456"/>
      <c r="M31" s="456"/>
      <c r="N31" s="456"/>
    </row>
    <row r="32" spans="1:14" ht="12.75" customHeight="1">
      <c r="A32" s="455"/>
      <c r="B32" s="501"/>
      <c r="C32" s="502" t="s">
        <v>63</v>
      </c>
      <c r="D32" s="252"/>
      <c r="E32" s="453"/>
      <c r="F32" s="267"/>
      <c r="H32" s="258" t="s">
        <v>153</v>
      </c>
      <c r="I32" s="456"/>
      <c r="J32" s="456"/>
      <c r="K32" s="456"/>
      <c r="L32" s="456"/>
      <c r="M32" s="456"/>
      <c r="N32" s="456"/>
    </row>
    <row r="33" spans="1:15" ht="12.75" customHeight="1">
      <c r="A33" s="408" t="s">
        <v>55</v>
      </c>
      <c r="B33" s="279"/>
      <c r="C33" s="272"/>
      <c r="D33" s="252"/>
      <c r="E33" s="412" t="e">
        <f>SUM(E27:E32)</f>
        <v>#DIV/0!</v>
      </c>
      <c r="F33" s="280" t="e">
        <f>IF(E33=0,0,E33/E$48)</f>
        <v>#DIV/0!</v>
      </c>
      <c r="H33" s="290" t="s">
        <v>156</v>
      </c>
      <c r="I33" s="475">
        <f t="shared" ref="I33:N33" si="0">SUM(I24:I32)</f>
        <v>0</v>
      </c>
      <c r="J33" s="475">
        <f t="shared" si="0"/>
        <v>0</v>
      </c>
      <c r="K33" s="475">
        <f t="shared" si="0"/>
        <v>0</v>
      </c>
      <c r="L33" s="475">
        <f t="shared" si="0"/>
        <v>0</v>
      </c>
      <c r="M33" s="475">
        <f t="shared" si="0"/>
        <v>0</v>
      </c>
      <c r="N33" s="475">
        <f t="shared" si="0"/>
        <v>0</v>
      </c>
      <c r="O33" s="321">
        <f>SUM(I33:N33)</f>
        <v>0</v>
      </c>
    </row>
    <row r="34" spans="1:15" ht="12.75" customHeight="1">
      <c r="A34" s="270"/>
      <c r="B34" s="279"/>
      <c r="C34" s="272"/>
      <c r="D34" s="252"/>
      <c r="E34" s="261"/>
      <c r="F34" s="267"/>
      <c r="H34" s="172"/>
      <c r="I34" s="172"/>
      <c r="J34" s="172"/>
      <c r="K34" s="172"/>
      <c r="L34" s="172"/>
      <c r="M34" s="172"/>
      <c r="N34" s="172"/>
    </row>
    <row r="35" spans="1:15" ht="12.75" customHeight="1">
      <c r="A35" s="270" t="s">
        <v>81</v>
      </c>
      <c r="B35" s="279"/>
      <c r="C35" s="289"/>
      <c r="D35" s="252"/>
      <c r="E35" s="453"/>
      <c r="F35" s="518" t="e">
        <f>E35/$E$48</f>
        <v>#DIV/0!</v>
      </c>
      <c r="H35" s="484" t="s">
        <v>154</v>
      </c>
      <c r="I35" s="588" t="s">
        <v>158</v>
      </c>
      <c r="J35" s="588"/>
      <c r="K35" s="588"/>
      <c r="L35" s="588"/>
      <c r="M35" s="588"/>
      <c r="N35" s="588"/>
    </row>
    <row r="36" spans="1:15" ht="14.25" customHeight="1">
      <c r="A36" s="270" t="s">
        <v>34</v>
      </c>
      <c r="B36" s="279"/>
      <c r="C36" s="289"/>
      <c r="D36" s="252"/>
      <c r="E36" s="453"/>
      <c r="F36" s="518" t="e">
        <f t="shared" ref="F36:F42" si="1">E36/$E$48</f>
        <v>#DIV/0!</v>
      </c>
      <c r="H36" s="485"/>
      <c r="I36" s="486">
        <v>1</v>
      </c>
      <c r="J36" s="486">
        <v>2</v>
      </c>
      <c r="K36" s="486">
        <v>3</v>
      </c>
      <c r="L36" s="486">
        <v>4</v>
      </c>
      <c r="M36" s="486">
        <v>5</v>
      </c>
      <c r="N36" s="486">
        <v>6</v>
      </c>
    </row>
    <row r="37" spans="1:15" ht="14.25">
      <c r="A37" s="270" t="s">
        <v>25</v>
      </c>
      <c r="B37" s="279"/>
      <c r="C37" s="289"/>
      <c r="D37" s="252"/>
      <c r="E37" s="453"/>
      <c r="F37" s="518" t="e">
        <f t="shared" si="1"/>
        <v>#DIV/0!</v>
      </c>
      <c r="H37" s="485" t="s">
        <v>155</v>
      </c>
      <c r="I37" s="487">
        <f t="shared" ref="I37:N45" si="2">I24*I12</f>
        <v>0</v>
      </c>
      <c r="J37" s="487">
        <f t="shared" si="2"/>
        <v>0</v>
      </c>
      <c r="K37" s="487">
        <f t="shared" si="2"/>
        <v>0</v>
      </c>
      <c r="L37" s="487">
        <f t="shared" si="2"/>
        <v>0</v>
      </c>
      <c r="M37" s="487">
        <f t="shared" si="2"/>
        <v>0</v>
      </c>
      <c r="N37" s="488">
        <f t="shared" si="2"/>
        <v>0</v>
      </c>
      <c r="O37" s="284"/>
    </row>
    <row r="38" spans="1:15" ht="14.25">
      <c r="A38" s="270" t="s">
        <v>2</v>
      </c>
      <c r="B38" s="279"/>
      <c r="C38" s="291"/>
      <c r="D38" s="252"/>
      <c r="E38" s="453"/>
      <c r="F38" s="518" t="e">
        <f t="shared" si="1"/>
        <v>#DIV/0!</v>
      </c>
      <c r="H38" s="485" t="s">
        <v>146</v>
      </c>
      <c r="I38" s="487">
        <f t="shared" si="2"/>
        <v>0</v>
      </c>
      <c r="J38" s="487">
        <f t="shared" si="2"/>
        <v>0</v>
      </c>
      <c r="K38" s="487">
        <f t="shared" si="2"/>
        <v>0</v>
      </c>
      <c r="L38" s="487">
        <f t="shared" si="2"/>
        <v>0</v>
      </c>
      <c r="M38" s="487">
        <f t="shared" si="2"/>
        <v>0</v>
      </c>
      <c r="N38" s="488">
        <f t="shared" si="2"/>
        <v>0</v>
      </c>
      <c r="O38" s="284"/>
    </row>
    <row r="39" spans="1:15" ht="14.25">
      <c r="A39" s="270" t="s">
        <v>32</v>
      </c>
      <c r="B39" s="279"/>
      <c r="C39" s="289"/>
      <c r="D39" s="252"/>
      <c r="E39" s="453"/>
      <c r="F39" s="518" t="e">
        <f t="shared" si="1"/>
        <v>#DIV/0!</v>
      </c>
      <c r="H39" s="485" t="s">
        <v>147</v>
      </c>
      <c r="I39" s="487">
        <f t="shared" si="2"/>
        <v>0</v>
      </c>
      <c r="J39" s="487">
        <f t="shared" si="2"/>
        <v>0</v>
      </c>
      <c r="K39" s="487">
        <f t="shared" si="2"/>
        <v>0</v>
      </c>
      <c r="L39" s="487">
        <f t="shared" si="2"/>
        <v>0</v>
      </c>
      <c r="M39" s="487">
        <f t="shared" si="2"/>
        <v>0</v>
      </c>
      <c r="N39" s="488">
        <f t="shared" si="2"/>
        <v>0</v>
      </c>
      <c r="O39" s="284"/>
    </row>
    <row r="40" spans="1:15" ht="14.25">
      <c r="A40" s="270" t="s">
        <v>29</v>
      </c>
      <c r="B40" s="279"/>
      <c r="C40" s="291"/>
      <c r="D40" s="252"/>
      <c r="E40" s="453"/>
      <c r="F40" s="518" t="e">
        <f t="shared" si="1"/>
        <v>#DIV/0!</v>
      </c>
      <c r="H40" s="485" t="s">
        <v>148</v>
      </c>
      <c r="I40" s="487">
        <f t="shared" si="2"/>
        <v>0</v>
      </c>
      <c r="J40" s="487">
        <f t="shared" si="2"/>
        <v>0</v>
      </c>
      <c r="K40" s="487">
        <f t="shared" si="2"/>
        <v>0</v>
      </c>
      <c r="L40" s="487">
        <f t="shared" si="2"/>
        <v>0</v>
      </c>
      <c r="M40" s="487">
        <f t="shared" si="2"/>
        <v>0</v>
      </c>
      <c r="N40" s="488">
        <f t="shared" si="2"/>
        <v>0</v>
      </c>
      <c r="O40" s="172"/>
    </row>
    <row r="41" spans="1:15" ht="14.25">
      <c r="A41" s="270" t="s">
        <v>73</v>
      </c>
      <c r="B41" s="279"/>
      <c r="C41" s="269" t="s">
        <v>68</v>
      </c>
      <c r="D41" s="252"/>
      <c r="E41" s="453"/>
      <c r="F41" s="518" t="e">
        <f t="shared" si="1"/>
        <v>#DIV/0!</v>
      </c>
      <c r="H41" s="485" t="s">
        <v>149</v>
      </c>
      <c r="I41" s="487">
        <f t="shared" si="2"/>
        <v>0</v>
      </c>
      <c r="J41" s="487">
        <f t="shared" si="2"/>
        <v>0</v>
      </c>
      <c r="K41" s="487">
        <f t="shared" si="2"/>
        <v>0</v>
      </c>
      <c r="L41" s="487">
        <f t="shared" si="2"/>
        <v>0</v>
      </c>
      <c r="M41" s="487">
        <f t="shared" si="2"/>
        <v>0</v>
      </c>
      <c r="N41" s="488">
        <f t="shared" si="2"/>
        <v>0</v>
      </c>
      <c r="O41" s="172"/>
    </row>
    <row r="42" spans="1:15" ht="14.25">
      <c r="A42" s="270" t="s">
        <v>88</v>
      </c>
      <c r="B42" s="279"/>
      <c r="C42" s="269"/>
      <c r="D42" s="252"/>
      <c r="E42" s="453"/>
      <c r="F42" s="518" t="e">
        <f t="shared" si="1"/>
        <v>#DIV/0!</v>
      </c>
      <c r="H42" s="485" t="s">
        <v>150</v>
      </c>
      <c r="I42" s="487">
        <f t="shared" si="2"/>
        <v>0</v>
      </c>
      <c r="J42" s="487">
        <f t="shared" si="2"/>
        <v>0</v>
      </c>
      <c r="K42" s="487">
        <f t="shared" si="2"/>
        <v>0</v>
      </c>
      <c r="L42" s="487">
        <f t="shared" si="2"/>
        <v>0</v>
      </c>
      <c r="M42" s="487">
        <f t="shared" si="2"/>
        <v>0</v>
      </c>
      <c r="N42" s="488">
        <f t="shared" si="2"/>
        <v>0</v>
      </c>
      <c r="O42" s="172"/>
    </row>
    <row r="43" spans="1:15" ht="14.25">
      <c r="A43" s="455"/>
      <c r="B43" s="501"/>
      <c r="C43" s="503"/>
      <c r="D43" s="252"/>
      <c r="E43" s="453">
        <v>0</v>
      </c>
      <c r="F43" s="267" t="e">
        <f>E43/$E$48</f>
        <v>#DIV/0!</v>
      </c>
      <c r="H43" s="485" t="s">
        <v>151</v>
      </c>
      <c r="I43" s="487">
        <f t="shared" si="2"/>
        <v>0</v>
      </c>
      <c r="J43" s="487">
        <f t="shared" si="2"/>
        <v>0</v>
      </c>
      <c r="K43" s="487">
        <f t="shared" si="2"/>
        <v>0</v>
      </c>
      <c r="L43" s="487">
        <f t="shared" si="2"/>
        <v>0</v>
      </c>
      <c r="M43" s="487">
        <f t="shared" si="2"/>
        <v>0</v>
      </c>
      <c r="N43" s="488">
        <f t="shared" si="2"/>
        <v>0</v>
      </c>
      <c r="O43" s="172"/>
    </row>
    <row r="44" spans="1:15" ht="14.25">
      <c r="A44" s="408" t="s">
        <v>74</v>
      </c>
      <c r="B44" s="279"/>
      <c r="C44" s="272"/>
      <c r="D44" s="252"/>
      <c r="E44" s="412" t="e">
        <f>SUM(E33:E43)</f>
        <v>#DIV/0!</v>
      </c>
      <c r="F44" s="280" t="e">
        <f>IF(E44=0,0,E44/E$48)</f>
        <v>#DIV/0!</v>
      </c>
      <c r="H44" s="485" t="s">
        <v>152</v>
      </c>
      <c r="I44" s="487">
        <f t="shared" si="2"/>
        <v>0</v>
      </c>
      <c r="J44" s="487">
        <f t="shared" si="2"/>
        <v>0</v>
      </c>
      <c r="K44" s="487">
        <f t="shared" si="2"/>
        <v>0</v>
      </c>
      <c r="L44" s="487">
        <f t="shared" si="2"/>
        <v>0</v>
      </c>
      <c r="M44" s="487">
        <f t="shared" si="2"/>
        <v>0</v>
      </c>
      <c r="N44" s="488">
        <f t="shared" si="2"/>
        <v>0</v>
      </c>
      <c r="O44" s="172"/>
    </row>
    <row r="45" spans="1:15" ht="14.25">
      <c r="A45" s="270"/>
      <c r="B45" s="279"/>
      <c r="C45" s="272"/>
      <c r="D45" s="252"/>
      <c r="E45" s="261"/>
      <c r="F45" s="292"/>
      <c r="H45" s="485" t="s">
        <v>153</v>
      </c>
      <c r="I45" s="487">
        <f t="shared" si="2"/>
        <v>0</v>
      </c>
      <c r="J45" s="487">
        <f t="shared" si="2"/>
        <v>0</v>
      </c>
      <c r="K45" s="487">
        <f t="shared" si="2"/>
        <v>0</v>
      </c>
      <c r="L45" s="487">
        <f t="shared" si="2"/>
        <v>0</v>
      </c>
      <c r="M45" s="487">
        <f t="shared" si="2"/>
        <v>0</v>
      </c>
      <c r="N45" s="488">
        <f t="shared" si="2"/>
        <v>0</v>
      </c>
      <c r="O45" s="172"/>
    </row>
    <row r="46" spans="1:15" ht="14.25">
      <c r="A46" s="270" t="s">
        <v>75</v>
      </c>
      <c r="B46" s="279"/>
      <c r="C46" s="291"/>
      <c r="D46" s="252"/>
      <c r="E46" s="453"/>
      <c r="F46" s="280">
        <f>(IF(E46=0,0,E46/E$48))</f>
        <v>0</v>
      </c>
      <c r="H46" s="489" t="s">
        <v>156</v>
      </c>
      <c r="I46" s="490">
        <f t="shared" ref="I46:N46" si="3">SUM(I37:I45)</f>
        <v>0</v>
      </c>
      <c r="J46" s="490">
        <f t="shared" si="3"/>
        <v>0</v>
      </c>
      <c r="K46" s="490">
        <f t="shared" si="3"/>
        <v>0</v>
      </c>
      <c r="L46" s="490">
        <f t="shared" si="3"/>
        <v>0</v>
      </c>
      <c r="M46" s="490">
        <f t="shared" si="3"/>
        <v>0</v>
      </c>
      <c r="N46" s="490">
        <f t="shared" si="3"/>
        <v>0</v>
      </c>
      <c r="O46" s="172"/>
    </row>
    <row r="47" spans="1:15" ht="14.25">
      <c r="A47" s="270"/>
      <c r="B47" s="271"/>
      <c r="C47" s="272"/>
      <c r="D47" s="252"/>
      <c r="E47" s="261"/>
      <c r="F47" s="267"/>
      <c r="H47" s="284"/>
      <c r="I47" s="284"/>
      <c r="J47" s="284"/>
      <c r="K47" s="284"/>
      <c r="L47" s="284"/>
      <c r="M47" s="284"/>
      <c r="N47" s="284"/>
      <c r="O47" s="172"/>
    </row>
    <row r="48" spans="1:15" ht="14.25">
      <c r="A48" s="408" t="s">
        <v>47</v>
      </c>
      <c r="B48" s="414"/>
      <c r="C48" s="293"/>
      <c r="D48" s="252"/>
      <c r="E48" s="413" t="e">
        <f>SUM(E44:E47)</f>
        <v>#DIV/0!</v>
      </c>
      <c r="F48" s="415" t="e">
        <f>SUM(F44:F47)</f>
        <v>#DIV/0!</v>
      </c>
      <c r="H48" s="284"/>
      <c r="I48" s="284"/>
      <c r="J48" s="284"/>
      <c r="K48" s="284"/>
      <c r="L48" s="284"/>
      <c r="M48" s="284"/>
      <c r="N48" s="284"/>
      <c r="O48" s="172"/>
    </row>
    <row r="49" spans="1:15" ht="14.25">
      <c r="A49" s="192"/>
      <c r="B49" s="294"/>
      <c r="C49" s="295"/>
      <c r="D49" s="252"/>
      <c r="E49" s="9"/>
      <c r="F49" s="296"/>
      <c r="H49" s="284"/>
      <c r="I49" s="284"/>
      <c r="J49" s="284"/>
      <c r="K49" s="284"/>
      <c r="L49" s="284"/>
      <c r="M49" s="284"/>
      <c r="N49" s="284"/>
      <c r="O49" s="172"/>
    </row>
    <row r="50" spans="1:15" s="284" customFormat="1" ht="14.25">
      <c r="A50" s="298" t="s">
        <v>236</v>
      </c>
      <c r="B50" s="299"/>
      <c r="C50" s="300"/>
      <c r="E50" s="301" t="e">
        <f>(E$27*1.3)+($E$48-$E$27)</f>
        <v>#DIV/0!</v>
      </c>
      <c r="F50" s="302"/>
      <c r="H50" s="172"/>
      <c r="I50" s="172"/>
      <c r="J50" s="172"/>
      <c r="K50" s="172"/>
      <c r="L50" s="172"/>
      <c r="M50" s="172"/>
      <c r="N50" s="172"/>
    </row>
    <row r="51" spans="1:15" s="284" customFormat="1" ht="14.25">
      <c r="A51" s="303"/>
      <c r="B51" s="304"/>
      <c r="C51" s="305"/>
      <c r="E51" s="303"/>
      <c r="F51" s="303"/>
      <c r="H51" s="172"/>
      <c r="I51" s="172"/>
      <c r="J51" s="172"/>
      <c r="K51" s="172"/>
      <c r="L51" s="172"/>
      <c r="M51" s="172"/>
      <c r="N51" s="172"/>
    </row>
    <row r="52" spans="1:15" s="284" customFormat="1" ht="14.25">
      <c r="A52" s="298" t="s">
        <v>51</v>
      </c>
      <c r="B52" s="299"/>
      <c r="C52" s="300"/>
      <c r="E52" s="301" t="e">
        <f>(E$27*1.5)+($E$48-$E$27)</f>
        <v>#DIV/0!</v>
      </c>
      <c r="F52" s="302"/>
      <c r="H52" s="172"/>
      <c r="I52" s="172"/>
      <c r="J52" s="172"/>
      <c r="K52" s="172"/>
      <c r="L52" s="172"/>
      <c r="M52" s="172"/>
      <c r="N52" s="172"/>
    </row>
    <row r="53" spans="1:15" s="284" customFormat="1" ht="14.25">
      <c r="A53" s="303"/>
      <c r="B53" s="304"/>
      <c r="C53" s="305"/>
      <c r="E53" s="303"/>
      <c r="F53" s="303"/>
      <c r="H53" s="172"/>
      <c r="I53" s="172"/>
      <c r="J53" s="172"/>
      <c r="K53" s="172"/>
      <c r="L53" s="172"/>
      <c r="M53" s="172"/>
      <c r="N53" s="172"/>
    </row>
    <row r="54" spans="1:15" s="284" customFormat="1" ht="14.25">
      <c r="A54" s="298" t="s">
        <v>86</v>
      </c>
      <c r="B54" s="299"/>
      <c r="C54" s="300"/>
      <c r="E54" s="301" t="e">
        <f>(E$27*2.5)+($E$48-$E$27)</f>
        <v>#DIV/0!</v>
      </c>
      <c r="F54" s="306"/>
      <c r="H54" s="172"/>
      <c r="I54" s="172"/>
      <c r="J54" s="172"/>
      <c r="K54" s="172"/>
      <c r="L54" s="172"/>
      <c r="M54" s="172"/>
      <c r="N54" s="172"/>
    </row>
    <row r="55" spans="1:15" s="172" customFormat="1" ht="14.25">
      <c r="B55" s="307"/>
      <c r="C55" s="308"/>
      <c r="F55" s="309"/>
    </row>
    <row r="56" spans="1:15" s="172" customFormat="1" ht="14.25">
      <c r="A56" s="298" t="s">
        <v>206</v>
      </c>
      <c r="B56" s="299"/>
      <c r="C56" s="300"/>
      <c r="D56" s="284"/>
      <c r="E56" s="301" t="e">
        <f>((E52*102)+(E54*9))/111</f>
        <v>#DIV/0!</v>
      </c>
      <c r="F56" s="309"/>
    </row>
    <row r="57" spans="1:15" s="172" customFormat="1" ht="14.25">
      <c r="B57" s="307"/>
      <c r="C57" s="308"/>
      <c r="F57" s="309"/>
    </row>
    <row r="58" spans="1:15" s="172" customFormat="1">
      <c r="C58" s="310"/>
      <c r="F58" s="309"/>
    </row>
    <row r="59" spans="1:15" s="172" customFormat="1">
      <c r="C59" s="310"/>
      <c r="F59" s="309"/>
    </row>
    <row r="60" spans="1:15" s="172" customFormat="1">
      <c r="A60" s="47"/>
      <c r="C60" s="310"/>
      <c r="F60" s="309"/>
    </row>
    <row r="61" spans="1:15" s="172" customFormat="1">
      <c r="C61" s="310"/>
      <c r="F61" s="309"/>
    </row>
    <row r="62" spans="1:15" s="172" customFormat="1">
      <c r="C62" s="310"/>
      <c r="F62" s="309"/>
      <c r="H62" s="4"/>
      <c r="I62" s="4"/>
      <c r="J62" s="4"/>
      <c r="K62" s="4"/>
      <c r="L62" s="4"/>
      <c r="M62" s="4"/>
      <c r="N62" s="4"/>
    </row>
    <row r="63" spans="1:15" s="172" customFormat="1">
      <c r="C63" s="310"/>
      <c r="F63" s="309"/>
      <c r="H63" s="4"/>
      <c r="I63" s="4"/>
      <c r="J63" s="4"/>
      <c r="K63" s="4"/>
      <c r="L63" s="4"/>
      <c r="M63" s="4"/>
      <c r="N63" s="4"/>
    </row>
    <row r="64" spans="1:15" s="172" customFormat="1">
      <c r="C64" s="310"/>
      <c r="F64" s="309"/>
      <c r="H64" s="4"/>
      <c r="I64" s="4"/>
      <c r="J64" s="4"/>
      <c r="K64" s="4"/>
      <c r="L64" s="4"/>
      <c r="M64" s="4"/>
      <c r="N64" s="4"/>
    </row>
    <row r="65" spans="3:14" s="172" customFormat="1">
      <c r="C65" s="310"/>
      <c r="F65" s="309"/>
      <c r="H65" s="4"/>
      <c r="I65" s="4"/>
      <c r="J65" s="4"/>
      <c r="K65" s="4"/>
      <c r="L65" s="4"/>
      <c r="M65" s="4"/>
      <c r="N65" s="4"/>
    </row>
    <row r="66" spans="3:14" s="172" customFormat="1">
      <c r="C66" s="310"/>
      <c r="F66" s="309"/>
      <c r="H66" s="4"/>
      <c r="I66" s="4"/>
      <c r="J66" s="4"/>
      <c r="K66" s="4"/>
      <c r="L66" s="4"/>
      <c r="M66" s="4"/>
      <c r="N66" s="4"/>
    </row>
    <row r="67" spans="3:14" s="172" customFormat="1">
      <c r="C67" s="310"/>
      <c r="F67" s="309"/>
      <c r="H67" s="4"/>
      <c r="I67" s="4"/>
      <c r="J67" s="4"/>
      <c r="K67" s="4"/>
      <c r="L67" s="4"/>
      <c r="M67" s="4"/>
      <c r="N67" s="4"/>
    </row>
  </sheetData>
  <dataConsolidate/>
  <mergeCells count="7">
    <mergeCell ref="I35:N35"/>
    <mergeCell ref="E10:F10"/>
    <mergeCell ref="H1:N2"/>
    <mergeCell ref="H3:N3"/>
    <mergeCell ref="H4:N5"/>
    <mergeCell ref="I10:N10"/>
    <mergeCell ref="I22:N22"/>
  </mergeCells>
  <phoneticPr fontId="9"/>
  <conditionalFormatting sqref="O33">
    <cfRule type="cellIs" dxfId="15" priority="1" operator="greaterThan">
      <formula>1</formula>
    </cfRule>
    <cfRule type="cellIs" dxfId="14" priority="2" operator="between">
      <formula>0.999999</formula>
      <formula>0</formula>
    </cfRule>
    <cfRule type="cellIs" dxfId="13" priority="3" operator="equal">
      <formula>1</formula>
    </cfRule>
  </conditionalFormatting>
  <pageMargins left="0.19685039370078741" right="0.19685039370078741" top="0.59055118110236227" bottom="0.78740157480314965" header="0.39370078740157483" footer="0.19685039370078741"/>
  <pageSetup paperSize="9" scale="53"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81"/>
  <sheetViews>
    <sheetView showGridLines="0" zoomScale="89" zoomScaleNormal="89" zoomScalePageLayoutView="50" workbookViewId="0">
      <pane ySplit="9" topLeftCell="A10" activePane="bottomLeft" state="frozen"/>
      <selection activeCell="E32" sqref="E32"/>
      <selection pane="bottomLeft" activeCell="E35" sqref="E35:E42"/>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85546875" style="4" customWidth="1"/>
    <col min="9" max="15" width="11.42578125" style="4"/>
    <col min="16" max="16" width="33" style="4" customWidth="1"/>
    <col min="17" max="16384" width="11.42578125" style="4"/>
  </cols>
  <sheetData>
    <row r="1" spans="1:15" ht="12.75" customHeight="1">
      <c r="A1" s="448" t="s">
        <v>26</v>
      </c>
      <c r="B1" s="195"/>
      <c r="C1" s="46"/>
      <c r="D1" s="46"/>
      <c r="E1" s="46"/>
      <c r="F1" s="3"/>
      <c r="H1" s="591"/>
      <c r="I1" s="591"/>
      <c r="J1" s="591"/>
      <c r="K1" s="591"/>
      <c r="L1" s="591"/>
      <c r="M1" s="591"/>
      <c r="N1" s="591"/>
    </row>
    <row r="2" spans="1:15">
      <c r="A2" s="242"/>
      <c r="B2" s="243"/>
      <c r="C2" s="244"/>
      <c r="D2" s="243"/>
      <c r="E2" s="245"/>
      <c r="F2" s="246"/>
      <c r="H2" s="591"/>
      <c r="I2" s="591"/>
      <c r="J2" s="591"/>
      <c r="K2" s="591"/>
      <c r="L2" s="591"/>
      <c r="M2" s="591"/>
      <c r="N2" s="591"/>
    </row>
    <row r="3" spans="1:15" ht="14.25" customHeight="1">
      <c r="A3" s="311" t="str">
        <f>'1-Contractblad totaal'!A3</f>
        <v>Naam opdrachtgever</v>
      </c>
      <c r="B3" s="312" t="str">
        <f>'1-Contractblad totaal'!B3</f>
        <v>Gemeente Smallingerland</v>
      </c>
      <c r="C3" s="313"/>
      <c r="D3" s="243"/>
      <c r="E3" s="248"/>
      <c r="F3" s="249"/>
      <c r="H3" s="591"/>
      <c r="I3" s="591"/>
      <c r="J3" s="591"/>
      <c r="K3" s="591"/>
      <c r="L3" s="591"/>
      <c r="M3" s="591"/>
      <c r="N3" s="591"/>
    </row>
    <row r="4" spans="1:15" ht="15.75" customHeight="1">
      <c r="A4" s="311" t="str">
        <f>'1-Contractblad totaal'!A4</f>
        <v>Calculatie onderdeel</v>
      </c>
      <c r="B4" s="314" t="str">
        <f ca="1">MID(CELL("bestandsnaam",$C$9),SEARCH("]",CELL("bestandsnaam",$C$9),1)+1,256)</f>
        <v>7-Opbouw uurtarief toezicht</v>
      </c>
      <c r="C4" s="315"/>
      <c r="D4" s="252"/>
      <c r="H4" s="591"/>
      <c r="I4" s="591"/>
      <c r="J4" s="591"/>
      <c r="K4" s="591"/>
      <c r="L4" s="591"/>
      <c r="M4" s="591"/>
      <c r="N4" s="591"/>
    </row>
    <row r="5" spans="1:15" ht="17.25">
      <c r="A5" s="311" t="str">
        <f>'1-Contractblad totaal'!A5</f>
        <v>Gebouw/plaats</v>
      </c>
      <c r="B5" s="312" t="str">
        <f>'1-Contractblad totaal'!B5</f>
        <v>Drachten</v>
      </c>
      <c r="C5" s="315"/>
      <c r="D5" s="252"/>
      <c r="H5" s="591"/>
      <c r="I5" s="591"/>
      <c r="J5" s="591"/>
      <c r="K5" s="591"/>
      <c r="L5" s="591"/>
      <c r="M5" s="591"/>
      <c r="N5" s="591"/>
    </row>
    <row r="6" spans="1:15" ht="17.25">
      <c r="A6" s="311" t="str">
        <f>'1-Contractblad totaal'!A6</f>
        <v>Referentie nummer</v>
      </c>
      <c r="B6" s="312" t="str">
        <f>'1-Contractblad totaal'!B6</f>
        <v>GS-EA-AS-2020</v>
      </c>
      <c r="C6" s="315"/>
      <c r="D6" s="252"/>
      <c r="H6" s="253"/>
      <c r="I6" s="253"/>
      <c r="J6" s="253"/>
      <c r="K6" s="253"/>
      <c r="L6" s="253"/>
      <c r="M6" s="253"/>
      <c r="N6" s="253"/>
    </row>
    <row r="7" spans="1:15" s="9" customFormat="1" ht="17.25">
      <c r="A7" s="311" t="str">
        <f>'1-Contractblad totaal'!A8</f>
        <v>Naam dienstverlener</v>
      </c>
      <c r="B7" s="312">
        <f>'1-Contractblad totaal'!B8</f>
        <v>0</v>
      </c>
      <c r="C7" s="315"/>
      <c r="D7" s="252"/>
      <c r="H7" s="253"/>
      <c r="I7" s="253"/>
      <c r="J7" s="253"/>
      <c r="K7" s="253"/>
      <c r="L7" s="253"/>
      <c r="M7" s="253"/>
      <c r="N7" s="253"/>
      <c r="O7" s="257"/>
    </row>
    <row r="8" spans="1:15" ht="15.75">
      <c r="A8" s="311" t="str">
        <f>'1-Contractblad totaal'!A9</f>
        <v>Prijspeil</v>
      </c>
      <c r="B8" s="113">
        <f>'1-Contractblad totaal'!B9</f>
        <v>44013</v>
      </c>
      <c r="C8" s="315"/>
      <c r="D8" s="252"/>
      <c r="I8" s="253"/>
      <c r="J8" s="253"/>
      <c r="K8" s="253"/>
      <c r="L8" s="253"/>
      <c r="M8" s="253"/>
      <c r="N8" s="253"/>
    </row>
    <row r="9" spans="1:15" ht="17.25">
      <c r="A9" s="247"/>
      <c r="B9" s="250"/>
      <c r="C9" s="251"/>
      <c r="D9" s="252"/>
      <c r="E9" s="254"/>
      <c r="F9" s="255"/>
    </row>
    <row r="10" spans="1:15" s="257" customFormat="1" ht="30.75" customHeight="1">
      <c r="A10" s="316" t="s">
        <v>220</v>
      </c>
      <c r="B10" s="317"/>
      <c r="C10" s="318"/>
      <c r="D10" s="256"/>
      <c r="E10" s="589" t="s">
        <v>219</v>
      </c>
      <c r="F10" s="596"/>
      <c r="H10" s="319" t="s">
        <v>154</v>
      </c>
      <c r="I10" s="592" t="s">
        <v>239</v>
      </c>
      <c r="J10" s="592"/>
      <c r="K10" s="592"/>
      <c r="L10" s="592"/>
      <c r="M10" s="592"/>
      <c r="N10" s="592"/>
    </row>
    <row r="11" spans="1:15" ht="30" customHeight="1">
      <c r="A11" s="258"/>
      <c r="B11" s="259" t="s">
        <v>63</v>
      </c>
      <c r="C11" s="260" t="s">
        <v>63</v>
      </c>
      <c r="D11" s="252"/>
      <c r="E11" s="261"/>
      <c r="F11" s="262"/>
      <c r="H11" s="258"/>
      <c r="I11" s="474">
        <v>1</v>
      </c>
      <c r="J11" s="474">
        <v>2</v>
      </c>
      <c r="K11" s="474">
        <v>3</v>
      </c>
      <c r="L11" s="474">
        <v>4</v>
      </c>
      <c r="M11" s="474">
        <v>5</v>
      </c>
      <c r="N11" s="474">
        <v>6</v>
      </c>
    </row>
    <row r="12" spans="1:15" ht="12.75" customHeight="1">
      <c r="A12" s="258" t="s">
        <v>40</v>
      </c>
      <c r="B12" s="264"/>
      <c r="C12" s="265"/>
      <c r="D12" s="252"/>
      <c r="E12" s="266">
        <f>SUM(I34:N34)</f>
        <v>0</v>
      </c>
      <c r="F12" s="267"/>
      <c r="H12" s="473" t="s">
        <v>149</v>
      </c>
      <c r="I12" s="512"/>
      <c r="J12" s="512"/>
      <c r="K12" s="512"/>
      <c r="L12" s="512"/>
      <c r="M12" s="512"/>
      <c r="N12" s="513"/>
    </row>
    <row r="13" spans="1:15" ht="14.25">
      <c r="A13" s="258" t="s">
        <v>15</v>
      </c>
      <c r="B13" s="268"/>
      <c r="C13" s="269" t="s">
        <v>68</v>
      </c>
      <c r="D13" s="252"/>
      <c r="E13" s="453">
        <v>0</v>
      </c>
      <c r="F13" s="267"/>
      <c r="H13" s="473" t="s">
        <v>150</v>
      </c>
      <c r="I13" s="512"/>
      <c r="J13" s="512"/>
      <c r="K13" s="512"/>
      <c r="L13" s="512"/>
      <c r="M13" s="512"/>
      <c r="N13" s="513"/>
    </row>
    <row r="14" spans="1:15" ht="14.25">
      <c r="A14" s="258" t="s">
        <v>45</v>
      </c>
      <c r="B14" s="268"/>
      <c r="C14" s="269" t="s">
        <v>68</v>
      </c>
      <c r="D14" s="252"/>
      <c r="E14" s="453">
        <v>0</v>
      </c>
      <c r="F14" s="267"/>
      <c r="H14" s="473" t="s">
        <v>151</v>
      </c>
      <c r="I14" s="512"/>
      <c r="J14" s="512"/>
      <c r="K14" s="512"/>
      <c r="L14" s="512"/>
      <c r="M14" s="512"/>
      <c r="N14" s="513"/>
    </row>
    <row r="15" spans="1:15" s="47" customFormat="1" ht="14.25">
      <c r="A15" s="270" t="s">
        <v>33</v>
      </c>
      <c r="B15" s="500"/>
      <c r="C15" s="272"/>
      <c r="D15" s="252"/>
      <c r="E15" s="273"/>
      <c r="F15" s="267"/>
      <c r="H15" s="473" t="s">
        <v>152</v>
      </c>
      <c r="I15" s="512"/>
      <c r="J15" s="512"/>
      <c r="K15" s="512"/>
      <c r="L15" s="512"/>
      <c r="M15" s="512"/>
      <c r="N15" s="513"/>
    </row>
    <row r="16" spans="1:15" ht="14.25">
      <c r="A16" s="408" t="s">
        <v>13</v>
      </c>
      <c r="B16" s="271"/>
      <c r="C16" s="272"/>
      <c r="D16" s="252"/>
      <c r="E16" s="412">
        <f>SUM(E12:E15)</f>
        <v>0</v>
      </c>
      <c r="F16" s="267"/>
      <c r="H16" s="473" t="s">
        <v>153</v>
      </c>
      <c r="I16" s="512"/>
      <c r="J16" s="512"/>
      <c r="K16" s="512"/>
      <c r="L16" s="512"/>
      <c r="M16" s="512"/>
      <c r="N16" s="513"/>
    </row>
    <row r="17" spans="1:15" ht="14.25">
      <c r="A17" s="270"/>
      <c r="B17" s="274"/>
      <c r="C17" s="275"/>
      <c r="D17" s="252"/>
      <c r="E17" s="276"/>
      <c r="F17" s="267"/>
      <c r="H17" s="471"/>
      <c r="I17" s="472"/>
      <c r="J17" s="472"/>
      <c r="K17" s="472"/>
      <c r="L17" s="472"/>
      <c r="M17" s="472"/>
      <c r="N17" s="472"/>
    </row>
    <row r="18" spans="1:15" ht="14.25">
      <c r="A18" s="277" t="s">
        <v>58</v>
      </c>
      <c r="B18" s="278"/>
      <c r="C18" s="454"/>
      <c r="D18" s="252"/>
      <c r="E18" s="273">
        <f>$C18*E16</f>
        <v>0</v>
      </c>
      <c r="F18" s="267"/>
      <c r="H18" s="319" t="s">
        <v>154</v>
      </c>
      <c r="I18" s="593" t="s">
        <v>157</v>
      </c>
      <c r="J18" s="594"/>
      <c r="K18" s="594"/>
      <c r="L18" s="594"/>
      <c r="M18" s="594"/>
      <c r="N18" s="595"/>
    </row>
    <row r="19" spans="1:15" s="47" customFormat="1" ht="14.25">
      <c r="A19" s="277" t="s">
        <v>89</v>
      </c>
      <c r="B19" s="278"/>
      <c r="C19" s="454"/>
      <c r="D19" s="252"/>
      <c r="E19" s="273">
        <f>$C19*E16</f>
        <v>0</v>
      </c>
      <c r="F19" s="267"/>
      <c r="H19" s="258"/>
      <c r="I19" s="263">
        <v>1</v>
      </c>
      <c r="J19" s="263">
        <v>2</v>
      </c>
      <c r="K19" s="263">
        <v>3</v>
      </c>
      <c r="L19" s="263">
        <v>4</v>
      </c>
      <c r="M19" s="263">
        <v>5</v>
      </c>
      <c r="N19" s="263">
        <v>6</v>
      </c>
    </row>
    <row r="20" spans="1:15" ht="14.25">
      <c r="A20" s="408" t="s">
        <v>53</v>
      </c>
      <c r="B20" s="279"/>
      <c r="C20" s="272"/>
      <c r="D20" s="252"/>
      <c r="E20" s="412">
        <f>SUM(E16:E19)</f>
        <v>0</v>
      </c>
      <c r="F20" s="280">
        <f>IF(E20=0,0,E20/E$48)</f>
        <v>0</v>
      </c>
      <c r="H20" s="258" t="s">
        <v>149</v>
      </c>
      <c r="I20" s="456"/>
      <c r="J20" s="456"/>
      <c r="K20" s="456"/>
      <c r="L20" s="456"/>
      <c r="M20" s="456"/>
      <c r="N20" s="456"/>
    </row>
    <row r="21" spans="1:15" ht="14.25">
      <c r="A21" s="270"/>
      <c r="B21" s="274"/>
      <c r="C21" s="275"/>
      <c r="D21" s="252"/>
      <c r="E21" s="276"/>
      <c r="F21" s="267"/>
      <c r="H21" s="258" t="s">
        <v>150</v>
      </c>
      <c r="I21" s="456"/>
      <c r="J21" s="456"/>
      <c r="K21" s="456"/>
      <c r="L21" s="456"/>
      <c r="M21" s="456"/>
      <c r="N21" s="456"/>
    </row>
    <row r="22" spans="1:15" s="284" customFormat="1" ht="14.25">
      <c r="A22" s="281" t="s">
        <v>60</v>
      </c>
      <c r="B22" s="278"/>
      <c r="C22" s="275"/>
      <c r="D22" s="282"/>
      <c r="E22" s="517">
        <f>E20*0.96</f>
        <v>0</v>
      </c>
      <c r="F22" s="283"/>
      <c r="H22" s="258" t="s">
        <v>151</v>
      </c>
      <c r="I22" s="456"/>
      <c r="J22" s="456"/>
      <c r="K22" s="456"/>
      <c r="L22" s="456"/>
      <c r="M22" s="456"/>
      <c r="N22" s="456"/>
      <c r="O22" s="4"/>
    </row>
    <row r="23" spans="1:15" ht="14.25" customHeight="1">
      <c r="A23" s="277" t="s">
        <v>72</v>
      </c>
      <c r="B23" s="278"/>
      <c r="C23" s="285" t="s">
        <v>46</v>
      </c>
      <c r="D23" s="252"/>
      <c r="E23" s="273" t="e">
        <f>E22*'5-Premies en opslagen'!$C25</f>
        <v>#DIV/0!</v>
      </c>
      <c r="F23" s="267"/>
      <c r="H23" s="258" t="s">
        <v>152</v>
      </c>
      <c r="I23" s="456"/>
      <c r="J23" s="456"/>
      <c r="K23" s="456"/>
      <c r="L23" s="456"/>
      <c r="M23" s="456"/>
      <c r="N23" s="456"/>
      <c r="O23" s="284"/>
    </row>
    <row r="24" spans="1:15" ht="12.75" customHeight="1">
      <c r="A24" s="408" t="s">
        <v>69</v>
      </c>
      <c r="B24" s="279"/>
      <c r="C24" s="272"/>
      <c r="D24" s="252"/>
      <c r="E24" s="412" t="e">
        <f>E23+E20</f>
        <v>#DIV/0!</v>
      </c>
      <c r="F24" s="280" t="e">
        <f>IF(E24=0,0,E24/E$48)</f>
        <v>#DIV/0!</v>
      </c>
      <c r="H24" s="258" t="s">
        <v>153</v>
      </c>
      <c r="I24" s="456"/>
      <c r="J24" s="456"/>
      <c r="K24" s="456">
        <v>0.7</v>
      </c>
      <c r="L24" s="456"/>
      <c r="M24" s="456">
        <v>0.3</v>
      </c>
      <c r="N24" s="456"/>
    </row>
    <row r="25" spans="1:15" ht="12.75" customHeight="1">
      <c r="A25" s="270"/>
      <c r="B25" s="279"/>
      <c r="C25" s="272"/>
      <c r="D25" s="252"/>
      <c r="E25" s="261"/>
      <c r="F25" s="267"/>
      <c r="H25" s="290" t="s">
        <v>156</v>
      </c>
      <c r="I25" s="476">
        <f t="shared" ref="I25:N25" si="0">SUM(I20:I24)</f>
        <v>0</v>
      </c>
      <c r="J25" s="476">
        <f t="shared" si="0"/>
        <v>0</v>
      </c>
      <c r="K25" s="476">
        <f t="shared" si="0"/>
        <v>0.7</v>
      </c>
      <c r="L25" s="476">
        <f t="shared" si="0"/>
        <v>0</v>
      </c>
      <c r="M25" s="476">
        <f t="shared" si="0"/>
        <v>0.3</v>
      </c>
      <c r="N25" s="476">
        <f t="shared" si="0"/>
        <v>0</v>
      </c>
      <c r="O25" s="65">
        <f>SUM(I25:N25)</f>
        <v>1</v>
      </c>
    </row>
    <row r="26" spans="1:15" ht="14.25">
      <c r="A26" s="277" t="s">
        <v>35</v>
      </c>
      <c r="B26" s="278"/>
      <c r="C26" s="285" t="s">
        <v>46</v>
      </c>
      <c r="D26" s="252"/>
      <c r="E26" s="273" t="e">
        <f>E24*'5-Premies en opslagen'!$B54</f>
        <v>#DIV/0!</v>
      </c>
      <c r="F26" s="267"/>
    </row>
    <row r="27" spans="1:15" ht="14.25">
      <c r="A27" s="408" t="s">
        <v>79</v>
      </c>
      <c r="B27" s="279"/>
      <c r="C27" s="272"/>
      <c r="D27" s="252"/>
      <c r="E27" s="412" t="e">
        <f>SUM(E24:E26)</f>
        <v>#DIV/0!</v>
      </c>
      <c r="F27" s="280" t="e">
        <f>IF(E27=0,0,E27/E$48)</f>
        <v>#DIV/0!</v>
      </c>
      <c r="H27" s="484" t="s">
        <v>154</v>
      </c>
      <c r="I27" s="588" t="s">
        <v>158</v>
      </c>
      <c r="J27" s="588"/>
      <c r="K27" s="588"/>
      <c r="L27" s="588"/>
      <c r="M27" s="588"/>
      <c r="N27" s="588"/>
    </row>
    <row r="28" spans="1:15" ht="14.25">
      <c r="A28" s="270"/>
      <c r="B28" s="279"/>
      <c r="C28" s="272"/>
      <c r="D28" s="252"/>
      <c r="E28" s="261"/>
      <c r="F28" s="267"/>
      <c r="H28" s="485"/>
      <c r="I28" s="486">
        <v>1</v>
      </c>
      <c r="J28" s="486">
        <v>2</v>
      </c>
      <c r="K28" s="486">
        <v>3</v>
      </c>
      <c r="L28" s="486">
        <v>4</v>
      </c>
      <c r="M28" s="486">
        <v>5</v>
      </c>
      <c r="N28" s="486">
        <v>6</v>
      </c>
    </row>
    <row r="29" spans="1:15" ht="14.25">
      <c r="A29" s="270" t="s">
        <v>61</v>
      </c>
      <c r="B29" s="286"/>
      <c r="C29" s="269" t="s">
        <v>68</v>
      </c>
      <c r="D29" s="252"/>
      <c r="E29" s="453">
        <v>0</v>
      </c>
      <c r="F29" s="417">
        <v>0</v>
      </c>
      <c r="H29" s="485"/>
      <c r="I29" s="487"/>
      <c r="J29" s="487"/>
      <c r="K29" s="487"/>
      <c r="L29" s="487"/>
      <c r="M29" s="487"/>
      <c r="N29" s="488"/>
    </row>
    <row r="30" spans="1:15" ht="14.25">
      <c r="A30" s="270" t="s">
        <v>65</v>
      </c>
      <c r="B30" s="287"/>
      <c r="C30" s="269" t="s">
        <v>68</v>
      </c>
      <c r="D30" s="252"/>
      <c r="E30" s="453"/>
      <c r="F30" s="417">
        <v>0</v>
      </c>
      <c r="H30" s="485"/>
      <c r="I30" s="487"/>
      <c r="J30" s="487"/>
      <c r="K30" s="487"/>
      <c r="L30" s="487"/>
      <c r="M30" s="487"/>
      <c r="N30" s="488"/>
    </row>
    <row r="31" spans="1:15" ht="12.75" customHeight="1">
      <c r="A31" s="270" t="s">
        <v>66</v>
      </c>
      <c r="B31" s="279"/>
      <c r="C31" s="272" t="s">
        <v>63</v>
      </c>
      <c r="D31" s="252"/>
      <c r="E31" s="288" t="s">
        <v>18</v>
      </c>
      <c r="F31" s="267"/>
      <c r="H31" s="485"/>
      <c r="I31" s="487"/>
      <c r="J31" s="487"/>
      <c r="K31" s="487"/>
      <c r="L31" s="487"/>
      <c r="M31" s="487"/>
      <c r="N31" s="488"/>
    </row>
    <row r="32" spans="1:15" ht="12.75" customHeight="1">
      <c r="A32" s="455"/>
      <c r="B32" s="501"/>
      <c r="C32" s="502" t="s">
        <v>63</v>
      </c>
      <c r="D32" s="252"/>
      <c r="E32" s="453"/>
      <c r="F32" s="267"/>
      <c r="H32" s="485"/>
      <c r="I32" s="487"/>
      <c r="J32" s="487"/>
      <c r="K32" s="487"/>
      <c r="L32" s="487"/>
      <c r="M32" s="487"/>
      <c r="N32" s="488"/>
    </row>
    <row r="33" spans="1:14" ht="12.75" customHeight="1">
      <c r="A33" s="408" t="s">
        <v>55</v>
      </c>
      <c r="B33" s="279"/>
      <c r="C33" s="272"/>
      <c r="D33" s="252"/>
      <c r="E33" s="412" t="e">
        <f>SUM(E27:E32)</f>
        <v>#DIV/0!</v>
      </c>
      <c r="F33" s="280" t="e">
        <f>IF(E33=0,0,E33/E$48)</f>
        <v>#DIV/0!</v>
      </c>
      <c r="H33" s="485" t="s">
        <v>153</v>
      </c>
      <c r="I33" s="487">
        <f t="shared" ref="I33:N33" si="1">I24*I16</f>
        <v>0</v>
      </c>
      <c r="J33" s="487">
        <f t="shared" si="1"/>
        <v>0</v>
      </c>
      <c r="K33" s="487">
        <f t="shared" si="1"/>
        <v>0</v>
      </c>
      <c r="L33" s="487">
        <f t="shared" si="1"/>
        <v>0</v>
      </c>
      <c r="M33" s="487">
        <f t="shared" si="1"/>
        <v>0</v>
      </c>
      <c r="N33" s="488">
        <f t="shared" si="1"/>
        <v>0</v>
      </c>
    </row>
    <row r="34" spans="1:14" ht="12.75" customHeight="1">
      <c r="A34" s="270"/>
      <c r="B34" s="279"/>
      <c r="C34" s="272"/>
      <c r="D34" s="252"/>
      <c r="E34" s="261"/>
      <c r="F34" s="267"/>
      <c r="H34" s="489" t="s">
        <v>156</v>
      </c>
      <c r="I34" s="490">
        <f t="shared" ref="I34:N34" si="2">SUM(I29:I33)</f>
        <v>0</v>
      </c>
      <c r="J34" s="490">
        <f t="shared" si="2"/>
        <v>0</v>
      </c>
      <c r="K34" s="490">
        <f t="shared" si="2"/>
        <v>0</v>
      </c>
      <c r="L34" s="490">
        <f t="shared" si="2"/>
        <v>0</v>
      </c>
      <c r="M34" s="490">
        <f t="shared" si="2"/>
        <v>0</v>
      </c>
      <c r="N34" s="490">
        <f t="shared" si="2"/>
        <v>0</v>
      </c>
    </row>
    <row r="35" spans="1:14" ht="12.75" customHeight="1">
      <c r="A35" s="270" t="s">
        <v>81</v>
      </c>
      <c r="B35" s="279"/>
      <c r="C35" s="289"/>
      <c r="D35" s="252"/>
      <c r="E35" s="453"/>
      <c r="F35" s="518" t="e">
        <f>E35/$E$48</f>
        <v>#DIV/0!</v>
      </c>
      <c r="H35" s="284"/>
      <c r="I35" s="284"/>
      <c r="J35" s="284"/>
      <c r="K35" s="284"/>
      <c r="L35" s="284"/>
      <c r="M35" s="284"/>
      <c r="N35" s="284"/>
    </row>
    <row r="36" spans="1:14" ht="14.25" customHeight="1">
      <c r="A36" s="270" t="s">
        <v>34</v>
      </c>
      <c r="B36" s="279"/>
      <c r="C36" s="289"/>
      <c r="D36" s="252"/>
      <c r="E36" s="453"/>
      <c r="F36" s="518" t="e">
        <f t="shared" ref="F36:F42" si="3">E36/$E$48</f>
        <v>#DIV/0!</v>
      </c>
      <c r="H36" s="284"/>
      <c r="I36" s="284"/>
      <c r="J36" s="284"/>
      <c r="K36" s="284"/>
      <c r="L36" s="284"/>
      <c r="M36" s="284"/>
      <c r="N36" s="284"/>
    </row>
    <row r="37" spans="1:14" ht="14.25">
      <c r="A37" s="270" t="s">
        <v>25</v>
      </c>
      <c r="B37" s="279"/>
      <c r="C37" s="289"/>
      <c r="D37" s="252"/>
      <c r="E37" s="453"/>
      <c r="F37" s="518" t="e">
        <f t="shared" si="3"/>
        <v>#DIV/0!</v>
      </c>
      <c r="H37" s="284"/>
      <c r="I37" s="284"/>
      <c r="J37" s="284"/>
      <c r="K37" s="284"/>
      <c r="L37" s="284"/>
      <c r="M37" s="284"/>
      <c r="N37" s="284"/>
    </row>
    <row r="38" spans="1:14" ht="14.25">
      <c r="A38" s="270" t="s">
        <v>2</v>
      </c>
      <c r="B38" s="279"/>
      <c r="C38" s="291"/>
      <c r="D38" s="252"/>
      <c r="E38" s="453"/>
      <c r="F38" s="518" t="e">
        <f t="shared" si="3"/>
        <v>#DIV/0!</v>
      </c>
      <c r="H38" s="172"/>
      <c r="I38" s="172"/>
      <c r="J38" s="172"/>
      <c r="K38" s="172"/>
      <c r="L38" s="172"/>
      <c r="M38" s="172"/>
      <c r="N38" s="172"/>
    </row>
    <row r="39" spans="1:14" ht="14.25">
      <c r="A39" s="270" t="s">
        <v>32</v>
      </c>
      <c r="B39" s="279"/>
      <c r="C39" s="289"/>
      <c r="D39" s="252"/>
      <c r="E39" s="453"/>
      <c r="F39" s="518" t="e">
        <f t="shared" si="3"/>
        <v>#DIV/0!</v>
      </c>
      <c r="H39" s="172"/>
      <c r="I39" s="172"/>
      <c r="J39" s="172"/>
      <c r="K39" s="172"/>
      <c r="L39" s="172"/>
      <c r="M39" s="172"/>
      <c r="N39" s="172"/>
    </row>
    <row r="40" spans="1:14" ht="14.25">
      <c r="A40" s="270" t="s">
        <v>29</v>
      </c>
      <c r="B40" s="279"/>
      <c r="C40" s="291"/>
      <c r="D40" s="252"/>
      <c r="E40" s="453"/>
      <c r="F40" s="518" t="e">
        <f t="shared" si="3"/>
        <v>#DIV/0!</v>
      </c>
      <c r="H40" s="172"/>
      <c r="I40" s="172"/>
      <c r="J40" s="172"/>
      <c r="K40" s="172"/>
      <c r="L40" s="172"/>
      <c r="M40" s="172"/>
      <c r="N40" s="172"/>
    </row>
    <row r="41" spans="1:14" ht="14.25">
      <c r="A41" s="270" t="s">
        <v>73</v>
      </c>
      <c r="B41" s="279"/>
      <c r="C41" s="269" t="s">
        <v>68</v>
      </c>
      <c r="D41" s="252"/>
      <c r="E41" s="453"/>
      <c r="F41" s="518" t="e">
        <f t="shared" si="3"/>
        <v>#DIV/0!</v>
      </c>
      <c r="H41" s="172"/>
      <c r="I41" s="172"/>
      <c r="J41" s="172"/>
      <c r="K41" s="172"/>
      <c r="L41" s="172"/>
      <c r="M41" s="172"/>
      <c r="N41" s="172"/>
    </row>
    <row r="42" spans="1:14" ht="14.25">
      <c r="A42" s="270" t="s">
        <v>88</v>
      </c>
      <c r="B42" s="279"/>
      <c r="C42" s="269"/>
      <c r="D42" s="252"/>
      <c r="E42" s="453"/>
      <c r="F42" s="518" t="e">
        <f t="shared" si="3"/>
        <v>#DIV/0!</v>
      </c>
      <c r="H42" s="172"/>
      <c r="I42" s="172"/>
      <c r="J42" s="172"/>
      <c r="K42" s="172"/>
      <c r="L42" s="172"/>
      <c r="M42" s="172"/>
      <c r="N42" s="172"/>
    </row>
    <row r="43" spans="1:14" ht="14.25">
      <c r="A43" s="455"/>
      <c r="B43" s="501"/>
      <c r="C43" s="503"/>
      <c r="D43" s="252"/>
      <c r="E43" s="453">
        <v>0</v>
      </c>
      <c r="F43" s="267"/>
      <c r="H43" s="172"/>
      <c r="I43" s="172"/>
      <c r="J43" s="172"/>
      <c r="K43" s="172"/>
      <c r="L43" s="172"/>
      <c r="M43" s="172"/>
      <c r="N43" s="172"/>
    </row>
    <row r="44" spans="1:14" ht="14.25">
      <c r="A44" s="408" t="s">
        <v>74</v>
      </c>
      <c r="B44" s="279"/>
      <c r="C44" s="272"/>
      <c r="D44" s="252"/>
      <c r="E44" s="412" t="e">
        <f>SUM(E33:E43)</f>
        <v>#DIV/0!</v>
      </c>
      <c r="F44" s="280" t="e">
        <f>IF(E44=0,0,E44/E$48)</f>
        <v>#DIV/0!</v>
      </c>
      <c r="H44" s="172"/>
      <c r="I44" s="172"/>
      <c r="J44" s="172"/>
      <c r="K44" s="172"/>
      <c r="L44" s="172"/>
      <c r="M44" s="172"/>
      <c r="N44" s="172"/>
    </row>
    <row r="45" spans="1:14" ht="14.25">
      <c r="A45" s="270"/>
      <c r="B45" s="279"/>
      <c r="C45" s="272"/>
      <c r="D45" s="252"/>
      <c r="E45" s="261"/>
      <c r="F45" s="292"/>
      <c r="H45" s="172"/>
      <c r="I45" s="172"/>
      <c r="J45" s="172"/>
      <c r="K45" s="172"/>
      <c r="L45" s="172"/>
      <c r="M45" s="172"/>
      <c r="N45" s="172"/>
    </row>
    <row r="46" spans="1:14" ht="14.25">
      <c r="A46" s="270" t="s">
        <v>75</v>
      </c>
      <c r="B46" s="279"/>
      <c r="C46" s="291"/>
      <c r="D46" s="252"/>
      <c r="E46" s="453" t="e">
        <f>E44*0.053</f>
        <v>#DIV/0!</v>
      </c>
      <c r="F46" s="280" t="e">
        <f>(IF(E46=0,0,E46/E$48))</f>
        <v>#DIV/0!</v>
      </c>
      <c r="H46" s="172"/>
      <c r="I46" s="172"/>
      <c r="J46" s="172"/>
      <c r="K46" s="172"/>
      <c r="L46" s="172"/>
      <c r="M46" s="172"/>
      <c r="N46" s="172"/>
    </row>
    <row r="47" spans="1:14" ht="14.25">
      <c r="A47" s="270"/>
      <c r="B47" s="271"/>
      <c r="C47" s="272"/>
      <c r="D47" s="252"/>
      <c r="E47" s="261"/>
      <c r="F47" s="267"/>
      <c r="H47" s="172"/>
      <c r="I47" s="172"/>
      <c r="J47" s="172"/>
      <c r="K47" s="172"/>
      <c r="L47" s="172"/>
      <c r="M47" s="172"/>
      <c r="N47" s="172"/>
    </row>
    <row r="48" spans="1:14" ht="14.25">
      <c r="A48" s="408" t="s">
        <v>47</v>
      </c>
      <c r="B48" s="322"/>
      <c r="C48" s="293"/>
      <c r="D48" s="252"/>
      <c r="E48" s="413" t="e">
        <f>SUM(E44:E47)</f>
        <v>#DIV/0!</v>
      </c>
      <c r="F48" s="415" t="e">
        <f>SUM(F44:F47)</f>
        <v>#DIV/0!</v>
      </c>
      <c r="H48" s="172"/>
      <c r="I48" s="172"/>
      <c r="J48" s="172"/>
      <c r="K48" s="172"/>
      <c r="L48" s="172"/>
      <c r="M48" s="172"/>
      <c r="N48" s="172"/>
    </row>
    <row r="49" spans="1:14" ht="14.25">
      <c r="A49" s="192"/>
      <c r="B49" s="294"/>
      <c r="C49" s="295"/>
      <c r="D49" s="252"/>
      <c r="E49" s="9"/>
      <c r="F49" s="296"/>
      <c r="H49" s="172"/>
      <c r="I49" s="172"/>
      <c r="J49" s="172"/>
      <c r="K49" s="172"/>
      <c r="L49" s="172"/>
      <c r="M49" s="172"/>
      <c r="N49" s="172"/>
    </row>
    <row r="50" spans="1:14" s="284" customFormat="1" ht="14.25">
      <c r="A50" s="298" t="s">
        <v>236</v>
      </c>
      <c r="B50" s="299"/>
      <c r="C50" s="300"/>
      <c r="E50" s="301" t="e">
        <f>(E$27*1.3)+($E$48-$E$27)</f>
        <v>#DIV/0!</v>
      </c>
      <c r="F50" s="302"/>
      <c r="H50" s="172"/>
      <c r="I50" s="172"/>
      <c r="J50" s="172"/>
      <c r="K50" s="172"/>
      <c r="L50" s="172"/>
      <c r="M50" s="172"/>
      <c r="N50" s="172"/>
    </row>
    <row r="51" spans="1:14" s="284" customFormat="1" ht="14.25">
      <c r="A51" s="303"/>
      <c r="B51" s="304"/>
      <c r="C51" s="305"/>
      <c r="E51" s="303"/>
      <c r="F51" s="303"/>
      <c r="H51" s="172"/>
      <c r="I51" s="172"/>
      <c r="J51" s="172"/>
      <c r="K51" s="172"/>
      <c r="L51" s="172"/>
      <c r="M51" s="172"/>
      <c r="N51" s="172"/>
    </row>
    <row r="52" spans="1:14" s="284" customFormat="1" ht="14.25">
      <c r="A52" s="298" t="s">
        <v>51</v>
      </c>
      <c r="B52" s="299"/>
      <c r="C52" s="300"/>
      <c r="E52" s="301" t="e">
        <f>(E$27*1.5)+($E$48-$E$27)</f>
        <v>#DIV/0!</v>
      </c>
      <c r="F52" s="302"/>
      <c r="H52" s="172"/>
      <c r="I52" s="172"/>
      <c r="J52" s="172"/>
      <c r="K52" s="172"/>
      <c r="L52" s="172"/>
      <c r="M52" s="172"/>
      <c r="N52" s="172"/>
    </row>
    <row r="53" spans="1:14" s="284" customFormat="1" ht="14.25">
      <c r="A53" s="303"/>
      <c r="B53" s="304"/>
      <c r="C53" s="305"/>
      <c r="E53" s="303"/>
      <c r="F53" s="303"/>
      <c r="H53" s="172"/>
      <c r="I53" s="172"/>
      <c r="J53" s="172"/>
      <c r="K53" s="172"/>
      <c r="L53" s="172"/>
      <c r="M53" s="172"/>
      <c r="N53" s="172"/>
    </row>
    <row r="54" spans="1:14" s="284" customFormat="1" ht="14.25">
      <c r="A54" s="298" t="s">
        <v>86</v>
      </c>
      <c r="B54" s="299"/>
      <c r="C54" s="300"/>
      <c r="E54" s="301" t="e">
        <f>(E$27*2.5)+($E$48-$E$27)</f>
        <v>#DIV/0!</v>
      </c>
      <c r="F54" s="306"/>
      <c r="H54" s="172"/>
      <c r="I54" s="172"/>
      <c r="J54" s="172"/>
      <c r="K54" s="172"/>
      <c r="L54" s="172"/>
      <c r="M54" s="172"/>
      <c r="N54" s="172"/>
    </row>
    <row r="55" spans="1:14" s="172" customFormat="1" ht="14.25">
      <c r="B55" s="307"/>
      <c r="C55" s="308"/>
      <c r="F55" s="309"/>
    </row>
    <row r="56" spans="1:14" s="172" customFormat="1" ht="14.25">
      <c r="A56" s="298" t="s">
        <v>206</v>
      </c>
      <c r="B56" s="299"/>
      <c r="C56" s="300"/>
      <c r="D56" s="284"/>
      <c r="E56" s="301" t="e">
        <f>((E52*102)+(E54*9))/111</f>
        <v>#DIV/0!</v>
      </c>
      <c r="F56" s="309"/>
    </row>
    <row r="57" spans="1:14" s="172" customFormat="1" ht="14.25">
      <c r="B57" s="307"/>
      <c r="C57" s="308"/>
      <c r="F57" s="309"/>
    </row>
    <row r="58" spans="1:14" s="172" customFormat="1">
      <c r="C58" s="310"/>
      <c r="F58" s="309"/>
    </row>
    <row r="59" spans="1:14" s="172" customFormat="1">
      <c r="C59" s="310"/>
      <c r="F59" s="309"/>
    </row>
    <row r="60" spans="1:14" s="172" customFormat="1">
      <c r="A60" s="47"/>
      <c r="C60" s="310"/>
      <c r="F60" s="309"/>
    </row>
    <row r="61" spans="1:14" s="172" customFormat="1">
      <c r="C61" s="310"/>
      <c r="F61" s="309"/>
    </row>
    <row r="62" spans="1:14" s="172" customFormat="1">
      <c r="C62" s="310"/>
      <c r="F62" s="309"/>
    </row>
    <row r="63" spans="1:14" s="172" customFormat="1">
      <c r="C63" s="310"/>
      <c r="F63" s="309"/>
      <c r="H63" s="4"/>
      <c r="I63" s="4"/>
      <c r="J63" s="4"/>
      <c r="K63" s="4"/>
      <c r="L63" s="4"/>
      <c r="M63" s="4"/>
      <c r="N63" s="4"/>
    </row>
    <row r="64" spans="1:14" s="172" customFormat="1">
      <c r="C64" s="310"/>
      <c r="F64" s="309"/>
      <c r="H64" s="4"/>
      <c r="I64" s="4"/>
      <c r="J64" s="4"/>
      <c r="K64" s="4"/>
      <c r="L64" s="4"/>
      <c r="M64" s="4"/>
      <c r="N64" s="4"/>
    </row>
    <row r="65" spans="3:15" s="172" customFormat="1">
      <c r="C65" s="310"/>
      <c r="F65" s="309"/>
      <c r="H65" s="4"/>
      <c r="I65" s="4"/>
      <c r="J65" s="4"/>
      <c r="K65" s="4"/>
      <c r="L65" s="4"/>
      <c r="M65" s="4"/>
      <c r="N65" s="4"/>
      <c r="O65" s="4"/>
    </row>
    <row r="66" spans="3:15" s="172" customFormat="1">
      <c r="C66" s="310"/>
      <c r="F66" s="309"/>
      <c r="H66" s="4"/>
      <c r="I66" s="4"/>
      <c r="J66" s="4"/>
      <c r="K66" s="4"/>
      <c r="L66" s="4"/>
      <c r="M66" s="4"/>
      <c r="N66" s="4"/>
      <c r="O66" s="284"/>
    </row>
    <row r="67" spans="3:15" s="172" customFormat="1">
      <c r="C67" s="310"/>
      <c r="F67" s="309"/>
      <c r="H67" s="4"/>
      <c r="I67" s="4"/>
      <c r="J67" s="4"/>
      <c r="K67" s="4"/>
      <c r="L67" s="4"/>
      <c r="M67" s="4"/>
      <c r="N67" s="4"/>
      <c r="O67" s="284"/>
    </row>
    <row r="68" spans="3:15">
      <c r="O68" s="284"/>
    </row>
    <row r="69" spans="3:15">
      <c r="O69" s="172"/>
    </row>
    <row r="70" spans="3:15">
      <c r="O70" s="172"/>
    </row>
    <row r="71" spans="3:15">
      <c r="O71" s="172"/>
    </row>
    <row r="72" spans="3:15">
      <c r="O72" s="172"/>
    </row>
    <row r="73" spans="3:15">
      <c r="O73" s="172"/>
    </row>
    <row r="74" spans="3:15">
      <c r="O74" s="172"/>
    </row>
    <row r="75" spans="3:15">
      <c r="O75" s="172"/>
    </row>
    <row r="76" spans="3:15">
      <c r="O76" s="172"/>
    </row>
    <row r="77" spans="3:15">
      <c r="O77" s="172"/>
    </row>
    <row r="78" spans="3:15">
      <c r="O78" s="172"/>
    </row>
    <row r="79" spans="3:15">
      <c r="O79" s="172"/>
    </row>
    <row r="80" spans="3:15">
      <c r="O80" s="172"/>
    </row>
    <row r="81" spans="15:15">
      <c r="O81" s="172"/>
    </row>
  </sheetData>
  <mergeCells count="7">
    <mergeCell ref="E10:F10"/>
    <mergeCell ref="I10:N10"/>
    <mergeCell ref="I27:N27"/>
    <mergeCell ref="H1:N2"/>
    <mergeCell ref="H3:N3"/>
    <mergeCell ref="H4:N5"/>
    <mergeCell ref="I18:N18"/>
  </mergeCells>
  <conditionalFormatting sqref="O25">
    <cfRule type="cellIs" dxfId="12" priority="1" operator="greaterThan">
      <formula>1</formula>
    </cfRule>
    <cfRule type="cellIs" dxfId="11" priority="2" operator="between">
      <formula>0.999999</formula>
      <formula>0</formula>
    </cfRule>
    <cfRule type="cellIs" dxfId="10"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14"/>
  <sheetViews>
    <sheetView showGridLines="0" zoomScaleNormal="100" workbookViewId="0">
      <pane ySplit="10" topLeftCell="A11" activePane="bottomLeft" state="frozen"/>
      <selection activeCell="E32" sqref="E32"/>
      <selection pane="bottomLeft" activeCell="E11" sqref="E11:E12"/>
    </sheetView>
  </sheetViews>
  <sheetFormatPr defaultColWidth="9.140625" defaultRowHeight="13.5"/>
  <cols>
    <col min="1" max="1" width="26.140625" style="4" bestFit="1" customWidth="1"/>
    <col min="2" max="2" width="47.85546875" style="4" bestFit="1" customWidth="1"/>
    <col min="3" max="3" width="12.85546875" style="4" customWidth="1"/>
    <col min="4" max="4" width="17.42578125" style="4" customWidth="1"/>
    <col min="5" max="5" width="10.140625" style="4" bestFit="1" customWidth="1"/>
    <col min="6" max="6" width="13.28515625" style="4" bestFit="1" customWidth="1"/>
    <col min="7" max="7" width="12.140625" style="4" bestFit="1" customWidth="1"/>
    <col min="8" max="8" width="12.140625" style="4" customWidth="1"/>
    <col min="9" max="9" width="19.85546875" style="4" customWidth="1"/>
    <col min="10" max="16384" width="9.140625" style="4"/>
  </cols>
  <sheetData>
    <row r="1" spans="1:9">
      <c r="A1" s="457" t="s">
        <v>26</v>
      </c>
    </row>
    <row r="3" spans="1:9" ht="17.25">
      <c r="A3" s="83" t="str">
        <f>'1-Contractblad totaal'!A3</f>
        <v>Naam opdrachtgever</v>
      </c>
      <c r="B3" s="141" t="str">
        <f>'1-Contractblad totaal'!B3</f>
        <v>Gemeente Smallingerland</v>
      </c>
    </row>
    <row r="4" spans="1:9" ht="17.25">
      <c r="A4" s="83" t="str">
        <f>'1-Contractblad totaal'!A4</f>
        <v>Calculatie onderdeel</v>
      </c>
      <c r="B4" s="141" t="str">
        <f ca="1">MID(CELL("bestandsnaam",$C$9),SEARCH("]",CELL("bestandsnaam",$C$9),1)+1,256)</f>
        <v>8-Additionele werkzaamheden</v>
      </c>
    </row>
    <row r="5" spans="1:9" ht="17.25">
      <c r="A5" s="83" t="str">
        <f>'1-Contractblad totaal'!A5</f>
        <v>Gebouw/plaats</v>
      </c>
      <c r="B5" s="141" t="str">
        <f>'1-Contractblad totaal'!B5</f>
        <v>Drachten</v>
      </c>
    </row>
    <row r="6" spans="1:9" ht="17.25">
      <c r="A6" s="83" t="str">
        <f>'1-Contractblad totaal'!A6</f>
        <v>Referentie nummer</v>
      </c>
      <c r="B6" s="141" t="str">
        <f>'1-Contractblad totaal'!B6</f>
        <v>GS-EA-AS-2020</v>
      </c>
      <c r="E6" s="323"/>
    </row>
    <row r="7" spans="1:9" ht="15" customHeight="1">
      <c r="A7" s="83" t="str">
        <f>'1-Contractblad totaal'!A8</f>
        <v>Naam dienstverlener</v>
      </c>
      <c r="B7" s="141">
        <f>'1-Contractblad totaal'!B8</f>
        <v>0</v>
      </c>
      <c r="E7" s="324"/>
      <c r="F7" s="324"/>
      <c r="G7" s="324"/>
      <c r="H7" s="324"/>
      <c r="I7" s="324"/>
    </row>
    <row r="8" spans="1:9" ht="15.75">
      <c r="A8" s="83" t="str">
        <f>'1-Contractblad totaal'!A9</f>
        <v>Prijspeil</v>
      </c>
      <c r="B8" s="113">
        <f>'1-Contractblad totaal'!B9</f>
        <v>44013</v>
      </c>
      <c r="E8" s="324"/>
      <c r="F8" s="324"/>
      <c r="G8" s="324"/>
      <c r="H8" s="324"/>
      <c r="I8" s="324"/>
    </row>
    <row r="10" spans="1:9" ht="25.5">
      <c r="A10" s="331" t="s">
        <v>109</v>
      </c>
      <c r="B10" s="331" t="s">
        <v>171</v>
      </c>
      <c r="C10" s="331" t="s">
        <v>166</v>
      </c>
      <c r="D10" s="331" t="s">
        <v>532</v>
      </c>
      <c r="E10" s="331" t="s">
        <v>167</v>
      </c>
      <c r="F10" s="331" t="s">
        <v>168</v>
      </c>
      <c r="G10" s="331" t="s">
        <v>169</v>
      </c>
      <c r="H10" s="331" t="s">
        <v>170</v>
      </c>
    </row>
    <row r="11" spans="1:9">
      <c r="A11" s="325" t="s">
        <v>240</v>
      </c>
      <c r="B11" s="326" t="s">
        <v>530</v>
      </c>
      <c r="C11" s="327">
        <v>12</v>
      </c>
      <c r="D11" s="327">
        <v>4</v>
      </c>
      <c r="E11" s="521"/>
      <c r="F11" s="468">
        <f>C11*D11*E11</f>
        <v>0</v>
      </c>
      <c r="G11" s="458" t="e">
        <f>'1-Contractblad totaal'!G19</f>
        <v>#DIV/0!</v>
      </c>
      <c r="H11" s="328" t="e">
        <f>G11*F11</f>
        <v>#DIV/0!</v>
      </c>
    </row>
    <row r="12" spans="1:9">
      <c r="A12" s="325" t="s">
        <v>240</v>
      </c>
      <c r="B12" s="326" t="s">
        <v>531</v>
      </c>
      <c r="C12" s="327">
        <v>191</v>
      </c>
      <c r="D12" s="327">
        <v>255</v>
      </c>
      <c r="E12" s="521"/>
      <c r="F12" s="468">
        <f t="shared" ref="F12" si="0">E12*D12</f>
        <v>0</v>
      </c>
      <c r="G12" s="458" t="e">
        <f>'1-Contractblad totaal'!G19</f>
        <v>#DIV/0!</v>
      </c>
      <c r="H12" s="328" t="e">
        <f t="shared" ref="H12" si="1">G12*F12</f>
        <v>#DIV/0!</v>
      </c>
    </row>
    <row r="14" spans="1:9" s="152" customFormat="1" ht="12.75">
      <c r="A14" s="329" t="s">
        <v>8</v>
      </c>
      <c r="B14" s="330"/>
      <c r="C14" s="330"/>
      <c r="D14" s="330"/>
      <c r="E14" s="330"/>
      <c r="F14" s="469">
        <f>SUM(F11:F12)</f>
        <v>0</v>
      </c>
      <c r="G14" s="330"/>
      <c r="H14" s="297" t="e">
        <f>SUM(H11:H12)</f>
        <v>#DIV/0!</v>
      </c>
    </row>
  </sheetData>
  <pageMargins left="0.59375" right="0.7" top="0.75" bottom="0.75" header="0.3" footer="0.3"/>
  <pageSetup paperSize="9" scale="89" fitToHeight="0" orientation="landscape" r:id="rId1"/>
  <headerFooter>
    <oddFooter>&amp;L&amp;F-&amp;A
Atir b.v. ©&amp;Rprintversie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11</vt:i4>
      </vt:variant>
      <vt:variant>
        <vt:lpstr>Benoemde bereiken</vt:lpstr>
      </vt:variant>
      <vt:variant>
        <vt:i4>14</vt:i4>
      </vt:variant>
    </vt:vector>
  </HeadingPairs>
  <TitlesOfParts>
    <vt:vector size="25" baseType="lpstr">
      <vt:lpstr>Info blad</vt:lpstr>
      <vt:lpstr>1-Contractblad totaal</vt:lpstr>
      <vt:lpstr>2-Kosten per locatie</vt:lpstr>
      <vt:lpstr>3-Productie normen</vt:lpstr>
      <vt:lpstr>4-Basis ruimtestaat</vt:lpstr>
      <vt:lpstr>5-Premies en opslagen</vt:lpstr>
      <vt:lpstr>6-Opbouw uurtarief productie</vt:lpstr>
      <vt:lpstr>7-Opbouw uurtarief toezicht</vt:lpstr>
      <vt:lpstr>8-Additionele werkzaamheden</vt:lpstr>
      <vt:lpstr>9-Afroepprijs</vt:lpstr>
      <vt:lpstr>10-Glasbewassing</vt:lpstr>
      <vt:lpstr>'1-Contractblad totaal'!Afdrukbereik</vt:lpstr>
      <vt:lpstr>'2-Kosten per locatie'!Afdrukbereik</vt:lpstr>
      <vt:lpstr>'4-Basis ruimtestaat'!Afdrukbereik</vt:lpstr>
      <vt:lpstr>'5-Premies en opslagen'!Afdrukbereik</vt:lpstr>
      <vt:lpstr>'6-Opbouw uurtarief productie'!Afdrukbereik</vt:lpstr>
      <vt:lpstr>'9-Afroepprijs'!Afdrukbereik</vt:lpstr>
      <vt:lpstr>'Info blad'!Afdrukbereik</vt:lpstr>
      <vt:lpstr>'10-Glasbewassing'!Afdruktitels</vt:lpstr>
      <vt:lpstr>'2-Kosten per locatie'!Afdruktitels</vt:lpstr>
      <vt:lpstr>'4-Basis ruimtestaat'!Afdruktitels</vt:lpstr>
      <vt:lpstr>'6-Opbouw uurtarief productie'!Afdruktitels</vt:lpstr>
      <vt:lpstr>'9-Afroepprijs'!Afdruktitels</vt:lpstr>
      <vt:lpstr>gebouw</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Afke Schokker</cp:lastModifiedBy>
  <cp:lastPrinted>2018-08-21T11:53:14Z</cp:lastPrinted>
  <dcterms:created xsi:type="dcterms:W3CDTF">1999-10-05T12:28:40Z</dcterms:created>
  <dcterms:modified xsi:type="dcterms:W3CDTF">2020-06-02T10:58:43Z</dcterms:modified>
</cp:coreProperties>
</file>