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fileSharing readOnlyRecommended="1"/>
  <workbookPr hidePivotFieldList="1"/>
  <mc:AlternateContent xmlns:mc="http://schemas.openxmlformats.org/markup-compatibility/2006">
    <mc:Choice Requires="x15">
      <x15ac:absPath xmlns:x15ac="http://schemas.microsoft.com/office/spreadsheetml/2010/11/ac" url="F:\AtirLLSProductie\Atir\Projecten algemeen\In behandeling\Juridisch Loket\6. Aanbestedingsdocumenten\3. Calculatie\"/>
    </mc:Choice>
  </mc:AlternateContent>
  <xr:revisionPtr revIDLastSave="0" documentId="13_ncr:1_{CB081EAD-5C32-49A9-BB44-8514B6254206}" xr6:coauthVersionLast="45" xr6:coauthVersionMax="45" xr10:uidLastSave="{00000000-0000-0000-0000-000000000000}"/>
  <bookViews>
    <workbookView xWindow="-108" yWindow="-108" windowWidth="23256" windowHeight="12576" tabRatio="927"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froepprijs" sheetId="5" r:id="rId9"/>
    <sheet name="9-Glasbewassing" sheetId="35" r:id="rId10"/>
    <sheet name="10-Nulsituatie vloeren" sheetId="41"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F" hidden="1">[1]Psychiatrie!#REF!</definedName>
    <definedName name="__2_0_F" hidden="1">[1]Psychiatrie!#REF!</definedName>
    <definedName name="_1_________F" hidden="1">[1]Psychiatrie!#REF!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 hidden="1">'[3]#REF'!#REF!</definedName>
    <definedName name="_Fill" localSheetId="2" hidden="1">'[4]#REF'!#REF!</definedName>
    <definedName name="_Fill" localSheetId="9" hidden="1">'[2]#REF'!#REF!</definedName>
    <definedName name="_Fill" localSheetId="0" hidden="1">'[4]#REF'!#REF!</definedName>
    <definedName name="_Fill" hidden="1">'[4]#REF'!#REF!</definedName>
    <definedName name="_filll" hidden="1">'[5]#REF'!#REF!</definedName>
    <definedName name="_xlnm._FilterDatabase" localSheetId="10" hidden="1">'10-Nulsituatie vloeren'!$A$12:$Z$110</definedName>
    <definedName name="_xlnm._FilterDatabase" localSheetId="2" hidden="1">'2-Kosten per locatie'!$A$10:$E$43</definedName>
    <definedName name="_xlnm._FilterDatabase" localSheetId="4" hidden="1">'4-Basis ruimtestaat'!$B$9:$AD$531</definedName>
    <definedName name="_xlnm._FilterDatabase" localSheetId="9" hidden="1">'9-Glasbewassing'!$A$12:$AD$82</definedName>
    <definedName name="_Key1" localSheetId="10" hidden="1">'[2]#REF'!#REF!</definedName>
    <definedName name="_Key1" localSheetId="1" hidden="1">'[3]#REF'!#REF!</definedName>
    <definedName name="_Key1" localSheetId="2" hidden="1">'[4]#REF'!#REF!</definedName>
    <definedName name="_Key1" localSheetId="9" hidden="1">'[2]#REF'!#REF!</definedName>
    <definedName name="_Key1" localSheetId="0" hidden="1">'[4]#REF'!#REF!</definedName>
    <definedName name="_Key1" hidden="1">'[4]#REF'!#REF!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'1-Contractblad totaal'!$A$1:$H$51</definedName>
    <definedName name="_xlnm.Print_Area" localSheetId="2">'2-Kosten per locatie'!$A$3:$T$42</definedName>
    <definedName name="_xlnm.Print_Area" localSheetId="4">'4-Basis ruimtestaat'!$B$3:$AD$531</definedName>
    <definedName name="_xlnm.Print_Area" localSheetId="5">'5-Premies en opslagen'!$A$3:$E$54</definedName>
    <definedName name="_xlnm.Print_Area" localSheetId="6">'6-Opbouw uurtarief productie'!$A$1:$R$64</definedName>
    <definedName name="_xlnm.Print_Area" localSheetId="8">'8-Afroepprijs'!$A$3:$F$63</definedName>
    <definedName name="_xlnm.Print_Area" localSheetId="0">'Info blad'!$A$1:$F$20</definedName>
    <definedName name="_xlnm.Print_Titles" localSheetId="10">'10-Nulsituatie vloeren'!$12:$12</definedName>
    <definedName name="_xlnm.Print_Titles" localSheetId="2">'2-Kosten per locatie'!$10:$10</definedName>
    <definedName name="_xlnm.Print_Titles" localSheetId="4">'4-Basis ruimtestaat'!$9:$9</definedName>
    <definedName name="_xlnm.Print_Titles" localSheetId="6">'6-Opbouw uurtarief productie'!$A:$C</definedName>
    <definedName name="_xlnm.Print_Titles" localSheetId="8">'8-Afroepprijs'!$6:$10</definedName>
    <definedName name="_xlnm.Print_Titles" localSheetId="9">'9-Glasbewassing'!$12:$12</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hidden="1">'[6]#REF'!#REF!</definedName>
    <definedName name="einde" localSheetId="2">'2-Kosten per locatie'!einde</definedName>
    <definedName name="einde">'2-Kosten per locatie'!einde</definedName>
    <definedName name="fghf" hidden="1">'[3]#REF'!#REF!</definedName>
    <definedName name="Gan_R" localSheetId="2">'2-Kosten per locatie'!Gan_R</definedName>
    <definedName name="Gan_R">'2-Kosten per locatie'!Gan_R</definedName>
    <definedName name="gebouw" localSheetId="2">'2-Kosten per locatie'!$A:$A</definedName>
    <definedName name="gebouw">'4-Basis ruimtestaat'!$B:$B</definedName>
    <definedName name="glas" localSheetId="2">'2-Kosten per locatie'!glas</definedName>
    <definedName name="glas">'2-Kosten per locatie'!glas</definedName>
    <definedName name="glassoort">'[7]10-Glasstaat'!$I$2:$J$14</definedName>
    <definedName name="Glassoort2">'[8]10-Glasstaat'!$I$2:$J$14</definedName>
    <definedName name="gs" hidden="1">'[6]#REF'!#REF!</definedName>
    <definedName name="han" localSheetId="10" hidden="1">'[2]#REF'!#REF!</definedName>
    <definedName name="han" localSheetId="1" hidden="1">'[3]#REF'!#REF!</definedName>
    <definedName name="han" localSheetId="2" hidden="1">'[4]#REF'!#REF!</definedName>
    <definedName name="han" localSheetId="9" hidden="1">'[2]#REF'!#REF!</definedName>
    <definedName name="han" hidden="1">'[4]#REF'!#REF!</definedName>
    <definedName name="hjkjhkj">[9]Totaaloverzicht!$A$10:$L$37</definedName>
    <definedName name="HTML_CodePage" hidden="1">1252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hidden="1">{"'ma_vr'!$A$1:$AA$42"}</definedName>
    <definedName name="naloop">'[13]3-Basis ruimtestaat'!$N:$N</definedName>
    <definedName name="NvB" hidden="1">'[5]#REF'!#REF!</definedName>
    <definedName name="uren_mavr">'4-Basis ruimtestaat'!$R:$R</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2" i="32" l="1"/>
  <c r="AD325" i="2" l="1"/>
  <c r="AA325" i="2"/>
  <c r="W325" i="2"/>
  <c r="R325" i="2" s="1"/>
  <c r="D14" i="41" l="1"/>
  <c r="E14" i="41" s="1"/>
  <c r="D15" i="41"/>
  <c r="E15" i="41" s="1"/>
  <c r="D16" i="41"/>
  <c r="E16" i="41" s="1"/>
  <c r="D17" i="41"/>
  <c r="E17" i="41" s="1"/>
  <c r="D18" i="41"/>
  <c r="E18" i="41" s="1"/>
  <c r="D19" i="41"/>
  <c r="E19" i="41" s="1"/>
  <c r="D20" i="41"/>
  <c r="E20" i="41" s="1"/>
  <c r="D21" i="41"/>
  <c r="E21" i="41" s="1"/>
  <c r="D22" i="41"/>
  <c r="E22" i="41" s="1"/>
  <c r="D23" i="41"/>
  <c r="E23" i="41" s="1"/>
  <c r="D24" i="41"/>
  <c r="E24" i="41" s="1"/>
  <c r="D25" i="41"/>
  <c r="E25" i="41" s="1"/>
  <c r="D26" i="41"/>
  <c r="E26" i="41" s="1"/>
  <c r="D27" i="41"/>
  <c r="E27" i="41" s="1"/>
  <c r="D28" i="41"/>
  <c r="E28" i="41" s="1"/>
  <c r="D29" i="41"/>
  <c r="E29" i="41" s="1"/>
  <c r="D30" i="41"/>
  <c r="E30" i="41" s="1"/>
  <c r="D31" i="41"/>
  <c r="E31" i="41" s="1"/>
  <c r="D32" i="41"/>
  <c r="E32" i="41" s="1"/>
  <c r="D33" i="41"/>
  <c r="E33" i="41" s="1"/>
  <c r="D34" i="41"/>
  <c r="E34" i="41" s="1"/>
  <c r="D35" i="41"/>
  <c r="E35" i="41" s="1"/>
  <c r="D36" i="41"/>
  <c r="E36" i="41" s="1"/>
  <c r="D37" i="41"/>
  <c r="E37" i="41" s="1"/>
  <c r="D38" i="41"/>
  <c r="E38" i="41" s="1"/>
  <c r="D39" i="41"/>
  <c r="E39" i="41" s="1"/>
  <c r="D40" i="41"/>
  <c r="E40" i="41" s="1"/>
  <c r="D41" i="41"/>
  <c r="E41" i="41" s="1"/>
  <c r="D42" i="41"/>
  <c r="E42" i="41" s="1"/>
  <c r="D43" i="41"/>
  <c r="E43" i="41" s="1"/>
  <c r="D44" i="41"/>
  <c r="E44" i="41" s="1"/>
  <c r="D45" i="41"/>
  <c r="E45" i="41" s="1"/>
  <c r="D46" i="41"/>
  <c r="E46" i="41" s="1"/>
  <c r="D47" i="41"/>
  <c r="E47" i="41" s="1"/>
  <c r="D48" i="41"/>
  <c r="E48" i="41" s="1"/>
  <c r="D49" i="41"/>
  <c r="E49" i="41" s="1"/>
  <c r="D50" i="41"/>
  <c r="E50" i="41" s="1"/>
  <c r="D51" i="41"/>
  <c r="E51" i="41" s="1"/>
  <c r="D52" i="41"/>
  <c r="E52" i="41" s="1"/>
  <c r="D53" i="41"/>
  <c r="E53" i="41" s="1"/>
  <c r="D54" i="41"/>
  <c r="E54" i="41" s="1"/>
  <c r="D55" i="41"/>
  <c r="E55" i="41" s="1"/>
  <c r="D56" i="41"/>
  <c r="E56" i="41" s="1"/>
  <c r="D57" i="41"/>
  <c r="E57" i="41" s="1"/>
  <c r="D58" i="41"/>
  <c r="E58" i="41" s="1"/>
  <c r="D59" i="41"/>
  <c r="E59" i="41" s="1"/>
  <c r="D60" i="41"/>
  <c r="E60" i="41" s="1"/>
  <c r="D61" i="41"/>
  <c r="E61" i="41" s="1"/>
  <c r="D62" i="41"/>
  <c r="E62" i="41" s="1"/>
  <c r="D63" i="41"/>
  <c r="E63" i="41" s="1"/>
  <c r="D64" i="41"/>
  <c r="E64" i="41" s="1"/>
  <c r="D65" i="41"/>
  <c r="E65" i="41" s="1"/>
  <c r="D66" i="41"/>
  <c r="E66" i="41" s="1"/>
  <c r="D67" i="41"/>
  <c r="E67" i="41" s="1"/>
  <c r="D68" i="41"/>
  <c r="E68" i="41" s="1"/>
  <c r="D69" i="41"/>
  <c r="E69" i="41" s="1"/>
  <c r="D70" i="41"/>
  <c r="E70" i="41" s="1"/>
  <c r="D71" i="41"/>
  <c r="E71" i="41" s="1"/>
  <c r="D72" i="41"/>
  <c r="E72" i="41" s="1"/>
  <c r="D73" i="41"/>
  <c r="E73" i="41" s="1"/>
  <c r="D74" i="41"/>
  <c r="E74" i="41" s="1"/>
  <c r="D75" i="41"/>
  <c r="E75" i="41" s="1"/>
  <c r="D76" i="41"/>
  <c r="E76" i="41" s="1"/>
  <c r="D77" i="41"/>
  <c r="E77" i="41" s="1"/>
  <c r="D78" i="41"/>
  <c r="E78" i="41" s="1"/>
  <c r="D79" i="41"/>
  <c r="E79" i="41" s="1"/>
  <c r="D80" i="41"/>
  <c r="E80" i="41" s="1"/>
  <c r="D81" i="41"/>
  <c r="E81" i="41" s="1"/>
  <c r="D82" i="41"/>
  <c r="E82" i="41" s="1"/>
  <c r="D83" i="41"/>
  <c r="E83" i="41" s="1"/>
  <c r="D84" i="41"/>
  <c r="E84" i="41" s="1"/>
  <c r="D85" i="41"/>
  <c r="E85" i="41" s="1"/>
  <c r="D86" i="41"/>
  <c r="E86" i="41" s="1"/>
  <c r="D87" i="41"/>
  <c r="E87" i="41" s="1"/>
  <c r="D88" i="41"/>
  <c r="E88" i="41" s="1"/>
  <c r="D89" i="41"/>
  <c r="E89" i="41" s="1"/>
  <c r="D90" i="41"/>
  <c r="E90" i="41" s="1"/>
  <c r="D91" i="41"/>
  <c r="E91" i="41" s="1"/>
  <c r="D92" i="41"/>
  <c r="E92" i="41" s="1"/>
  <c r="D93" i="41"/>
  <c r="E93" i="41" s="1"/>
  <c r="D94" i="41"/>
  <c r="E94" i="41" s="1"/>
  <c r="D95" i="41"/>
  <c r="E95" i="41" s="1"/>
  <c r="D96" i="41"/>
  <c r="E96" i="41" s="1"/>
  <c r="D97" i="41"/>
  <c r="E97" i="41" s="1"/>
  <c r="D98" i="41"/>
  <c r="E98" i="41" s="1"/>
  <c r="D99" i="41"/>
  <c r="E99" i="41" s="1"/>
  <c r="D100" i="41"/>
  <c r="E100" i="41" s="1"/>
  <c r="D101" i="41"/>
  <c r="E101" i="41" s="1"/>
  <c r="D102" i="41"/>
  <c r="E102" i="41" s="1"/>
  <c r="D103" i="41"/>
  <c r="E103" i="41" s="1"/>
  <c r="D104" i="41"/>
  <c r="E104" i="41" s="1"/>
  <c r="D105" i="41"/>
  <c r="E105" i="41" s="1"/>
  <c r="D106" i="41"/>
  <c r="E106" i="41" s="1"/>
  <c r="D107" i="41"/>
  <c r="E107" i="41" s="1"/>
  <c r="D108" i="41"/>
  <c r="E108" i="41" s="1"/>
  <c r="D13" i="41"/>
  <c r="E13" i="41" s="1"/>
  <c r="B16" i="37" l="1"/>
  <c r="S205" i="2"/>
  <c r="T205" i="2"/>
  <c r="U205" i="2"/>
  <c r="W205" i="2"/>
  <c r="R205" i="2" s="1"/>
  <c r="X205" i="2"/>
  <c r="Y205" i="2"/>
  <c r="Z205" i="2"/>
  <c r="AA205" i="2"/>
  <c r="AD205" i="2"/>
  <c r="S206" i="2"/>
  <c r="T206" i="2"/>
  <c r="U206" i="2"/>
  <c r="W206" i="2"/>
  <c r="R206" i="2" s="1"/>
  <c r="X206" i="2"/>
  <c r="Y206" i="2"/>
  <c r="Z206" i="2"/>
  <c r="AA206" i="2"/>
  <c r="AD206" i="2"/>
  <c r="S207" i="2"/>
  <c r="T207" i="2"/>
  <c r="U207" i="2"/>
  <c r="W207" i="2"/>
  <c r="R207" i="2" s="1"/>
  <c r="X207" i="2"/>
  <c r="Y207" i="2"/>
  <c r="Z207" i="2"/>
  <c r="AA207" i="2"/>
  <c r="AD207" i="2"/>
  <c r="S208" i="2"/>
  <c r="T208" i="2"/>
  <c r="U208" i="2"/>
  <c r="W208" i="2"/>
  <c r="R208" i="2" s="1"/>
  <c r="X208" i="2"/>
  <c r="Y208" i="2"/>
  <c r="Z208" i="2"/>
  <c r="AA208" i="2"/>
  <c r="AD208" i="2"/>
  <c r="S209" i="2"/>
  <c r="T209" i="2"/>
  <c r="U209" i="2"/>
  <c r="W209" i="2"/>
  <c r="R209" i="2" s="1"/>
  <c r="X209" i="2"/>
  <c r="Y209" i="2"/>
  <c r="Z209" i="2"/>
  <c r="AA209" i="2"/>
  <c r="AD209" i="2"/>
  <c r="S210" i="2"/>
  <c r="T210" i="2"/>
  <c r="U210" i="2"/>
  <c r="W210" i="2"/>
  <c r="R210" i="2" s="1"/>
  <c r="X210" i="2"/>
  <c r="Y210" i="2"/>
  <c r="Z210" i="2"/>
  <c r="AA210" i="2"/>
  <c r="AD210" i="2"/>
  <c r="S211" i="2"/>
  <c r="T211" i="2"/>
  <c r="U211" i="2"/>
  <c r="W211" i="2"/>
  <c r="R211" i="2" s="1"/>
  <c r="X211" i="2"/>
  <c r="Y211" i="2"/>
  <c r="Z211" i="2"/>
  <c r="AA211" i="2"/>
  <c r="AD211" i="2"/>
  <c r="S212" i="2"/>
  <c r="T212" i="2"/>
  <c r="U212" i="2"/>
  <c r="W212" i="2"/>
  <c r="R212" i="2" s="1"/>
  <c r="X212" i="2"/>
  <c r="Y212" i="2"/>
  <c r="Z212" i="2"/>
  <c r="AA212" i="2"/>
  <c r="AD212" i="2"/>
  <c r="S213" i="2"/>
  <c r="T213" i="2"/>
  <c r="U213" i="2"/>
  <c r="W213" i="2"/>
  <c r="R213" i="2" s="1"/>
  <c r="X213" i="2"/>
  <c r="Y213" i="2"/>
  <c r="Z213" i="2"/>
  <c r="AA213" i="2"/>
  <c r="AD213" i="2"/>
  <c r="S214" i="2"/>
  <c r="T214" i="2"/>
  <c r="U214" i="2"/>
  <c r="W214" i="2"/>
  <c r="R214" i="2" s="1"/>
  <c r="X214" i="2"/>
  <c r="Y214" i="2"/>
  <c r="Z214" i="2"/>
  <c r="AA214" i="2"/>
  <c r="AD214" i="2"/>
  <c r="R215" i="2"/>
  <c r="S215" i="2"/>
  <c r="T215" i="2"/>
  <c r="U215" i="2"/>
  <c r="W215" i="2"/>
  <c r="X215" i="2"/>
  <c r="Y215" i="2"/>
  <c r="Z215" i="2"/>
  <c r="AA215" i="2"/>
  <c r="AD215" i="2"/>
  <c r="S216" i="2"/>
  <c r="T216" i="2"/>
  <c r="U216" i="2"/>
  <c r="W216" i="2"/>
  <c r="R216" i="2" s="1"/>
  <c r="X216" i="2"/>
  <c r="Y216" i="2"/>
  <c r="Z216" i="2"/>
  <c r="AA216" i="2"/>
  <c r="AD216" i="2"/>
  <c r="D16" i="37" l="1"/>
  <c r="C46" i="35"/>
  <c r="G16" i="37" l="1"/>
  <c r="B8" i="41"/>
  <c r="A8" i="41"/>
  <c r="B7" i="41"/>
  <c r="A7" i="41"/>
  <c r="B6" i="41"/>
  <c r="A6" i="41"/>
  <c r="B5" i="41"/>
  <c r="A5" i="41"/>
  <c r="B4" i="41"/>
  <c r="A4" i="41"/>
  <c r="B3" i="41"/>
  <c r="A3" i="41"/>
  <c r="C110" i="41" l="1"/>
  <c r="W364" i="2"/>
  <c r="R364" i="2" s="1"/>
  <c r="W365" i="2"/>
  <c r="R365" i="2" s="1"/>
  <c r="W366" i="2"/>
  <c r="R366" i="2" s="1"/>
  <c r="W367" i="2"/>
  <c r="R367" i="2" s="1"/>
  <c r="W10" i="2"/>
  <c r="R10" i="2" s="1"/>
  <c r="W11" i="2"/>
  <c r="R11" i="2" s="1"/>
  <c r="W12" i="2"/>
  <c r="R12" i="2" s="1"/>
  <c r="W13" i="2"/>
  <c r="R13" i="2" s="1"/>
  <c r="W14" i="2"/>
  <c r="R14" i="2" s="1"/>
  <c r="W15" i="2"/>
  <c r="R15" i="2" s="1"/>
  <c r="W16" i="2"/>
  <c r="R16" i="2" s="1"/>
  <c r="W18" i="2"/>
  <c r="R18" i="2" s="1"/>
  <c r="W19" i="2"/>
  <c r="R19" i="2" s="1"/>
  <c r="W20" i="2"/>
  <c r="R20" i="2" s="1"/>
  <c r="W21" i="2"/>
  <c r="R21" i="2" s="1"/>
  <c r="W22" i="2"/>
  <c r="R22" i="2" s="1"/>
  <c r="W23" i="2"/>
  <c r="R23" i="2" s="1"/>
  <c r="W24" i="2"/>
  <c r="R24" i="2" s="1"/>
  <c r="W25" i="2"/>
  <c r="R25" i="2" s="1"/>
  <c r="W26" i="2"/>
  <c r="R26" i="2" s="1"/>
  <c r="W27" i="2"/>
  <c r="R27" i="2" s="1"/>
  <c r="W28" i="2"/>
  <c r="R28" i="2" s="1"/>
  <c r="W29" i="2"/>
  <c r="R29" i="2" s="1"/>
  <c r="W30" i="2"/>
  <c r="R30" i="2" s="1"/>
  <c r="W31" i="2"/>
  <c r="R31" i="2" s="1"/>
  <c r="W32" i="2"/>
  <c r="R32" i="2" s="1"/>
  <c r="R33" i="2"/>
  <c r="R35" i="2"/>
  <c r="W36" i="2"/>
  <c r="R36" i="2" s="1"/>
  <c r="W37" i="2"/>
  <c r="R37" i="2" s="1"/>
  <c r="W38" i="2"/>
  <c r="R38" i="2" s="1"/>
  <c r="W39" i="2"/>
  <c r="R39" i="2" s="1"/>
  <c r="W40" i="2"/>
  <c r="R40" i="2" s="1"/>
  <c r="W41" i="2"/>
  <c r="R41" i="2" s="1"/>
  <c r="W42" i="2"/>
  <c r="R42" i="2" s="1"/>
  <c r="W43" i="2"/>
  <c r="R43" i="2" s="1"/>
  <c r="W44" i="2"/>
  <c r="R44" i="2" s="1"/>
  <c r="W45" i="2"/>
  <c r="R45" i="2" s="1"/>
  <c r="W46" i="2"/>
  <c r="R46" i="2" s="1"/>
  <c r="R47" i="2"/>
  <c r="W48" i="2"/>
  <c r="R48" i="2" s="1"/>
  <c r="W49" i="2"/>
  <c r="R49" i="2" s="1"/>
  <c r="W50" i="2"/>
  <c r="R50" i="2" s="1"/>
  <c r="W51" i="2"/>
  <c r="R51" i="2" s="1"/>
  <c r="W52" i="2"/>
  <c r="R52" i="2" s="1"/>
  <c r="W53" i="2"/>
  <c r="R53" i="2" s="1"/>
  <c r="W54" i="2"/>
  <c r="R54" i="2" s="1"/>
  <c r="W56" i="2"/>
  <c r="R56" i="2" s="1"/>
  <c r="W57" i="2"/>
  <c r="R57" i="2" s="1"/>
  <c r="W58" i="2"/>
  <c r="R58" i="2" s="1"/>
  <c r="W59" i="2"/>
  <c r="R59" i="2" s="1"/>
  <c r="W60" i="2"/>
  <c r="R60" i="2" s="1"/>
  <c r="W61" i="2"/>
  <c r="R61" i="2" s="1"/>
  <c r="W62" i="2"/>
  <c r="R62" i="2" s="1"/>
  <c r="W64" i="2"/>
  <c r="R64" i="2" s="1"/>
  <c r="W65" i="2"/>
  <c r="R65" i="2" s="1"/>
  <c r="W66" i="2"/>
  <c r="R66" i="2" s="1"/>
  <c r="W67" i="2"/>
  <c r="R67" i="2" s="1"/>
  <c r="W68" i="2"/>
  <c r="R68" i="2" s="1"/>
  <c r="W69" i="2"/>
  <c r="R69" i="2" s="1"/>
  <c r="W70" i="2"/>
  <c r="R70" i="2" s="1"/>
  <c r="W72" i="2"/>
  <c r="R72" i="2" s="1"/>
  <c r="W73" i="2"/>
  <c r="R73" i="2" s="1"/>
  <c r="W74" i="2"/>
  <c r="R74" i="2" s="1"/>
  <c r="W75" i="2"/>
  <c r="R75" i="2" s="1"/>
  <c r="W76" i="2"/>
  <c r="R76" i="2" s="1"/>
  <c r="R77" i="2"/>
  <c r="W78" i="2"/>
  <c r="R78" i="2" s="1"/>
  <c r="W79" i="2"/>
  <c r="R79" i="2" s="1"/>
  <c r="W81" i="2"/>
  <c r="R81" i="2" s="1"/>
  <c r="W82" i="2"/>
  <c r="R82" i="2" s="1"/>
  <c r="W83" i="2"/>
  <c r="R83" i="2" s="1"/>
  <c r="W84" i="2"/>
  <c r="R84" i="2" s="1"/>
  <c r="W85" i="2"/>
  <c r="R85" i="2" s="1"/>
  <c r="W86" i="2"/>
  <c r="R86" i="2" s="1"/>
  <c r="R87" i="2"/>
  <c r="W88" i="2"/>
  <c r="R88" i="2" s="1"/>
  <c r="W89" i="2"/>
  <c r="R89" i="2" s="1"/>
  <c r="W90" i="2"/>
  <c r="R90" i="2" s="1"/>
  <c r="W91" i="2"/>
  <c r="R91" i="2" s="1"/>
  <c r="W92" i="2"/>
  <c r="R92" i="2" s="1"/>
  <c r="W93" i="2"/>
  <c r="R93" i="2" s="1"/>
  <c r="W94" i="2"/>
  <c r="R94" i="2" s="1"/>
  <c r="W95" i="2"/>
  <c r="R95" i="2" s="1"/>
  <c r="W96" i="2"/>
  <c r="R96" i="2" s="1"/>
  <c r="W97" i="2"/>
  <c r="R97" i="2" s="1"/>
  <c r="W98" i="2"/>
  <c r="R98" i="2" s="1"/>
  <c r="W99" i="2"/>
  <c r="R99" i="2" s="1"/>
  <c r="W100" i="2"/>
  <c r="R100" i="2" s="1"/>
  <c r="W102" i="2"/>
  <c r="R102" i="2" s="1"/>
  <c r="W103" i="2"/>
  <c r="R103" i="2" s="1"/>
  <c r="W104" i="2"/>
  <c r="R104" i="2" s="1"/>
  <c r="R105" i="2"/>
  <c r="W106" i="2"/>
  <c r="R106" i="2" s="1"/>
  <c r="W107" i="2"/>
  <c r="R107" i="2" s="1"/>
  <c r="W108" i="2"/>
  <c r="R108" i="2" s="1"/>
  <c r="W109" i="2"/>
  <c r="R109" i="2" s="1"/>
  <c r="W110" i="2"/>
  <c r="R110" i="2" s="1"/>
  <c r="W111" i="2"/>
  <c r="R111" i="2" s="1"/>
  <c r="W112" i="2"/>
  <c r="R112" i="2" s="1"/>
  <c r="W113" i="2"/>
  <c r="R113" i="2" s="1"/>
  <c r="W114" i="2"/>
  <c r="R114" i="2" s="1"/>
  <c r="W117" i="2"/>
  <c r="R117" i="2" s="1"/>
  <c r="W118" i="2"/>
  <c r="R118" i="2" s="1"/>
  <c r="R120" i="2"/>
  <c r="W122" i="2"/>
  <c r="R122" i="2" s="1"/>
  <c r="W123" i="2"/>
  <c r="R123" i="2" s="1"/>
  <c r="W124" i="2"/>
  <c r="R124" i="2" s="1"/>
  <c r="W125" i="2"/>
  <c r="R125" i="2" s="1"/>
  <c r="W126" i="2"/>
  <c r="R126" i="2" s="1"/>
  <c r="W127" i="2"/>
  <c r="R127" i="2" s="1"/>
  <c r="W128" i="2"/>
  <c r="R128" i="2" s="1"/>
  <c r="W129" i="2"/>
  <c r="R129" i="2" s="1"/>
  <c r="W130" i="2"/>
  <c r="R130" i="2" s="1"/>
  <c r="W131" i="2"/>
  <c r="R131" i="2" s="1"/>
  <c r="W132" i="2"/>
  <c r="R132" i="2" s="1"/>
  <c r="W133" i="2"/>
  <c r="R133" i="2" s="1"/>
  <c r="W134" i="2"/>
  <c r="R134" i="2" s="1"/>
  <c r="W135" i="2"/>
  <c r="R135" i="2" s="1"/>
  <c r="W136" i="2"/>
  <c r="R136" i="2" s="1"/>
  <c r="W137" i="2"/>
  <c r="R137" i="2" s="1"/>
  <c r="W138" i="2"/>
  <c r="R138" i="2" s="1"/>
  <c r="R139" i="2"/>
  <c r="W140" i="2"/>
  <c r="R140" i="2" s="1"/>
  <c r="W141" i="2"/>
  <c r="R141" i="2" s="1"/>
  <c r="W142" i="2"/>
  <c r="R142" i="2" s="1"/>
  <c r="W143" i="2"/>
  <c r="R143" i="2" s="1"/>
  <c r="W144" i="2"/>
  <c r="R144" i="2" s="1"/>
  <c r="W145" i="2"/>
  <c r="R145" i="2" s="1"/>
  <c r="W146" i="2"/>
  <c r="R146" i="2" s="1"/>
  <c r="W147" i="2"/>
  <c r="R147" i="2" s="1"/>
  <c r="W148" i="2"/>
  <c r="R148" i="2" s="1"/>
  <c r="W149" i="2"/>
  <c r="R149" i="2" s="1"/>
  <c r="W150" i="2"/>
  <c r="R150" i="2" s="1"/>
  <c r="W151" i="2"/>
  <c r="R151" i="2" s="1"/>
  <c r="W152" i="2"/>
  <c r="R152" i="2" s="1"/>
  <c r="W153" i="2"/>
  <c r="R153" i="2" s="1"/>
  <c r="W154" i="2"/>
  <c r="R154" i="2" s="1"/>
  <c r="W155" i="2"/>
  <c r="R155" i="2" s="1"/>
  <c r="W156" i="2"/>
  <c r="R156" i="2" s="1"/>
  <c r="W157" i="2"/>
  <c r="R157" i="2" s="1"/>
  <c r="W158" i="2"/>
  <c r="R158" i="2" s="1"/>
  <c r="W159" i="2"/>
  <c r="R159" i="2" s="1"/>
  <c r="W160" i="2"/>
  <c r="R160" i="2" s="1"/>
  <c r="W161" i="2"/>
  <c r="R161" i="2" s="1"/>
  <c r="W162" i="2"/>
  <c r="R162" i="2" s="1"/>
  <c r="W164" i="2"/>
  <c r="R164" i="2" s="1"/>
  <c r="W165" i="2"/>
  <c r="R165" i="2" s="1"/>
  <c r="W166" i="2"/>
  <c r="R166" i="2" s="1"/>
  <c r="W167" i="2"/>
  <c r="R167" i="2" s="1"/>
  <c r="W168" i="2"/>
  <c r="R168" i="2" s="1"/>
  <c r="W169" i="2"/>
  <c r="R169" i="2" s="1"/>
  <c r="W170" i="2"/>
  <c r="R170" i="2" s="1"/>
  <c r="W171" i="2"/>
  <c r="R171" i="2" s="1"/>
  <c r="W172" i="2"/>
  <c r="R172" i="2" s="1"/>
  <c r="W173" i="2"/>
  <c r="R173" i="2" s="1"/>
  <c r="W174" i="2"/>
  <c r="R174" i="2" s="1"/>
  <c r="W175" i="2"/>
  <c r="R175" i="2" s="1"/>
  <c r="W176" i="2"/>
  <c r="R176" i="2" s="1"/>
  <c r="W177" i="2"/>
  <c r="R177" i="2" s="1"/>
  <c r="W178" i="2"/>
  <c r="R178" i="2" s="1"/>
  <c r="W179" i="2"/>
  <c r="R179" i="2" s="1"/>
  <c r="W180" i="2"/>
  <c r="R180" i="2" s="1"/>
  <c r="W181" i="2"/>
  <c r="R181" i="2" s="1"/>
  <c r="W182" i="2"/>
  <c r="R182" i="2" s="1"/>
  <c r="W183" i="2"/>
  <c r="R183" i="2" s="1"/>
  <c r="W184" i="2"/>
  <c r="R184" i="2" s="1"/>
  <c r="W185" i="2"/>
  <c r="R185" i="2" s="1"/>
  <c r="W186" i="2"/>
  <c r="R186" i="2" s="1"/>
  <c r="W187" i="2"/>
  <c r="R187" i="2" s="1"/>
  <c r="W188" i="2"/>
  <c r="R188" i="2" s="1"/>
  <c r="W189" i="2"/>
  <c r="R189" i="2" s="1"/>
  <c r="W190" i="2"/>
  <c r="R190" i="2" s="1"/>
  <c r="W191" i="2"/>
  <c r="R191" i="2" s="1"/>
  <c r="W192" i="2"/>
  <c r="R192" i="2" s="1"/>
  <c r="W193" i="2"/>
  <c r="R193" i="2" s="1"/>
  <c r="W194" i="2"/>
  <c r="R194" i="2" s="1"/>
  <c r="W195" i="2"/>
  <c r="R195" i="2" s="1"/>
  <c r="W196" i="2"/>
  <c r="R196" i="2" s="1"/>
  <c r="W197" i="2"/>
  <c r="R197" i="2" s="1"/>
  <c r="W198" i="2"/>
  <c r="R198" i="2" s="1"/>
  <c r="W199" i="2"/>
  <c r="R199" i="2" s="1"/>
  <c r="W200" i="2"/>
  <c r="R200" i="2" s="1"/>
  <c r="W201" i="2"/>
  <c r="R201" i="2" s="1"/>
  <c r="W202" i="2"/>
  <c r="R202" i="2" s="1"/>
  <c r="W203" i="2"/>
  <c r="R203" i="2" s="1"/>
  <c r="W204" i="2"/>
  <c r="R204" i="2" s="1"/>
  <c r="W217" i="2"/>
  <c r="R217" i="2" s="1"/>
  <c r="W218" i="2"/>
  <c r="R218" i="2" s="1"/>
  <c r="W219" i="2"/>
  <c r="R219" i="2" s="1"/>
  <c r="W220" i="2"/>
  <c r="R220" i="2" s="1"/>
  <c r="W221" i="2"/>
  <c r="R221" i="2" s="1"/>
  <c r="W222" i="2"/>
  <c r="R222" i="2" s="1"/>
  <c r="W223" i="2"/>
  <c r="R223" i="2" s="1"/>
  <c r="W226" i="2"/>
  <c r="R226" i="2" s="1"/>
  <c r="W228" i="2"/>
  <c r="R228" i="2" s="1"/>
  <c r="W229" i="2"/>
  <c r="R229" i="2" s="1"/>
  <c r="W230" i="2"/>
  <c r="R230" i="2" s="1"/>
  <c r="W231" i="2"/>
  <c r="R231" i="2" s="1"/>
  <c r="W232" i="2"/>
  <c r="R232" i="2" s="1"/>
  <c r="W233" i="2"/>
  <c r="R233" i="2" s="1"/>
  <c r="W234" i="2"/>
  <c r="R234" i="2" s="1"/>
  <c r="W235" i="2"/>
  <c r="R235" i="2" s="1"/>
  <c r="W236" i="2"/>
  <c r="R236" i="2" s="1"/>
  <c r="W237" i="2"/>
  <c r="R237" i="2" s="1"/>
  <c r="W238" i="2"/>
  <c r="R238" i="2" s="1"/>
  <c r="W240" i="2"/>
  <c r="R240" i="2" s="1"/>
  <c r="W241" i="2"/>
  <c r="R241" i="2" s="1"/>
  <c r="W242" i="2"/>
  <c r="R242" i="2" s="1"/>
  <c r="R244" i="2"/>
  <c r="W246" i="2"/>
  <c r="R246" i="2" s="1"/>
  <c r="R247" i="2"/>
  <c r="W248" i="2"/>
  <c r="R248" i="2" s="1"/>
  <c r="W249" i="2"/>
  <c r="R249" i="2" s="1"/>
  <c r="W250" i="2"/>
  <c r="R250" i="2" s="1"/>
  <c r="W251" i="2"/>
  <c r="R251" i="2" s="1"/>
  <c r="W252" i="2"/>
  <c r="R252" i="2" s="1"/>
  <c r="W253" i="2"/>
  <c r="R253" i="2" s="1"/>
  <c r="R257" i="2"/>
  <c r="R258" i="2"/>
  <c r="R259" i="2"/>
  <c r="R264" i="2"/>
  <c r="R265" i="2"/>
  <c r="W266" i="2"/>
  <c r="R266" i="2" s="1"/>
  <c r="W267" i="2"/>
  <c r="R267" i="2" s="1"/>
  <c r="W268" i="2"/>
  <c r="R268" i="2" s="1"/>
  <c r="W269" i="2"/>
  <c r="R269" i="2" s="1"/>
  <c r="W270" i="2"/>
  <c r="R270" i="2" s="1"/>
  <c r="W271" i="2"/>
  <c r="R271" i="2" s="1"/>
  <c r="W272" i="2"/>
  <c r="R272" i="2" s="1"/>
  <c r="W273" i="2"/>
  <c r="R273" i="2" s="1"/>
  <c r="W274" i="2"/>
  <c r="R274" i="2" s="1"/>
  <c r="W275" i="2"/>
  <c r="R275" i="2" s="1"/>
  <c r="W276" i="2"/>
  <c r="R276" i="2" s="1"/>
  <c r="W277" i="2"/>
  <c r="R277" i="2" s="1"/>
  <c r="W278" i="2"/>
  <c r="R278" i="2" s="1"/>
  <c r="W279" i="2"/>
  <c r="R279" i="2" s="1"/>
  <c r="W280" i="2"/>
  <c r="R280" i="2" s="1"/>
  <c r="W281" i="2"/>
  <c r="R281" i="2" s="1"/>
  <c r="W282" i="2"/>
  <c r="R282" i="2" s="1"/>
  <c r="W283" i="2"/>
  <c r="R283" i="2" s="1"/>
  <c r="R284" i="2"/>
  <c r="W285" i="2"/>
  <c r="R285" i="2" s="1"/>
  <c r="W286" i="2"/>
  <c r="R286" i="2" s="1"/>
  <c r="W287" i="2"/>
  <c r="R287" i="2" s="1"/>
  <c r="W288" i="2"/>
  <c r="R288" i="2" s="1"/>
  <c r="W289" i="2"/>
  <c r="R289" i="2" s="1"/>
  <c r="W290" i="2"/>
  <c r="R290" i="2" s="1"/>
  <c r="W291" i="2"/>
  <c r="R291" i="2" s="1"/>
  <c r="W292" i="2"/>
  <c r="R292" i="2" s="1"/>
  <c r="R293" i="2"/>
  <c r="W294" i="2"/>
  <c r="R294" i="2" s="1"/>
  <c r="W295" i="2"/>
  <c r="R295" i="2" s="1"/>
  <c r="W296" i="2"/>
  <c r="R296" i="2" s="1"/>
  <c r="W297" i="2"/>
  <c r="R297" i="2" s="1"/>
  <c r="W298" i="2"/>
  <c r="R298" i="2" s="1"/>
  <c r="W300" i="2"/>
  <c r="R300" i="2" s="1"/>
  <c r="W301" i="2"/>
  <c r="R301" i="2" s="1"/>
  <c r="W302" i="2"/>
  <c r="R302" i="2" s="1"/>
  <c r="W303" i="2"/>
  <c r="R303" i="2" s="1"/>
  <c r="W304" i="2"/>
  <c r="R304" i="2" s="1"/>
  <c r="W305" i="2"/>
  <c r="R305" i="2" s="1"/>
  <c r="W306" i="2"/>
  <c r="R306" i="2" s="1"/>
  <c r="W307" i="2"/>
  <c r="R307" i="2" s="1"/>
  <c r="W309" i="2"/>
  <c r="R309" i="2" s="1"/>
  <c r="W310" i="2"/>
  <c r="R310" i="2" s="1"/>
  <c r="W311" i="2"/>
  <c r="R311" i="2" s="1"/>
  <c r="R312" i="2"/>
  <c r="R313" i="2"/>
  <c r="W314" i="2"/>
  <c r="R314" i="2" s="1"/>
  <c r="W315" i="2"/>
  <c r="R315" i="2" s="1"/>
  <c r="W316" i="2"/>
  <c r="R316" i="2" s="1"/>
  <c r="W317" i="2"/>
  <c r="R317" i="2" s="1"/>
  <c r="W318" i="2"/>
  <c r="R318" i="2" s="1"/>
  <c r="W319" i="2"/>
  <c r="R319" i="2" s="1"/>
  <c r="W320" i="2"/>
  <c r="R320" i="2" s="1"/>
  <c r="W321" i="2"/>
  <c r="R321" i="2" s="1"/>
  <c r="W322" i="2"/>
  <c r="R322" i="2" s="1"/>
  <c r="W324" i="2"/>
  <c r="R324" i="2" s="1"/>
  <c r="W326" i="2"/>
  <c r="R326" i="2" s="1"/>
  <c r="W327" i="2"/>
  <c r="R327" i="2" s="1"/>
  <c r="W328" i="2"/>
  <c r="R328" i="2" s="1"/>
  <c r="W329" i="2"/>
  <c r="R329" i="2" s="1"/>
  <c r="W330" i="2"/>
  <c r="R330" i="2" s="1"/>
  <c r="W331" i="2"/>
  <c r="R331" i="2" s="1"/>
  <c r="W332" i="2"/>
  <c r="R332" i="2" s="1"/>
  <c r="W334" i="2"/>
  <c r="R334" i="2" s="1"/>
  <c r="W336" i="2"/>
  <c r="R336" i="2" s="1"/>
  <c r="W337" i="2"/>
  <c r="R337" i="2" s="1"/>
  <c r="W338" i="2"/>
  <c r="R338" i="2" s="1"/>
  <c r="W339" i="2"/>
  <c r="R339" i="2" s="1"/>
  <c r="W340" i="2"/>
  <c r="R340" i="2" s="1"/>
  <c r="W341" i="2"/>
  <c r="R341" i="2" s="1"/>
  <c r="W342" i="2"/>
  <c r="R342" i="2" s="1"/>
  <c r="W343" i="2"/>
  <c r="R343" i="2" s="1"/>
  <c r="W344" i="2"/>
  <c r="R344" i="2" s="1"/>
  <c r="W345" i="2"/>
  <c r="R345" i="2" s="1"/>
  <c r="W346" i="2"/>
  <c r="R346" i="2" s="1"/>
  <c r="W347" i="2"/>
  <c r="R347" i="2" s="1"/>
  <c r="W348" i="2"/>
  <c r="R348" i="2" s="1"/>
  <c r="W349" i="2"/>
  <c r="R349" i="2" s="1"/>
  <c r="R350" i="2"/>
  <c r="W351" i="2"/>
  <c r="R351" i="2" s="1"/>
  <c r="W352" i="2"/>
  <c r="R352" i="2" s="1"/>
  <c r="W353" i="2"/>
  <c r="R353" i="2" s="1"/>
  <c r="W354" i="2"/>
  <c r="R354" i="2" s="1"/>
  <c r="W355" i="2"/>
  <c r="R355" i="2" s="1"/>
  <c r="W356" i="2"/>
  <c r="R356" i="2" s="1"/>
  <c r="W357" i="2"/>
  <c r="R357" i="2" s="1"/>
  <c r="W358" i="2"/>
  <c r="R358" i="2" s="1"/>
  <c r="W359" i="2"/>
  <c r="R359" i="2" s="1"/>
  <c r="W360" i="2"/>
  <c r="R360" i="2" s="1"/>
  <c r="R361" i="2"/>
  <c r="W362" i="2"/>
  <c r="R362" i="2" s="1"/>
  <c r="W363" i="2"/>
  <c r="R363" i="2" s="1"/>
  <c r="W368" i="2"/>
  <c r="R368" i="2" s="1"/>
  <c r="W369" i="2"/>
  <c r="R369" i="2" s="1"/>
  <c r="W370" i="2"/>
  <c r="R370" i="2" s="1"/>
  <c r="W371" i="2"/>
  <c r="R371" i="2" s="1"/>
  <c r="W372" i="2"/>
  <c r="R372" i="2" s="1"/>
  <c r="W373" i="2"/>
  <c r="R373" i="2" s="1"/>
  <c r="W374" i="2"/>
  <c r="R374" i="2" s="1"/>
  <c r="W375" i="2"/>
  <c r="R375" i="2" s="1"/>
  <c r="W376" i="2"/>
  <c r="R376" i="2" s="1"/>
  <c r="W377" i="2"/>
  <c r="R377" i="2" s="1"/>
  <c r="W378" i="2"/>
  <c r="R378" i="2" s="1"/>
  <c r="W379" i="2"/>
  <c r="R379" i="2" s="1"/>
  <c r="W380" i="2"/>
  <c r="R380" i="2" s="1"/>
  <c r="R381" i="2"/>
  <c r="W382" i="2"/>
  <c r="R382" i="2" s="1"/>
  <c r="W383" i="2"/>
  <c r="R383" i="2" s="1"/>
  <c r="W384" i="2"/>
  <c r="R384" i="2" s="1"/>
  <c r="W385" i="2"/>
  <c r="R385" i="2" s="1"/>
  <c r="W386" i="2"/>
  <c r="R386" i="2" s="1"/>
  <c r="W388" i="2"/>
  <c r="R388" i="2" s="1"/>
  <c r="W389" i="2"/>
  <c r="R389" i="2" s="1"/>
  <c r="W390" i="2"/>
  <c r="R390" i="2" s="1"/>
  <c r="W391" i="2"/>
  <c r="R391" i="2" s="1"/>
  <c r="W392" i="2"/>
  <c r="R392" i="2" s="1"/>
  <c r="W393" i="2"/>
  <c r="R393" i="2" s="1"/>
  <c r="W395" i="2"/>
  <c r="R395" i="2" s="1"/>
  <c r="W396" i="2"/>
  <c r="R396" i="2" s="1"/>
  <c r="R397" i="2"/>
  <c r="W398" i="2"/>
  <c r="R398" i="2" s="1"/>
  <c r="W401" i="2"/>
  <c r="R401" i="2" s="1"/>
  <c r="W405" i="2"/>
  <c r="R405" i="2" s="1"/>
  <c r="W406" i="2"/>
  <c r="R406" i="2" s="1"/>
  <c r="W407" i="2"/>
  <c r="R407" i="2" s="1"/>
  <c r="W408" i="2"/>
  <c r="R408" i="2" s="1"/>
  <c r="W409" i="2"/>
  <c r="R409" i="2" s="1"/>
  <c r="W410" i="2"/>
  <c r="R410" i="2" s="1"/>
  <c r="W411" i="2"/>
  <c r="R411" i="2" s="1"/>
  <c r="W412" i="2"/>
  <c r="R412" i="2" s="1"/>
  <c r="W413" i="2"/>
  <c r="R413" i="2" s="1"/>
  <c r="W414" i="2"/>
  <c r="R414" i="2" s="1"/>
  <c r="W415" i="2"/>
  <c r="R415" i="2" s="1"/>
  <c r="W416" i="2"/>
  <c r="R416" i="2" s="1"/>
  <c r="W417" i="2"/>
  <c r="R417" i="2" s="1"/>
  <c r="W418" i="2"/>
  <c r="R418" i="2" s="1"/>
  <c r="W419" i="2"/>
  <c r="R419" i="2" s="1"/>
  <c r="W420" i="2"/>
  <c r="R420" i="2" s="1"/>
  <c r="W421" i="2"/>
  <c r="R421" i="2" s="1"/>
  <c r="W422" i="2"/>
  <c r="R422" i="2" s="1"/>
  <c r="W423" i="2"/>
  <c r="R423" i="2" s="1"/>
  <c r="W424" i="2"/>
  <c r="R424" i="2" s="1"/>
  <c r="W425" i="2"/>
  <c r="R425" i="2" s="1"/>
  <c r="W426" i="2"/>
  <c r="R426" i="2" s="1"/>
  <c r="W427" i="2"/>
  <c r="R427" i="2" s="1"/>
  <c r="W428" i="2"/>
  <c r="R428" i="2" s="1"/>
  <c r="W429" i="2"/>
  <c r="R429" i="2" s="1"/>
  <c r="W430" i="2"/>
  <c r="R430" i="2" s="1"/>
  <c r="W431" i="2"/>
  <c r="R431" i="2" s="1"/>
  <c r="W432" i="2"/>
  <c r="R432" i="2" s="1"/>
  <c r="W433" i="2"/>
  <c r="R433" i="2" s="1"/>
  <c r="W434" i="2"/>
  <c r="R434" i="2" s="1"/>
  <c r="W435" i="2"/>
  <c r="R435" i="2" s="1"/>
  <c r="W436" i="2"/>
  <c r="R436" i="2" s="1"/>
  <c r="W437" i="2"/>
  <c r="R437" i="2" s="1"/>
  <c r="W438" i="2"/>
  <c r="R438" i="2" s="1"/>
  <c r="W439" i="2"/>
  <c r="R439" i="2" s="1"/>
  <c r="W440" i="2"/>
  <c r="R440" i="2" s="1"/>
  <c r="W441" i="2"/>
  <c r="R441" i="2" s="1"/>
  <c r="W442" i="2"/>
  <c r="R442" i="2" s="1"/>
  <c r="W443" i="2"/>
  <c r="R443" i="2" s="1"/>
  <c r="W444" i="2"/>
  <c r="R444" i="2" s="1"/>
  <c r="W445" i="2"/>
  <c r="R445" i="2" s="1"/>
  <c r="W446" i="2"/>
  <c r="R446" i="2" s="1"/>
  <c r="W447" i="2"/>
  <c r="R447" i="2" s="1"/>
  <c r="W448" i="2"/>
  <c r="R448" i="2" s="1"/>
  <c r="W449" i="2"/>
  <c r="R449" i="2" s="1"/>
  <c r="W450" i="2"/>
  <c r="R450" i="2" s="1"/>
  <c r="W451" i="2"/>
  <c r="R451" i="2" s="1"/>
  <c r="W452" i="2"/>
  <c r="R452" i="2" s="1"/>
  <c r="W453" i="2"/>
  <c r="R453" i="2" s="1"/>
  <c r="W454" i="2"/>
  <c r="R454" i="2" s="1"/>
  <c r="W455" i="2"/>
  <c r="R455" i="2" s="1"/>
  <c r="W456" i="2"/>
  <c r="R456" i="2" s="1"/>
  <c r="W457" i="2"/>
  <c r="R457" i="2" s="1"/>
  <c r="W458" i="2"/>
  <c r="R458" i="2" s="1"/>
  <c r="W459" i="2"/>
  <c r="R459" i="2" s="1"/>
  <c r="W461" i="2"/>
  <c r="R461" i="2" s="1"/>
  <c r="W462" i="2"/>
  <c r="R462" i="2" s="1"/>
  <c r="W464" i="2"/>
  <c r="R464" i="2" s="1"/>
  <c r="W465" i="2"/>
  <c r="R465" i="2" s="1"/>
  <c r="W466" i="2"/>
  <c r="R466" i="2" s="1"/>
  <c r="W468" i="2"/>
  <c r="R468" i="2" s="1"/>
  <c r="W469" i="2"/>
  <c r="R469" i="2" s="1"/>
  <c r="W470" i="2"/>
  <c r="R470" i="2" s="1"/>
  <c r="W471" i="2"/>
  <c r="R471" i="2" s="1"/>
  <c r="W472" i="2"/>
  <c r="R472" i="2" s="1"/>
  <c r="W473" i="2"/>
  <c r="R473" i="2" s="1"/>
  <c r="W474" i="2"/>
  <c r="R474" i="2" s="1"/>
  <c r="W476" i="2"/>
  <c r="R476" i="2" s="1"/>
  <c r="W477" i="2"/>
  <c r="R477" i="2" s="1"/>
  <c r="R478" i="2"/>
  <c r="W479" i="2"/>
  <c r="R479" i="2" s="1"/>
  <c r="W480" i="2"/>
  <c r="R480" i="2" s="1"/>
  <c r="W481" i="2"/>
  <c r="R481" i="2" s="1"/>
  <c r="W482" i="2"/>
  <c r="R482" i="2" s="1"/>
  <c r="W483" i="2"/>
  <c r="R483" i="2" s="1"/>
  <c r="W484" i="2"/>
  <c r="R484" i="2" s="1"/>
  <c r="W485" i="2"/>
  <c r="R485" i="2" s="1"/>
  <c r="W486" i="2"/>
  <c r="R486" i="2" s="1"/>
  <c r="W487" i="2"/>
  <c r="R487" i="2" s="1"/>
  <c r="R488" i="2"/>
  <c r="W489" i="2"/>
  <c r="R489" i="2" s="1"/>
  <c r="R490" i="2"/>
  <c r="W491" i="2"/>
  <c r="R491" i="2" s="1"/>
  <c r="W492" i="2"/>
  <c r="R492" i="2" s="1"/>
  <c r="W493" i="2"/>
  <c r="R493" i="2" s="1"/>
  <c r="W494" i="2"/>
  <c r="R494" i="2" s="1"/>
  <c r="W495" i="2"/>
  <c r="R495" i="2" s="1"/>
  <c r="W496" i="2"/>
  <c r="R496" i="2" s="1"/>
  <c r="W497" i="2"/>
  <c r="R497" i="2" s="1"/>
  <c r="W498" i="2"/>
  <c r="R498" i="2" s="1"/>
  <c r="W499" i="2"/>
  <c r="R499" i="2" s="1"/>
  <c r="W500" i="2"/>
  <c r="R500" i="2" s="1"/>
  <c r="W501" i="2"/>
  <c r="R501" i="2" s="1"/>
  <c r="W502" i="2"/>
  <c r="R502" i="2" s="1"/>
  <c r="W503" i="2"/>
  <c r="R503" i="2" s="1"/>
  <c r="W504" i="2"/>
  <c r="R504" i="2" s="1"/>
  <c r="W505" i="2"/>
  <c r="R505" i="2" s="1"/>
  <c r="W506" i="2"/>
  <c r="R506" i="2" s="1"/>
  <c r="W507" i="2"/>
  <c r="R507" i="2" s="1"/>
  <c r="W508" i="2"/>
  <c r="R508" i="2" s="1"/>
  <c r="W509" i="2"/>
  <c r="R509" i="2" s="1"/>
  <c r="W510" i="2"/>
  <c r="R510" i="2" s="1"/>
  <c r="W511" i="2"/>
  <c r="R511" i="2" s="1"/>
  <c r="W513" i="2"/>
  <c r="R513" i="2" s="1"/>
  <c r="W514" i="2"/>
  <c r="R514" i="2" s="1"/>
  <c r="W515" i="2"/>
  <c r="R515" i="2" s="1"/>
  <c r="W516" i="2"/>
  <c r="R516" i="2" s="1"/>
  <c r="R517" i="2"/>
  <c r="R518" i="2"/>
  <c r="W521" i="2"/>
  <c r="R521" i="2" s="1"/>
  <c r="W522" i="2"/>
  <c r="R522" i="2" s="1"/>
  <c r="W523" i="2"/>
  <c r="R523" i="2" s="1"/>
  <c r="W524" i="2"/>
  <c r="R524" i="2" s="1"/>
  <c r="R526" i="2"/>
  <c r="W529" i="2"/>
  <c r="R529" i="2" s="1"/>
  <c r="W530" i="2"/>
  <c r="R530" i="2" s="1"/>
  <c r="W531" i="2"/>
  <c r="R531" i="2" s="1"/>
  <c r="B11" i="37"/>
  <c r="B12" i="37"/>
  <c r="B13" i="37"/>
  <c r="B14" i="37"/>
  <c r="B15" i="37"/>
  <c r="B17" i="37"/>
  <c r="B18" i="37"/>
  <c r="B19" i="37"/>
  <c r="B20" i="37"/>
  <c r="B21" i="37"/>
  <c r="B22" i="37"/>
  <c r="B23" i="37"/>
  <c r="B24" i="37"/>
  <c r="B25" i="37"/>
  <c r="B26" i="37"/>
  <c r="B27" i="37"/>
  <c r="B28" i="37"/>
  <c r="B29" i="37"/>
  <c r="B30" i="37"/>
  <c r="B31" i="37"/>
  <c r="B32" i="37"/>
  <c r="B33" i="37"/>
  <c r="B34" i="37"/>
  <c r="B35" i="37"/>
  <c r="B36" i="37"/>
  <c r="B37" i="37"/>
  <c r="B38" i="37"/>
  <c r="B39" i="37"/>
  <c r="B40" i="37"/>
  <c r="B41" i="37"/>
  <c r="F13" i="35"/>
  <c r="D13" i="35" s="1"/>
  <c r="G13" i="35" s="1"/>
  <c r="W119" i="2"/>
  <c r="R119" i="2" s="1"/>
  <c r="S10" i="2"/>
  <c r="T10" i="2"/>
  <c r="W116" i="2"/>
  <c r="R116" i="2" s="1"/>
  <c r="S11" i="2"/>
  <c r="T11" i="2"/>
  <c r="S12" i="2"/>
  <c r="T12" i="2"/>
  <c r="S13" i="2"/>
  <c r="T13" i="2"/>
  <c r="S14" i="2"/>
  <c r="T14" i="2"/>
  <c r="S15" i="2"/>
  <c r="T15" i="2"/>
  <c r="S16" i="2"/>
  <c r="T16" i="2"/>
  <c r="W17" i="2"/>
  <c r="R17" i="2" s="1"/>
  <c r="S17" i="2"/>
  <c r="T17" i="2"/>
  <c r="S18" i="2"/>
  <c r="T18" i="2"/>
  <c r="S19" i="2"/>
  <c r="T19" i="2"/>
  <c r="S20" i="2"/>
  <c r="T20" i="2"/>
  <c r="S21" i="2"/>
  <c r="T21" i="2"/>
  <c r="S22" i="2"/>
  <c r="T22" i="2"/>
  <c r="S23" i="2"/>
  <c r="T23" i="2"/>
  <c r="S24" i="2"/>
  <c r="T24" i="2"/>
  <c r="S25" i="2"/>
  <c r="T25" i="2"/>
  <c r="S26" i="2"/>
  <c r="T26" i="2"/>
  <c r="W394" i="2"/>
  <c r="R394" i="2" s="1"/>
  <c r="S27" i="2"/>
  <c r="T27" i="2"/>
  <c r="S28" i="2"/>
  <c r="T28" i="2"/>
  <c r="S29" i="2"/>
  <c r="T29" i="2"/>
  <c r="S30" i="2"/>
  <c r="T30" i="2"/>
  <c r="W254" i="2"/>
  <c r="R254" i="2" s="1"/>
  <c r="S31" i="2"/>
  <c r="T31" i="2"/>
  <c r="S32" i="2"/>
  <c r="T32" i="2"/>
  <c r="S33" i="2"/>
  <c r="T33" i="2"/>
  <c r="S34" i="2"/>
  <c r="T34" i="2"/>
  <c r="S35" i="2"/>
  <c r="T35" i="2"/>
  <c r="W260" i="2"/>
  <c r="R260" i="2" s="1"/>
  <c r="S36" i="2"/>
  <c r="T36" i="2"/>
  <c r="S37" i="2"/>
  <c r="T37" i="2"/>
  <c r="S38" i="2"/>
  <c r="T38" i="2"/>
  <c r="S39" i="2"/>
  <c r="T39" i="2"/>
  <c r="W404" i="2"/>
  <c r="R404" i="2" s="1"/>
  <c r="S40" i="2"/>
  <c r="T40" i="2"/>
  <c r="S41" i="2"/>
  <c r="T41" i="2"/>
  <c r="S42" i="2"/>
  <c r="T42" i="2"/>
  <c r="S43" i="2"/>
  <c r="T43" i="2"/>
  <c r="S44" i="2"/>
  <c r="T44" i="2"/>
  <c r="S45" i="2"/>
  <c r="T45" i="2"/>
  <c r="S46" i="2"/>
  <c r="T46" i="2"/>
  <c r="S47" i="2"/>
  <c r="T47" i="2"/>
  <c r="S48" i="2"/>
  <c r="T48" i="2"/>
  <c r="S49" i="2"/>
  <c r="T49" i="2"/>
  <c r="S50" i="2"/>
  <c r="T50" i="2"/>
  <c r="S51" i="2"/>
  <c r="T51" i="2"/>
  <c r="S52" i="2"/>
  <c r="T52" i="2"/>
  <c r="S53" i="2"/>
  <c r="T53" i="2"/>
  <c r="S54" i="2"/>
  <c r="T54" i="2"/>
  <c r="S55" i="2"/>
  <c r="T55" i="2"/>
  <c r="S56" i="2"/>
  <c r="T56" i="2"/>
  <c r="S57" i="2"/>
  <c r="T57" i="2"/>
  <c r="S58" i="2"/>
  <c r="T58" i="2"/>
  <c r="S59" i="2"/>
  <c r="T59" i="2"/>
  <c r="S60" i="2"/>
  <c r="T60" i="2"/>
  <c r="S61" i="2"/>
  <c r="T61" i="2"/>
  <c r="S62" i="2"/>
  <c r="T62" i="2"/>
  <c r="S63" i="2"/>
  <c r="T63" i="2"/>
  <c r="S64" i="2"/>
  <c r="T64" i="2"/>
  <c r="S65" i="2"/>
  <c r="T65" i="2"/>
  <c r="S66" i="2"/>
  <c r="T66" i="2"/>
  <c r="S67" i="2"/>
  <c r="T67" i="2"/>
  <c r="S68" i="2"/>
  <c r="T68" i="2"/>
  <c r="S69" i="2"/>
  <c r="T69" i="2"/>
  <c r="S70" i="2"/>
  <c r="T70" i="2"/>
  <c r="S71" i="2"/>
  <c r="T71" i="2"/>
  <c r="S72" i="2"/>
  <c r="T72" i="2"/>
  <c r="S73" i="2"/>
  <c r="T73" i="2"/>
  <c r="S74" i="2"/>
  <c r="T74" i="2"/>
  <c r="S75" i="2"/>
  <c r="T75" i="2"/>
  <c r="S76" i="2"/>
  <c r="T76" i="2"/>
  <c r="S77" i="2"/>
  <c r="T77" i="2"/>
  <c r="S78" i="2"/>
  <c r="T78" i="2"/>
  <c r="S79" i="2"/>
  <c r="T79" i="2"/>
  <c r="S80" i="2"/>
  <c r="T80" i="2"/>
  <c r="S81" i="2"/>
  <c r="T81" i="2"/>
  <c r="S82" i="2"/>
  <c r="T82" i="2"/>
  <c r="S83" i="2"/>
  <c r="T83" i="2"/>
  <c r="S84" i="2"/>
  <c r="T84" i="2"/>
  <c r="S85" i="2"/>
  <c r="T85" i="2"/>
  <c r="S86" i="2"/>
  <c r="T86" i="2"/>
  <c r="S87" i="2"/>
  <c r="T87" i="2"/>
  <c r="S88" i="2"/>
  <c r="T88" i="2"/>
  <c r="S89" i="2"/>
  <c r="T89" i="2"/>
  <c r="S90" i="2"/>
  <c r="T90" i="2"/>
  <c r="S91" i="2"/>
  <c r="T91" i="2"/>
  <c r="S92" i="2"/>
  <c r="T92" i="2"/>
  <c r="S93" i="2"/>
  <c r="T93" i="2"/>
  <c r="S94" i="2"/>
  <c r="T94" i="2"/>
  <c r="S95" i="2"/>
  <c r="T95" i="2"/>
  <c r="S96" i="2"/>
  <c r="T96" i="2"/>
  <c r="S97" i="2"/>
  <c r="T97" i="2"/>
  <c r="S98" i="2"/>
  <c r="T98" i="2"/>
  <c r="S99" i="2"/>
  <c r="T99" i="2"/>
  <c r="S100" i="2"/>
  <c r="T100" i="2"/>
  <c r="S101" i="2"/>
  <c r="T101" i="2"/>
  <c r="S102" i="2"/>
  <c r="T102" i="2"/>
  <c r="S103" i="2"/>
  <c r="T103" i="2"/>
  <c r="S104" i="2"/>
  <c r="T104" i="2"/>
  <c r="S105" i="2"/>
  <c r="T105" i="2"/>
  <c r="S106" i="2"/>
  <c r="T106" i="2"/>
  <c r="S107" i="2"/>
  <c r="T107" i="2"/>
  <c r="S108" i="2"/>
  <c r="T108" i="2"/>
  <c r="S109" i="2"/>
  <c r="T109" i="2"/>
  <c r="S110" i="2"/>
  <c r="T110" i="2"/>
  <c r="S111" i="2"/>
  <c r="T111" i="2"/>
  <c r="S112" i="2"/>
  <c r="T112" i="2"/>
  <c r="S113" i="2"/>
  <c r="T113" i="2"/>
  <c r="S114" i="2"/>
  <c r="T114" i="2"/>
  <c r="S115" i="2"/>
  <c r="T115" i="2"/>
  <c r="S116" i="2"/>
  <c r="T116" i="2"/>
  <c r="S117" i="2"/>
  <c r="T117" i="2"/>
  <c r="S118" i="2"/>
  <c r="T118" i="2"/>
  <c r="S119" i="2"/>
  <c r="T119" i="2"/>
  <c r="S120" i="2"/>
  <c r="T120" i="2"/>
  <c r="S121" i="2"/>
  <c r="T121" i="2"/>
  <c r="S122" i="2"/>
  <c r="T122" i="2"/>
  <c r="S123" i="2"/>
  <c r="T123" i="2"/>
  <c r="S124" i="2"/>
  <c r="T124" i="2"/>
  <c r="S125" i="2"/>
  <c r="T125" i="2"/>
  <c r="S126" i="2"/>
  <c r="T126" i="2"/>
  <c r="S127" i="2"/>
  <c r="T127" i="2"/>
  <c r="S128" i="2"/>
  <c r="T128" i="2"/>
  <c r="S129" i="2"/>
  <c r="T129" i="2"/>
  <c r="S130" i="2"/>
  <c r="T130" i="2"/>
  <c r="S131" i="2"/>
  <c r="T131" i="2"/>
  <c r="S132" i="2"/>
  <c r="T132" i="2"/>
  <c r="S133" i="2"/>
  <c r="T133" i="2"/>
  <c r="S134" i="2"/>
  <c r="T134" i="2"/>
  <c r="S135" i="2"/>
  <c r="T135" i="2"/>
  <c r="S136" i="2"/>
  <c r="T136" i="2"/>
  <c r="S137" i="2"/>
  <c r="T137" i="2"/>
  <c r="S138" i="2"/>
  <c r="T138" i="2"/>
  <c r="S139" i="2"/>
  <c r="T139" i="2"/>
  <c r="S140" i="2"/>
  <c r="T140" i="2"/>
  <c r="S141" i="2"/>
  <c r="T141" i="2"/>
  <c r="S142" i="2"/>
  <c r="T142" i="2"/>
  <c r="S143" i="2"/>
  <c r="T143" i="2"/>
  <c r="S144" i="2"/>
  <c r="T144" i="2"/>
  <c r="S145" i="2"/>
  <c r="T145" i="2"/>
  <c r="S146" i="2"/>
  <c r="T146" i="2"/>
  <c r="S147" i="2"/>
  <c r="T147" i="2"/>
  <c r="S148" i="2"/>
  <c r="T148" i="2"/>
  <c r="S149" i="2"/>
  <c r="T149" i="2"/>
  <c r="S150" i="2"/>
  <c r="T150" i="2"/>
  <c r="S151" i="2"/>
  <c r="T151" i="2"/>
  <c r="S152" i="2"/>
  <c r="T152" i="2"/>
  <c r="S153" i="2"/>
  <c r="T153" i="2"/>
  <c r="S154" i="2"/>
  <c r="T154" i="2"/>
  <c r="S155" i="2"/>
  <c r="T155" i="2"/>
  <c r="S156" i="2"/>
  <c r="T156" i="2"/>
  <c r="S157" i="2"/>
  <c r="T157" i="2"/>
  <c r="S158" i="2"/>
  <c r="T158" i="2"/>
  <c r="S159" i="2"/>
  <c r="T159" i="2"/>
  <c r="S160" i="2"/>
  <c r="T160" i="2"/>
  <c r="S161" i="2"/>
  <c r="T161" i="2"/>
  <c r="S162" i="2"/>
  <c r="T162" i="2"/>
  <c r="S163" i="2"/>
  <c r="T163" i="2"/>
  <c r="S164" i="2"/>
  <c r="T164" i="2"/>
  <c r="S165" i="2"/>
  <c r="T165" i="2"/>
  <c r="S166" i="2"/>
  <c r="T166" i="2"/>
  <c r="S167" i="2"/>
  <c r="T167" i="2"/>
  <c r="S168" i="2"/>
  <c r="T168" i="2"/>
  <c r="S169" i="2"/>
  <c r="T169" i="2"/>
  <c r="S170" i="2"/>
  <c r="T170" i="2"/>
  <c r="S171" i="2"/>
  <c r="T171" i="2"/>
  <c r="S172" i="2"/>
  <c r="T172" i="2"/>
  <c r="S173" i="2"/>
  <c r="T173" i="2"/>
  <c r="S174" i="2"/>
  <c r="T174" i="2"/>
  <c r="S175" i="2"/>
  <c r="T175" i="2"/>
  <c r="S176" i="2"/>
  <c r="T176" i="2"/>
  <c r="S177" i="2"/>
  <c r="T177" i="2"/>
  <c r="S178" i="2"/>
  <c r="T178" i="2"/>
  <c r="S179" i="2"/>
  <c r="T179" i="2"/>
  <c r="S180" i="2"/>
  <c r="T180" i="2"/>
  <c r="S181" i="2"/>
  <c r="T181" i="2"/>
  <c r="S182" i="2"/>
  <c r="T182" i="2"/>
  <c r="S183" i="2"/>
  <c r="T183" i="2"/>
  <c r="S184" i="2"/>
  <c r="T184" i="2"/>
  <c r="S185" i="2"/>
  <c r="T185" i="2"/>
  <c r="S186" i="2"/>
  <c r="T186" i="2"/>
  <c r="S187" i="2"/>
  <c r="T187" i="2"/>
  <c r="S188" i="2"/>
  <c r="T188" i="2"/>
  <c r="S189" i="2"/>
  <c r="T189" i="2"/>
  <c r="S190" i="2"/>
  <c r="T190" i="2"/>
  <c r="S191" i="2"/>
  <c r="T191" i="2"/>
  <c r="S192" i="2"/>
  <c r="T192" i="2"/>
  <c r="S193" i="2"/>
  <c r="T193" i="2"/>
  <c r="S194" i="2"/>
  <c r="T194" i="2"/>
  <c r="S195" i="2"/>
  <c r="T195" i="2"/>
  <c r="S196" i="2"/>
  <c r="T196" i="2"/>
  <c r="S197" i="2"/>
  <c r="T197" i="2"/>
  <c r="S198" i="2"/>
  <c r="T198" i="2"/>
  <c r="S199" i="2"/>
  <c r="T199" i="2"/>
  <c r="S200" i="2"/>
  <c r="T200" i="2"/>
  <c r="S201" i="2"/>
  <c r="T201" i="2"/>
  <c r="S202" i="2"/>
  <c r="T202" i="2"/>
  <c r="S203" i="2"/>
  <c r="T203" i="2"/>
  <c r="S204" i="2"/>
  <c r="T204" i="2"/>
  <c r="S217" i="2"/>
  <c r="T217" i="2"/>
  <c r="S218" i="2"/>
  <c r="T218" i="2"/>
  <c r="S219" i="2"/>
  <c r="T219" i="2"/>
  <c r="S220" i="2"/>
  <c r="T220" i="2"/>
  <c r="S221" i="2"/>
  <c r="T221" i="2"/>
  <c r="S222" i="2"/>
  <c r="T222" i="2"/>
  <c r="S223" i="2"/>
  <c r="T223" i="2"/>
  <c r="S224" i="2"/>
  <c r="T224" i="2"/>
  <c r="S225" i="2"/>
  <c r="T225" i="2"/>
  <c r="S226" i="2"/>
  <c r="T226" i="2"/>
  <c r="S227" i="2"/>
  <c r="T227" i="2"/>
  <c r="S228" i="2"/>
  <c r="T228" i="2"/>
  <c r="S229" i="2"/>
  <c r="T229" i="2"/>
  <c r="S230" i="2"/>
  <c r="T230" i="2"/>
  <c r="S231" i="2"/>
  <c r="T231" i="2"/>
  <c r="S232" i="2"/>
  <c r="T232" i="2"/>
  <c r="S233" i="2"/>
  <c r="T233" i="2"/>
  <c r="S234" i="2"/>
  <c r="T234" i="2"/>
  <c r="S235" i="2"/>
  <c r="T235" i="2"/>
  <c r="S236" i="2"/>
  <c r="T236" i="2"/>
  <c r="S237" i="2"/>
  <c r="T237" i="2"/>
  <c r="S238" i="2"/>
  <c r="T238" i="2"/>
  <c r="S239" i="2"/>
  <c r="T239" i="2"/>
  <c r="S240" i="2"/>
  <c r="T240" i="2"/>
  <c r="S241" i="2"/>
  <c r="T241" i="2"/>
  <c r="S242" i="2"/>
  <c r="T242" i="2"/>
  <c r="S243" i="2"/>
  <c r="T243" i="2"/>
  <c r="S244" i="2"/>
  <c r="T244" i="2"/>
  <c r="S245" i="2"/>
  <c r="T245" i="2"/>
  <c r="S246" i="2"/>
  <c r="T246" i="2"/>
  <c r="S247" i="2"/>
  <c r="T247" i="2"/>
  <c r="S248" i="2"/>
  <c r="T248" i="2"/>
  <c r="S249" i="2"/>
  <c r="T249" i="2"/>
  <c r="S250" i="2"/>
  <c r="T250" i="2"/>
  <c r="S251" i="2"/>
  <c r="T251" i="2"/>
  <c r="S252" i="2"/>
  <c r="T252" i="2"/>
  <c r="S253" i="2"/>
  <c r="T253" i="2"/>
  <c r="S254" i="2"/>
  <c r="T254" i="2"/>
  <c r="S255" i="2"/>
  <c r="T255" i="2"/>
  <c r="S256" i="2"/>
  <c r="T256" i="2"/>
  <c r="S257" i="2"/>
  <c r="T257" i="2"/>
  <c r="S258" i="2"/>
  <c r="T258" i="2"/>
  <c r="S259" i="2"/>
  <c r="T259" i="2"/>
  <c r="S260" i="2"/>
  <c r="T260" i="2"/>
  <c r="S261" i="2"/>
  <c r="T261" i="2"/>
  <c r="S262" i="2"/>
  <c r="T262" i="2"/>
  <c r="S263" i="2"/>
  <c r="T263" i="2"/>
  <c r="S264" i="2"/>
  <c r="T264" i="2"/>
  <c r="S265" i="2"/>
  <c r="T265" i="2"/>
  <c r="S266" i="2"/>
  <c r="T266" i="2"/>
  <c r="S267" i="2"/>
  <c r="T267" i="2"/>
  <c r="S268" i="2"/>
  <c r="T268" i="2"/>
  <c r="S269" i="2"/>
  <c r="T269" i="2"/>
  <c r="S270" i="2"/>
  <c r="T270" i="2"/>
  <c r="S271" i="2"/>
  <c r="T271" i="2"/>
  <c r="S272" i="2"/>
  <c r="T272" i="2"/>
  <c r="S273" i="2"/>
  <c r="T273" i="2"/>
  <c r="S274" i="2"/>
  <c r="T274" i="2"/>
  <c r="S275" i="2"/>
  <c r="T275" i="2"/>
  <c r="S276" i="2"/>
  <c r="T276" i="2"/>
  <c r="S277" i="2"/>
  <c r="T277" i="2"/>
  <c r="S278" i="2"/>
  <c r="T278" i="2"/>
  <c r="S279" i="2"/>
  <c r="T279" i="2"/>
  <c r="S280" i="2"/>
  <c r="T280" i="2"/>
  <c r="S281" i="2"/>
  <c r="T281" i="2"/>
  <c r="S282" i="2"/>
  <c r="T282" i="2"/>
  <c r="S283" i="2"/>
  <c r="T283" i="2"/>
  <c r="S284" i="2"/>
  <c r="T284" i="2"/>
  <c r="S285" i="2"/>
  <c r="T285" i="2"/>
  <c r="S286" i="2"/>
  <c r="T286" i="2"/>
  <c r="S287" i="2"/>
  <c r="T287" i="2"/>
  <c r="S288" i="2"/>
  <c r="T288" i="2"/>
  <c r="S289" i="2"/>
  <c r="T289" i="2"/>
  <c r="S290" i="2"/>
  <c r="T290" i="2"/>
  <c r="S291" i="2"/>
  <c r="T291" i="2"/>
  <c r="S292" i="2"/>
  <c r="T292" i="2"/>
  <c r="S293" i="2"/>
  <c r="T293" i="2"/>
  <c r="S294" i="2"/>
  <c r="T294" i="2"/>
  <c r="S295" i="2"/>
  <c r="T295" i="2"/>
  <c r="S296" i="2"/>
  <c r="T296" i="2"/>
  <c r="S297" i="2"/>
  <c r="T297" i="2"/>
  <c r="S298" i="2"/>
  <c r="T298" i="2"/>
  <c r="S299" i="2"/>
  <c r="T299" i="2"/>
  <c r="S300" i="2"/>
  <c r="T300" i="2"/>
  <c r="S301" i="2"/>
  <c r="T301" i="2"/>
  <c r="S302" i="2"/>
  <c r="T302" i="2"/>
  <c r="S303" i="2"/>
  <c r="T303" i="2"/>
  <c r="S304" i="2"/>
  <c r="T304" i="2"/>
  <c r="S305" i="2"/>
  <c r="T305" i="2"/>
  <c r="S306" i="2"/>
  <c r="T306" i="2"/>
  <c r="S307" i="2"/>
  <c r="T307" i="2"/>
  <c r="S308" i="2"/>
  <c r="T308" i="2"/>
  <c r="S309" i="2"/>
  <c r="T309" i="2"/>
  <c r="S310" i="2"/>
  <c r="T310" i="2"/>
  <c r="S311" i="2"/>
  <c r="T311" i="2"/>
  <c r="S312" i="2"/>
  <c r="T312" i="2"/>
  <c r="S313" i="2"/>
  <c r="T313" i="2"/>
  <c r="S314" i="2"/>
  <c r="T314" i="2"/>
  <c r="S315" i="2"/>
  <c r="T315" i="2"/>
  <c r="S316" i="2"/>
  <c r="T316" i="2"/>
  <c r="S317" i="2"/>
  <c r="T317" i="2"/>
  <c r="S318" i="2"/>
  <c r="T318" i="2"/>
  <c r="S319" i="2"/>
  <c r="T319" i="2"/>
  <c r="S320" i="2"/>
  <c r="T320" i="2"/>
  <c r="S321" i="2"/>
  <c r="T321" i="2"/>
  <c r="S322" i="2"/>
  <c r="T322" i="2"/>
  <c r="S323" i="2"/>
  <c r="T323" i="2"/>
  <c r="S324" i="2"/>
  <c r="T324" i="2"/>
  <c r="S326" i="2"/>
  <c r="T326" i="2"/>
  <c r="S327" i="2"/>
  <c r="T327" i="2"/>
  <c r="S328" i="2"/>
  <c r="T328" i="2"/>
  <c r="S329" i="2"/>
  <c r="T329" i="2"/>
  <c r="S330" i="2"/>
  <c r="T330" i="2"/>
  <c r="S331" i="2"/>
  <c r="T331" i="2"/>
  <c r="S332" i="2"/>
  <c r="T332" i="2"/>
  <c r="S333" i="2"/>
  <c r="T333" i="2"/>
  <c r="S334" i="2"/>
  <c r="T334" i="2"/>
  <c r="S335" i="2"/>
  <c r="T335" i="2"/>
  <c r="S336" i="2"/>
  <c r="T336" i="2"/>
  <c r="S337" i="2"/>
  <c r="T337" i="2"/>
  <c r="S338" i="2"/>
  <c r="T338" i="2"/>
  <c r="S339" i="2"/>
  <c r="T339" i="2"/>
  <c r="S340" i="2"/>
  <c r="T340" i="2"/>
  <c r="S341" i="2"/>
  <c r="T341" i="2"/>
  <c r="S342" i="2"/>
  <c r="T342" i="2"/>
  <c r="S343" i="2"/>
  <c r="T343" i="2"/>
  <c r="S344" i="2"/>
  <c r="T344" i="2"/>
  <c r="S345" i="2"/>
  <c r="T345" i="2"/>
  <c r="S346" i="2"/>
  <c r="T346" i="2"/>
  <c r="S347" i="2"/>
  <c r="T347" i="2"/>
  <c r="S348" i="2"/>
  <c r="T348" i="2"/>
  <c r="S349" i="2"/>
  <c r="T349" i="2"/>
  <c r="S350" i="2"/>
  <c r="T350" i="2"/>
  <c r="S351" i="2"/>
  <c r="T351" i="2"/>
  <c r="S352" i="2"/>
  <c r="T352" i="2"/>
  <c r="S353" i="2"/>
  <c r="T353" i="2"/>
  <c r="S354" i="2"/>
  <c r="T354" i="2"/>
  <c r="S355" i="2"/>
  <c r="T355" i="2"/>
  <c r="S356" i="2"/>
  <c r="T356" i="2"/>
  <c r="S357" i="2"/>
  <c r="T357" i="2"/>
  <c r="S358" i="2"/>
  <c r="T358" i="2"/>
  <c r="S359" i="2"/>
  <c r="T359" i="2"/>
  <c r="S360" i="2"/>
  <c r="T360" i="2"/>
  <c r="S361" i="2"/>
  <c r="T361" i="2"/>
  <c r="S362" i="2"/>
  <c r="T362" i="2"/>
  <c r="S363" i="2"/>
  <c r="T363" i="2"/>
  <c r="S364" i="2"/>
  <c r="T364" i="2"/>
  <c r="S365" i="2"/>
  <c r="T365" i="2"/>
  <c r="S366" i="2"/>
  <c r="T366" i="2"/>
  <c r="S367" i="2"/>
  <c r="T367" i="2"/>
  <c r="S368" i="2"/>
  <c r="T368" i="2"/>
  <c r="S369" i="2"/>
  <c r="T369" i="2"/>
  <c r="S370" i="2"/>
  <c r="T370" i="2"/>
  <c r="S371" i="2"/>
  <c r="T371" i="2"/>
  <c r="S372" i="2"/>
  <c r="T372" i="2"/>
  <c r="S373" i="2"/>
  <c r="T373" i="2"/>
  <c r="S374" i="2"/>
  <c r="T374" i="2"/>
  <c r="S375" i="2"/>
  <c r="T375" i="2"/>
  <c r="S376" i="2"/>
  <c r="T376" i="2"/>
  <c r="S377" i="2"/>
  <c r="T377" i="2"/>
  <c r="S378" i="2"/>
  <c r="T378" i="2"/>
  <c r="S379" i="2"/>
  <c r="T379" i="2"/>
  <c r="S380" i="2"/>
  <c r="T380" i="2"/>
  <c r="S381" i="2"/>
  <c r="T381" i="2"/>
  <c r="S382" i="2"/>
  <c r="T382" i="2"/>
  <c r="S383" i="2"/>
  <c r="T383" i="2"/>
  <c r="S384" i="2"/>
  <c r="T384" i="2"/>
  <c r="S385" i="2"/>
  <c r="T385" i="2"/>
  <c r="S386" i="2"/>
  <c r="T386" i="2"/>
  <c r="S387" i="2"/>
  <c r="T387" i="2"/>
  <c r="S388" i="2"/>
  <c r="T388" i="2"/>
  <c r="S389" i="2"/>
  <c r="T389" i="2"/>
  <c r="S390" i="2"/>
  <c r="T390" i="2"/>
  <c r="S391" i="2"/>
  <c r="T391" i="2"/>
  <c r="S392" i="2"/>
  <c r="T392" i="2"/>
  <c r="S393" i="2"/>
  <c r="T393" i="2"/>
  <c r="S394" i="2"/>
  <c r="T394" i="2"/>
  <c r="S395" i="2"/>
  <c r="T395" i="2"/>
  <c r="S396" i="2"/>
  <c r="T396" i="2"/>
  <c r="S397" i="2"/>
  <c r="T397" i="2"/>
  <c r="S398" i="2"/>
  <c r="T398" i="2"/>
  <c r="S399" i="2"/>
  <c r="T399" i="2"/>
  <c r="S400" i="2"/>
  <c r="T400" i="2"/>
  <c r="S401" i="2"/>
  <c r="T401" i="2"/>
  <c r="S402" i="2"/>
  <c r="T402" i="2"/>
  <c r="S403" i="2"/>
  <c r="T403" i="2"/>
  <c r="S404" i="2"/>
  <c r="T404" i="2"/>
  <c r="S405" i="2"/>
  <c r="T405" i="2"/>
  <c r="S406" i="2"/>
  <c r="T406" i="2"/>
  <c r="S407" i="2"/>
  <c r="T407" i="2"/>
  <c r="S408" i="2"/>
  <c r="T408" i="2"/>
  <c r="S409" i="2"/>
  <c r="T409" i="2"/>
  <c r="S410" i="2"/>
  <c r="T410" i="2"/>
  <c r="S411" i="2"/>
  <c r="T411" i="2"/>
  <c r="S412" i="2"/>
  <c r="T412" i="2"/>
  <c r="S413" i="2"/>
  <c r="T413" i="2"/>
  <c r="S414" i="2"/>
  <c r="T414" i="2"/>
  <c r="S415" i="2"/>
  <c r="T415" i="2"/>
  <c r="S416" i="2"/>
  <c r="T416" i="2"/>
  <c r="S417" i="2"/>
  <c r="T417" i="2"/>
  <c r="S418" i="2"/>
  <c r="T418" i="2"/>
  <c r="S419" i="2"/>
  <c r="T419" i="2"/>
  <c r="S420" i="2"/>
  <c r="T420" i="2"/>
  <c r="S421" i="2"/>
  <c r="T421" i="2"/>
  <c r="S422" i="2"/>
  <c r="T422" i="2"/>
  <c r="S423" i="2"/>
  <c r="T423" i="2"/>
  <c r="S424" i="2"/>
  <c r="T424" i="2"/>
  <c r="S425" i="2"/>
  <c r="T425" i="2"/>
  <c r="S426" i="2"/>
  <c r="T426" i="2"/>
  <c r="S427" i="2"/>
  <c r="T427" i="2"/>
  <c r="S428" i="2"/>
  <c r="T428" i="2"/>
  <c r="S429" i="2"/>
  <c r="T429" i="2"/>
  <c r="S430" i="2"/>
  <c r="T430" i="2"/>
  <c r="S431" i="2"/>
  <c r="T431" i="2"/>
  <c r="S432" i="2"/>
  <c r="T432" i="2"/>
  <c r="S433" i="2"/>
  <c r="T433" i="2"/>
  <c r="S434" i="2"/>
  <c r="T434" i="2"/>
  <c r="S435" i="2"/>
  <c r="T435" i="2"/>
  <c r="S436" i="2"/>
  <c r="T436" i="2"/>
  <c r="S437" i="2"/>
  <c r="T437" i="2"/>
  <c r="S438" i="2"/>
  <c r="T438" i="2"/>
  <c r="S439" i="2"/>
  <c r="T439" i="2"/>
  <c r="S440" i="2"/>
  <c r="T440" i="2"/>
  <c r="S441" i="2"/>
  <c r="T441" i="2"/>
  <c r="S442" i="2"/>
  <c r="T442" i="2"/>
  <c r="S443" i="2"/>
  <c r="T443" i="2"/>
  <c r="S444" i="2"/>
  <c r="T444" i="2"/>
  <c r="S445" i="2"/>
  <c r="T445" i="2"/>
  <c r="S446" i="2"/>
  <c r="T446" i="2"/>
  <c r="S447" i="2"/>
  <c r="T447" i="2"/>
  <c r="S448" i="2"/>
  <c r="T448" i="2"/>
  <c r="S449" i="2"/>
  <c r="T449" i="2"/>
  <c r="S450" i="2"/>
  <c r="T450" i="2"/>
  <c r="S451" i="2"/>
  <c r="T451" i="2"/>
  <c r="S452" i="2"/>
  <c r="T452" i="2"/>
  <c r="S453" i="2"/>
  <c r="T453" i="2"/>
  <c r="S454" i="2"/>
  <c r="T454" i="2"/>
  <c r="S455" i="2"/>
  <c r="T455" i="2"/>
  <c r="S456" i="2"/>
  <c r="T456" i="2"/>
  <c r="S457" i="2"/>
  <c r="T457" i="2"/>
  <c r="S458" i="2"/>
  <c r="T458" i="2"/>
  <c r="S459" i="2"/>
  <c r="T459" i="2"/>
  <c r="S460" i="2"/>
  <c r="T460" i="2"/>
  <c r="S461" i="2"/>
  <c r="T461" i="2"/>
  <c r="S462" i="2"/>
  <c r="T462" i="2"/>
  <c r="S463" i="2"/>
  <c r="T463" i="2"/>
  <c r="S464" i="2"/>
  <c r="T464" i="2"/>
  <c r="S465" i="2"/>
  <c r="T465" i="2"/>
  <c r="S466" i="2"/>
  <c r="T466" i="2"/>
  <c r="S467" i="2"/>
  <c r="T467" i="2"/>
  <c r="S468" i="2"/>
  <c r="T468" i="2"/>
  <c r="S469" i="2"/>
  <c r="T469" i="2"/>
  <c r="S470" i="2"/>
  <c r="T470" i="2"/>
  <c r="S471" i="2"/>
  <c r="T471" i="2"/>
  <c r="S472" i="2"/>
  <c r="T472" i="2"/>
  <c r="S473" i="2"/>
  <c r="T473" i="2"/>
  <c r="S474" i="2"/>
  <c r="T474" i="2"/>
  <c r="S475" i="2"/>
  <c r="T475" i="2"/>
  <c r="S476" i="2"/>
  <c r="T476" i="2"/>
  <c r="S477" i="2"/>
  <c r="T477" i="2"/>
  <c r="S478" i="2"/>
  <c r="T478" i="2"/>
  <c r="S479" i="2"/>
  <c r="T479" i="2"/>
  <c r="S480" i="2"/>
  <c r="T480" i="2"/>
  <c r="S481" i="2"/>
  <c r="T481" i="2"/>
  <c r="S482" i="2"/>
  <c r="T482" i="2"/>
  <c r="S483" i="2"/>
  <c r="T483" i="2"/>
  <c r="S484" i="2"/>
  <c r="T484" i="2"/>
  <c r="S485" i="2"/>
  <c r="T485" i="2"/>
  <c r="S486" i="2"/>
  <c r="T486" i="2"/>
  <c r="S487" i="2"/>
  <c r="T487" i="2"/>
  <c r="S488" i="2"/>
  <c r="T488" i="2"/>
  <c r="S489" i="2"/>
  <c r="T489" i="2"/>
  <c r="S490" i="2"/>
  <c r="T490" i="2"/>
  <c r="S491" i="2"/>
  <c r="T491" i="2"/>
  <c r="S492" i="2"/>
  <c r="T492" i="2"/>
  <c r="S493" i="2"/>
  <c r="T493" i="2"/>
  <c r="S494" i="2"/>
  <c r="T494" i="2"/>
  <c r="S495" i="2"/>
  <c r="T495" i="2"/>
  <c r="S496" i="2"/>
  <c r="T496" i="2"/>
  <c r="S497" i="2"/>
  <c r="T497" i="2"/>
  <c r="S498" i="2"/>
  <c r="T498" i="2"/>
  <c r="S499" i="2"/>
  <c r="T499" i="2"/>
  <c r="S500" i="2"/>
  <c r="T500" i="2"/>
  <c r="S501" i="2"/>
  <c r="T501" i="2"/>
  <c r="S502" i="2"/>
  <c r="T502" i="2"/>
  <c r="S503" i="2"/>
  <c r="T503" i="2"/>
  <c r="S504" i="2"/>
  <c r="T504" i="2"/>
  <c r="S505" i="2"/>
  <c r="T505" i="2"/>
  <c r="S506" i="2"/>
  <c r="T506" i="2"/>
  <c r="S507" i="2"/>
  <c r="T507" i="2"/>
  <c r="S508" i="2"/>
  <c r="T508" i="2"/>
  <c r="S509" i="2"/>
  <c r="T509" i="2"/>
  <c r="S510" i="2"/>
  <c r="T510" i="2"/>
  <c r="S511" i="2"/>
  <c r="T511" i="2"/>
  <c r="S512" i="2"/>
  <c r="T512" i="2"/>
  <c r="S513" i="2"/>
  <c r="T513" i="2"/>
  <c r="S514" i="2"/>
  <c r="T514" i="2"/>
  <c r="S515" i="2"/>
  <c r="T515" i="2"/>
  <c r="S516" i="2"/>
  <c r="T516" i="2"/>
  <c r="S517" i="2"/>
  <c r="T517" i="2"/>
  <c r="S518" i="2"/>
  <c r="T518" i="2"/>
  <c r="S519" i="2"/>
  <c r="T519" i="2"/>
  <c r="S520" i="2"/>
  <c r="T520" i="2"/>
  <c r="S521" i="2"/>
  <c r="T521" i="2"/>
  <c r="S522" i="2"/>
  <c r="T522" i="2"/>
  <c r="S523" i="2"/>
  <c r="T523" i="2"/>
  <c r="S524" i="2"/>
  <c r="T524" i="2"/>
  <c r="S525" i="2"/>
  <c r="T525" i="2"/>
  <c r="S526" i="2"/>
  <c r="T526" i="2"/>
  <c r="S527" i="2"/>
  <c r="T527" i="2"/>
  <c r="S528" i="2"/>
  <c r="T528" i="2"/>
  <c r="S529" i="2"/>
  <c r="T529" i="2"/>
  <c r="S530" i="2"/>
  <c r="T530" i="2"/>
  <c r="S531" i="2"/>
  <c r="T531"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D304" i="2"/>
  <c r="AD305" i="2"/>
  <c r="AD306" i="2"/>
  <c r="AD307" i="2"/>
  <c r="AD308" i="2"/>
  <c r="AD309" i="2"/>
  <c r="AD310" i="2"/>
  <c r="AD311" i="2"/>
  <c r="AD312" i="2"/>
  <c r="AD313" i="2"/>
  <c r="AD314" i="2"/>
  <c r="AD315" i="2"/>
  <c r="AD316" i="2"/>
  <c r="AD317" i="2"/>
  <c r="AD318" i="2"/>
  <c r="AD319" i="2"/>
  <c r="AD320" i="2"/>
  <c r="AD321" i="2"/>
  <c r="AD322" i="2"/>
  <c r="AD323" i="2"/>
  <c r="AD324" i="2"/>
  <c r="AD326" i="2"/>
  <c r="AD327" i="2"/>
  <c r="AD328" i="2"/>
  <c r="AD329" i="2"/>
  <c r="AD330" i="2"/>
  <c r="AD331" i="2"/>
  <c r="AD332" i="2"/>
  <c r="AD333" i="2"/>
  <c r="AD334" i="2"/>
  <c r="AD335" i="2"/>
  <c r="AD336" i="2"/>
  <c r="AD337" i="2"/>
  <c r="AD338" i="2"/>
  <c r="AD339" i="2"/>
  <c r="AD340" i="2"/>
  <c r="AD341" i="2"/>
  <c r="AD342" i="2"/>
  <c r="AD343" i="2"/>
  <c r="AD344" i="2"/>
  <c r="AD345" i="2"/>
  <c r="AD346" i="2"/>
  <c r="AD347" i="2"/>
  <c r="AD348" i="2"/>
  <c r="AD349" i="2"/>
  <c r="AD350" i="2"/>
  <c r="AD351" i="2"/>
  <c r="AD352" i="2"/>
  <c r="AD353" i="2"/>
  <c r="AD354" i="2"/>
  <c r="AD355" i="2"/>
  <c r="AD356" i="2"/>
  <c r="AD357" i="2"/>
  <c r="AD358" i="2"/>
  <c r="AD359" i="2"/>
  <c r="AD360" i="2"/>
  <c r="AD361" i="2"/>
  <c r="AD362" i="2"/>
  <c r="AD363" i="2"/>
  <c r="AD364" i="2"/>
  <c r="AD365" i="2"/>
  <c r="AD366" i="2"/>
  <c r="AD367" i="2"/>
  <c r="AD368" i="2"/>
  <c r="AD369" i="2"/>
  <c r="AD370" i="2"/>
  <c r="AD371" i="2"/>
  <c r="AD372" i="2"/>
  <c r="AD373" i="2"/>
  <c r="AD374" i="2"/>
  <c r="AD375" i="2"/>
  <c r="AD376" i="2"/>
  <c r="AD377" i="2"/>
  <c r="AD378" i="2"/>
  <c r="AD379" i="2"/>
  <c r="AD380" i="2"/>
  <c r="AD381" i="2"/>
  <c r="AD382" i="2"/>
  <c r="AD383" i="2"/>
  <c r="AD384" i="2"/>
  <c r="AD385" i="2"/>
  <c r="AD386" i="2"/>
  <c r="AD387" i="2"/>
  <c r="AD388" i="2"/>
  <c r="AD389" i="2"/>
  <c r="AD390" i="2"/>
  <c r="AD391" i="2"/>
  <c r="AD392" i="2"/>
  <c r="AD393" i="2"/>
  <c r="AD394" i="2"/>
  <c r="AD395" i="2"/>
  <c r="AD396" i="2"/>
  <c r="AD397" i="2"/>
  <c r="AD398" i="2"/>
  <c r="AD399" i="2"/>
  <c r="AD400" i="2"/>
  <c r="AD401" i="2"/>
  <c r="AD402" i="2"/>
  <c r="AD403" i="2"/>
  <c r="AD404" i="2"/>
  <c r="AD405" i="2"/>
  <c r="AD406" i="2"/>
  <c r="AD407" i="2"/>
  <c r="AD408" i="2"/>
  <c r="AD409" i="2"/>
  <c r="AD410" i="2"/>
  <c r="AD411" i="2"/>
  <c r="AD412" i="2"/>
  <c r="AD413" i="2"/>
  <c r="AD414" i="2"/>
  <c r="AD415" i="2"/>
  <c r="AD416" i="2"/>
  <c r="AD417" i="2"/>
  <c r="AD418" i="2"/>
  <c r="AD419" i="2"/>
  <c r="AD420" i="2"/>
  <c r="AD421" i="2"/>
  <c r="AD422" i="2"/>
  <c r="AD423" i="2"/>
  <c r="AD424" i="2"/>
  <c r="AD425" i="2"/>
  <c r="AD426" i="2"/>
  <c r="AD427" i="2"/>
  <c r="AD428" i="2"/>
  <c r="AD429" i="2"/>
  <c r="AD430" i="2"/>
  <c r="AD431" i="2"/>
  <c r="AD432" i="2"/>
  <c r="AD433" i="2"/>
  <c r="AD434" i="2"/>
  <c r="AD435" i="2"/>
  <c r="AD436" i="2"/>
  <c r="AD437" i="2"/>
  <c r="AD438" i="2"/>
  <c r="AD439" i="2"/>
  <c r="AD440" i="2"/>
  <c r="AD441" i="2"/>
  <c r="AD442" i="2"/>
  <c r="AD443" i="2"/>
  <c r="AD444" i="2"/>
  <c r="AD445" i="2"/>
  <c r="AD446" i="2"/>
  <c r="AD447" i="2"/>
  <c r="AD448" i="2"/>
  <c r="AD449" i="2"/>
  <c r="AD450" i="2"/>
  <c r="AD451" i="2"/>
  <c r="AD452" i="2"/>
  <c r="AD453" i="2"/>
  <c r="AD454" i="2"/>
  <c r="AD455" i="2"/>
  <c r="AD456" i="2"/>
  <c r="AD457" i="2"/>
  <c r="AD458" i="2"/>
  <c r="AD459" i="2"/>
  <c r="AD460" i="2"/>
  <c r="AD461" i="2"/>
  <c r="AD462" i="2"/>
  <c r="AD463" i="2"/>
  <c r="AD464" i="2"/>
  <c r="AD465" i="2"/>
  <c r="AD466" i="2"/>
  <c r="AD467" i="2"/>
  <c r="AD468" i="2"/>
  <c r="AD469" i="2"/>
  <c r="AD470" i="2"/>
  <c r="AD471" i="2"/>
  <c r="AD472" i="2"/>
  <c r="AD473" i="2"/>
  <c r="AD474" i="2"/>
  <c r="AD475" i="2"/>
  <c r="AD476" i="2"/>
  <c r="AD477" i="2"/>
  <c r="AD478" i="2"/>
  <c r="AD479" i="2"/>
  <c r="AD480" i="2"/>
  <c r="AD481" i="2"/>
  <c r="AD482" i="2"/>
  <c r="AD483" i="2"/>
  <c r="AD484" i="2"/>
  <c r="AD485" i="2"/>
  <c r="AD486" i="2"/>
  <c r="AD487" i="2"/>
  <c r="AD488" i="2"/>
  <c r="AD489" i="2"/>
  <c r="AD490" i="2"/>
  <c r="AD491" i="2"/>
  <c r="AD492" i="2"/>
  <c r="AD493" i="2"/>
  <c r="AD494" i="2"/>
  <c r="AD495" i="2"/>
  <c r="AD496" i="2"/>
  <c r="AD497" i="2"/>
  <c r="AD498" i="2"/>
  <c r="AD499" i="2"/>
  <c r="AD500" i="2"/>
  <c r="AD501" i="2"/>
  <c r="AD502" i="2"/>
  <c r="AD503" i="2"/>
  <c r="AD504" i="2"/>
  <c r="AD505" i="2"/>
  <c r="AD506" i="2"/>
  <c r="AD507" i="2"/>
  <c r="AD508" i="2"/>
  <c r="AD509" i="2"/>
  <c r="AD510" i="2"/>
  <c r="AD511" i="2"/>
  <c r="AD512" i="2"/>
  <c r="AD513" i="2"/>
  <c r="AD514" i="2"/>
  <c r="AD515" i="2"/>
  <c r="AD516" i="2"/>
  <c r="AD517" i="2"/>
  <c r="AD518" i="2"/>
  <c r="AD519" i="2"/>
  <c r="AD520" i="2"/>
  <c r="AD521" i="2"/>
  <c r="AD522" i="2"/>
  <c r="AD523" i="2"/>
  <c r="AD524" i="2"/>
  <c r="AD525" i="2"/>
  <c r="AD526" i="2"/>
  <c r="AD527" i="2"/>
  <c r="AD528" i="2"/>
  <c r="AD529" i="2"/>
  <c r="AD530" i="2"/>
  <c r="AD531" i="2"/>
  <c r="I37" i="18"/>
  <c r="I38" i="18"/>
  <c r="I39" i="18"/>
  <c r="I40" i="18"/>
  <c r="I41" i="18"/>
  <c r="I42" i="18"/>
  <c r="I43" i="18"/>
  <c r="I44" i="18"/>
  <c r="I45" i="18"/>
  <c r="J37" i="18"/>
  <c r="J38" i="18"/>
  <c r="J39" i="18"/>
  <c r="J40" i="18"/>
  <c r="J41" i="18"/>
  <c r="J42" i="18"/>
  <c r="J43" i="18"/>
  <c r="J44" i="18"/>
  <c r="J45" i="18"/>
  <c r="K37" i="18"/>
  <c r="K38" i="18"/>
  <c r="K39" i="18"/>
  <c r="K40" i="18"/>
  <c r="K41" i="18"/>
  <c r="K42" i="18"/>
  <c r="K43" i="18"/>
  <c r="K44" i="18"/>
  <c r="K45" i="18"/>
  <c r="L37" i="18"/>
  <c r="L38" i="18"/>
  <c r="L39" i="18"/>
  <c r="L40" i="18"/>
  <c r="L41" i="18"/>
  <c r="L42" i="18"/>
  <c r="L43" i="18"/>
  <c r="L44" i="18"/>
  <c r="L45" i="18"/>
  <c r="M37" i="18"/>
  <c r="M38" i="18"/>
  <c r="M39" i="18"/>
  <c r="M40" i="18"/>
  <c r="M41" i="18"/>
  <c r="M42" i="18"/>
  <c r="M43" i="18"/>
  <c r="M44" i="18"/>
  <c r="M45" i="18"/>
  <c r="N37" i="18"/>
  <c r="N38" i="18"/>
  <c r="N39" i="18"/>
  <c r="N40" i="18"/>
  <c r="N41" i="18"/>
  <c r="N42" i="18"/>
  <c r="N43" i="18"/>
  <c r="N44" i="18"/>
  <c r="N45" i="18"/>
  <c r="C16" i="17"/>
  <c r="B42" i="17"/>
  <c r="B48" i="17" s="1"/>
  <c r="B53" i="17"/>
  <c r="I33" i="38"/>
  <c r="I34" i="38" s="1"/>
  <c r="J33" i="38"/>
  <c r="J34" i="38" s="1"/>
  <c r="K33" i="38"/>
  <c r="K34" i="38" s="1"/>
  <c r="L33" i="38"/>
  <c r="L34" i="38" s="1"/>
  <c r="M33" i="38"/>
  <c r="M34" i="38" s="1"/>
  <c r="N33" i="38"/>
  <c r="N34" i="38" s="1"/>
  <c r="F14" i="35"/>
  <c r="D14" i="35" s="1"/>
  <c r="G14" i="35" s="1"/>
  <c r="I14" i="35" s="1"/>
  <c r="F15" i="35"/>
  <c r="D15" i="35" s="1"/>
  <c r="G15" i="35" s="1"/>
  <c r="I15" i="35" s="1"/>
  <c r="E14" i="32"/>
  <c r="F16" i="35"/>
  <c r="D16" i="35" s="1"/>
  <c r="G16" i="35" s="1"/>
  <c r="I16" i="35" s="1"/>
  <c r="F17" i="35"/>
  <c r="C17" i="35"/>
  <c r="F18" i="35"/>
  <c r="D18" i="35" s="1"/>
  <c r="G18" i="35" s="1"/>
  <c r="I18" i="35" s="1"/>
  <c r="F19" i="35"/>
  <c r="C19" i="35"/>
  <c r="F20" i="35"/>
  <c r="D20" i="35" s="1"/>
  <c r="G20" i="35" s="1"/>
  <c r="I20" i="35" s="1"/>
  <c r="C20" i="35"/>
  <c r="F21" i="35"/>
  <c r="D21" i="35" s="1"/>
  <c r="G21" i="35" s="1"/>
  <c r="I21" i="35" s="1"/>
  <c r="C21" i="35"/>
  <c r="F22" i="35"/>
  <c r="C22" i="35"/>
  <c r="F23" i="35"/>
  <c r="C23" i="35"/>
  <c r="F24" i="35"/>
  <c r="D24" i="35" s="1"/>
  <c r="G24" i="35" s="1"/>
  <c r="I24" i="35" s="1"/>
  <c r="F25" i="35"/>
  <c r="C25" i="35"/>
  <c r="F26" i="35"/>
  <c r="C26" i="35"/>
  <c r="F27" i="35"/>
  <c r="C27" i="35"/>
  <c r="F28" i="35"/>
  <c r="C28" i="35"/>
  <c r="F29" i="35"/>
  <c r="C29" i="35"/>
  <c r="F30" i="35"/>
  <c r="C30" i="35"/>
  <c r="F31" i="35"/>
  <c r="C31" i="35"/>
  <c r="F32" i="35"/>
  <c r="C32" i="35"/>
  <c r="F33" i="35"/>
  <c r="C33" i="35"/>
  <c r="F34" i="35"/>
  <c r="D34" i="35" s="1"/>
  <c r="G34" i="35" s="1"/>
  <c r="I34" i="35" s="1"/>
  <c r="F35" i="35"/>
  <c r="D35" i="35" s="1"/>
  <c r="G35" i="35" s="1"/>
  <c r="I35" i="35" s="1"/>
  <c r="F36" i="35"/>
  <c r="D36" i="35" s="1"/>
  <c r="G36" i="35" s="1"/>
  <c r="I36" i="35" s="1"/>
  <c r="F37" i="35"/>
  <c r="C37" i="35"/>
  <c r="F38" i="35"/>
  <c r="D38" i="35" s="1"/>
  <c r="G38" i="35" s="1"/>
  <c r="I38" i="35" s="1"/>
  <c r="C38" i="35"/>
  <c r="F39" i="35"/>
  <c r="D39" i="35" s="1"/>
  <c r="G39" i="35" s="1"/>
  <c r="I39" i="35" s="1"/>
  <c r="F40" i="35"/>
  <c r="C40" i="35"/>
  <c r="F41" i="35"/>
  <c r="D41" i="35" s="1"/>
  <c r="G41" i="35" s="1"/>
  <c r="I41" i="35" s="1"/>
  <c r="F42" i="35"/>
  <c r="D42" i="35" s="1"/>
  <c r="G42" i="35" s="1"/>
  <c r="I42" i="35" s="1"/>
  <c r="F43" i="35"/>
  <c r="D43" i="35" s="1"/>
  <c r="G43" i="35" s="1"/>
  <c r="I43" i="35" s="1"/>
  <c r="F44" i="35"/>
  <c r="D44" i="35" s="1"/>
  <c r="G44" i="35" s="1"/>
  <c r="I44" i="35" s="1"/>
  <c r="F45" i="35"/>
  <c r="D45" i="35" s="1"/>
  <c r="G45" i="35" s="1"/>
  <c r="I45" i="35" s="1"/>
  <c r="F46" i="35"/>
  <c r="D46" i="35" s="1"/>
  <c r="G46" i="35" s="1"/>
  <c r="I46" i="35" s="1"/>
  <c r="F47" i="35"/>
  <c r="C47" i="35"/>
  <c r="F48" i="35"/>
  <c r="C48" i="35"/>
  <c r="F49" i="35"/>
  <c r="C49" i="35"/>
  <c r="F50" i="35"/>
  <c r="C50" i="35"/>
  <c r="F51" i="35"/>
  <c r="C51" i="35"/>
  <c r="F52" i="35"/>
  <c r="C52" i="35"/>
  <c r="F53" i="35"/>
  <c r="C53" i="35"/>
  <c r="F54" i="35"/>
  <c r="C54" i="35"/>
  <c r="F55" i="35"/>
  <c r="C55" i="35"/>
  <c r="F56" i="35"/>
  <c r="C56" i="35"/>
  <c r="F57" i="35"/>
  <c r="C57" i="35"/>
  <c r="F58" i="35"/>
  <c r="C58" i="35"/>
  <c r="F59" i="35"/>
  <c r="C59" i="35"/>
  <c r="F60" i="35"/>
  <c r="C60" i="35"/>
  <c r="D60" i="35" s="1"/>
  <c r="G60" i="35" s="1"/>
  <c r="I60" i="35" s="1"/>
  <c r="F61" i="35"/>
  <c r="C61" i="35"/>
  <c r="F62" i="35"/>
  <c r="C62" i="35"/>
  <c r="F63" i="35"/>
  <c r="C63" i="35"/>
  <c r="F64" i="35"/>
  <c r="C64" i="35"/>
  <c r="F65" i="35"/>
  <c r="C65" i="35"/>
  <c r="F66" i="35"/>
  <c r="C66" i="35"/>
  <c r="F67" i="35"/>
  <c r="C67" i="35"/>
  <c r="F68" i="35"/>
  <c r="C68" i="35"/>
  <c r="F69" i="35"/>
  <c r="C69" i="35"/>
  <c r="F70" i="35"/>
  <c r="C70" i="35"/>
  <c r="F71" i="35"/>
  <c r="D71" i="35" s="1"/>
  <c r="G71" i="35" s="1"/>
  <c r="I71" i="35" s="1"/>
  <c r="F72" i="35"/>
  <c r="D72" i="35" s="1"/>
  <c r="G72" i="35" s="1"/>
  <c r="I72" i="35" s="1"/>
  <c r="F73" i="35"/>
  <c r="D73" i="35" s="1"/>
  <c r="G73" i="35" s="1"/>
  <c r="I73" i="35" s="1"/>
  <c r="F74" i="35"/>
  <c r="D74" i="35" s="1"/>
  <c r="G74" i="35" s="1"/>
  <c r="I74" i="35" s="1"/>
  <c r="F75" i="35"/>
  <c r="D75" i="35" s="1"/>
  <c r="G75" i="35" s="1"/>
  <c r="I75" i="35" s="1"/>
  <c r="F76" i="35"/>
  <c r="C76" i="35"/>
  <c r="F77" i="35"/>
  <c r="C77" i="35"/>
  <c r="F78" i="35"/>
  <c r="D78" i="35" s="1"/>
  <c r="G78" i="35" s="1"/>
  <c r="I78" i="35" s="1"/>
  <c r="F79" i="35"/>
  <c r="D79" i="35" s="1"/>
  <c r="G79" i="35" s="1"/>
  <c r="I79" i="35" s="1"/>
  <c r="F80" i="35"/>
  <c r="D80" i="35" s="1"/>
  <c r="G80" i="35" s="1"/>
  <c r="I80" i="35" s="1"/>
  <c r="U407" i="2"/>
  <c r="X407" i="2"/>
  <c r="Y407" i="2"/>
  <c r="Z407" i="2"/>
  <c r="AA407" i="2"/>
  <c r="U408" i="2"/>
  <c r="X408" i="2"/>
  <c r="Y408" i="2"/>
  <c r="Z408" i="2"/>
  <c r="AA408" i="2"/>
  <c r="U409" i="2"/>
  <c r="X409" i="2"/>
  <c r="Y409" i="2"/>
  <c r="Z409" i="2"/>
  <c r="AA409" i="2"/>
  <c r="U410" i="2"/>
  <c r="X410" i="2"/>
  <c r="Y410" i="2"/>
  <c r="Z410" i="2"/>
  <c r="AA410" i="2"/>
  <c r="U411" i="2"/>
  <c r="X411" i="2"/>
  <c r="Y411" i="2"/>
  <c r="Z411" i="2"/>
  <c r="AA411" i="2"/>
  <c r="U412" i="2"/>
  <c r="X412" i="2"/>
  <c r="Y412" i="2"/>
  <c r="Z412" i="2"/>
  <c r="AA412" i="2"/>
  <c r="U413" i="2"/>
  <c r="X413" i="2"/>
  <c r="Y413" i="2"/>
  <c r="Z413" i="2"/>
  <c r="AA413" i="2"/>
  <c r="U414" i="2"/>
  <c r="X414" i="2"/>
  <c r="Y414" i="2"/>
  <c r="Z414" i="2"/>
  <c r="AA414" i="2"/>
  <c r="U415" i="2"/>
  <c r="X415" i="2"/>
  <c r="Y415" i="2"/>
  <c r="Z415" i="2"/>
  <c r="AA415" i="2"/>
  <c r="U416" i="2"/>
  <c r="X416" i="2"/>
  <c r="Y416" i="2"/>
  <c r="Z416" i="2"/>
  <c r="AA416" i="2"/>
  <c r="U417" i="2"/>
  <c r="X417" i="2"/>
  <c r="Y417" i="2"/>
  <c r="Z417" i="2"/>
  <c r="AA417" i="2"/>
  <c r="U418" i="2"/>
  <c r="X418" i="2"/>
  <c r="Y418" i="2"/>
  <c r="Z418" i="2"/>
  <c r="AA418" i="2"/>
  <c r="U419" i="2"/>
  <c r="X419" i="2"/>
  <c r="Y419" i="2"/>
  <c r="Z419" i="2"/>
  <c r="AA419" i="2"/>
  <c r="U420" i="2"/>
  <c r="X420" i="2"/>
  <c r="Y420" i="2"/>
  <c r="Z420" i="2"/>
  <c r="AA420" i="2"/>
  <c r="U421" i="2"/>
  <c r="X421" i="2"/>
  <c r="Y421" i="2"/>
  <c r="Z421" i="2"/>
  <c r="AA421" i="2"/>
  <c r="U422" i="2"/>
  <c r="X422" i="2"/>
  <c r="Y422" i="2"/>
  <c r="Z422" i="2"/>
  <c r="AA422" i="2"/>
  <c r="U423" i="2"/>
  <c r="X423" i="2"/>
  <c r="Y423" i="2"/>
  <c r="Z423" i="2"/>
  <c r="AA423" i="2"/>
  <c r="U424" i="2"/>
  <c r="X424" i="2"/>
  <c r="Y424" i="2"/>
  <c r="Z424" i="2"/>
  <c r="AA424" i="2"/>
  <c r="U425" i="2"/>
  <c r="X425" i="2"/>
  <c r="Y425" i="2"/>
  <c r="Z425" i="2"/>
  <c r="AA425" i="2"/>
  <c r="U426" i="2"/>
  <c r="X426" i="2"/>
  <c r="Y426" i="2"/>
  <c r="Z426" i="2"/>
  <c r="AA426" i="2"/>
  <c r="U427" i="2"/>
  <c r="X427" i="2"/>
  <c r="Y427" i="2"/>
  <c r="Z427" i="2"/>
  <c r="AA427" i="2"/>
  <c r="U428" i="2"/>
  <c r="X428" i="2"/>
  <c r="Y428" i="2"/>
  <c r="Z428" i="2"/>
  <c r="AA428" i="2"/>
  <c r="U429" i="2"/>
  <c r="X429" i="2"/>
  <c r="Y429" i="2"/>
  <c r="Z429" i="2"/>
  <c r="AA429" i="2"/>
  <c r="U430" i="2"/>
  <c r="X430" i="2"/>
  <c r="Y430" i="2"/>
  <c r="Z430" i="2"/>
  <c r="AA430" i="2"/>
  <c r="U431" i="2"/>
  <c r="X431" i="2"/>
  <c r="Y431" i="2"/>
  <c r="Z431" i="2"/>
  <c r="AA431" i="2"/>
  <c r="U432" i="2"/>
  <c r="X432" i="2"/>
  <c r="Y432" i="2"/>
  <c r="Z432" i="2"/>
  <c r="AA432" i="2"/>
  <c r="U433" i="2"/>
  <c r="X433" i="2"/>
  <c r="Y433" i="2"/>
  <c r="Z433" i="2"/>
  <c r="AA433" i="2"/>
  <c r="U434" i="2"/>
  <c r="X434" i="2"/>
  <c r="Y434" i="2"/>
  <c r="Z434" i="2"/>
  <c r="AA434" i="2"/>
  <c r="U435" i="2"/>
  <c r="X435" i="2"/>
  <c r="Y435" i="2"/>
  <c r="Z435" i="2"/>
  <c r="AA435" i="2"/>
  <c r="U436" i="2"/>
  <c r="X436" i="2"/>
  <c r="Y436" i="2"/>
  <c r="Z436" i="2"/>
  <c r="AA436" i="2"/>
  <c r="U437" i="2"/>
  <c r="X437" i="2"/>
  <c r="Y437" i="2"/>
  <c r="Z437" i="2"/>
  <c r="AA437" i="2"/>
  <c r="U438" i="2"/>
  <c r="X438" i="2"/>
  <c r="Y438" i="2"/>
  <c r="Z438" i="2"/>
  <c r="AA438" i="2"/>
  <c r="U439" i="2"/>
  <c r="X439" i="2"/>
  <c r="Y439" i="2"/>
  <c r="Z439" i="2"/>
  <c r="AA439" i="2"/>
  <c r="U440" i="2"/>
  <c r="X440" i="2"/>
  <c r="Y440" i="2"/>
  <c r="Z440" i="2"/>
  <c r="AA440" i="2"/>
  <c r="U441" i="2"/>
  <c r="X441" i="2"/>
  <c r="Y441" i="2"/>
  <c r="Z441" i="2"/>
  <c r="AA441" i="2"/>
  <c r="U442" i="2"/>
  <c r="X442" i="2"/>
  <c r="Y442" i="2"/>
  <c r="Z442" i="2"/>
  <c r="AA442" i="2"/>
  <c r="U443" i="2"/>
  <c r="X443" i="2"/>
  <c r="Y443" i="2"/>
  <c r="Z443" i="2"/>
  <c r="AA443" i="2"/>
  <c r="U444" i="2"/>
  <c r="X444" i="2"/>
  <c r="Y444" i="2"/>
  <c r="Z444" i="2"/>
  <c r="AA444" i="2"/>
  <c r="U445" i="2"/>
  <c r="X445" i="2"/>
  <c r="Y445" i="2"/>
  <c r="Z445" i="2"/>
  <c r="AA445" i="2"/>
  <c r="U446" i="2"/>
  <c r="X446" i="2"/>
  <c r="Y446" i="2"/>
  <c r="Z446" i="2"/>
  <c r="AA446" i="2"/>
  <c r="U447" i="2"/>
  <c r="X447" i="2"/>
  <c r="Y447" i="2"/>
  <c r="Z447" i="2"/>
  <c r="AA447" i="2"/>
  <c r="U448" i="2"/>
  <c r="X448" i="2"/>
  <c r="Y448" i="2"/>
  <c r="Z448" i="2"/>
  <c r="AA448" i="2"/>
  <c r="U449" i="2"/>
  <c r="X449" i="2"/>
  <c r="Y449" i="2"/>
  <c r="Z449" i="2"/>
  <c r="AA449" i="2"/>
  <c r="U450" i="2"/>
  <c r="X450" i="2"/>
  <c r="Y450" i="2"/>
  <c r="Z450" i="2"/>
  <c r="AA450" i="2"/>
  <c r="U451" i="2"/>
  <c r="X451" i="2"/>
  <c r="Y451" i="2"/>
  <c r="Z451" i="2"/>
  <c r="AA451" i="2"/>
  <c r="U452" i="2"/>
  <c r="X452" i="2"/>
  <c r="Y452" i="2"/>
  <c r="Z452" i="2"/>
  <c r="AA452" i="2"/>
  <c r="U453" i="2"/>
  <c r="X453" i="2"/>
  <c r="Y453" i="2"/>
  <c r="Z453" i="2"/>
  <c r="AA453" i="2"/>
  <c r="U454" i="2"/>
  <c r="X454" i="2"/>
  <c r="Y454" i="2"/>
  <c r="Z454" i="2"/>
  <c r="AA454" i="2"/>
  <c r="U455" i="2"/>
  <c r="X455" i="2"/>
  <c r="Y455" i="2"/>
  <c r="Z455" i="2"/>
  <c r="AA455" i="2"/>
  <c r="U456" i="2"/>
  <c r="X456" i="2"/>
  <c r="Y456" i="2"/>
  <c r="Z456" i="2"/>
  <c r="AA456" i="2"/>
  <c r="U457" i="2"/>
  <c r="X457" i="2"/>
  <c r="Y457" i="2"/>
  <c r="Z457" i="2"/>
  <c r="AA457" i="2"/>
  <c r="U458" i="2"/>
  <c r="X458" i="2"/>
  <c r="Y458" i="2"/>
  <c r="Z458" i="2"/>
  <c r="AA458" i="2"/>
  <c r="U459" i="2"/>
  <c r="X459" i="2"/>
  <c r="Y459" i="2"/>
  <c r="Z459" i="2"/>
  <c r="AA459" i="2"/>
  <c r="U460" i="2"/>
  <c r="X460" i="2"/>
  <c r="Y460" i="2"/>
  <c r="Z460" i="2"/>
  <c r="AA460" i="2"/>
  <c r="U461" i="2"/>
  <c r="X461" i="2"/>
  <c r="Y461" i="2"/>
  <c r="Z461" i="2"/>
  <c r="AA461" i="2"/>
  <c r="U462" i="2"/>
  <c r="X462" i="2"/>
  <c r="Y462" i="2"/>
  <c r="Z462" i="2"/>
  <c r="AA462" i="2"/>
  <c r="U463" i="2"/>
  <c r="X463" i="2"/>
  <c r="Y463" i="2"/>
  <c r="Z463" i="2"/>
  <c r="AA463" i="2"/>
  <c r="U464" i="2"/>
  <c r="X464" i="2"/>
  <c r="Y464" i="2"/>
  <c r="Z464" i="2"/>
  <c r="AA464" i="2"/>
  <c r="U465" i="2"/>
  <c r="X465" i="2"/>
  <c r="Y465" i="2"/>
  <c r="Z465" i="2"/>
  <c r="AA465" i="2"/>
  <c r="U466" i="2"/>
  <c r="X466" i="2"/>
  <c r="Y466" i="2"/>
  <c r="Z466" i="2"/>
  <c r="AA466" i="2"/>
  <c r="U467" i="2"/>
  <c r="X467" i="2"/>
  <c r="Y467" i="2"/>
  <c r="Z467" i="2"/>
  <c r="AA467" i="2"/>
  <c r="U468" i="2"/>
  <c r="X468" i="2"/>
  <c r="Y468" i="2"/>
  <c r="Z468" i="2"/>
  <c r="AA468" i="2"/>
  <c r="U469" i="2"/>
  <c r="X469" i="2"/>
  <c r="Y469" i="2"/>
  <c r="Z469" i="2"/>
  <c r="AA469" i="2"/>
  <c r="U470" i="2"/>
  <c r="X470" i="2"/>
  <c r="Y470" i="2"/>
  <c r="Z470" i="2"/>
  <c r="AA470" i="2"/>
  <c r="U471" i="2"/>
  <c r="X471" i="2"/>
  <c r="Y471" i="2"/>
  <c r="Z471" i="2"/>
  <c r="AA471" i="2"/>
  <c r="U472" i="2"/>
  <c r="X472" i="2"/>
  <c r="Y472" i="2"/>
  <c r="Z472" i="2"/>
  <c r="AA472" i="2"/>
  <c r="U473" i="2"/>
  <c r="X473" i="2"/>
  <c r="Y473" i="2"/>
  <c r="Z473" i="2"/>
  <c r="AA473" i="2"/>
  <c r="U474" i="2"/>
  <c r="X474" i="2"/>
  <c r="Y474" i="2"/>
  <c r="Z474" i="2"/>
  <c r="AA474" i="2"/>
  <c r="U475" i="2"/>
  <c r="X475" i="2"/>
  <c r="Y475" i="2"/>
  <c r="Z475" i="2"/>
  <c r="AA475" i="2"/>
  <c r="U476" i="2"/>
  <c r="X476" i="2"/>
  <c r="Y476" i="2"/>
  <c r="Z476" i="2"/>
  <c r="AA476" i="2"/>
  <c r="U477" i="2"/>
  <c r="X477" i="2"/>
  <c r="Y477" i="2"/>
  <c r="Z477" i="2"/>
  <c r="AA477" i="2"/>
  <c r="U478" i="2"/>
  <c r="W478" i="2"/>
  <c r="X478" i="2"/>
  <c r="Y478" i="2"/>
  <c r="Z478" i="2"/>
  <c r="AA478" i="2"/>
  <c r="U479" i="2"/>
  <c r="X479" i="2"/>
  <c r="Y479" i="2"/>
  <c r="Z479" i="2"/>
  <c r="AA479" i="2"/>
  <c r="U480" i="2"/>
  <c r="X480" i="2"/>
  <c r="Y480" i="2"/>
  <c r="Z480" i="2"/>
  <c r="AA480" i="2"/>
  <c r="U481" i="2"/>
  <c r="X481" i="2"/>
  <c r="Y481" i="2"/>
  <c r="Z481" i="2"/>
  <c r="AA481" i="2"/>
  <c r="U482" i="2"/>
  <c r="X482" i="2"/>
  <c r="Y482" i="2"/>
  <c r="Z482" i="2"/>
  <c r="AA482" i="2"/>
  <c r="U483" i="2"/>
  <c r="X483" i="2"/>
  <c r="Y483" i="2"/>
  <c r="Z483" i="2"/>
  <c r="AA483" i="2"/>
  <c r="U484" i="2"/>
  <c r="X484" i="2"/>
  <c r="Y484" i="2"/>
  <c r="Z484" i="2"/>
  <c r="AA484" i="2"/>
  <c r="U485" i="2"/>
  <c r="X485" i="2"/>
  <c r="Y485" i="2"/>
  <c r="Z485" i="2"/>
  <c r="AA485" i="2"/>
  <c r="U486" i="2"/>
  <c r="X486" i="2"/>
  <c r="Y486" i="2"/>
  <c r="Z486" i="2"/>
  <c r="AA486" i="2"/>
  <c r="U487" i="2"/>
  <c r="X487" i="2"/>
  <c r="Y487" i="2"/>
  <c r="Z487" i="2"/>
  <c r="AA487" i="2"/>
  <c r="U488" i="2"/>
  <c r="W488" i="2"/>
  <c r="X488" i="2"/>
  <c r="Y488" i="2"/>
  <c r="Z488" i="2"/>
  <c r="AA488" i="2"/>
  <c r="U489" i="2"/>
  <c r="X489" i="2"/>
  <c r="Y489" i="2"/>
  <c r="Z489" i="2"/>
  <c r="AA489" i="2"/>
  <c r="U490" i="2"/>
  <c r="W490" i="2"/>
  <c r="X490" i="2"/>
  <c r="Y490" i="2"/>
  <c r="Z490" i="2"/>
  <c r="AA490" i="2"/>
  <c r="U491" i="2"/>
  <c r="X491" i="2"/>
  <c r="Y491" i="2"/>
  <c r="Z491" i="2"/>
  <c r="AA491" i="2"/>
  <c r="U492" i="2"/>
  <c r="X492" i="2"/>
  <c r="Y492" i="2"/>
  <c r="Z492" i="2"/>
  <c r="AA492" i="2"/>
  <c r="U493" i="2"/>
  <c r="X493" i="2"/>
  <c r="Y493" i="2"/>
  <c r="Z493" i="2"/>
  <c r="AA493" i="2"/>
  <c r="U494" i="2"/>
  <c r="X494" i="2"/>
  <c r="Y494" i="2"/>
  <c r="Z494" i="2"/>
  <c r="AA494" i="2"/>
  <c r="U495" i="2"/>
  <c r="X495" i="2"/>
  <c r="Y495" i="2"/>
  <c r="Z495" i="2"/>
  <c r="AA495" i="2"/>
  <c r="U496" i="2"/>
  <c r="X496" i="2"/>
  <c r="Y496" i="2"/>
  <c r="Z496" i="2"/>
  <c r="AA496" i="2"/>
  <c r="U497" i="2"/>
  <c r="X497" i="2"/>
  <c r="Y497" i="2"/>
  <c r="Z497" i="2"/>
  <c r="AA497" i="2"/>
  <c r="U498" i="2"/>
  <c r="X498" i="2"/>
  <c r="Y498" i="2"/>
  <c r="Z498" i="2"/>
  <c r="AA498" i="2"/>
  <c r="U499" i="2"/>
  <c r="X499" i="2"/>
  <c r="Y499" i="2"/>
  <c r="Z499" i="2"/>
  <c r="AA499" i="2"/>
  <c r="U500" i="2"/>
  <c r="X500" i="2"/>
  <c r="Y500" i="2"/>
  <c r="Z500" i="2"/>
  <c r="AA500" i="2"/>
  <c r="U501" i="2"/>
  <c r="X501" i="2"/>
  <c r="Y501" i="2"/>
  <c r="Z501" i="2"/>
  <c r="AA501" i="2"/>
  <c r="U502" i="2"/>
  <c r="X502" i="2"/>
  <c r="Y502" i="2"/>
  <c r="Z502" i="2"/>
  <c r="AA502" i="2"/>
  <c r="U503" i="2"/>
  <c r="X503" i="2"/>
  <c r="Y503" i="2"/>
  <c r="Z503" i="2"/>
  <c r="AA503" i="2"/>
  <c r="U504" i="2"/>
  <c r="X504" i="2"/>
  <c r="Y504" i="2"/>
  <c r="Z504" i="2"/>
  <c r="AA504" i="2"/>
  <c r="U505" i="2"/>
  <c r="X505" i="2"/>
  <c r="Y505" i="2"/>
  <c r="Z505" i="2"/>
  <c r="AA505" i="2"/>
  <c r="U506" i="2"/>
  <c r="X506" i="2"/>
  <c r="Y506" i="2"/>
  <c r="Z506" i="2"/>
  <c r="AA506" i="2"/>
  <c r="U507" i="2"/>
  <c r="X507" i="2"/>
  <c r="Y507" i="2"/>
  <c r="Z507" i="2"/>
  <c r="AA507" i="2"/>
  <c r="U508" i="2"/>
  <c r="X508" i="2"/>
  <c r="Y508" i="2"/>
  <c r="Z508" i="2"/>
  <c r="AA508" i="2"/>
  <c r="U509" i="2"/>
  <c r="X509" i="2"/>
  <c r="Y509" i="2"/>
  <c r="Z509" i="2"/>
  <c r="AA509" i="2"/>
  <c r="U510" i="2"/>
  <c r="X510" i="2"/>
  <c r="Y510" i="2"/>
  <c r="Z510" i="2"/>
  <c r="AA510" i="2"/>
  <c r="U511" i="2"/>
  <c r="X511" i="2"/>
  <c r="Y511" i="2"/>
  <c r="Z511" i="2"/>
  <c r="AA511" i="2"/>
  <c r="U512" i="2"/>
  <c r="X512" i="2"/>
  <c r="Y512" i="2"/>
  <c r="Z512" i="2"/>
  <c r="AA512" i="2"/>
  <c r="U513" i="2"/>
  <c r="X513" i="2"/>
  <c r="Y513" i="2"/>
  <c r="Z513" i="2"/>
  <c r="AA513" i="2"/>
  <c r="U514" i="2"/>
  <c r="X514" i="2"/>
  <c r="Y514" i="2"/>
  <c r="Z514" i="2"/>
  <c r="AA514" i="2"/>
  <c r="U515" i="2"/>
  <c r="X515" i="2"/>
  <c r="Y515" i="2"/>
  <c r="Z515" i="2"/>
  <c r="AA515" i="2"/>
  <c r="U516" i="2"/>
  <c r="X516" i="2"/>
  <c r="Y516" i="2"/>
  <c r="Z516" i="2"/>
  <c r="AA516" i="2"/>
  <c r="U517" i="2"/>
  <c r="W517" i="2"/>
  <c r="X517" i="2"/>
  <c r="Y517" i="2"/>
  <c r="Z517" i="2"/>
  <c r="AA517" i="2"/>
  <c r="U518" i="2"/>
  <c r="W518" i="2"/>
  <c r="X518" i="2"/>
  <c r="Y518" i="2"/>
  <c r="Z518" i="2"/>
  <c r="AA518" i="2"/>
  <c r="U519" i="2"/>
  <c r="X519" i="2"/>
  <c r="Y519" i="2"/>
  <c r="Z519" i="2"/>
  <c r="AA519" i="2"/>
  <c r="U520" i="2"/>
  <c r="X520" i="2"/>
  <c r="Y520" i="2"/>
  <c r="Z520" i="2"/>
  <c r="AA520" i="2"/>
  <c r="U521" i="2"/>
  <c r="X521" i="2"/>
  <c r="Y521" i="2"/>
  <c r="Z521" i="2"/>
  <c r="AA521" i="2"/>
  <c r="U522" i="2"/>
  <c r="X522" i="2"/>
  <c r="Y522" i="2"/>
  <c r="Z522" i="2"/>
  <c r="AA522" i="2"/>
  <c r="U523" i="2"/>
  <c r="X523" i="2"/>
  <c r="Y523" i="2"/>
  <c r="Z523" i="2"/>
  <c r="AA523" i="2"/>
  <c r="U524" i="2"/>
  <c r="X524" i="2"/>
  <c r="Y524" i="2"/>
  <c r="Z524" i="2"/>
  <c r="AA524" i="2"/>
  <c r="U525" i="2"/>
  <c r="X525" i="2"/>
  <c r="Y525" i="2"/>
  <c r="Z525" i="2"/>
  <c r="AA525" i="2"/>
  <c r="U526" i="2"/>
  <c r="W526" i="2"/>
  <c r="X526" i="2"/>
  <c r="Y526" i="2"/>
  <c r="Z526" i="2"/>
  <c r="AA526" i="2"/>
  <c r="U527" i="2"/>
  <c r="X527" i="2"/>
  <c r="Y527" i="2"/>
  <c r="Z527" i="2"/>
  <c r="AA527" i="2"/>
  <c r="U528" i="2"/>
  <c r="X528" i="2"/>
  <c r="Y528" i="2"/>
  <c r="Z528" i="2"/>
  <c r="AA528" i="2"/>
  <c r="U529" i="2"/>
  <c r="X529" i="2"/>
  <c r="Y529" i="2"/>
  <c r="Z529" i="2"/>
  <c r="AA529" i="2"/>
  <c r="U530" i="2"/>
  <c r="X530" i="2"/>
  <c r="Y530" i="2"/>
  <c r="Z530" i="2"/>
  <c r="AA530" i="2"/>
  <c r="U531" i="2"/>
  <c r="X531" i="2"/>
  <c r="Y531" i="2"/>
  <c r="Z531" i="2"/>
  <c r="AA531"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Z324" i="2"/>
  <c r="Z326" i="2"/>
  <c r="Z327" i="2"/>
  <c r="Z328" i="2"/>
  <c r="Z329" i="2"/>
  <c r="Z330" i="2"/>
  <c r="Z331" i="2"/>
  <c r="Z332" i="2"/>
  <c r="Z333" i="2"/>
  <c r="Z334" i="2"/>
  <c r="Z335" i="2"/>
  <c r="Z336" i="2"/>
  <c r="Z337" i="2"/>
  <c r="Z338" i="2"/>
  <c r="Z339" i="2"/>
  <c r="Z340" i="2"/>
  <c r="Z341" i="2"/>
  <c r="Z342" i="2"/>
  <c r="Z343" i="2"/>
  <c r="Z344" i="2"/>
  <c r="Z345" i="2"/>
  <c r="Z346" i="2"/>
  <c r="Z347" i="2"/>
  <c r="Z348" i="2"/>
  <c r="Z349" i="2"/>
  <c r="Z350" i="2"/>
  <c r="Z351" i="2"/>
  <c r="Z352" i="2"/>
  <c r="Z353" i="2"/>
  <c r="Z354" i="2"/>
  <c r="Z355" i="2"/>
  <c r="Z356" i="2"/>
  <c r="Z357" i="2"/>
  <c r="Z358" i="2"/>
  <c r="Z359" i="2"/>
  <c r="Z360" i="2"/>
  <c r="Z361" i="2"/>
  <c r="Z362" i="2"/>
  <c r="Z363" i="2"/>
  <c r="Z364" i="2"/>
  <c r="Z365" i="2"/>
  <c r="Z366" i="2"/>
  <c r="Z367" i="2"/>
  <c r="Z368" i="2"/>
  <c r="Z369" i="2"/>
  <c r="Z370" i="2"/>
  <c r="Z371" i="2"/>
  <c r="Z372" i="2"/>
  <c r="Z373" i="2"/>
  <c r="Z374" i="2"/>
  <c r="Z375" i="2"/>
  <c r="Z376" i="2"/>
  <c r="Z377" i="2"/>
  <c r="Z378" i="2"/>
  <c r="Z379" i="2"/>
  <c r="Z380" i="2"/>
  <c r="Z381" i="2"/>
  <c r="Z382" i="2"/>
  <c r="Z383" i="2"/>
  <c r="Z384" i="2"/>
  <c r="Z385" i="2"/>
  <c r="Z386" i="2"/>
  <c r="Z387" i="2"/>
  <c r="Z388" i="2"/>
  <c r="Z389" i="2"/>
  <c r="Z390" i="2"/>
  <c r="Z391" i="2"/>
  <c r="Z392" i="2"/>
  <c r="Z393" i="2"/>
  <c r="Z394" i="2"/>
  <c r="Z395" i="2"/>
  <c r="Z396" i="2"/>
  <c r="Z397" i="2"/>
  <c r="Z398" i="2"/>
  <c r="Z399" i="2"/>
  <c r="Z400" i="2"/>
  <c r="Z401" i="2"/>
  <c r="Z402" i="2"/>
  <c r="Z403" i="2"/>
  <c r="Z404" i="2"/>
  <c r="Z405" i="2"/>
  <c r="Z406" i="2"/>
  <c r="Z8" i="2"/>
  <c r="X15" i="2"/>
  <c r="W33" i="2"/>
  <c r="W35" i="2"/>
  <c r="W47" i="2"/>
  <c r="W77" i="2"/>
  <c r="W87" i="2"/>
  <c r="W105" i="2"/>
  <c r="W120" i="2"/>
  <c r="W139" i="2"/>
  <c r="W244" i="2"/>
  <c r="W247" i="2"/>
  <c r="W257" i="2"/>
  <c r="W258" i="2"/>
  <c r="W259" i="2"/>
  <c r="W264" i="2"/>
  <c r="W265" i="2"/>
  <c r="W284" i="2"/>
  <c r="W293" i="2"/>
  <c r="W312" i="2"/>
  <c r="W313" i="2"/>
  <c r="W333" i="2"/>
  <c r="R333" i="2" s="1"/>
  <c r="W335" i="2"/>
  <c r="R335" i="2" s="1"/>
  <c r="W350" i="2"/>
  <c r="W361" i="2"/>
  <c r="W381" i="2"/>
  <c r="W397"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400" i="2"/>
  <c r="AA401" i="2"/>
  <c r="AA402" i="2"/>
  <c r="AA403" i="2"/>
  <c r="AA404" i="2"/>
  <c r="AA405" i="2"/>
  <c r="AA406" i="2"/>
  <c r="AA10" i="2"/>
  <c r="L11" i="28"/>
  <c r="L12" i="28"/>
  <c r="L13" i="28"/>
  <c r="L14" i="28"/>
  <c r="L15" i="28"/>
  <c r="L16" i="28"/>
  <c r="L17" i="28"/>
  <c r="L18" i="28"/>
  <c r="L10" i="28"/>
  <c r="N25" i="38"/>
  <c r="M25" i="38"/>
  <c r="L25" i="38"/>
  <c r="K25" i="38"/>
  <c r="J25" i="38"/>
  <c r="O25" i="38" s="1"/>
  <c r="I25" i="38"/>
  <c r="B8" i="38"/>
  <c r="A8" i="38"/>
  <c r="B7" i="38"/>
  <c r="A7" i="38"/>
  <c r="B6" i="38"/>
  <c r="A6" i="38"/>
  <c r="B5" i="38"/>
  <c r="A5" i="38"/>
  <c r="B4" i="38"/>
  <c r="A4" i="38"/>
  <c r="B3" i="38"/>
  <c r="A3" i="38"/>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Y286" i="2"/>
  <c r="Y287" i="2"/>
  <c r="Y288" i="2"/>
  <c r="Y289" i="2"/>
  <c r="Y290" i="2"/>
  <c r="Y291" i="2"/>
  <c r="Y292" i="2"/>
  <c r="Y293" i="2"/>
  <c r="Y294" i="2"/>
  <c r="Y295" i="2"/>
  <c r="Y296" i="2"/>
  <c r="Y297" i="2"/>
  <c r="Y298" i="2"/>
  <c r="Y299" i="2"/>
  <c r="Y300" i="2"/>
  <c r="Y301" i="2"/>
  <c r="Y302" i="2"/>
  <c r="Y303" i="2"/>
  <c r="Y304" i="2"/>
  <c r="Y305" i="2"/>
  <c r="Y306" i="2"/>
  <c r="Y307" i="2"/>
  <c r="Y308" i="2"/>
  <c r="Y309" i="2"/>
  <c r="Y310" i="2"/>
  <c r="Y311" i="2"/>
  <c r="Y312" i="2"/>
  <c r="Y313" i="2"/>
  <c r="Y314" i="2"/>
  <c r="Y315" i="2"/>
  <c r="Y316" i="2"/>
  <c r="Y317" i="2"/>
  <c r="Y318" i="2"/>
  <c r="Y319" i="2"/>
  <c r="Y320" i="2"/>
  <c r="Y321" i="2"/>
  <c r="Y322" i="2"/>
  <c r="Y323" i="2"/>
  <c r="Y324" i="2"/>
  <c r="Y326" i="2"/>
  <c r="Y327" i="2"/>
  <c r="Y328" i="2"/>
  <c r="Y329" i="2"/>
  <c r="Y330" i="2"/>
  <c r="Y331" i="2"/>
  <c r="Y332" i="2"/>
  <c r="Y333" i="2"/>
  <c r="Y334" i="2"/>
  <c r="Y335" i="2"/>
  <c r="Y336" i="2"/>
  <c r="Y337" i="2"/>
  <c r="Y338" i="2"/>
  <c r="Y339" i="2"/>
  <c r="Y340" i="2"/>
  <c r="Y341" i="2"/>
  <c r="Y342" i="2"/>
  <c r="Y343" i="2"/>
  <c r="Y344" i="2"/>
  <c r="Y345" i="2"/>
  <c r="Y346" i="2"/>
  <c r="Y347" i="2"/>
  <c r="Y348" i="2"/>
  <c r="Y349" i="2"/>
  <c r="Y350" i="2"/>
  <c r="Y351" i="2"/>
  <c r="Y352" i="2"/>
  <c r="Y353" i="2"/>
  <c r="Y354" i="2"/>
  <c r="Y355" i="2"/>
  <c r="Y356" i="2"/>
  <c r="Y357" i="2"/>
  <c r="Y358" i="2"/>
  <c r="Y359" i="2"/>
  <c r="Y360" i="2"/>
  <c r="Y361" i="2"/>
  <c r="Y362" i="2"/>
  <c r="Y363" i="2"/>
  <c r="Y364" i="2"/>
  <c r="Y365" i="2"/>
  <c r="Y366" i="2"/>
  <c r="Y367" i="2"/>
  <c r="Y368" i="2"/>
  <c r="Y369" i="2"/>
  <c r="Y370" i="2"/>
  <c r="Y371" i="2"/>
  <c r="Y372" i="2"/>
  <c r="Y373" i="2"/>
  <c r="Y374" i="2"/>
  <c r="Y375" i="2"/>
  <c r="Y376" i="2"/>
  <c r="Y377" i="2"/>
  <c r="Y378" i="2"/>
  <c r="Y379" i="2"/>
  <c r="Y380" i="2"/>
  <c r="Y381" i="2"/>
  <c r="Y382" i="2"/>
  <c r="Y383" i="2"/>
  <c r="Y384" i="2"/>
  <c r="Y385" i="2"/>
  <c r="Y386" i="2"/>
  <c r="Y387" i="2"/>
  <c r="Y388" i="2"/>
  <c r="Y389" i="2"/>
  <c r="Y390" i="2"/>
  <c r="Y391" i="2"/>
  <c r="Y392" i="2"/>
  <c r="Y393" i="2"/>
  <c r="Y394" i="2"/>
  <c r="Y395" i="2"/>
  <c r="Y396" i="2"/>
  <c r="Y397" i="2"/>
  <c r="Y398" i="2"/>
  <c r="Y399" i="2"/>
  <c r="Y400" i="2"/>
  <c r="Y401" i="2"/>
  <c r="Y402" i="2"/>
  <c r="Y403" i="2"/>
  <c r="Y404" i="2"/>
  <c r="Y405" i="2"/>
  <c r="Y406" i="2"/>
  <c r="Y8" i="2"/>
  <c r="X8" i="2"/>
  <c r="C7" i="2"/>
  <c r="C6" i="2"/>
  <c r="C5" i="2"/>
  <c r="C3" i="2"/>
  <c r="B4" i="2"/>
  <c r="B5" i="2"/>
  <c r="B6" i="2"/>
  <c r="B7" i="2"/>
  <c r="B3" i="2"/>
  <c r="X406" i="2"/>
  <c r="X405" i="2"/>
  <c r="X404" i="2"/>
  <c r="X403" i="2"/>
  <c r="X402" i="2"/>
  <c r="X401" i="2"/>
  <c r="X400" i="2"/>
  <c r="X399" i="2"/>
  <c r="X398" i="2"/>
  <c r="X397" i="2"/>
  <c r="X396" i="2"/>
  <c r="X395" i="2"/>
  <c r="X394" i="2"/>
  <c r="X393" i="2"/>
  <c r="X392" i="2"/>
  <c r="X391" i="2"/>
  <c r="X390" i="2"/>
  <c r="X389" i="2"/>
  <c r="X388" i="2"/>
  <c r="X387" i="2"/>
  <c r="X386" i="2"/>
  <c r="X385" i="2"/>
  <c r="X384" i="2"/>
  <c r="X383" i="2"/>
  <c r="X382" i="2"/>
  <c r="X381" i="2"/>
  <c r="X380" i="2"/>
  <c r="X379" i="2"/>
  <c r="X378" i="2"/>
  <c r="X377" i="2"/>
  <c r="X376" i="2"/>
  <c r="X375" i="2"/>
  <c r="X374" i="2"/>
  <c r="X373" i="2"/>
  <c r="X372" i="2"/>
  <c r="X371" i="2"/>
  <c r="X370" i="2"/>
  <c r="X369" i="2"/>
  <c r="X368" i="2"/>
  <c r="X367" i="2"/>
  <c r="X366" i="2"/>
  <c r="X365" i="2"/>
  <c r="X364" i="2"/>
  <c r="X363" i="2"/>
  <c r="X362" i="2"/>
  <c r="X361" i="2"/>
  <c r="X360" i="2"/>
  <c r="X359" i="2"/>
  <c r="X358" i="2"/>
  <c r="X357" i="2"/>
  <c r="X356" i="2"/>
  <c r="X355" i="2"/>
  <c r="X354" i="2"/>
  <c r="X353" i="2"/>
  <c r="X352" i="2"/>
  <c r="X351" i="2"/>
  <c r="X350" i="2"/>
  <c r="X349" i="2"/>
  <c r="X348" i="2"/>
  <c r="X347" i="2"/>
  <c r="X346" i="2"/>
  <c r="X345" i="2"/>
  <c r="X344" i="2"/>
  <c r="X343" i="2"/>
  <c r="X342" i="2"/>
  <c r="X341" i="2"/>
  <c r="X340" i="2"/>
  <c r="X339" i="2"/>
  <c r="X338" i="2"/>
  <c r="X337" i="2"/>
  <c r="X336" i="2"/>
  <c r="X335" i="2"/>
  <c r="X334" i="2"/>
  <c r="X333" i="2"/>
  <c r="X332" i="2"/>
  <c r="X331" i="2"/>
  <c r="X330" i="2"/>
  <c r="X329" i="2"/>
  <c r="X328" i="2"/>
  <c r="X327" i="2"/>
  <c r="X326" i="2"/>
  <c r="X324" i="2"/>
  <c r="X323" i="2"/>
  <c r="X322" i="2"/>
  <c r="X321" i="2"/>
  <c r="X320" i="2"/>
  <c r="X319" i="2"/>
  <c r="X318" i="2"/>
  <c r="X317" i="2"/>
  <c r="X316" i="2"/>
  <c r="X315" i="2"/>
  <c r="X314" i="2"/>
  <c r="X313" i="2"/>
  <c r="X312" i="2"/>
  <c r="X311" i="2"/>
  <c r="X310" i="2"/>
  <c r="X309" i="2"/>
  <c r="X308" i="2"/>
  <c r="X307" i="2"/>
  <c r="X306" i="2"/>
  <c r="X305" i="2"/>
  <c r="X304" i="2"/>
  <c r="X303" i="2"/>
  <c r="X302" i="2"/>
  <c r="X301" i="2"/>
  <c r="X300" i="2"/>
  <c r="X299" i="2"/>
  <c r="X298" i="2"/>
  <c r="X297" i="2"/>
  <c r="X296" i="2"/>
  <c r="X295" i="2"/>
  <c r="X294" i="2"/>
  <c r="X293" i="2"/>
  <c r="X292" i="2"/>
  <c r="X291" i="2"/>
  <c r="X290" i="2"/>
  <c r="X289" i="2"/>
  <c r="X288" i="2"/>
  <c r="X287" i="2"/>
  <c r="X286" i="2"/>
  <c r="X285" i="2"/>
  <c r="X284" i="2"/>
  <c r="X283" i="2"/>
  <c r="X282" i="2"/>
  <c r="X281" i="2"/>
  <c r="X280" i="2"/>
  <c r="X279" i="2"/>
  <c r="X278" i="2"/>
  <c r="X277" i="2"/>
  <c r="X276" i="2"/>
  <c r="X275" i="2"/>
  <c r="X274" i="2"/>
  <c r="X273" i="2"/>
  <c r="X272" i="2"/>
  <c r="X271" i="2"/>
  <c r="X270" i="2"/>
  <c r="X269" i="2"/>
  <c r="X268" i="2"/>
  <c r="X267" i="2"/>
  <c r="X266" i="2"/>
  <c r="X265" i="2"/>
  <c r="X264" i="2"/>
  <c r="X263" i="2"/>
  <c r="X262" i="2"/>
  <c r="X261" i="2"/>
  <c r="X260" i="2"/>
  <c r="X259" i="2"/>
  <c r="X258" i="2"/>
  <c r="X257" i="2"/>
  <c r="X256" i="2"/>
  <c r="X255" i="2"/>
  <c r="X254" i="2"/>
  <c r="X253" i="2"/>
  <c r="X252" i="2"/>
  <c r="X251" i="2"/>
  <c r="X250" i="2"/>
  <c r="X249" i="2"/>
  <c r="X248" i="2"/>
  <c r="X247" i="2"/>
  <c r="X246" i="2"/>
  <c r="X245" i="2"/>
  <c r="X244" i="2"/>
  <c r="X243" i="2"/>
  <c r="X242" i="2"/>
  <c r="X241" i="2"/>
  <c r="X240" i="2"/>
  <c r="X239" i="2"/>
  <c r="X238" i="2"/>
  <c r="X237" i="2"/>
  <c r="X236" i="2"/>
  <c r="X235" i="2"/>
  <c r="X234" i="2"/>
  <c r="X233" i="2"/>
  <c r="X232" i="2"/>
  <c r="X231" i="2"/>
  <c r="X230" i="2"/>
  <c r="X229" i="2"/>
  <c r="X228" i="2"/>
  <c r="X227" i="2"/>
  <c r="X226" i="2"/>
  <c r="X225" i="2"/>
  <c r="X224" i="2"/>
  <c r="X223" i="2"/>
  <c r="X222" i="2"/>
  <c r="X221" i="2"/>
  <c r="X220" i="2"/>
  <c r="X219" i="2"/>
  <c r="X218" i="2"/>
  <c r="X217" i="2"/>
  <c r="X204" i="2"/>
  <c r="X203" i="2"/>
  <c r="X202" i="2"/>
  <c r="X201" i="2"/>
  <c r="X200" i="2"/>
  <c r="X199" i="2"/>
  <c r="X198" i="2"/>
  <c r="X197" i="2"/>
  <c r="X196" i="2"/>
  <c r="X195" i="2"/>
  <c r="X194" i="2"/>
  <c r="X193" i="2"/>
  <c r="X192" i="2"/>
  <c r="X191" i="2"/>
  <c r="X190" i="2"/>
  <c r="X189" i="2"/>
  <c r="X188" i="2"/>
  <c r="X187" i="2"/>
  <c r="X186" i="2"/>
  <c r="X185" i="2"/>
  <c r="X184" i="2"/>
  <c r="X183" i="2"/>
  <c r="X182" i="2"/>
  <c r="X181" i="2"/>
  <c r="X180" i="2"/>
  <c r="X179" i="2"/>
  <c r="X178" i="2"/>
  <c r="X177" i="2"/>
  <c r="X176" i="2"/>
  <c r="X175" i="2"/>
  <c r="X174" i="2"/>
  <c r="X173" i="2"/>
  <c r="X172" i="2"/>
  <c r="X171" i="2"/>
  <c r="X170" i="2"/>
  <c r="X169" i="2"/>
  <c r="X168" i="2"/>
  <c r="X167" i="2"/>
  <c r="X166" i="2"/>
  <c r="X165" i="2"/>
  <c r="X164" i="2"/>
  <c r="X163" i="2"/>
  <c r="X162" i="2"/>
  <c r="X161" i="2"/>
  <c r="X160" i="2"/>
  <c r="X159" i="2"/>
  <c r="X158" i="2"/>
  <c r="X157" i="2"/>
  <c r="X156" i="2"/>
  <c r="X155" i="2"/>
  <c r="X154" i="2"/>
  <c r="X153" i="2"/>
  <c r="X152" i="2"/>
  <c r="X151" i="2"/>
  <c r="X150" i="2"/>
  <c r="X149" i="2"/>
  <c r="X148" i="2"/>
  <c r="X147" i="2"/>
  <c r="X146" i="2"/>
  <c r="X145" i="2"/>
  <c r="X144" i="2"/>
  <c r="X143" i="2"/>
  <c r="X142" i="2"/>
  <c r="X141" i="2"/>
  <c r="X140" i="2"/>
  <c r="X139" i="2"/>
  <c r="X138" i="2"/>
  <c r="X137" i="2"/>
  <c r="X136" i="2"/>
  <c r="X135" i="2"/>
  <c r="X134" i="2"/>
  <c r="X133" i="2"/>
  <c r="X132" i="2"/>
  <c r="X131" i="2"/>
  <c r="X130" i="2"/>
  <c r="X129" i="2"/>
  <c r="X128" i="2"/>
  <c r="X127" i="2"/>
  <c r="X126" i="2"/>
  <c r="X125" i="2"/>
  <c r="X124" i="2"/>
  <c r="X123" i="2"/>
  <c r="X122" i="2"/>
  <c r="X121" i="2"/>
  <c r="X120" i="2"/>
  <c r="X119" i="2"/>
  <c r="X118" i="2"/>
  <c r="X117" i="2"/>
  <c r="X116" i="2"/>
  <c r="X115" i="2"/>
  <c r="X114" i="2"/>
  <c r="X113" i="2"/>
  <c r="X112" i="2"/>
  <c r="X111" i="2"/>
  <c r="X110" i="2"/>
  <c r="X109" i="2"/>
  <c r="X108" i="2"/>
  <c r="X107" i="2"/>
  <c r="X106" i="2"/>
  <c r="X105" i="2"/>
  <c r="X104" i="2"/>
  <c r="X103" i="2"/>
  <c r="X102" i="2"/>
  <c r="X101" i="2"/>
  <c r="X100" i="2"/>
  <c r="X99" i="2"/>
  <c r="X98" i="2"/>
  <c r="X97" i="2"/>
  <c r="X96" i="2"/>
  <c r="X95" i="2"/>
  <c r="X94" i="2"/>
  <c r="X93" i="2"/>
  <c r="X92" i="2"/>
  <c r="X91" i="2"/>
  <c r="X90" i="2"/>
  <c r="X89" i="2"/>
  <c r="X88" i="2"/>
  <c r="X87" i="2"/>
  <c r="X86" i="2"/>
  <c r="X85" i="2"/>
  <c r="X84" i="2"/>
  <c r="X83" i="2"/>
  <c r="X82" i="2"/>
  <c r="X81" i="2"/>
  <c r="X80" i="2"/>
  <c r="X79" i="2"/>
  <c r="X78" i="2"/>
  <c r="X77" i="2"/>
  <c r="X76" i="2"/>
  <c r="X75" i="2"/>
  <c r="X74" i="2"/>
  <c r="X73" i="2"/>
  <c r="X72" i="2"/>
  <c r="X71" i="2"/>
  <c r="X70" i="2"/>
  <c r="X69" i="2"/>
  <c r="X68" i="2"/>
  <c r="X67" i="2"/>
  <c r="X66" i="2"/>
  <c r="X65" i="2"/>
  <c r="X64" i="2"/>
  <c r="X63" i="2"/>
  <c r="X62" i="2"/>
  <c r="X61" i="2"/>
  <c r="X60" i="2"/>
  <c r="X59" i="2"/>
  <c r="X58" i="2"/>
  <c r="X57" i="2"/>
  <c r="X56" i="2"/>
  <c r="X55" i="2"/>
  <c r="X54" i="2"/>
  <c r="X53" i="2"/>
  <c r="X52" i="2"/>
  <c r="X51" i="2"/>
  <c r="X50" i="2"/>
  <c r="X49" i="2"/>
  <c r="X48" i="2"/>
  <c r="X47" i="2"/>
  <c r="X46" i="2"/>
  <c r="X45" i="2"/>
  <c r="X44" i="2"/>
  <c r="X43" i="2"/>
  <c r="X42" i="2"/>
  <c r="X41" i="2"/>
  <c r="X40" i="2"/>
  <c r="X39" i="2"/>
  <c r="X38" i="2"/>
  <c r="X37" i="2"/>
  <c r="X36" i="2"/>
  <c r="X35" i="2"/>
  <c r="X34" i="2"/>
  <c r="X33" i="2"/>
  <c r="X32" i="2"/>
  <c r="X31" i="2"/>
  <c r="X30" i="2"/>
  <c r="X29" i="2"/>
  <c r="X28" i="2"/>
  <c r="X27" i="2"/>
  <c r="X26" i="2"/>
  <c r="X25" i="2"/>
  <c r="X24" i="2"/>
  <c r="X23" i="2"/>
  <c r="X22" i="2"/>
  <c r="X21" i="2"/>
  <c r="X20" i="2"/>
  <c r="X19" i="2"/>
  <c r="X18" i="2"/>
  <c r="X17" i="2"/>
  <c r="X16" i="2"/>
  <c r="B6" i="28"/>
  <c r="B5" i="28"/>
  <c r="B3" i="28"/>
  <c r="A8" i="35"/>
  <c r="A7" i="35"/>
  <c r="A6" i="35"/>
  <c r="A5" i="35"/>
  <c r="A4" i="35"/>
  <c r="A3" i="35"/>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4" i="35"/>
  <c r="B4" i="32"/>
  <c r="B8" i="35"/>
  <c r="B7" i="35"/>
  <c r="B6" i="35"/>
  <c r="B5" i="35"/>
  <c r="B3" i="35"/>
  <c r="H82" i="35"/>
  <c r="B8" i="17"/>
  <c r="B7" i="17"/>
  <c r="B6" i="17"/>
  <c r="B5" i="17"/>
  <c r="B3" i="17"/>
  <c r="B7" i="18"/>
  <c r="B6" i="18"/>
  <c r="B5" i="18"/>
  <c r="B3" i="18"/>
  <c r="N33" i="18"/>
  <c r="M33" i="18"/>
  <c r="L33" i="18"/>
  <c r="K33" i="18"/>
  <c r="J33" i="18"/>
  <c r="O33" i="18" s="1"/>
  <c r="I33" i="18"/>
  <c r="B8" i="18"/>
  <c r="B4" i="28"/>
  <c r="Y14" i="2"/>
  <c r="X14" i="2"/>
  <c r="C4" i="2"/>
  <c r="B4" i="18"/>
  <c r="B4" i="17"/>
  <c r="Z10" i="2"/>
  <c r="U10" i="2"/>
  <c r="Z11" i="2"/>
  <c r="U11" i="2"/>
  <c r="Z13" i="2"/>
  <c r="U13" i="2"/>
  <c r="Y13" i="2"/>
  <c r="X10" i="2"/>
  <c r="Y11" i="2"/>
  <c r="X13" i="2"/>
  <c r="Y10" i="2"/>
  <c r="X11" i="2"/>
  <c r="Z12" i="2"/>
  <c r="Y12" i="2"/>
  <c r="X12" i="2"/>
  <c r="U12" i="2"/>
  <c r="D61" i="35" l="1"/>
  <c r="G61" i="35" s="1"/>
  <c r="I61" i="35" s="1"/>
  <c r="D58" i="35"/>
  <c r="G58" i="35" s="1"/>
  <c r="I58" i="35" s="1"/>
  <c r="D70" i="35"/>
  <c r="G70" i="35" s="1"/>
  <c r="I70" i="35" s="1"/>
  <c r="M36" i="37" s="1"/>
  <c r="D57" i="35"/>
  <c r="G57" i="35" s="1"/>
  <c r="I57" i="35" s="1"/>
  <c r="D55" i="35"/>
  <c r="G55" i="35" s="1"/>
  <c r="I55" i="35" s="1"/>
  <c r="D64" i="35"/>
  <c r="G64" i="35" s="1"/>
  <c r="I64" i="35" s="1"/>
  <c r="N46" i="18"/>
  <c r="M46" i="18"/>
  <c r="I46" i="18"/>
  <c r="L46" i="18"/>
  <c r="K46" i="18"/>
  <c r="J46" i="18"/>
  <c r="E12" i="18" s="1"/>
  <c r="E16" i="18" s="1"/>
  <c r="B50" i="17"/>
  <c r="B52" i="17"/>
  <c r="E12" i="38"/>
  <c r="E16" i="38" s="1"/>
  <c r="C82" i="35"/>
  <c r="W402" i="2"/>
  <c r="R402" i="2" s="1"/>
  <c r="W323" i="2"/>
  <c r="R323" i="2" s="1"/>
  <c r="D18" i="37" s="1"/>
  <c r="W299" i="2"/>
  <c r="R299" i="2" s="1"/>
  <c r="W243" i="2"/>
  <c r="R243" i="2" s="1"/>
  <c r="W227" i="2"/>
  <c r="R227" i="2" s="1"/>
  <c r="W71" i="2"/>
  <c r="R71" i="2" s="1"/>
  <c r="W63" i="2"/>
  <c r="R63" i="2" s="1"/>
  <c r="D36" i="37" s="1"/>
  <c r="W55" i="2"/>
  <c r="R55" i="2" s="1"/>
  <c r="D22" i="37" s="1"/>
  <c r="D68" i="35"/>
  <c r="G68" i="35" s="1"/>
  <c r="I68" i="35" s="1"/>
  <c r="D56" i="35"/>
  <c r="G56" i="35" s="1"/>
  <c r="I56" i="35" s="1"/>
  <c r="M30" i="37" s="1"/>
  <c r="D37" i="35"/>
  <c r="G37" i="35" s="1"/>
  <c r="I37" i="35" s="1"/>
  <c r="M22" i="37" s="1"/>
  <c r="D19" i="35"/>
  <c r="G19" i="35" s="1"/>
  <c r="I19" i="35" s="1"/>
  <c r="M13" i="37" s="1"/>
  <c r="B51" i="17"/>
  <c r="B54" i="17" s="1"/>
  <c r="W528" i="2"/>
  <c r="R528" i="2" s="1"/>
  <c r="W520" i="2"/>
  <c r="R520" i="2" s="1"/>
  <c r="W512" i="2"/>
  <c r="R512" i="2" s="1"/>
  <c r="W400" i="2"/>
  <c r="R400" i="2" s="1"/>
  <c r="W225" i="2"/>
  <c r="R225" i="2" s="1"/>
  <c r="W101" i="2"/>
  <c r="R101" i="2" s="1"/>
  <c r="D59" i="35"/>
  <c r="G59" i="35" s="1"/>
  <c r="I59" i="35" s="1"/>
  <c r="M31" i="37" s="1"/>
  <c r="D52" i="35"/>
  <c r="G52" i="35" s="1"/>
  <c r="I52" i="35" s="1"/>
  <c r="D48" i="35"/>
  <c r="G48" i="35" s="1"/>
  <c r="I48" i="35" s="1"/>
  <c r="D31" i="35"/>
  <c r="G31" i="35" s="1"/>
  <c r="I31" i="35" s="1"/>
  <c r="W527" i="2"/>
  <c r="R527" i="2" s="1"/>
  <c r="D19" i="37" s="1"/>
  <c r="W519" i="2"/>
  <c r="R519" i="2" s="1"/>
  <c r="W463" i="2"/>
  <c r="R463" i="2" s="1"/>
  <c r="W399" i="2"/>
  <c r="R399" i="2" s="1"/>
  <c r="D20" i="37" s="1"/>
  <c r="W256" i="2"/>
  <c r="R256" i="2" s="1"/>
  <c r="D39" i="37" s="1"/>
  <c r="W224" i="2"/>
  <c r="R224" i="2" s="1"/>
  <c r="W263" i="2"/>
  <c r="R263" i="2" s="1"/>
  <c r="W255" i="2"/>
  <c r="R255" i="2" s="1"/>
  <c r="W239" i="2"/>
  <c r="R239" i="2" s="1"/>
  <c r="W163" i="2"/>
  <c r="R163" i="2" s="1"/>
  <c r="W115" i="2"/>
  <c r="R115" i="2" s="1"/>
  <c r="D47" i="35"/>
  <c r="G47" i="35" s="1"/>
  <c r="I47" i="35" s="1"/>
  <c r="M26" i="37" s="1"/>
  <c r="D26" i="35"/>
  <c r="G26" i="35" s="1"/>
  <c r="I26" i="35" s="1"/>
  <c r="M17" i="37" s="1"/>
  <c r="D17" i="35"/>
  <c r="G17" i="35" s="1"/>
  <c r="I17" i="35" s="1"/>
  <c r="W525" i="2"/>
  <c r="R525" i="2" s="1"/>
  <c r="W262" i="2"/>
  <c r="R262" i="2" s="1"/>
  <c r="W34" i="2"/>
  <c r="R34" i="2" s="1"/>
  <c r="D26" i="37" s="1"/>
  <c r="M12" i="37"/>
  <c r="W460" i="2"/>
  <c r="R460" i="2" s="1"/>
  <c r="W261" i="2"/>
  <c r="R261" i="2" s="1"/>
  <c r="W245" i="2"/>
  <c r="R245" i="2" s="1"/>
  <c r="W121" i="2"/>
  <c r="R121" i="2" s="1"/>
  <c r="D27" i="37" s="1"/>
  <c r="D76" i="35"/>
  <c r="G76" i="35" s="1"/>
  <c r="I76" i="35" s="1"/>
  <c r="D54" i="35"/>
  <c r="G54" i="35" s="1"/>
  <c r="I54" i="35" s="1"/>
  <c r="D33" i="35"/>
  <c r="G33" i="35" s="1"/>
  <c r="I33" i="35" s="1"/>
  <c r="D25" i="35"/>
  <c r="G25" i="35" s="1"/>
  <c r="I25" i="35" s="1"/>
  <c r="W475" i="2"/>
  <c r="R475" i="2" s="1"/>
  <c r="D14" i="37" s="1"/>
  <c r="W467" i="2"/>
  <c r="R467" i="2" s="1"/>
  <c r="W403" i="2"/>
  <c r="R403" i="2" s="1"/>
  <c r="W387" i="2"/>
  <c r="R387" i="2" s="1"/>
  <c r="D29" i="37" s="1"/>
  <c r="W308" i="2"/>
  <c r="R308" i="2" s="1"/>
  <c r="D34" i="37" s="1"/>
  <c r="W80" i="2"/>
  <c r="R80" i="2" s="1"/>
  <c r="D37" i="37" s="1"/>
  <c r="N21" i="37"/>
  <c r="D67" i="35"/>
  <c r="G67" i="35" s="1"/>
  <c r="I67" i="35" s="1"/>
  <c r="D53" i="35"/>
  <c r="G53" i="35" s="1"/>
  <c r="I53" i="35" s="1"/>
  <c r="D32" i="35"/>
  <c r="G32" i="35" s="1"/>
  <c r="I32" i="35" s="1"/>
  <c r="D66" i="35"/>
  <c r="G66" i="35" s="1"/>
  <c r="I66" i="35" s="1"/>
  <c r="M34" i="37" s="1"/>
  <c r="D65" i="35"/>
  <c r="G65" i="35" s="1"/>
  <c r="I65" i="35" s="1"/>
  <c r="D51" i="35"/>
  <c r="G51" i="35" s="1"/>
  <c r="I51" i="35" s="1"/>
  <c r="D30" i="35"/>
  <c r="G30" i="35" s="1"/>
  <c r="I30" i="35" s="1"/>
  <c r="D63" i="35"/>
  <c r="G63" i="35" s="1"/>
  <c r="I63" i="35" s="1"/>
  <c r="D49" i="35"/>
  <c r="G49" i="35" s="1"/>
  <c r="I49" i="35" s="1"/>
  <c r="D28" i="35"/>
  <c r="G28" i="35" s="1"/>
  <c r="I28" i="35" s="1"/>
  <c r="D62" i="35"/>
  <c r="G62" i="35" s="1"/>
  <c r="I62" i="35" s="1"/>
  <c r="M32" i="37" s="1"/>
  <c r="D27" i="35"/>
  <c r="G27" i="35" s="1"/>
  <c r="I27" i="35" s="1"/>
  <c r="M18" i="37" s="1"/>
  <c r="D50" i="35"/>
  <c r="G50" i="35" s="1"/>
  <c r="I50" i="35" s="1"/>
  <c r="M27" i="37" s="1"/>
  <c r="D23" i="35"/>
  <c r="G23" i="35" s="1"/>
  <c r="I23" i="35" s="1"/>
  <c r="D22" i="35"/>
  <c r="G22" i="35" s="1"/>
  <c r="I22" i="35" s="1"/>
  <c r="M15" i="37" s="1"/>
  <c r="D40" i="35"/>
  <c r="G40" i="35" s="1"/>
  <c r="I40" i="35" s="1"/>
  <c r="D29" i="35"/>
  <c r="G29" i="35" s="1"/>
  <c r="I29" i="35" s="1"/>
  <c r="D77" i="35"/>
  <c r="G77" i="35" s="1"/>
  <c r="I77" i="35" s="1"/>
  <c r="M39" i="37" s="1"/>
  <c r="D69" i="35"/>
  <c r="G69" i="35" s="1"/>
  <c r="I69" i="35" s="1"/>
  <c r="M35" i="37" s="1"/>
  <c r="M23" i="37"/>
  <c r="M14" i="37"/>
  <c r="M29" i="37"/>
  <c r="M19" i="37"/>
  <c r="M33" i="37"/>
  <c r="M28" i="37"/>
  <c r="M37" i="37"/>
  <c r="M40" i="37"/>
  <c r="M38" i="37"/>
  <c r="M25" i="37"/>
  <c r="M24" i="37"/>
  <c r="M21" i="37"/>
  <c r="I13" i="35"/>
  <c r="E110" i="41"/>
  <c r="N32" i="37" s="1"/>
  <c r="B42" i="37"/>
  <c r="L20" i="28"/>
  <c r="D41" i="37"/>
  <c r="D12" i="37"/>
  <c r="D17" i="37"/>
  <c r="D38" i="37"/>
  <c r="D40" i="37"/>
  <c r="D23" i="37"/>
  <c r="D15" i="37"/>
  <c r="D33" i="37"/>
  <c r="D35" i="37"/>
  <c r="D24" i="37"/>
  <c r="D28" i="37"/>
  <c r="D11" i="37"/>
  <c r="D21" i="37"/>
  <c r="D25" i="37"/>
  <c r="M20" i="37" l="1"/>
  <c r="D31" i="37"/>
  <c r="D13" i="37"/>
  <c r="D32" i="37"/>
  <c r="F14" i="32"/>
  <c r="G6" i="28"/>
  <c r="N24" i="37"/>
  <c r="D30" i="37"/>
  <c r="N11" i="37"/>
  <c r="N12" i="37"/>
  <c r="E18" i="18"/>
  <c r="E19" i="18"/>
  <c r="N22" i="37"/>
  <c r="E18" i="38"/>
  <c r="E19" i="38"/>
  <c r="H36" i="32"/>
  <c r="N28" i="37"/>
  <c r="N29" i="37"/>
  <c r="N14" i="37"/>
  <c r="N23" i="37"/>
  <c r="N38" i="37"/>
  <c r="N15" i="37"/>
  <c r="N37" i="37"/>
  <c r="N25" i="37"/>
  <c r="N36" i="37"/>
  <c r="N17" i="37"/>
  <c r="N26" i="37"/>
  <c r="N31" i="37"/>
  <c r="N39" i="37"/>
  <c r="N18" i="37"/>
  <c r="N27" i="37"/>
  <c r="N35" i="37"/>
  <c r="N19" i="37"/>
  <c r="N30" i="37"/>
  <c r="N40" i="37"/>
  <c r="N20" i="37"/>
  <c r="N33" i="37"/>
  <c r="N34" i="37"/>
  <c r="N13" i="37"/>
  <c r="G18" i="37"/>
  <c r="G36" i="37"/>
  <c r="G19" i="37"/>
  <c r="G82" i="35"/>
  <c r="M11" i="37"/>
  <c r="M42" i="37" s="1"/>
  <c r="I82" i="35"/>
  <c r="G34" i="37"/>
  <c r="G27" i="37"/>
  <c r="G26" i="37"/>
  <c r="G35" i="37"/>
  <c r="G33" i="37"/>
  <c r="G15" i="37"/>
  <c r="G23" i="37"/>
  <c r="G20" i="37"/>
  <c r="G40" i="37"/>
  <c r="G38" i="37"/>
  <c r="G22" i="37"/>
  <c r="G37" i="37"/>
  <c r="G17" i="37"/>
  <c r="G25" i="37"/>
  <c r="G12" i="37"/>
  <c r="G11" i="37"/>
  <c r="G21" i="37"/>
  <c r="G24" i="37"/>
  <c r="G28" i="37"/>
  <c r="G39" i="37"/>
  <c r="G41" i="37"/>
  <c r="G29" i="37"/>
  <c r="G14" i="37"/>
  <c r="H38" i="32" l="1"/>
  <c r="H23" i="32"/>
  <c r="E20" i="38"/>
  <c r="E20" i="18"/>
  <c r="G31" i="37"/>
  <c r="G32" i="37"/>
  <c r="G13" i="37"/>
  <c r="G30" i="37"/>
  <c r="D42" i="37"/>
  <c r="N42" i="37"/>
  <c r="H39" i="32"/>
  <c r="H40" i="32" s="1"/>
  <c r="G42" i="37"/>
  <c r="E16" i="32" s="1"/>
  <c r="F16" i="32" s="1"/>
  <c r="E42" i="37"/>
  <c r="C30" i="17" l="1"/>
  <c r="C32" i="17" s="1"/>
  <c r="C35" i="17" s="1"/>
  <c r="C21" i="17" s="1"/>
  <c r="C25" i="17" s="1"/>
  <c r="E23" i="18" s="1"/>
  <c r="E24" i="18" s="1"/>
  <c r="E23" i="38" l="1"/>
  <c r="E24" i="38" s="1"/>
  <c r="E26" i="38" s="1"/>
  <c r="E27" i="38" s="1"/>
  <c r="E33" i="38" s="1"/>
  <c r="E26" i="18"/>
  <c r="E27" i="18" s="1"/>
  <c r="E33" i="18" l="1"/>
  <c r="E44" i="18" l="1"/>
  <c r="E44" i="38"/>
  <c r="E48" i="18" l="1"/>
  <c r="F44" i="18" s="1"/>
  <c r="G14" i="32" l="1"/>
  <c r="F20" i="18"/>
  <c r="F24" i="18"/>
  <c r="E52" i="18"/>
  <c r="E50" i="18"/>
  <c r="F27" i="18"/>
  <c r="E54" i="18"/>
  <c r="F33" i="18"/>
  <c r="F46" i="18"/>
  <c r="F48" i="18" s="1"/>
  <c r="E48" i="38"/>
  <c r="F46" i="38" s="1"/>
  <c r="E56" i="18" l="1"/>
  <c r="G16" i="32"/>
  <c r="F20" i="38"/>
  <c r="F24" i="38"/>
  <c r="E50" i="38"/>
  <c r="E54" i="38"/>
  <c r="E52" i="38"/>
  <c r="F27" i="38"/>
  <c r="F33" i="38"/>
  <c r="F44" i="38"/>
  <c r="F48" i="38" s="1"/>
  <c r="H16" i="37"/>
  <c r="I16" i="37"/>
  <c r="I23" i="37"/>
  <c r="I25" i="37"/>
  <c r="I38" i="37"/>
  <c r="I37" i="37"/>
  <c r="H14" i="32"/>
  <c r="H15" i="37"/>
  <c r="H20" i="37"/>
  <c r="H22" i="37"/>
  <c r="I12" i="37"/>
  <c r="I14" i="37"/>
  <c r="H26" i="37"/>
  <c r="I35" i="37"/>
  <c r="H40" i="37"/>
  <c r="H12" i="37"/>
  <c r="H21" i="37"/>
  <c r="I39" i="37"/>
  <c r="H34" i="37"/>
  <c r="H23" i="37"/>
  <c r="H13" i="37"/>
  <c r="H31" i="37"/>
  <c r="H19" i="37"/>
  <c r="I33" i="37"/>
  <c r="H30" i="37"/>
  <c r="I40" i="37"/>
  <c r="I17" i="37"/>
  <c r="H24" i="37"/>
  <c r="H41" i="37"/>
  <c r="I24" i="37"/>
  <c r="H33" i="37"/>
  <c r="H38" i="37"/>
  <c r="H11" i="37"/>
  <c r="H28" i="37"/>
  <c r="H18" i="37"/>
  <c r="H27" i="37"/>
  <c r="H17" i="37"/>
  <c r="I13" i="37"/>
  <c r="I28" i="37"/>
  <c r="I29" i="37"/>
  <c r="I36" i="37"/>
  <c r="H36" i="37"/>
  <c r="I15" i="37"/>
  <c r="I20" i="37"/>
  <c r="I22" i="37"/>
  <c r="H25" i="37"/>
  <c r="I21" i="37"/>
  <c r="H39" i="37"/>
  <c r="H29" i="37"/>
  <c r="I19" i="37"/>
  <c r="H32" i="37"/>
  <c r="H35" i="37"/>
  <c r="I30" i="37"/>
  <c r="H37" i="37"/>
  <c r="I41" i="37"/>
  <c r="H14" i="37"/>
  <c r="I26" i="37"/>
  <c r="I11" i="37"/>
  <c r="I32" i="37"/>
  <c r="I18" i="37"/>
  <c r="I34" i="37"/>
  <c r="I31" i="37"/>
  <c r="I27" i="37"/>
  <c r="E56" i="38" l="1"/>
  <c r="J31" i="37"/>
  <c r="J37" i="37"/>
  <c r="J27" i="37"/>
  <c r="J25" i="37"/>
  <c r="J41" i="37"/>
  <c r="J35" i="37"/>
  <c r="J24" i="37"/>
  <c r="J34" i="37"/>
  <c r="J11" i="37"/>
  <c r="I42" i="37"/>
  <c r="H20" i="32" s="1"/>
  <c r="J36" i="37"/>
  <c r="J28" i="37"/>
  <c r="J22" i="37"/>
  <c r="J13" i="37"/>
  <c r="J23" i="37"/>
  <c r="J26" i="37"/>
  <c r="J30" i="37"/>
  <c r="J21" i="37"/>
  <c r="J20" i="37"/>
  <c r="J16" i="37"/>
  <c r="J32" i="37"/>
  <c r="J14" i="37"/>
  <c r="J39" i="37"/>
  <c r="J38" i="37"/>
  <c r="J12" i="37"/>
  <c r="J15" i="37"/>
  <c r="K16" i="37"/>
  <c r="O16" i="37" s="1"/>
  <c r="P16" i="37" s="1"/>
  <c r="K40" i="37"/>
  <c r="O40" i="37" s="1"/>
  <c r="P40" i="37" s="1"/>
  <c r="K26" i="37"/>
  <c r="O26" i="37" s="1"/>
  <c r="P26" i="37" s="1"/>
  <c r="K23" i="37"/>
  <c r="O23" i="37" s="1"/>
  <c r="P23" i="37" s="1"/>
  <c r="K18" i="37"/>
  <c r="O18" i="37" s="1"/>
  <c r="P18" i="37" s="1"/>
  <c r="K30" i="37"/>
  <c r="O30" i="37" s="1"/>
  <c r="P30" i="37" s="1"/>
  <c r="K34" i="37"/>
  <c r="O34" i="37" s="1"/>
  <c r="P34" i="37" s="1"/>
  <c r="K33" i="37"/>
  <c r="O33" i="37" s="1"/>
  <c r="P33" i="37" s="1"/>
  <c r="K29" i="37"/>
  <c r="O29" i="37" s="1"/>
  <c r="P29" i="37" s="1"/>
  <c r="K31" i="37"/>
  <c r="L31" i="37" s="1"/>
  <c r="K11" i="37"/>
  <c r="K36" i="37"/>
  <c r="O36" i="37" s="1"/>
  <c r="P36" i="37" s="1"/>
  <c r="K19" i="37"/>
  <c r="O19" i="37" s="1"/>
  <c r="P19" i="37" s="1"/>
  <c r="K17" i="37"/>
  <c r="O17" i="37" s="1"/>
  <c r="P17" i="37" s="1"/>
  <c r="K39" i="37"/>
  <c r="O39" i="37" s="1"/>
  <c r="P39" i="37" s="1"/>
  <c r="K27" i="37"/>
  <c r="O27" i="37" s="1"/>
  <c r="P27" i="37" s="1"/>
  <c r="K21" i="37"/>
  <c r="O21" i="37" s="1"/>
  <c r="P21" i="37" s="1"/>
  <c r="K25" i="37"/>
  <c r="O25" i="37" s="1"/>
  <c r="P25" i="37" s="1"/>
  <c r="K35" i="37"/>
  <c r="O35" i="37" s="1"/>
  <c r="P35" i="37" s="1"/>
  <c r="K22" i="37"/>
  <c r="O22" i="37" s="1"/>
  <c r="P22" i="37" s="1"/>
  <c r="K13" i="37"/>
  <c r="O13" i="37" s="1"/>
  <c r="P13" i="37" s="1"/>
  <c r="K24" i="37"/>
  <c r="O24" i="37" s="1"/>
  <c r="P24" i="37" s="1"/>
  <c r="K20" i="37"/>
  <c r="O20" i="37" s="1"/>
  <c r="P20" i="37" s="1"/>
  <c r="K28" i="37"/>
  <c r="O28" i="37" s="1"/>
  <c r="P28" i="37" s="1"/>
  <c r="K41" i="37"/>
  <c r="O41" i="37" s="1"/>
  <c r="P41" i="37" s="1"/>
  <c r="K14" i="37"/>
  <c r="O14" i="37" s="1"/>
  <c r="P14" i="37" s="1"/>
  <c r="K12" i="37"/>
  <c r="O12" i="37" s="1"/>
  <c r="P12" i="37" s="1"/>
  <c r="K15" i="37"/>
  <c r="O15" i="37" s="1"/>
  <c r="P15" i="37" s="1"/>
  <c r="K38" i="37"/>
  <c r="O38" i="37" s="1"/>
  <c r="P38" i="37" s="1"/>
  <c r="K32" i="37"/>
  <c r="O32" i="37" s="1"/>
  <c r="P32" i="37" s="1"/>
  <c r="K37" i="37"/>
  <c r="O37" i="37" s="1"/>
  <c r="P37" i="37" s="1"/>
  <c r="H16" i="32"/>
  <c r="G18" i="32" s="1"/>
  <c r="J17" i="37"/>
  <c r="J18" i="37"/>
  <c r="J29" i="37"/>
  <c r="H42" i="37"/>
  <c r="O11" i="37"/>
  <c r="J33" i="37"/>
  <c r="J19" i="37"/>
  <c r="J40" i="37"/>
  <c r="H26" i="32" l="1"/>
  <c r="H30" i="32" s="1"/>
  <c r="L33" i="37"/>
  <c r="L12" i="37"/>
  <c r="L41" i="37"/>
  <c r="L21" i="37"/>
  <c r="O31" i="37"/>
  <c r="P31" i="37" s="1"/>
  <c r="L40" i="37"/>
  <c r="L29" i="37"/>
  <c r="L32" i="37"/>
  <c r="L11" i="37"/>
  <c r="J42" i="37"/>
  <c r="L22" i="37"/>
  <c r="L19" i="37"/>
  <c r="K42" i="37"/>
  <c r="L30" i="37"/>
  <c r="L34" i="37"/>
  <c r="L25" i="37"/>
  <c r="L18" i="37"/>
  <c r="L17" i="37"/>
  <c r="L39" i="37"/>
  <c r="L26" i="37"/>
  <c r="L24" i="37"/>
  <c r="L27" i="37"/>
  <c r="L16" i="37"/>
  <c r="L23" i="37"/>
  <c r="L28" i="37"/>
  <c r="L38" i="37"/>
  <c r="P11" i="37"/>
  <c r="L15" i="37"/>
  <c r="L37" i="37"/>
  <c r="L14" i="37"/>
  <c r="L20" i="37"/>
  <c r="L13" i="37"/>
  <c r="L36" i="37"/>
  <c r="L35" i="37"/>
  <c r="H31" i="32" l="1"/>
  <c r="H32" i="32" s="1"/>
  <c r="H43" i="32"/>
  <c r="H44" i="32" s="1"/>
  <c r="H27" i="32"/>
  <c r="H28" i="32" s="1"/>
  <c r="P42" i="37"/>
  <c r="O42" i="37"/>
  <c r="L42" i="37"/>
</calcChain>
</file>

<file path=xl/sharedStrings.xml><?xml version="1.0" encoding="utf-8"?>
<sst xmlns="http://schemas.openxmlformats.org/spreadsheetml/2006/main" count="4453" uniqueCount="636">
  <si>
    <t>Premie Ouderdomspensioen (OP)</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</si>
  <si>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</si>
  <si>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</si>
  <si>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</si>
  <si>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</si>
  <si>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</si>
  <si>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</si>
  <si>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</si>
  <si>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</si>
  <si>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</si>
  <si>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</si>
  <si>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</si>
  <si>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</si>
  <si>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</si>
  <si>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</si>
  <si>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</si>
  <si>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</si>
  <si>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</si>
  <si>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Methode en eindresultaat omschrijven.</t>
  </si>
  <si>
    <t>invoerveld</t>
  </si>
  <si>
    <t>Vakantiedagen</t>
  </si>
  <si>
    <t>SV uurloon inclusief toeslagen</t>
  </si>
  <si>
    <t>Instructies voor het invullen van het calculatie model</t>
  </si>
  <si>
    <t>Prijs p/stuk excl. btw</t>
  </si>
  <si>
    <t>P.Z. kosten</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</si>
  <si>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</si>
  <si>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</si>
  <si>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</si>
  <si>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</si>
  <si>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</si>
  <si>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</si>
  <si>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</si>
  <si>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</si>
  <si>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</si>
  <si>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</si>
  <si>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</si>
  <si>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Pensioen overgangsregeling</t>
  </si>
  <si>
    <t>2 lagen</t>
  </si>
  <si>
    <t>geheel</t>
  </si>
  <si>
    <t>Basisuurloon</t>
  </si>
  <si>
    <t>Bedrijfsgemiddelde</t>
  </si>
  <si>
    <t>Alle prijzen inclusief materialen en middelen, voorrijkosten en overige bijkomende kosten.</t>
  </si>
  <si>
    <t>Ziektedagen</t>
  </si>
  <si>
    <t>Prijs per jaar</t>
  </si>
  <si>
    <t>Overgangsregeling</t>
  </si>
  <si>
    <t>[zie premies en opslagen]</t>
  </si>
  <si>
    <t>Totaal eindtarief normale werktijden [06.00-21.30 uur]</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</si>
  <si>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</si>
  <si>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</si>
  <si>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</si>
  <si>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</si>
  <si>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</si>
  <si>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</si>
  <si>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</si>
  <si>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</si>
  <si>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</si>
  <si>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</si>
  <si>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</si>
  <si>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</si>
  <si>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</si>
  <si>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</si>
  <si>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</si>
  <si>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</si>
  <si>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Info Blad</t>
  </si>
  <si>
    <t>Werkkleding en uitrusting</t>
  </si>
  <si>
    <t>Machinekosten</t>
  </si>
  <si>
    <t>Naam leverancier</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</si>
  <si>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</si>
  <si>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</si>
  <si>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</si>
  <si>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</si>
  <si>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</si>
  <si>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</si>
  <si>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</si>
  <si>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</si>
  <si>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</si>
  <si>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</si>
  <si>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</si>
  <si>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</si>
  <si>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</si>
  <si>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</si>
  <si>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</si>
  <si>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</si>
  <si>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</si>
  <si>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</si>
  <si>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</si>
  <si>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</si>
  <si>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</si>
  <si>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</si>
  <si>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</si>
  <si>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</si>
  <si>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</si>
  <si>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</si>
  <si>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</si>
  <si>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</si>
  <si>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</si>
  <si>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</si>
  <si>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</si>
  <si>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</si>
  <si>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</si>
  <si>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</si>
  <si>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M2 per jaar</t>
  </si>
  <si>
    <t>BG</t>
  </si>
  <si>
    <t>Entree</t>
  </si>
  <si>
    <t>Linoleum</t>
  </si>
  <si>
    <t>Tegels</t>
  </si>
  <si>
    <t>Beton</t>
  </si>
  <si>
    <t>Restauratieve ruimten</t>
  </si>
  <si>
    <t>Locatie</t>
  </si>
  <si>
    <t>Kosten per beurt</t>
  </si>
  <si>
    <t>Adres</t>
  </si>
  <si>
    <t>Frequentie van uitvoering (per jaar):</t>
  </si>
  <si>
    <t>Freq</t>
  </si>
  <si>
    <t>% van reguliere norm</t>
  </si>
  <si>
    <t>Norm ma t/m vr</t>
  </si>
  <si>
    <t>M² prijs</t>
  </si>
  <si>
    <t>Uren p/j zat - zon</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</si>
  <si>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</si>
  <si>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</si>
  <si>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</si>
  <si>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</si>
  <si>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</si>
  <si>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</si>
  <si>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</si>
  <si>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</si>
  <si>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</si>
  <si>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</si>
  <si>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</si>
  <si>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</si>
  <si>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</si>
  <si>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</si>
  <si>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</si>
  <si>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</si>
  <si>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</si>
  <si>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</si>
  <si>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</si>
  <si>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</si>
  <si>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</si>
  <si>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</si>
  <si>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</si>
  <si>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</si>
  <si>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</si>
  <si>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</si>
  <si>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</si>
  <si>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</si>
  <si>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</si>
  <si>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</si>
  <si>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</si>
  <si>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</si>
  <si>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</si>
  <si>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</si>
  <si>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</si>
  <si>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</si>
  <si>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Separatieglas dubbelzijdig</t>
  </si>
  <si>
    <t>Aantal m2</t>
  </si>
  <si>
    <t>Kosten bewassing per jaar</t>
  </si>
  <si>
    <t>Kosten klimmateriaal per jaar</t>
  </si>
  <si>
    <t>Totaalkosten per jaar</t>
  </si>
  <si>
    <t>4</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</si>
  <si>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</si>
  <si>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</si>
  <si>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</si>
  <si>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</si>
  <si>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</si>
  <si>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</si>
  <si>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</si>
  <si>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</si>
  <si>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</si>
  <si>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</si>
  <si>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</si>
  <si>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</si>
  <si>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</si>
  <si>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</si>
  <si>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</si>
  <si>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</si>
  <si>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</si>
  <si>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Soort ongedierte</t>
  </si>
  <si>
    <t>Behandeling tegen bruine ratten</t>
  </si>
  <si>
    <t>Methode omschrijven.</t>
  </si>
  <si>
    <t>Behandeling tegen muizen</t>
  </si>
  <si>
    <t>Ongedierte bestrijding</t>
  </si>
  <si>
    <t>Mits anders aangegeven is de uitvoering op reguliere werktijden: maandag t/m vrijdag [06.00 en 21.30 uur]</t>
  </si>
  <si>
    <t>Reinigen bureau-electronica reinigen</t>
  </si>
  <si>
    <t>Totaal m2</t>
  </si>
  <si>
    <t>Toezicht uren per jaar ma t/m vr</t>
  </si>
  <si>
    <t>Kosten glasbewassing per jaar</t>
  </si>
  <si>
    <t>Totaal kosten per jaar excl. btw</t>
  </si>
  <si>
    <t>Totaal kosten per maand excl. btw</t>
  </si>
  <si>
    <t>Freq. ma-vr naloop</t>
  </si>
  <si>
    <t>Freq. ma-vr</t>
  </si>
  <si>
    <t>Norm ma t/m vr naloop</t>
  </si>
  <si>
    <t>Kolom</t>
  </si>
  <si>
    <t>Uren p/j ma t/m vrij naloop</t>
  </si>
  <si>
    <t>Naloop opslag</t>
  </si>
  <si>
    <t>Weekend opslag</t>
  </si>
  <si>
    <t>Kolom voor matrix</t>
  </si>
  <si>
    <t>Gewogen prestatie</t>
  </si>
  <si>
    <t>m2/uur</t>
  </si>
  <si>
    <t>Gemiddeld  voor za, zo en feestdagen</t>
  </si>
  <si>
    <t>nio</t>
  </si>
  <si>
    <t>Gemiddeld tarief inclusief toezicht</t>
  </si>
  <si>
    <t>M2 Totaal</t>
  </si>
  <si>
    <t>WGA</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</si>
  <si>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</si>
  <si>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</si>
  <si>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</si>
  <si>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</si>
  <si>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</si>
  <si>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</si>
  <si>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Vergaderruimten</t>
  </si>
  <si>
    <t>Toezicht percentage per jaar ma t/m vr</t>
  </si>
  <si>
    <t>Kosten productie per jaar ma t/m vr</t>
  </si>
  <si>
    <t>Totaal kosten productie per jaar ma t/m vr</t>
  </si>
  <si>
    <t>Toezicht kosten per jaar ma t/m vr</t>
  </si>
  <si>
    <t xml:space="preserve">Kosten klein schaligheid per jaar ma t/m vr </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</si>
  <si>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</si>
  <si>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</si>
  <si>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</si>
  <si>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</si>
  <si>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</si>
  <si>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</si>
  <si>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</si>
  <si>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</si>
  <si>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</si>
  <si>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r>
      <t xml:space="preserve">SUPPLETIEKOSTEN OVERNAME PERSONEEL </t>
    </r>
    <r>
      <rPr>
        <b/>
        <sz val="10"/>
        <color rgb="FFFF0000"/>
        <rFont val="Century Gothic"/>
        <family val="2"/>
      </rPr>
      <t>(maximum bedrag dat door de dienstverlener in rekening wordt gebracht)</t>
    </r>
  </si>
  <si>
    <t>Kleinschalig heids uren ma t/m vrij</t>
  </si>
  <si>
    <t>* Het door de inschrijver ingediende inschrijfbedrag is der maximale vergoeding voor het gevraagde in de aanbestedingsdocumenten.</t>
  </si>
  <si>
    <t>RAS premie</t>
  </si>
  <si>
    <t>Frequentie verklaring</t>
  </si>
  <si>
    <t>1 x per maand</t>
  </si>
  <si>
    <t>5 x per week (52 weken)</t>
  </si>
  <si>
    <t>2 x per week (52 weken)</t>
  </si>
  <si>
    <t>3 x per week (52 weken)</t>
  </si>
  <si>
    <t>MAXIMALE BOVENGRENS PLAFONDBEDRAG</t>
  </si>
  <si>
    <t>Feestdag opslag</t>
  </si>
  <si>
    <t>Uren p/j feestdag</t>
  </si>
  <si>
    <t xml:space="preserve">Freq zat - zon </t>
  </si>
  <si>
    <t xml:space="preserve">Freq zat - feestdag </t>
  </si>
  <si>
    <t>Norm zat, zon</t>
  </si>
  <si>
    <t>Norm feestdag</t>
  </si>
  <si>
    <t>Correctie factor feestdag</t>
  </si>
  <si>
    <t>Totaal eindtarief  [incl. 30% toeslag]</t>
  </si>
  <si>
    <t>Referentie nummer</t>
  </si>
  <si>
    <t>Transitievergoeding</t>
  </si>
  <si>
    <t>Uurlonen per 1 juli 2020</t>
  </si>
  <si>
    <t>JL Alkmaar</t>
  </si>
  <si>
    <t>Noorderkade 116, Alkmaar</t>
  </si>
  <si>
    <t>0.01</t>
  </si>
  <si>
    <t>0.02</t>
  </si>
  <si>
    <t>Wachtruimte</t>
  </si>
  <si>
    <t>0.03</t>
  </si>
  <si>
    <t>Balie</t>
  </si>
  <si>
    <t>0.04</t>
  </si>
  <si>
    <t>Invalidentoilet</t>
  </si>
  <si>
    <t>0.05</t>
  </si>
  <si>
    <t>Voorruimte Toliet</t>
  </si>
  <si>
    <t>0.06</t>
  </si>
  <si>
    <t>Toilet</t>
  </si>
  <si>
    <t>0.07</t>
  </si>
  <si>
    <t>0.08</t>
  </si>
  <si>
    <t>Berging</t>
  </si>
  <si>
    <t>0.09</t>
  </si>
  <si>
    <t>Spreekkamer 1</t>
  </si>
  <si>
    <t>0.10</t>
  </si>
  <si>
    <t>Spreekkamer 2</t>
  </si>
  <si>
    <t>0.11</t>
  </si>
  <si>
    <t>Spreekkamer 3</t>
  </si>
  <si>
    <t>0.12</t>
  </si>
  <si>
    <t>Trappenhuis begane grond</t>
  </si>
  <si>
    <t>Hal</t>
  </si>
  <si>
    <t>Spreekkamer</t>
  </si>
  <si>
    <t>Trappenhuis</t>
  </si>
  <si>
    <t>Tapijt</t>
  </si>
  <si>
    <t>1.13</t>
  </si>
  <si>
    <t>1.14</t>
  </si>
  <si>
    <t>1.15</t>
  </si>
  <si>
    <t>1.16</t>
  </si>
  <si>
    <t>1.17</t>
  </si>
  <si>
    <t>Trappenhuis 1e verdieping</t>
  </si>
  <si>
    <t>Gang</t>
  </si>
  <si>
    <t>Lunchruimte</t>
  </si>
  <si>
    <t>Callcenter</t>
  </si>
  <si>
    <t>tapijt</t>
  </si>
  <si>
    <t>JL Almelo</t>
  </si>
  <si>
    <t>Oranjestraat 1b, Almelo</t>
  </si>
  <si>
    <t>Patchkast</t>
  </si>
  <si>
    <t>0.13</t>
  </si>
  <si>
    <t>MIVA</t>
  </si>
  <si>
    <t>0.14</t>
  </si>
  <si>
    <t>0.15</t>
  </si>
  <si>
    <t>Steen</t>
  </si>
  <si>
    <t>Kantoor</t>
  </si>
  <si>
    <t>Garage</t>
  </si>
  <si>
    <t>Opslag</t>
  </si>
  <si>
    <t>Voorruimte sanitair</t>
  </si>
  <si>
    <t>JL Almere</t>
  </si>
  <si>
    <t>Marktmeesterstraat 79, Almere</t>
  </si>
  <si>
    <t>0.010</t>
  </si>
  <si>
    <t>0.011</t>
  </si>
  <si>
    <t>0.012</t>
  </si>
  <si>
    <t>0.013</t>
  </si>
  <si>
    <t>0.014</t>
  </si>
  <si>
    <t>Werkkast</t>
  </si>
  <si>
    <t>JL Amersfoort</t>
  </si>
  <si>
    <t>van Asch van Wijkstraat 2-4, Amersfoort</t>
  </si>
  <si>
    <t>Mat</t>
  </si>
  <si>
    <t>JL Amsterdam</t>
  </si>
  <si>
    <t>Vijzelgracht 21-25, Amsterdam</t>
  </si>
  <si>
    <t>Centrale hal / wachtruimte</t>
  </si>
  <si>
    <t>Balie / Receptie</t>
  </si>
  <si>
    <t xml:space="preserve">Balie  </t>
  </si>
  <si>
    <t>Achteringang</t>
  </si>
  <si>
    <t>Spreekkamer 7</t>
  </si>
  <si>
    <t>Spreekkamer 6</t>
  </si>
  <si>
    <t>0.16</t>
  </si>
  <si>
    <t>0.17</t>
  </si>
  <si>
    <t>Spreekkamer 5</t>
  </si>
  <si>
    <t>0.18</t>
  </si>
  <si>
    <t>Spreekkamer 4</t>
  </si>
  <si>
    <t>1.19</t>
  </si>
  <si>
    <t>Hal / Garderobe</t>
  </si>
  <si>
    <t>1.20</t>
  </si>
  <si>
    <t>Voorruimte Toilet</t>
  </si>
  <si>
    <t>1.21</t>
  </si>
  <si>
    <t xml:space="preserve">Toilet  </t>
  </si>
  <si>
    <t>1.22</t>
  </si>
  <si>
    <t>1.23</t>
  </si>
  <si>
    <t>1.24</t>
  </si>
  <si>
    <t>1.25</t>
  </si>
  <si>
    <t>1.26</t>
  </si>
  <si>
    <t>1.27</t>
  </si>
  <si>
    <t>1.28</t>
  </si>
  <si>
    <t xml:space="preserve">Lunchruimte </t>
  </si>
  <si>
    <t>1.29</t>
  </si>
  <si>
    <t>1.30</t>
  </si>
  <si>
    <t>1.31</t>
  </si>
  <si>
    <t>1.32</t>
  </si>
  <si>
    <t>1.33</t>
  </si>
  <si>
    <t>1.34</t>
  </si>
  <si>
    <t>1.35</t>
  </si>
  <si>
    <t>Vergaderruimte</t>
  </si>
  <si>
    <t>1.36</t>
  </si>
  <si>
    <t>1.37</t>
  </si>
  <si>
    <t>Kast</t>
  </si>
  <si>
    <t>leeg</t>
  </si>
  <si>
    <t>Tapijt / marmoleum</t>
  </si>
  <si>
    <t>JL Arnhem</t>
  </si>
  <si>
    <t>Ruiterstraat 33, Arnhem</t>
  </si>
  <si>
    <t>Miva toilet</t>
  </si>
  <si>
    <t>JL Assen</t>
  </si>
  <si>
    <t>Overcingellaan 7, Assen</t>
  </si>
  <si>
    <t>Entree / wachtruimte</t>
  </si>
  <si>
    <t>Opslag / patchkast</t>
  </si>
  <si>
    <t>Voorruimte toilet</t>
  </si>
  <si>
    <t>JL Breda</t>
  </si>
  <si>
    <t>Delpratsingel 9, Breda</t>
  </si>
  <si>
    <t>Hal / container</t>
  </si>
  <si>
    <t>Reproruimte</t>
  </si>
  <si>
    <t>Serverruimte</t>
  </si>
  <si>
    <t>Toilet personeel</t>
  </si>
  <si>
    <t>Garderobe</t>
  </si>
  <si>
    <t>Linoleum / PVC</t>
  </si>
  <si>
    <t>JL Den Bosch</t>
  </si>
  <si>
    <t>Stationsweg 9, Den Bosch</t>
  </si>
  <si>
    <t>JL Den Haag</t>
  </si>
  <si>
    <t>Lift 1</t>
  </si>
  <si>
    <t>Lift</t>
  </si>
  <si>
    <t>Lift 2</t>
  </si>
  <si>
    <t>Entree/Hal</t>
  </si>
  <si>
    <t>Douche Heren</t>
  </si>
  <si>
    <t>Douche Dames</t>
  </si>
  <si>
    <t>Pantry</t>
  </si>
  <si>
    <t>Baliegroep</t>
  </si>
  <si>
    <t>Bureaukamer</t>
  </si>
  <si>
    <t>Centrale ruimte</t>
  </si>
  <si>
    <t>1.01</t>
  </si>
  <si>
    <t>1.02</t>
  </si>
  <si>
    <t>Toiletgroep Heren</t>
  </si>
  <si>
    <t>1.03</t>
  </si>
  <si>
    <t>Toiletgroep Dames</t>
  </si>
  <si>
    <t>1.04a</t>
  </si>
  <si>
    <t>Kantoortuin</t>
  </si>
  <si>
    <t>1.04b</t>
  </si>
  <si>
    <t>1.05</t>
  </si>
  <si>
    <t>Multifunctionele ruimte</t>
  </si>
  <si>
    <t>1.06</t>
  </si>
  <si>
    <t>Bila ruimte 1</t>
  </si>
  <si>
    <t>1.07</t>
  </si>
  <si>
    <t>Bila ruimte 2</t>
  </si>
  <si>
    <t>1.08</t>
  </si>
  <si>
    <t>1.09a</t>
  </si>
  <si>
    <t>1.09b</t>
  </si>
  <si>
    <t>1.10</t>
  </si>
  <si>
    <t>1.11</t>
  </si>
  <si>
    <t>2.01</t>
  </si>
  <si>
    <t>2.02</t>
  </si>
  <si>
    <t>2.03</t>
  </si>
  <si>
    <t>2.05</t>
  </si>
  <si>
    <t>2.06</t>
  </si>
  <si>
    <t>Intern opleidingscentrum</t>
  </si>
  <si>
    <t>2.07a</t>
  </si>
  <si>
    <t>2.07b</t>
  </si>
  <si>
    <t>2.07c</t>
  </si>
  <si>
    <t>2.08</t>
  </si>
  <si>
    <t>Kantoor Manager KCC</t>
  </si>
  <si>
    <t>2.09</t>
  </si>
  <si>
    <t>Kopieercorner/Multifunct. Ruimte</t>
  </si>
  <si>
    <t>2.10</t>
  </si>
  <si>
    <t>Trappenuis</t>
  </si>
  <si>
    <t>2.11</t>
  </si>
  <si>
    <t>Bila ruimte 3</t>
  </si>
  <si>
    <t>2.12</t>
  </si>
  <si>
    <t>Bila ruimte 4</t>
  </si>
  <si>
    <t>Traanplaat</t>
  </si>
  <si>
    <t>Tegel</t>
  </si>
  <si>
    <t>PVC</t>
  </si>
  <si>
    <t>Oranjebuitensingel 6, Den Haag</t>
  </si>
  <si>
    <t>JL Dordrecht</t>
  </si>
  <si>
    <t>Burg. de Raadtsingel 73a, Dordrecht</t>
  </si>
  <si>
    <t>Trap</t>
  </si>
  <si>
    <t>Noppenvloer</t>
  </si>
  <si>
    <t>JL Eindhoven</t>
  </si>
  <si>
    <t>Willemstraat 18, Eindhoven</t>
  </si>
  <si>
    <t>JL Emmen</t>
  </si>
  <si>
    <t>Meterkast</t>
  </si>
  <si>
    <t>Mindervalidentoilet</t>
  </si>
  <si>
    <t>Ontvangstruimte</t>
  </si>
  <si>
    <t>CV Ruimte</t>
  </si>
  <si>
    <t>Call center werkplekken</t>
  </si>
  <si>
    <t>0.07a</t>
  </si>
  <si>
    <t>Spreekplek 1</t>
  </si>
  <si>
    <t>0.07b</t>
  </si>
  <si>
    <t>Spreekplek 2</t>
  </si>
  <si>
    <t>0.07c</t>
  </si>
  <si>
    <t>Spreekplek 3</t>
  </si>
  <si>
    <t>0.07d</t>
  </si>
  <si>
    <t>Spreekplek 4</t>
  </si>
  <si>
    <t>0.07e</t>
  </si>
  <si>
    <t>Spreekplek 5</t>
  </si>
  <si>
    <t>Printerruimte</t>
  </si>
  <si>
    <t>Kantine / pantry</t>
  </si>
  <si>
    <t>Niet in gebruik (16,70)</t>
  </si>
  <si>
    <t>Niet in gebruik (22,65)</t>
  </si>
  <si>
    <t>Schoonmaakkast</t>
  </si>
  <si>
    <t>Toilet A</t>
  </si>
  <si>
    <t>Toilet B</t>
  </si>
  <si>
    <t>0.15a</t>
  </si>
  <si>
    <t>Opslag / niet ingebruik (22,65)</t>
  </si>
  <si>
    <t>ICT - patchkast</t>
  </si>
  <si>
    <t>0.19</t>
  </si>
  <si>
    <t>Droogloopmat Storax</t>
  </si>
  <si>
    <t>PVC stroken</t>
  </si>
  <si>
    <t>Vinyl</t>
  </si>
  <si>
    <t>JL Enschede</t>
  </si>
  <si>
    <t>JL Groningen</t>
  </si>
  <si>
    <t>Coehoornsingel 4, Groningen</t>
  </si>
  <si>
    <t>Weerdingerstraat 233a, Emmen</t>
  </si>
  <si>
    <t>Piet Heinstraat 17, Enschede</t>
  </si>
  <si>
    <t xml:space="preserve">Callcenter </t>
  </si>
  <si>
    <t>JL Haarlem</t>
  </si>
  <si>
    <t>Stationsplein 70, Haarlem</t>
  </si>
  <si>
    <t>0.12a</t>
  </si>
  <si>
    <t>0.12b</t>
  </si>
  <si>
    <t>JL Heerlen</t>
  </si>
  <si>
    <t>Geerstraat 105, Heerlen</t>
  </si>
  <si>
    <t>JL Leeuwarden</t>
  </si>
  <si>
    <t>0.20</t>
  </si>
  <si>
    <t>0.21</t>
  </si>
  <si>
    <t>JL Leiden</t>
  </si>
  <si>
    <t>Bargelaan 8a, Leiden</t>
  </si>
  <si>
    <t xml:space="preserve">Wachtruimte </t>
  </si>
  <si>
    <t>JL Lelystad</t>
  </si>
  <si>
    <t>Stationsplein 186, Lelystad</t>
  </si>
  <si>
    <t>0.00</t>
  </si>
  <si>
    <t>Tochtportaal</t>
  </si>
  <si>
    <t>Entree en extra wachtruimte</t>
  </si>
  <si>
    <t>0.01a</t>
  </si>
  <si>
    <t>Gang achter spreekplekken</t>
  </si>
  <si>
    <t>Kantine en pantry</t>
  </si>
  <si>
    <t>ICT ruimte</t>
  </si>
  <si>
    <t>Uitwerkplekken /call center</t>
  </si>
  <si>
    <t>Extra spreekkamer</t>
  </si>
  <si>
    <t>Tapijt en PVC stroken</t>
  </si>
  <si>
    <t>Marmoleum</t>
  </si>
  <si>
    <t xml:space="preserve">Tapijt  </t>
  </si>
  <si>
    <t>JL Maastricht</t>
  </si>
  <si>
    <t>Avenue Ceramique 2-6, Maastricht</t>
  </si>
  <si>
    <t>Wachruimte</t>
  </si>
  <si>
    <t>MIVA toilet</t>
  </si>
  <si>
    <t>Hal / gang</t>
  </si>
  <si>
    <t>Herentoilet</t>
  </si>
  <si>
    <t>Damestoilet</t>
  </si>
  <si>
    <t>Hal bij damestoilet</t>
  </si>
  <si>
    <t>Hal bij herentoilet</t>
  </si>
  <si>
    <t>JL Middelburg</t>
  </si>
  <si>
    <t>Rotterdamse Kraai 69, Middelburg</t>
  </si>
  <si>
    <t>JL Nijmegen</t>
  </si>
  <si>
    <t>Kronenburgsingel 2, Nijmegen</t>
  </si>
  <si>
    <t>Spreekkamer2</t>
  </si>
  <si>
    <t>Patchruimte</t>
  </si>
  <si>
    <t>JL Roermond</t>
  </si>
  <si>
    <t>Kruisherenstraat 10, Roermond</t>
  </si>
  <si>
    <t>Spreekplekken</t>
  </si>
  <si>
    <t>Gangzone en reproruimte</t>
  </si>
  <si>
    <t>Uitwerkplekken</t>
  </si>
  <si>
    <t>Balie 1 + 2</t>
  </si>
  <si>
    <t>Damestoilet/mindervaliden</t>
  </si>
  <si>
    <t>Balie 3 + 4</t>
  </si>
  <si>
    <t>Stabalie</t>
  </si>
  <si>
    <t xml:space="preserve">Entree personeel </t>
  </si>
  <si>
    <t>Balie gastvrouw/heer</t>
  </si>
  <si>
    <t>1.04</t>
  </si>
  <si>
    <t>1.09</t>
  </si>
  <si>
    <t xml:space="preserve">Damestoilet </t>
  </si>
  <si>
    <t>1.12</t>
  </si>
  <si>
    <t>Kantoorruimte</t>
  </si>
  <si>
    <t>JL Rotterdam</t>
  </si>
  <si>
    <t>Weena 719, Rotterdam</t>
  </si>
  <si>
    <t>Harde vloer</t>
  </si>
  <si>
    <t>JL Tilburg</t>
  </si>
  <si>
    <t>Spoorlaan 404, Tilburg</t>
  </si>
  <si>
    <t>Dames en heren</t>
  </si>
  <si>
    <t>1.18</t>
  </si>
  <si>
    <t>Opslag meubilair</t>
  </si>
  <si>
    <t>Keuken</t>
  </si>
  <si>
    <t>Hout</t>
  </si>
  <si>
    <t>JL Utrecht</t>
  </si>
  <si>
    <t>Catharijnesingel 55, Utrecht</t>
  </si>
  <si>
    <t>Berging / Archief</t>
  </si>
  <si>
    <t>Hoofdkantoor Utrecht</t>
  </si>
  <si>
    <t>Moreelsepark 1, Utrecht</t>
  </si>
  <si>
    <t>Balie en wachtruimte</t>
  </si>
  <si>
    <t>Repro- en postkamer</t>
  </si>
  <si>
    <t>Secretariaat</t>
  </si>
  <si>
    <t>Kamer Algemeen Directeur</t>
  </si>
  <si>
    <t>Kamer Directeur Uitvoering</t>
  </si>
  <si>
    <t>Kamer Manager F&amp;F</t>
  </si>
  <si>
    <t>HR administratie</t>
  </si>
  <si>
    <t>HR opleidingen</t>
  </si>
  <si>
    <t>HR manager</t>
  </si>
  <si>
    <t>Schachtruimte</t>
  </si>
  <si>
    <t>Afdeling F&amp;F en projectmanagement</t>
  </si>
  <si>
    <t>Afdeling Marketing &amp; Communicatie</t>
  </si>
  <si>
    <t>Manager Marketing &amp; Communicatie</t>
  </si>
  <si>
    <t>Kamer directie uitvoering</t>
  </si>
  <si>
    <t>Manager ICT</t>
  </si>
  <si>
    <t>0.22</t>
  </si>
  <si>
    <t>Afdeling ICT</t>
  </si>
  <si>
    <t>0.23</t>
  </si>
  <si>
    <t>0.24</t>
  </si>
  <si>
    <t>0.25</t>
  </si>
  <si>
    <t>Kolfruimte</t>
  </si>
  <si>
    <t>0.26</t>
  </si>
  <si>
    <t>Afdeling ECC</t>
  </si>
  <si>
    <t>0.27</t>
  </si>
  <si>
    <t>0.28</t>
  </si>
  <si>
    <t>0.29</t>
  </si>
  <si>
    <t>0.30</t>
  </si>
  <si>
    <t>Pantry / lunchruimte</t>
  </si>
  <si>
    <t>0.31</t>
  </si>
  <si>
    <t>Gang rondom</t>
  </si>
  <si>
    <t>0.32</t>
  </si>
  <si>
    <t>Overlegruimte tegenover HR</t>
  </si>
  <si>
    <t>0.33</t>
  </si>
  <si>
    <t>Overlegruimte tegenover opleidingsruimte</t>
  </si>
  <si>
    <t>Houten vloer</t>
  </si>
  <si>
    <t>JL Zaandam</t>
  </si>
  <si>
    <t>Rustenburg 105, Zaandam</t>
  </si>
  <si>
    <t>Entree / wachtruimte / gang</t>
  </si>
  <si>
    <t>Call center</t>
  </si>
  <si>
    <t>Server opslagruimte</t>
  </si>
  <si>
    <t>werkkast</t>
  </si>
  <si>
    <t>JL Zwolle</t>
  </si>
  <si>
    <t>Koggelaan 15, Zwolle</t>
  </si>
  <si>
    <t>Juridisch Loket</t>
  </si>
  <si>
    <t>Diverse locaties</t>
  </si>
  <si>
    <t>EU-JL-ID.MvD-2020</t>
  </si>
  <si>
    <t>Versie 1</t>
  </si>
  <si>
    <t>Opslagruimten</t>
  </si>
  <si>
    <t>Wachtruimten</t>
  </si>
  <si>
    <t>Trappenhuizen</t>
  </si>
  <si>
    <t>Separatie (dubbelzijdig) &amp; binnengevelglas</t>
  </si>
  <si>
    <t>Maximale frequentie</t>
  </si>
  <si>
    <t>Verkeersruimten</t>
  </si>
  <si>
    <t>4 x per week (52 weken)</t>
  </si>
  <si>
    <t>Productie uren ma t/m vr</t>
  </si>
  <si>
    <t>Kleinschaligheidstoeslag per jaar</t>
  </si>
  <si>
    <t>Totaal kosten schoonmaak- dienstverlening</t>
  </si>
  <si>
    <t>Totale kosten</t>
  </si>
  <si>
    <t>Kosten glasbewassing</t>
  </si>
  <si>
    <t>Kosten 
schoonmaakdienstverlening</t>
  </si>
  <si>
    <t>Uren &amp; percentages</t>
  </si>
  <si>
    <t>ER-KMS codes</t>
  </si>
  <si>
    <t>ER KMS code</t>
  </si>
  <si>
    <t>Dieptereiniging sanitair</t>
  </si>
  <si>
    <t>Prijs p/m² excl. btw</t>
  </si>
  <si>
    <t>Specifieke afroepwerkzaamheden</t>
  </si>
  <si>
    <t>Reinigen binnenzijde keukenblok inclusief in- en uitruimen</t>
  </si>
  <si>
    <t>Tarief</t>
  </si>
  <si>
    <t>Reinigen binnenzijde koelkast inclusief in- en uitruimen en producten over datum verwijderen</t>
  </si>
  <si>
    <t>Prijs per koelkast excl. btw</t>
  </si>
  <si>
    <t>Prijs per entree excl. btw</t>
  </si>
  <si>
    <t xml:space="preserve">Prijs per </t>
  </si>
  <si>
    <t>Prijs per keukenblok excl. btw</t>
  </si>
  <si>
    <t>Aanvegen buitenzijde entree bij overlast van bladeren - gemiddeld 25 m2 per entree</t>
  </si>
  <si>
    <t>Kantine</t>
  </si>
  <si>
    <t>JL Deventer</t>
  </si>
  <si>
    <t>10-Nulsituatie vloeren</t>
  </si>
  <si>
    <t>Vloersoort</t>
  </si>
  <si>
    <t>Patch + elektra</t>
  </si>
  <si>
    <t>Entree  + wachtruimte</t>
  </si>
  <si>
    <t>Doorloop / gang</t>
  </si>
  <si>
    <t>Sanitair</t>
  </si>
  <si>
    <t>Werkkast/berging</t>
  </si>
  <si>
    <t>doorloop/gang</t>
  </si>
  <si>
    <t>Entree/wachtruimt</t>
  </si>
  <si>
    <t>Flexplekken</t>
  </si>
  <si>
    <t>Sanitair personeel</t>
  </si>
  <si>
    <t>Werkkast/patchruitme</t>
  </si>
  <si>
    <t>tegels</t>
  </si>
  <si>
    <t>De Smedenstraat 280, Deventer</t>
  </si>
  <si>
    <t>Kosten vloeren nulbeurt</t>
  </si>
  <si>
    <t>Kosten eenmalige nulbeurt vloeren</t>
  </si>
  <si>
    <t>Type behandeling</t>
  </si>
  <si>
    <t>Prijs per m2</t>
  </si>
  <si>
    <t xml:space="preserve">Totaalkosten </t>
  </si>
  <si>
    <t>Zuidingersingel 12, Leeuwarden</t>
  </si>
  <si>
    <t>Jaarprijs regulier schoonmaakonderhoud en glasbewassing</t>
  </si>
  <si>
    <t>Regulier schoonmaakonderhoud</t>
  </si>
  <si>
    <t>Glasbewassing</t>
  </si>
  <si>
    <t>9-Glasbewassing</t>
  </si>
  <si>
    <t>TOTAAL KOSTEN PER JAAR EXCLUSIEF BTW (REGULIER ONDERHOUD EN GLASBEWASSING)</t>
  </si>
  <si>
    <t>EENMALIGE KOSTEN</t>
  </si>
  <si>
    <t xml:space="preserve">TOTAAL EENMALIGE KOSTEN EXCLUSIEF BTW </t>
  </si>
  <si>
    <r>
      <t xml:space="preserve">TOTAAL KOSTEN </t>
    </r>
    <r>
      <rPr>
        <b/>
        <sz val="10"/>
        <color rgb="FF7030A0"/>
        <rFont val="Century Gothic"/>
        <family val="2"/>
      </rPr>
      <t>GEHELE CONTRACTDUUR</t>
    </r>
    <r>
      <rPr>
        <b/>
        <sz val="10"/>
        <rFont val="Century Gothic"/>
        <family val="2"/>
      </rPr>
      <t xml:space="preserve"> EXCLUSIEF BTW (REGULIER ONDERHOUD EN GLASBEWASSING)</t>
    </r>
  </si>
  <si>
    <r>
      <t xml:space="preserve">EINDTOTAAL KOSTEN </t>
    </r>
    <r>
      <rPr>
        <b/>
        <sz val="10"/>
        <color rgb="FF7030A0"/>
        <rFont val="Century Gothic"/>
        <family val="2"/>
      </rPr>
      <t>GEHELE CONTRACTDUUR</t>
    </r>
    <r>
      <rPr>
        <b/>
        <sz val="10"/>
        <rFont val="Century Gothic"/>
        <family val="2"/>
      </rPr>
      <t xml:space="preserve"> EXCLUSIEF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</si>
</sst>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0.00_ ;\-#,##0.00\ "/>
    <numFmt numFmtId="197" formatCode="#,##0.0"/>
    <numFmt numFmtId="198" formatCode="_ [$€-2]\ * #,##0.00_ ;_ [$€-2]\ * \-#,##0.00_ ;_ [$€-2]\ * &quot;-&quot;??_ ;_ @_ "/>
  </numFmts>
  <fonts count="112">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2"/>
      <color rgb="FFFF0000"/>
      <name val="Century Gothic"/>
      <family val="2"/>
    </font>
    <font>
      <b/>
      <u/>
      <sz val="10"/>
      <color rgb="FFFF0000"/>
      <name val="Century Gothic"/>
      <family val="2"/>
    </font>
    <font>
      <sz val="11"/>
      <color theme="1"/>
      <name val="Arial"/>
      <family val="2"/>
    </font>
    <font>
      <sz val="8"/>
      <name val="MS Sans Serif"/>
    </font>
    <font>
      <b/>
      <sz val="10"/>
      <color rgb="FF7030A0"/>
      <name val="Century Gothic"/>
      <family val="2"/>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s>
  <borders count="6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52888">
    <xf numFmtId="0" fontId="0"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5" applyNumberFormat="0" applyAlignment="0" applyProtection="0"/>
    <xf numFmtId="0" fontId="22" fillId="7" borderId="16" applyNumberFormat="0" applyAlignment="0" applyProtection="0"/>
    <xf numFmtId="0" fontId="23" fillId="7" borderId="15" applyNumberFormat="0" applyAlignment="0" applyProtection="0"/>
    <xf numFmtId="0" fontId="24" fillId="0" borderId="17" applyNumberFormat="0" applyFill="0" applyAlignment="0" applyProtection="0"/>
    <xf numFmtId="0" fontId="25" fillId="8" borderId="18"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0"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9"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2" applyNumberFormat="0" applyAlignment="0" applyProtection="0"/>
    <xf numFmtId="0" fontId="7" fillId="0" borderId="0"/>
    <xf numFmtId="0" fontId="40" fillId="55" borderId="22" applyNumberFormat="0" applyAlignment="0" applyProtection="0"/>
    <xf numFmtId="0" fontId="41" fillId="56" borderId="23" applyNumberFormat="0" applyAlignment="0" applyProtection="0"/>
    <xf numFmtId="0" fontId="41" fillId="56" borderId="23" applyNumberFormat="0" applyAlignment="0" applyProtection="0"/>
    <xf numFmtId="0" fontId="42" fillId="0" borderId="0" applyNumberFormat="0" applyFill="0" applyBorder="0" applyAlignment="0" applyProtection="0"/>
    <xf numFmtId="0" fontId="43" fillId="0" borderId="24"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5" applyNumberFormat="0" applyFill="0" applyAlignment="0" applyProtection="0"/>
    <xf numFmtId="0" fontId="46" fillId="0" borderId="26" applyNumberFormat="0" applyFill="0" applyAlignment="0" applyProtection="0"/>
    <xf numFmtId="0" fontId="47" fillId="0" borderId="27" applyNumberFormat="0" applyFill="0" applyAlignment="0" applyProtection="0"/>
    <xf numFmtId="0" fontId="47" fillId="0" borderId="0" applyNumberFormat="0" applyFill="0" applyBorder="0" applyAlignment="0" applyProtection="0"/>
    <xf numFmtId="0" fontId="48" fillId="57" borderId="22" applyNumberFormat="0" applyAlignment="0" applyProtection="0"/>
    <xf numFmtId="0" fontId="35" fillId="58" borderId="1"/>
    <xf numFmtId="0" fontId="49" fillId="0" borderId="28" applyNumberFormat="0" applyFill="0" applyAlignment="0" applyProtection="0"/>
    <xf numFmtId="0" fontId="50" fillId="0" borderId="29" applyNumberFormat="0" applyFill="0" applyAlignment="0" applyProtection="0"/>
    <xf numFmtId="0" fontId="51" fillId="0" borderId="30"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1"/>
    <xf numFmtId="0" fontId="54" fillId="0" borderId="32"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3" applyNumberFormat="0" applyFont="0" applyAlignment="0" applyProtection="0"/>
    <xf numFmtId="0" fontId="34" fillId="59" borderId="33" applyNumberFormat="0" applyFont="0" applyAlignment="0" applyProtection="0"/>
    <xf numFmtId="0" fontId="56" fillId="37" borderId="0" applyNumberFormat="0" applyBorder="0" applyAlignment="0" applyProtection="0"/>
    <xf numFmtId="0" fontId="57" fillId="55" borderId="34" applyNumberFormat="0" applyAlignment="0" applyProtection="0"/>
    <xf numFmtId="0" fontId="53" fillId="60" borderId="35"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6" applyNumberFormat="0" applyFill="0" applyAlignment="0" applyProtection="0"/>
    <xf numFmtId="0" fontId="60" fillId="0" borderId="37" applyNumberFormat="0" applyFill="0" applyAlignment="0" applyProtection="0"/>
    <xf numFmtId="0" fontId="57" fillId="54" borderId="34"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1"/>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xf numFmtId="0" fontId="109" fillId="0" borderId="0"/>
  </cellStyleXfs>
  <cellXfs count="690">
    <xf numFmtId="0" fontId="0" fillId="0" borderId="0" xfId="0"/>
    <xf numFmtId="0" fontId="64" fillId="0" borderId="0" xfId="0" applyFont="1" applyFill="1"/>
    <xf numFmtId="0" fontId="66" fillId="0" borderId="0" xfId="14" applyFont="1" applyFill="1" applyProtection="1">
      <protection hidden="1"/>
    </xf>
    <xf numFmtId="0" fontId="66" fillId="0" borderId="0" xfId="14" applyFont="1" applyFill="1" applyBorder="1" applyProtection="1">
      <protection hidden="1"/>
    </xf>
    <xf numFmtId="0" fontId="66" fillId="0" borderId="0" xfId="0" applyFont="1"/>
    <xf numFmtId="2" fontId="66" fillId="0" borderId="0" xfId="12" applyNumberFormat="1" applyFont="1" applyFill="1" applyBorder="1" applyProtection="1">
      <protection hidden="1"/>
    </xf>
    <xf numFmtId="0" fontId="66" fillId="0" borderId="0" xfId="14" applyFont="1" applyFill="1" applyBorder="1" applyAlignment="1" applyProtection="1">
      <alignment vertical="center"/>
      <protection hidden="1"/>
    </xf>
    <xf numFmtId="0" fontId="67" fillId="0" borderId="0" xfId="14" applyFont="1" applyFill="1" applyBorder="1" applyAlignment="1" applyProtection="1">
      <alignment horizontal="center" vertical="center"/>
      <protection hidden="1"/>
    </xf>
    <xf numFmtId="0" fontId="67" fillId="0" borderId="0" xfId="14" applyFont="1" applyFill="1" applyBorder="1" applyAlignment="1" applyProtection="1">
      <alignment horizontal="right" vertical="center"/>
      <protection hidden="1"/>
    </xf>
    <xf numFmtId="0" fontId="66" fillId="0" borderId="0" xfId="0" applyFont="1" applyFill="1" applyBorder="1"/>
    <xf numFmtId="177" fontId="66" fillId="0" borderId="0" xfId="12" applyNumberFormat="1" applyFont="1" applyFill="1" applyBorder="1" applyAlignment="1" applyProtection="1">
      <alignment vertical="center"/>
      <protection hidden="1"/>
    </xf>
    <xf numFmtId="176" fontId="70" fillId="0" borderId="0" xfId="14" applyNumberFormat="1" applyFont="1" applyFill="1" applyBorder="1" applyAlignment="1" applyProtection="1">
      <alignment vertical="center"/>
      <protection hidden="1"/>
    </xf>
    <xf numFmtId="176" fontId="66"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locked="0"/>
    </xf>
    <xf numFmtId="177" fontId="66" fillId="0" borderId="0" xfId="12" applyNumberFormat="1" applyFont="1" applyFill="1" applyBorder="1" applyAlignment="1" applyProtection="1">
      <alignment horizontal="center" vertical="center"/>
      <protection hidden="1"/>
    </xf>
    <xf numFmtId="177" fontId="66" fillId="0" borderId="0" xfId="12" applyNumberFormat="1" applyFont="1" applyFill="1" applyBorder="1" applyAlignment="1" applyProtection="1">
      <alignment horizontal="right" vertical="center"/>
      <protection hidden="1"/>
    </xf>
    <xf numFmtId="9" fontId="71" fillId="0" borderId="0" xfId="12" applyNumberFormat="1" applyFont="1" applyFill="1" applyBorder="1" applyAlignment="1" applyProtection="1">
      <alignment horizontal="center" vertical="center"/>
      <protection hidden="1"/>
    </xf>
    <xf numFmtId="177" fontId="71" fillId="0" borderId="0" xfId="12" applyNumberFormat="1" applyFont="1" applyFill="1" applyBorder="1" applyAlignment="1" applyProtection="1">
      <alignment vertical="center"/>
      <protection hidden="1"/>
    </xf>
    <xf numFmtId="0" fontId="65" fillId="0" borderId="0" xfId="14" applyFont="1" applyFill="1" applyBorder="1" applyAlignment="1" applyProtection="1">
      <alignment horizontal="left" vertical="center"/>
      <protection hidden="1"/>
    </xf>
    <xf numFmtId="0" fontId="70" fillId="0" borderId="0" xfId="14" applyFont="1" applyFill="1" applyBorder="1" applyAlignment="1" applyProtection="1">
      <alignment vertical="center"/>
      <protection hidden="1"/>
    </xf>
    <xf numFmtId="0" fontId="70" fillId="0" borderId="0" xfId="14" applyFont="1" applyFill="1" applyBorder="1" applyAlignment="1" applyProtection="1">
      <alignment horizontal="left" vertical="center"/>
      <protection hidden="1"/>
    </xf>
    <xf numFmtId="2" fontId="70" fillId="0" borderId="0" xfId="14" applyNumberFormat="1" applyFont="1" applyFill="1" applyBorder="1" applyAlignment="1" applyProtection="1">
      <alignment horizontal="right" vertical="center"/>
      <protection hidden="1"/>
    </xf>
    <xf numFmtId="2" fontId="66" fillId="0" borderId="0" xfId="0" applyNumberFormat="1" applyFont="1" applyFill="1" applyBorder="1" applyAlignment="1">
      <alignment vertical="center"/>
    </xf>
    <xf numFmtId="176" fontId="70" fillId="0" borderId="0" xfId="14" applyNumberFormat="1" applyFont="1" applyFill="1" applyBorder="1" applyAlignment="1" applyProtection="1">
      <alignment vertical="center"/>
      <protection locked="0"/>
    </xf>
    <xf numFmtId="176" fontId="72" fillId="0" borderId="0" xfId="14" applyNumberFormat="1" applyFont="1" applyFill="1" applyBorder="1" applyAlignment="1" applyProtection="1">
      <alignment vertical="center"/>
      <protection hidden="1"/>
    </xf>
    <xf numFmtId="0" fontId="65" fillId="0" borderId="0" xfId="14" applyFont="1" applyFill="1" applyBorder="1" applyAlignment="1" applyProtection="1">
      <alignment vertical="center"/>
      <protection hidden="1"/>
    </xf>
    <xf numFmtId="2" fontId="65" fillId="0" borderId="0" xfId="14" applyNumberFormat="1" applyFont="1" applyFill="1" applyBorder="1" applyAlignment="1" applyProtection="1">
      <alignment vertical="center"/>
      <protection hidden="1"/>
    </xf>
    <xf numFmtId="0" fontId="66" fillId="0" borderId="0" xfId="0" applyFont="1" applyFill="1" applyBorder="1" applyAlignment="1">
      <alignment vertical="center"/>
    </xf>
    <xf numFmtId="0" fontId="73" fillId="0" borderId="0" xfId="14" applyFont="1" applyFill="1" applyBorder="1" applyAlignment="1" applyProtection="1">
      <alignment vertical="center"/>
      <protection hidden="1"/>
    </xf>
    <xf numFmtId="10" fontId="70" fillId="0" borderId="0" xfId="17" applyNumberFormat="1" applyFont="1" applyFill="1" applyBorder="1" applyAlignment="1" applyProtection="1">
      <alignment vertical="center"/>
      <protection hidden="1"/>
    </xf>
    <xf numFmtId="177" fontId="70" fillId="0" borderId="0" xfId="17" applyNumberFormat="1" applyFont="1" applyFill="1" applyBorder="1" applyAlignment="1" applyProtection="1">
      <alignment vertical="center"/>
      <protection hidden="1"/>
    </xf>
    <xf numFmtId="177" fontId="70"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hidden="1"/>
    </xf>
    <xf numFmtId="177" fontId="66" fillId="0" borderId="0" xfId="14" applyNumberFormat="1" applyFont="1" applyFill="1" applyBorder="1" applyAlignment="1" applyProtection="1">
      <alignment horizontal="right" vertical="center"/>
      <protection hidden="1"/>
    </xf>
    <xf numFmtId="10" fontId="65" fillId="0" borderId="0" xfId="17" applyNumberFormat="1" applyFont="1" applyFill="1" applyBorder="1" applyAlignment="1" applyProtection="1">
      <alignment vertical="center"/>
      <protection hidden="1"/>
    </xf>
    <xf numFmtId="177" fontId="65" fillId="0" borderId="0" xfId="0" applyNumberFormat="1" applyFont="1" applyFill="1" applyBorder="1"/>
    <xf numFmtId="0" fontId="66" fillId="0" borderId="0" xfId="14" applyFont="1" applyFill="1" applyBorder="1" applyAlignment="1" applyProtection="1">
      <alignment horizontal="right" vertical="center"/>
      <protection hidden="1"/>
    </xf>
    <xf numFmtId="0" fontId="71" fillId="0" borderId="0" xfId="14" applyFont="1" applyFill="1" applyBorder="1" applyAlignment="1" applyProtection="1">
      <alignment vertical="center"/>
      <protection hidden="1"/>
    </xf>
    <xf numFmtId="177" fontId="65" fillId="0" borderId="0" xfId="14" applyNumberFormat="1" applyFont="1" applyFill="1" applyBorder="1" applyAlignment="1" applyProtection="1">
      <alignment vertical="center"/>
      <protection hidden="1"/>
    </xf>
    <xf numFmtId="10" fontId="65" fillId="0" borderId="0" xfId="0" applyNumberFormat="1" applyFont="1" applyFill="1" applyBorder="1" applyAlignment="1"/>
    <xf numFmtId="0" fontId="74" fillId="0" borderId="0" xfId="14" applyFont="1" applyFill="1" applyBorder="1" applyAlignment="1" applyProtection="1">
      <protection hidden="1"/>
    </xf>
    <xf numFmtId="0" fontId="74" fillId="0" borderId="0" xfId="14" applyFont="1" applyFill="1" applyBorder="1" applyProtection="1">
      <protection hidden="1"/>
    </xf>
    <xf numFmtId="0" fontId="68" fillId="0" borderId="0" xfId="14" applyFont="1" applyFill="1" applyBorder="1" applyAlignment="1" applyProtection="1">
      <protection hidden="1"/>
    </xf>
    <xf numFmtId="0" fontId="66" fillId="0" borderId="0" xfId="14" applyFont="1" applyFill="1" applyBorder="1" applyAlignment="1" applyProtection="1">
      <protection hidden="1"/>
    </xf>
    <xf numFmtId="0" fontId="66" fillId="0" borderId="0" xfId="0" applyFont="1" applyAlignment="1"/>
    <xf numFmtId="0" fontId="66" fillId="0" borderId="0" xfId="0" applyFont="1" applyFill="1" applyAlignment="1"/>
    <xf numFmtId="0" fontId="66" fillId="0" borderId="0" xfId="14" applyFont="1" applyFill="1" applyAlignment="1" applyProtection="1">
      <protection hidden="1"/>
    </xf>
    <xf numFmtId="0" fontId="66" fillId="0" borderId="0" xfId="0" applyFont="1" applyFill="1"/>
    <xf numFmtId="2" fontId="75" fillId="0" borderId="0" xfId="0" applyNumberFormat="1" applyFont="1"/>
    <xf numFmtId="0" fontId="74" fillId="0" borderId="0" xfId="64" applyFont="1" applyFill="1" applyBorder="1" applyAlignment="1"/>
    <xf numFmtId="0" fontId="66" fillId="0" borderId="0" xfId="64" applyFont="1" applyFill="1" applyAlignment="1"/>
    <xf numFmtId="49" fontId="76" fillId="0" borderId="0" xfId="63" applyNumberFormat="1" applyFont="1" applyFill="1" applyBorder="1" applyAlignment="1" applyProtection="1">
      <alignment horizontal="left" vertical="top"/>
      <protection hidden="1"/>
    </xf>
    <xf numFmtId="2" fontId="78" fillId="0" borderId="0" xfId="64" applyNumberFormat="1" applyFont="1" applyFill="1" applyAlignment="1"/>
    <xf numFmtId="0" fontId="78" fillId="0" borderId="0" xfId="64" applyFont="1" applyFill="1" applyAlignment="1"/>
    <xf numFmtId="2" fontId="78" fillId="0" borderId="0" xfId="64" applyNumberFormat="1" applyFont="1" applyFill="1" applyAlignment="1">
      <alignment horizontal="left"/>
    </xf>
    <xf numFmtId="49" fontId="78" fillId="0" borderId="0" xfId="64" applyNumberFormat="1" applyFont="1" applyFill="1" applyBorder="1" applyAlignment="1"/>
    <xf numFmtId="0" fontId="78" fillId="0" borderId="0" xfId="64" applyFont="1" applyFill="1" applyAlignment="1">
      <alignment horizontal="left"/>
    </xf>
    <xf numFmtId="0" fontId="79" fillId="61" borderId="5" xfId="64" applyNumberFormat="1" applyFont="1" applyFill="1" applyBorder="1" applyAlignment="1"/>
    <xf numFmtId="0" fontId="77" fillId="61" borderId="6" xfId="64" applyNumberFormat="1" applyFont="1" applyFill="1" applyBorder="1" applyAlignment="1"/>
    <xf numFmtId="0" fontId="77" fillId="61" borderId="6" xfId="64" applyNumberFormat="1" applyFont="1" applyFill="1" applyBorder="1" applyAlignment="1">
      <alignment horizontal="left"/>
    </xf>
    <xf numFmtId="0" fontId="78" fillId="61" borderId="7" xfId="64" applyNumberFormat="1" applyFont="1" applyFill="1" applyBorder="1" applyAlignment="1">
      <alignment horizontal="left"/>
    </xf>
    <xf numFmtId="0" fontId="66" fillId="0" borderId="0" xfId="64" applyFont="1" applyFill="1" applyAlignment="1">
      <alignment horizontal="left"/>
    </xf>
    <xf numFmtId="165" fontId="66" fillId="2" borderId="0" xfId="3" applyFont="1" applyFill="1" applyAlignment="1"/>
    <xf numFmtId="180" fontId="66" fillId="2" borderId="1" xfId="66" applyNumberFormat="1" applyFont="1" applyFill="1" applyBorder="1" applyAlignment="1">
      <alignment horizontal="center"/>
    </xf>
    <xf numFmtId="178" fontId="66" fillId="0" borderId="0" xfId="7" applyNumberFormat="1" applyFont="1" applyFill="1" applyAlignment="1">
      <alignment horizontal="left"/>
    </xf>
    <xf numFmtId="9" fontId="71" fillId="2" borderId="1" xfId="66" applyFont="1" applyFill="1" applyBorder="1" applyAlignment="1">
      <alignment horizontal="center"/>
    </xf>
    <xf numFmtId="43" fontId="66" fillId="2" borderId="0" xfId="64" applyNumberFormat="1" applyFont="1" applyFill="1" applyAlignment="1"/>
    <xf numFmtId="0" fontId="66" fillId="0" borderId="6" xfId="64" applyFont="1" applyFill="1" applyBorder="1" applyAlignment="1"/>
    <xf numFmtId="166" fontId="66" fillId="0" borderId="1" xfId="19" applyFont="1" applyFill="1" applyBorder="1" applyAlignment="1" applyProtection="1">
      <alignment horizontal="center" vertical="center"/>
      <protection hidden="1"/>
    </xf>
    <xf numFmtId="0" fontId="71" fillId="0" borderId="0" xfId="63" applyNumberFormat="1" applyFont="1" applyFill="1" applyBorder="1" applyAlignment="1" applyProtection="1">
      <alignment horizontal="left"/>
      <protection hidden="1"/>
    </xf>
    <xf numFmtId="0" fontId="65" fillId="0" borderId="0" xfId="63" applyNumberFormat="1" applyFont="1" applyFill="1" applyBorder="1" applyAlignment="1" applyProtection="1">
      <alignment horizontal="left"/>
      <protection hidden="1"/>
    </xf>
    <xf numFmtId="49" fontId="66" fillId="0" borderId="0" xfId="64" applyNumberFormat="1" applyFont="1" applyFill="1" applyBorder="1" applyAlignment="1"/>
    <xf numFmtId="10" fontId="66" fillId="0" borderId="0" xfId="64" applyNumberFormat="1" applyFont="1" applyFill="1" applyAlignment="1">
      <alignment horizontal="left"/>
    </xf>
    <xf numFmtId="178" fontId="66" fillId="0" borderId="2" xfId="7" applyNumberFormat="1" applyFont="1" applyFill="1" applyBorder="1" applyAlignment="1">
      <alignment horizontal="left"/>
    </xf>
    <xf numFmtId="0" fontId="66" fillId="2" borderId="0" xfId="64" applyFont="1" applyFill="1" applyAlignment="1"/>
    <xf numFmtId="44" fontId="66" fillId="2" borderId="0" xfId="64" applyNumberFormat="1" applyFont="1" applyFill="1" applyAlignment="1"/>
    <xf numFmtId="44" fontId="66" fillId="0" borderId="0" xfId="64" applyNumberFormat="1" applyFont="1" applyFill="1" applyAlignment="1"/>
    <xf numFmtId="49" fontId="80" fillId="61" borderId="5" xfId="64" applyNumberFormat="1" applyFont="1" applyFill="1" applyBorder="1" applyAlignment="1"/>
    <xf numFmtId="0" fontId="80" fillId="61" borderId="6" xfId="64" applyFont="1" applyFill="1" applyBorder="1" applyAlignment="1"/>
    <xf numFmtId="9" fontId="80" fillId="61" borderId="6" xfId="17" applyFont="1" applyFill="1" applyBorder="1" applyAlignment="1">
      <alignment horizontal="center"/>
    </xf>
    <xf numFmtId="49" fontId="81" fillId="0" borderId="0" xfId="64" applyNumberFormat="1" applyFont="1" applyFill="1" applyBorder="1" applyAlignment="1"/>
    <xf numFmtId="2" fontId="82" fillId="0" borderId="0" xfId="64" applyNumberFormat="1" applyFont="1" applyFill="1" applyBorder="1" applyAlignment="1"/>
    <xf numFmtId="2" fontId="82" fillId="0" borderId="0" xfId="64" applyNumberFormat="1" applyFont="1" applyFill="1" applyAlignment="1"/>
    <xf numFmtId="1" fontId="81" fillId="0" borderId="0" xfId="64" applyNumberFormat="1" applyFont="1" applyFill="1" applyBorder="1" applyAlignment="1">
      <alignment horizontal="left"/>
    </xf>
    <xf numFmtId="49" fontId="66" fillId="0" borderId="0" xfId="63" applyNumberFormat="1" applyFont="1" applyFill="1" applyBorder="1" applyAlignment="1" applyProtection="1">
      <alignment horizontal="left" vertical="top"/>
      <protection hidden="1"/>
    </xf>
    <xf numFmtId="0" fontId="66" fillId="0" borderId="0" xfId="63" applyFont="1" applyFill="1" applyBorder="1" applyAlignment="1" applyProtection="1">
      <alignment horizontal="center" vertical="justify"/>
      <protection hidden="1"/>
    </xf>
    <xf numFmtId="0" fontId="66" fillId="0" borderId="0" xfId="63" applyFont="1" applyFill="1" applyBorder="1" applyAlignment="1" applyProtection="1">
      <alignment horizontal="left" vertical="justify"/>
      <protection hidden="1"/>
    </xf>
    <xf numFmtId="0" fontId="82" fillId="0" borderId="0" xfId="64" applyFont="1" applyFill="1" applyAlignment="1"/>
    <xf numFmtId="49" fontId="66" fillId="0" borderId="0" xfId="63" applyNumberFormat="1" applyFont="1" applyFill="1" applyBorder="1" applyAlignment="1" applyProtection="1">
      <alignment horizontal="left"/>
      <protection hidden="1"/>
    </xf>
    <xf numFmtId="0" fontId="71" fillId="0" borderId="0" xfId="63" applyNumberFormat="1" applyFont="1" applyFill="1" applyBorder="1" applyAlignment="1" applyProtection="1">
      <alignment horizontal="left" vertical="top"/>
      <protection hidden="1"/>
    </xf>
    <xf numFmtId="175" fontId="71" fillId="0" borderId="0" xfId="66" applyNumberFormat="1" applyFont="1" applyFill="1" applyBorder="1" applyAlignment="1" applyProtection="1">
      <alignment horizontal="center"/>
      <protection hidden="1"/>
    </xf>
    <xf numFmtId="175" fontId="71" fillId="2" borderId="0" xfId="66" applyNumberFormat="1" applyFont="1" applyFill="1" applyBorder="1" applyAlignment="1" applyProtection="1">
      <alignment horizontal="center"/>
      <protection hidden="1"/>
    </xf>
    <xf numFmtId="49" fontId="66" fillId="0" borderId="6" xfId="63" applyNumberFormat="1" applyFont="1" applyFill="1" applyBorder="1" applyAlignment="1" applyProtection="1">
      <alignment horizontal="left"/>
      <protection hidden="1"/>
    </xf>
    <xf numFmtId="49" fontId="66" fillId="2" borderId="0" xfId="63" applyNumberFormat="1" applyFont="1" applyFill="1" applyBorder="1" applyAlignment="1" applyProtection="1">
      <alignment horizontal="left"/>
      <protection hidden="1"/>
    </xf>
    <xf numFmtId="49" fontId="71" fillId="0" borderId="0" xfId="63" applyNumberFormat="1" applyFont="1" applyFill="1" applyBorder="1" applyAlignment="1" applyProtection="1">
      <alignment horizontal="left"/>
      <protection hidden="1"/>
    </xf>
    <xf numFmtId="9" fontId="71" fillId="0" borderId="0" xfId="66" applyFont="1" applyFill="1" applyBorder="1" applyAlignment="1" applyProtection="1">
      <alignment horizontal="center" vertical="center"/>
      <protection hidden="1"/>
    </xf>
    <xf numFmtId="49" fontId="66" fillId="0" borderId="5" xfId="63" applyNumberFormat="1" applyFont="1" applyFill="1" applyBorder="1" applyAlignment="1" applyProtection="1">
      <alignment horizontal="left"/>
      <protection hidden="1"/>
    </xf>
    <xf numFmtId="49" fontId="66" fillId="2" borderId="7" xfId="63" applyNumberFormat="1" applyFont="1" applyFill="1" applyBorder="1" applyAlignment="1" applyProtection="1">
      <alignment horizontal="left"/>
      <protection hidden="1"/>
    </xf>
    <xf numFmtId="49" fontId="71" fillId="0" borderId="0" xfId="64" applyNumberFormat="1" applyFont="1" applyFill="1" applyBorder="1" applyAlignment="1"/>
    <xf numFmtId="179" fontId="71" fillId="0" borderId="0" xfId="63" applyNumberFormat="1" applyFont="1" applyFill="1" applyBorder="1" applyAlignment="1" applyProtection="1">
      <alignment horizontal="left"/>
      <protection hidden="1"/>
    </xf>
    <xf numFmtId="49" fontId="71" fillId="0" borderId="5" xfId="64" applyNumberFormat="1" applyFont="1" applyFill="1" applyBorder="1" applyAlignment="1"/>
    <xf numFmtId="49" fontId="71" fillId="0" borderId="6" xfId="64" applyNumberFormat="1" applyFont="1" applyFill="1" applyBorder="1" applyAlignment="1"/>
    <xf numFmtId="166" fontId="71" fillId="2" borderId="7" xfId="19" applyFont="1" applyFill="1" applyBorder="1" applyAlignment="1"/>
    <xf numFmtId="0" fontId="66" fillId="0" borderId="0" xfId="90" applyFont="1"/>
    <xf numFmtId="173" fontId="71" fillId="0" borderId="0" xfId="9" applyNumberFormat="1" applyFont="1" applyAlignment="1">
      <alignment horizontal="center"/>
    </xf>
    <xf numFmtId="2" fontId="77" fillId="0" borderId="0" xfId="13" applyNumberFormat="1" applyFont="1" applyFill="1" applyBorder="1" applyAlignment="1"/>
    <xf numFmtId="2" fontId="71" fillId="0" borderId="0" xfId="90" applyNumberFormat="1" applyFont="1"/>
    <xf numFmtId="2" fontId="66" fillId="0" borderId="1" xfId="90" applyNumberFormat="1" applyFont="1" applyFill="1" applyBorder="1"/>
    <xf numFmtId="0" fontId="68" fillId="0" borderId="0" xfId="90" applyFont="1"/>
    <xf numFmtId="0" fontId="71" fillId="0" borderId="1" xfId="90" applyFont="1" applyBorder="1"/>
    <xf numFmtId="0" fontId="71" fillId="0" borderId="0" xfId="90" applyFont="1"/>
    <xf numFmtId="0" fontId="68" fillId="0" borderId="0" xfId="90" applyFont="1" applyAlignment="1"/>
    <xf numFmtId="167" fontId="66" fillId="0" borderId="0" xfId="9" applyFont="1"/>
    <xf numFmtId="167" fontId="80" fillId="61" borderId="38" xfId="9" applyFont="1" applyFill="1" applyBorder="1" applyAlignment="1">
      <alignment horizontal="center" vertical="top" wrapText="1"/>
    </xf>
    <xf numFmtId="2" fontId="81" fillId="0" borderId="0" xfId="13" applyNumberFormat="1" applyFont="1" applyFill="1" applyBorder="1" applyAlignment="1"/>
    <xf numFmtId="188" fontId="83" fillId="0" borderId="0" xfId="64" applyNumberFormat="1" applyFont="1" applyFill="1" applyBorder="1" applyAlignment="1">
      <alignment horizontal="left"/>
    </xf>
    <xf numFmtId="0" fontId="66" fillId="0" borderId="0" xfId="0" applyFont="1" applyAlignment="1">
      <alignment horizontal="center" vertical="center"/>
    </xf>
    <xf numFmtId="0" fontId="66" fillId="0" borderId="0" xfId="18" applyFont="1" applyFill="1" applyAlignment="1">
      <alignment horizontal="center"/>
    </xf>
    <xf numFmtId="2" fontId="66" fillId="0" borderId="0" xfId="9" applyNumberFormat="1" applyFont="1" applyAlignment="1">
      <alignment horizontal="left"/>
    </xf>
    <xf numFmtId="172" fontId="66" fillId="0" borderId="0" xfId="18" applyNumberFormat="1" applyFont="1" applyAlignment="1">
      <alignment horizontal="center"/>
    </xf>
    <xf numFmtId="172" fontId="72" fillId="0" borderId="0" xfId="13" applyNumberFormat="1" applyFont="1" applyFill="1" applyAlignment="1"/>
    <xf numFmtId="3" fontId="66" fillId="0" borderId="0" xfId="9" applyNumberFormat="1" applyFont="1" applyAlignment="1">
      <alignment horizontal="right"/>
    </xf>
    <xf numFmtId="0" fontId="66" fillId="0" borderId="0" xfId="18" applyFont="1"/>
    <xf numFmtId="0" fontId="66" fillId="0" borderId="0" xfId="18" applyFont="1" applyAlignment="1">
      <alignment horizontal="center" vertical="center"/>
    </xf>
    <xf numFmtId="0" fontId="70" fillId="0" borderId="0" xfId="18" applyFont="1"/>
    <xf numFmtId="0" fontId="66" fillId="0" borderId="1" xfId="0" applyFont="1" applyBorder="1" applyAlignment="1">
      <alignment vertical="center"/>
    </xf>
    <xf numFmtId="0" fontId="66" fillId="0" borderId="1" xfId="0" applyFont="1" applyFill="1" applyBorder="1" applyAlignment="1">
      <alignment horizontal="center" vertical="center"/>
    </xf>
    <xf numFmtId="0" fontId="66" fillId="0" borderId="0" xfId="18" applyFont="1" applyFill="1"/>
    <xf numFmtId="0" fontId="66" fillId="0" borderId="1" xfId="0" applyFont="1" applyFill="1" applyBorder="1" applyAlignment="1"/>
    <xf numFmtId="1" fontId="66" fillId="0" borderId="1" xfId="62" applyNumberFormat="1" applyFont="1" applyBorder="1" applyAlignment="1">
      <alignment horizontal="center"/>
    </xf>
    <xf numFmtId="1" fontId="70" fillId="0" borderId="1" xfId="62" applyNumberFormat="1" applyFont="1" applyBorder="1" applyAlignment="1">
      <alignment horizontal="center"/>
    </xf>
    <xf numFmtId="173" fontId="68" fillId="0" borderId="1" xfId="9" applyNumberFormat="1" applyFont="1" applyFill="1" applyBorder="1" applyAlignment="1">
      <alignment horizontal="center"/>
    </xf>
    <xf numFmtId="0" fontId="75" fillId="0" borderId="1" xfId="18" applyFont="1" applyFill="1" applyBorder="1" applyAlignment="1">
      <alignment horizontal="left"/>
    </xf>
    <xf numFmtId="1" fontId="80" fillId="61" borderId="1" xfId="0" applyNumberFormat="1" applyFont="1" applyFill="1" applyBorder="1" applyAlignment="1">
      <alignment horizontal="left"/>
    </xf>
    <xf numFmtId="1" fontId="80" fillId="61" borderId="1" xfId="0" applyNumberFormat="1" applyFont="1" applyFill="1" applyBorder="1" applyAlignment="1">
      <alignment horizontal="center"/>
    </xf>
    <xf numFmtId="2" fontId="80" fillId="61" borderId="1" xfId="0" applyNumberFormat="1" applyFont="1" applyFill="1" applyBorder="1" applyAlignment="1">
      <alignment horizontal="left" vertical="center" wrapText="1"/>
    </xf>
    <xf numFmtId="1" fontId="80" fillId="61" borderId="1" xfId="0" applyNumberFormat="1" applyFont="1" applyFill="1" applyBorder="1" applyAlignment="1">
      <alignment horizontal="center" vertical="center" wrapText="1"/>
    </xf>
    <xf numFmtId="1" fontId="75" fillId="0" borderId="1" xfId="0" applyNumberFormat="1" applyFont="1" applyFill="1" applyBorder="1" applyAlignment="1">
      <alignment horizontal="center" vertical="center" wrapText="1"/>
    </xf>
    <xf numFmtId="1" fontId="75" fillId="0" borderId="6" xfId="0" applyNumberFormat="1" applyFont="1" applyFill="1" applyBorder="1" applyAlignment="1">
      <alignment horizontal="center" vertical="center" wrapText="1"/>
    </xf>
    <xf numFmtId="1" fontId="75" fillId="0" borderId="7" xfId="0" applyNumberFormat="1" applyFont="1" applyFill="1" applyBorder="1" applyAlignment="1">
      <alignment horizontal="center" vertical="center" wrapText="1"/>
    </xf>
    <xf numFmtId="49" fontId="81" fillId="0" borderId="0" xfId="13" applyNumberFormat="1" applyFont="1" applyFill="1" applyBorder="1" applyAlignment="1"/>
    <xf numFmtId="2" fontId="82" fillId="0" borderId="0" xfId="13" applyNumberFormat="1" applyFont="1" applyFill="1" applyBorder="1" applyAlignment="1"/>
    <xf numFmtId="2" fontId="82" fillId="0" borderId="0" xfId="13" applyNumberFormat="1" applyFont="1" applyFill="1" applyAlignment="1"/>
    <xf numFmtId="0" fontId="80" fillId="61" borderId="1" xfId="0" applyFont="1" applyFill="1" applyBorder="1" applyAlignment="1">
      <alignment wrapText="1"/>
    </xf>
    <xf numFmtId="0" fontId="80" fillId="61" borderId="1" xfId="0" applyFont="1" applyFill="1" applyBorder="1"/>
    <xf numFmtId="1" fontId="75" fillId="0" borderId="1" xfId="62" applyNumberFormat="1" applyFont="1" applyFill="1" applyBorder="1" applyAlignment="1">
      <alignment horizontal="center"/>
    </xf>
    <xf numFmtId="0" fontId="66" fillId="0" borderId="0" xfId="0" applyFont="1" applyAlignment="1">
      <alignment horizontal="center"/>
    </xf>
    <xf numFmtId="0" fontId="68" fillId="0" borderId="0" xfId="0" applyFont="1" applyAlignment="1">
      <alignment horizontal="center"/>
    </xf>
    <xf numFmtId="2" fontId="74" fillId="0" borderId="0" xfId="0" applyNumberFormat="1" applyFont="1"/>
    <xf numFmtId="2" fontId="71" fillId="0" borderId="0" xfId="0" applyNumberFormat="1" applyFont="1" applyAlignment="1">
      <alignment horizontal="center"/>
    </xf>
    <xf numFmtId="2" fontId="71" fillId="0" borderId="0" xfId="0" applyNumberFormat="1" applyFont="1" applyAlignment="1">
      <alignment horizontal="left"/>
    </xf>
    <xf numFmtId="2" fontId="71" fillId="0" borderId="0" xfId="0" applyNumberFormat="1" applyFont="1"/>
    <xf numFmtId="0" fontId="86" fillId="0" borderId="0" xfId="0" applyFont="1" applyFill="1"/>
    <xf numFmtId="0" fontId="71" fillId="0" borderId="0" xfId="0" applyFont="1" applyFill="1"/>
    <xf numFmtId="167" fontId="71" fillId="0" borderId="0" xfId="9" applyFont="1"/>
    <xf numFmtId="2" fontId="71" fillId="0" borderId="0" xfId="0" applyNumberFormat="1" applyFont="1" applyFill="1"/>
    <xf numFmtId="2" fontId="81" fillId="0" borderId="0" xfId="0" applyNumberFormat="1" applyFont="1" applyAlignment="1">
      <alignment horizontal="left"/>
    </xf>
    <xf numFmtId="2" fontId="77" fillId="0" borderId="0" xfId="13" applyNumberFormat="1" applyFont="1" applyFill="1" applyBorder="1" applyAlignment="1">
      <alignment horizontal="left"/>
    </xf>
    <xf numFmtId="9" fontId="87" fillId="61" borderId="4" xfId="17" applyFont="1" applyFill="1" applyBorder="1" applyAlignment="1">
      <alignment horizontal="center" vertical="top" wrapText="1"/>
    </xf>
    <xf numFmtId="2" fontId="80" fillId="61" borderId="4" xfId="0" applyNumberFormat="1" applyFont="1" applyFill="1" applyBorder="1" applyAlignment="1">
      <alignment horizontal="left" vertical="top" wrapText="1"/>
    </xf>
    <xf numFmtId="2" fontId="80" fillId="61" borderId="4" xfId="0" applyNumberFormat="1" applyFont="1" applyFill="1" applyBorder="1" applyAlignment="1">
      <alignment horizontal="left" vertical="top"/>
    </xf>
    <xf numFmtId="0" fontId="80" fillId="61" borderId="4" xfId="0" applyFont="1" applyFill="1" applyBorder="1" applyAlignment="1">
      <alignment horizontal="left" vertical="top" wrapText="1"/>
    </xf>
    <xf numFmtId="182" fontId="80" fillId="61" borderId="4" xfId="9" applyNumberFormat="1" applyFont="1" applyFill="1" applyBorder="1" applyAlignment="1">
      <alignment horizontal="left" vertical="top" wrapText="1"/>
    </xf>
    <xf numFmtId="167" fontId="80" fillId="61" borderId="4" xfId="9" applyFont="1" applyFill="1" applyBorder="1" applyAlignment="1">
      <alignment horizontal="center" vertical="top" wrapText="1"/>
    </xf>
    <xf numFmtId="167" fontId="87" fillId="61" borderId="4" xfId="9" applyFont="1" applyFill="1" applyBorder="1" applyAlignment="1">
      <alignment horizontal="center" vertical="top" wrapText="1"/>
    </xf>
    <xf numFmtId="2" fontId="66" fillId="0" borderId="1" xfId="0" applyNumberFormat="1" applyFont="1" applyFill="1" applyBorder="1"/>
    <xf numFmtId="174" fontId="66" fillId="0" borderId="1" xfId="0" applyNumberFormat="1" applyFont="1" applyFill="1" applyBorder="1" applyAlignment="1">
      <alignment horizontal="left"/>
    </xf>
    <xf numFmtId="0" fontId="66" fillId="0" borderId="1" xfId="0" applyFont="1" applyFill="1" applyBorder="1"/>
    <xf numFmtId="1" fontId="85" fillId="0" borderId="1" xfId="0" applyNumberFormat="1" applyFont="1" applyFill="1" applyBorder="1" applyAlignment="1">
      <alignment horizontal="center"/>
    </xf>
    <xf numFmtId="43" fontId="68" fillId="0" borderId="1" xfId="9" applyNumberFormat="1" applyFont="1" applyFill="1" applyBorder="1" applyAlignment="1">
      <alignment horizontal="center"/>
    </xf>
    <xf numFmtId="1" fontId="68" fillId="0" borderId="1" xfId="9" applyNumberFormat="1" applyFont="1" applyFill="1" applyBorder="1" applyAlignment="1">
      <alignment horizontal="center"/>
    </xf>
    <xf numFmtId="2" fontId="68" fillId="0" borderId="1" xfId="9" applyNumberFormat="1" applyFont="1" applyFill="1" applyBorder="1" applyAlignment="1">
      <alignment horizontal="center"/>
    </xf>
    <xf numFmtId="0" fontId="68" fillId="0" borderId="0" xfId="0" applyFont="1"/>
    <xf numFmtId="0" fontId="66" fillId="0" borderId="4" xfId="0" applyFont="1" applyFill="1" applyBorder="1"/>
    <xf numFmtId="0" fontId="66" fillId="0" borderId="1" xfId="0" applyNumberFormat="1" applyFont="1" applyFill="1" applyBorder="1" applyAlignment="1"/>
    <xf numFmtId="0" fontId="66" fillId="0" borderId="7" xfId="0" applyFont="1" applyFill="1" applyBorder="1"/>
    <xf numFmtId="174" fontId="66" fillId="0" borderId="9" xfId="0" applyNumberFormat="1" applyFont="1" applyFill="1" applyBorder="1" applyAlignment="1">
      <alignment horizontal="left"/>
    </xf>
    <xf numFmtId="0" fontId="66" fillId="0" borderId="9" xfId="0" applyFont="1" applyFill="1" applyBorder="1"/>
    <xf numFmtId="0" fontId="66" fillId="0" borderId="21" xfId="0" applyFont="1" applyBorder="1" applyAlignment="1">
      <alignment wrapText="1"/>
    </xf>
    <xf numFmtId="0" fontId="66" fillId="0" borderId="21" xfId="0" applyFont="1" applyBorder="1" applyAlignment="1"/>
    <xf numFmtId="0" fontId="66" fillId="2" borderId="21" xfId="0" applyFont="1" applyFill="1" applyBorder="1" applyAlignment="1">
      <alignment wrapText="1"/>
    </xf>
    <xf numFmtId="0" fontId="85" fillId="0" borderId="21" xfId="60" applyFont="1" applyBorder="1" applyAlignment="1">
      <alignment wrapText="1"/>
    </xf>
    <xf numFmtId="2" fontId="66" fillId="0" borderId="0" xfId="0" applyNumberFormat="1" applyFont="1" applyFill="1" applyBorder="1"/>
    <xf numFmtId="1" fontId="66" fillId="0" borderId="0" xfId="0" applyNumberFormat="1" applyFont="1" applyFill="1" applyBorder="1" applyAlignment="1">
      <alignment horizontal="center"/>
    </xf>
    <xf numFmtId="174" fontId="66" fillId="0" borderId="0" xfId="0" applyNumberFormat="1" applyFont="1" applyFill="1" applyBorder="1" applyAlignment="1">
      <alignment horizontal="left"/>
    </xf>
    <xf numFmtId="0" fontId="66" fillId="0" borderId="0" xfId="9" applyNumberFormat="1" applyFont="1" applyFill="1" applyBorder="1" applyAlignment="1"/>
    <xf numFmtId="2" fontId="66" fillId="0" borderId="0" xfId="0" applyNumberFormat="1" applyFont="1" applyFill="1" applyBorder="1" applyAlignment="1">
      <alignment horizontal="right"/>
    </xf>
    <xf numFmtId="1" fontId="85" fillId="0" borderId="0" xfId="0" applyNumberFormat="1" applyFont="1" applyFill="1" applyBorder="1" applyAlignment="1">
      <alignment horizontal="center"/>
    </xf>
    <xf numFmtId="43" fontId="68" fillId="0" borderId="0" xfId="9" applyNumberFormat="1" applyFont="1" applyFill="1" applyBorder="1" applyAlignment="1">
      <alignment horizontal="center"/>
    </xf>
    <xf numFmtId="167" fontId="68" fillId="0" borderId="0" xfId="9" applyFont="1" applyFill="1" applyBorder="1" applyAlignment="1">
      <alignment horizontal="center"/>
    </xf>
    <xf numFmtId="2" fontId="68" fillId="0" borderId="0" xfId="9" applyNumberFormat="1" applyFont="1" applyFill="1" applyBorder="1" applyAlignment="1">
      <alignment horizontal="center"/>
    </xf>
    <xf numFmtId="0" fontId="66" fillId="0" borderId="0" xfId="0" applyFont="1" applyBorder="1"/>
    <xf numFmtId="0" fontId="66" fillId="0" borderId="0" xfId="0" applyFont="1" applyFill="1" applyBorder="1" applyAlignment="1"/>
    <xf numFmtId="0" fontId="85" fillId="0" borderId="0" xfId="0" applyFont="1" applyFill="1" applyBorder="1"/>
    <xf numFmtId="0" fontId="85" fillId="0" borderId="0" xfId="0" applyFont="1"/>
    <xf numFmtId="0" fontId="68" fillId="0" borderId="0" xfId="14" applyFont="1" applyFill="1" applyAlignment="1" applyProtection="1">
      <protection hidden="1"/>
    </xf>
    <xf numFmtId="0" fontId="71" fillId="0" borderId="0" xfId="0" applyFont="1" applyAlignment="1">
      <alignment horizontal="center"/>
    </xf>
    <xf numFmtId="0" fontId="66" fillId="0" borderId="0" xfId="0" applyFont="1" applyFill="1" applyAlignment="1">
      <alignment vertical="center"/>
    </xf>
    <xf numFmtId="0" fontId="66" fillId="0" borderId="0" xfId="14" applyFont="1" applyFill="1" applyAlignment="1" applyProtection="1">
      <alignment vertical="center"/>
      <protection hidden="1"/>
    </xf>
    <xf numFmtId="2" fontId="66" fillId="0" borderId="0" xfId="0" applyNumberFormat="1" applyFont="1" applyFill="1" applyAlignment="1">
      <alignment vertical="center"/>
    </xf>
    <xf numFmtId="2" fontId="66" fillId="0" borderId="0" xfId="14" applyNumberFormat="1" applyFont="1" applyFill="1" applyAlignment="1" applyProtection="1">
      <alignment vertical="center"/>
      <protection hidden="1"/>
    </xf>
    <xf numFmtId="2" fontId="71" fillId="0" borderId="0" xfId="0" applyNumberFormat="1" applyFont="1" applyFill="1" applyBorder="1" applyAlignment="1">
      <alignment horizontal="center"/>
    </xf>
    <xf numFmtId="2" fontId="66" fillId="0" borderId="0" xfId="14" applyNumberFormat="1" applyFont="1" applyFill="1" applyBorder="1" applyAlignment="1" applyProtection="1">
      <alignment vertical="center"/>
      <protection hidden="1"/>
    </xf>
    <xf numFmtId="2" fontId="77" fillId="0" borderId="0" xfId="14" applyNumberFormat="1" applyFont="1" applyFill="1" applyBorder="1" applyAlignment="1" applyProtection="1">
      <alignment vertical="center"/>
      <protection locked="0"/>
    </xf>
    <xf numFmtId="2" fontId="66" fillId="0" borderId="3" xfId="12" applyNumberFormat="1" applyFont="1" applyFill="1" applyBorder="1" applyProtection="1">
      <protection hidden="1"/>
    </xf>
    <xf numFmtId="2" fontId="66" fillId="0" borderId="5" xfId="12" applyNumberFormat="1" applyFont="1" applyFill="1" applyBorder="1" applyProtection="1">
      <protection hidden="1"/>
    </xf>
    <xf numFmtId="0" fontId="66" fillId="0" borderId="7" xfId="0" applyFont="1" applyBorder="1"/>
    <xf numFmtId="2" fontId="66" fillId="0" borderId="7" xfId="12" applyNumberFormat="1" applyFont="1" applyFill="1" applyBorder="1" applyProtection="1">
      <protection hidden="1"/>
    </xf>
    <xf numFmtId="0" fontId="66" fillId="0" borderId="5" xfId="0" applyFont="1" applyFill="1" applyBorder="1"/>
    <xf numFmtId="177" fontId="66" fillId="2" borderId="0" xfId="12" applyNumberFormat="1" applyFont="1" applyFill="1" applyBorder="1" applyAlignment="1" applyProtection="1">
      <alignment vertical="center"/>
      <protection hidden="1"/>
    </xf>
    <xf numFmtId="0" fontId="71" fillId="0" borderId="5" xfId="0" applyFont="1" applyFill="1" applyBorder="1"/>
    <xf numFmtId="0" fontId="71" fillId="0" borderId="7" xfId="0" applyFont="1" applyFill="1" applyBorder="1"/>
    <xf numFmtId="177" fontId="71" fillId="0" borderId="1" xfId="12" applyNumberFormat="1" applyFont="1" applyFill="1" applyBorder="1" applyAlignment="1" applyProtection="1">
      <alignment vertical="center"/>
      <protection hidden="1"/>
    </xf>
    <xf numFmtId="177" fontId="66" fillId="0" borderId="1" xfId="12" applyNumberFormat="1" applyFont="1" applyFill="1" applyBorder="1" applyAlignment="1" applyProtection="1">
      <alignment vertical="center"/>
      <protection hidden="1"/>
    </xf>
    <xf numFmtId="10" fontId="71" fillId="0" borderId="7" xfId="0" applyNumberFormat="1" applyFont="1" applyFill="1" applyBorder="1" applyAlignment="1"/>
    <xf numFmtId="0" fontId="65" fillId="0" borderId="3" xfId="14" applyFont="1" applyFill="1" applyBorder="1" applyAlignment="1" applyProtection="1">
      <alignment horizontal="left" vertical="center"/>
      <protection hidden="1"/>
    </xf>
    <xf numFmtId="2" fontId="71" fillId="0" borderId="1" xfId="12" applyNumberFormat="1" applyFont="1" applyFill="1" applyBorder="1" applyAlignment="1" applyProtection="1">
      <alignment horizontal="center"/>
      <protection hidden="1"/>
    </xf>
    <xf numFmtId="179" fontId="70" fillId="0" borderId="1" xfId="14" applyNumberFormat="1" applyFont="1" applyFill="1" applyBorder="1" applyAlignment="1" applyProtection="1">
      <alignment horizontal="left" vertical="center"/>
      <protection hidden="1"/>
    </xf>
    <xf numFmtId="179" fontId="70" fillId="0" borderId="11" xfId="14" applyNumberFormat="1" applyFont="1" applyFill="1" applyBorder="1" applyAlignment="1" applyProtection="1">
      <alignment horizontal="left" vertical="center"/>
      <protection hidden="1"/>
    </xf>
    <xf numFmtId="0" fontId="66" fillId="0" borderId="5" xfId="12" applyFont="1" applyFill="1" applyBorder="1" applyAlignment="1" applyProtection="1">
      <alignment vertical="center"/>
      <protection hidden="1"/>
    </xf>
    <xf numFmtId="0" fontId="66" fillId="0" borderId="2" xfId="0" applyFont="1" applyBorder="1"/>
    <xf numFmtId="10" fontId="70" fillId="0" borderId="0" xfId="17" applyNumberFormat="1" applyFont="1" applyFill="1" applyBorder="1" applyAlignment="1" applyProtection="1">
      <alignment horizontal="right" vertical="center"/>
      <protection hidden="1"/>
    </xf>
    <xf numFmtId="0" fontId="66" fillId="0" borderId="6" xfId="0" applyFont="1" applyBorder="1"/>
    <xf numFmtId="181" fontId="66" fillId="0" borderId="0" xfId="12" applyNumberFormat="1" applyFont="1" applyFill="1" applyBorder="1" applyProtection="1">
      <protection hidden="1"/>
    </xf>
    <xf numFmtId="10" fontId="65" fillId="0" borderId="0" xfId="17" applyNumberFormat="1" applyFont="1" applyFill="1" applyBorder="1" applyAlignment="1"/>
    <xf numFmtId="179" fontId="66" fillId="0" borderId="0" xfId="14" applyNumberFormat="1" applyFont="1" applyFill="1" applyBorder="1" applyAlignment="1" applyProtection="1">
      <alignment vertical="center"/>
      <protection hidden="1"/>
    </xf>
    <xf numFmtId="0" fontId="70" fillId="0" borderId="1" xfId="14" applyFont="1" applyFill="1" applyBorder="1" applyAlignment="1" applyProtection="1">
      <alignment horizontal="left" vertical="center"/>
      <protection hidden="1"/>
    </xf>
    <xf numFmtId="0" fontId="65" fillId="0" borderId="1" xfId="14" applyFont="1" applyFill="1" applyBorder="1" applyAlignment="1" applyProtection="1">
      <alignment vertical="center"/>
      <protection hidden="1"/>
    </xf>
    <xf numFmtId="0" fontId="66" fillId="0" borderId="1" xfId="0" applyFont="1" applyFill="1" applyBorder="1" applyAlignment="1">
      <alignment vertical="center"/>
    </xf>
    <xf numFmtId="0" fontId="73" fillId="0" borderId="1" xfId="14" applyFont="1" applyFill="1" applyBorder="1" applyAlignment="1" applyProtection="1">
      <alignment vertical="center"/>
      <protection hidden="1"/>
    </xf>
    <xf numFmtId="0" fontId="66" fillId="0" borderId="1" xfId="14" applyFont="1" applyFill="1" applyBorder="1" applyAlignment="1" applyProtection="1">
      <alignment vertical="center"/>
      <protection hidden="1"/>
    </xf>
    <xf numFmtId="10" fontId="70" fillId="0" borderId="1" xfId="17" applyNumberFormat="1" applyFont="1" applyFill="1" applyBorder="1" applyAlignment="1" applyProtection="1">
      <alignment vertical="center"/>
      <protection hidden="1"/>
    </xf>
    <xf numFmtId="0" fontId="64" fillId="0" borderId="0" xfId="0" applyFont="1" applyFill="1" applyAlignment="1">
      <alignment horizontal="left" indent="3"/>
    </xf>
    <xf numFmtId="0" fontId="64" fillId="0" borderId="0" xfId="0" applyFont="1" applyFill="1" applyAlignment="1">
      <alignment horizontal="left" indent="1"/>
    </xf>
    <xf numFmtId="180" fontId="64" fillId="0" borderId="0" xfId="0" applyNumberFormat="1" applyFont="1" applyFill="1"/>
    <xf numFmtId="179" fontId="64" fillId="0" borderId="0" xfId="0" applyNumberFormat="1" applyFont="1" applyFill="1"/>
    <xf numFmtId="2" fontId="88" fillId="61" borderId="5" xfId="14" applyNumberFormat="1" applyFont="1" applyFill="1" applyBorder="1" applyAlignment="1" applyProtection="1">
      <alignment horizontal="left" vertical="center"/>
      <protection hidden="1"/>
    </xf>
    <xf numFmtId="2" fontId="84" fillId="61" borderId="6" xfId="12" applyNumberFormat="1" applyFont="1" applyFill="1" applyBorder="1" applyProtection="1">
      <protection hidden="1"/>
    </xf>
    <xf numFmtId="2" fontId="84" fillId="61" borderId="7" xfId="12" applyNumberFormat="1" applyFont="1" applyFill="1" applyBorder="1" applyProtection="1">
      <protection hidden="1"/>
    </xf>
    <xf numFmtId="0" fontId="88" fillId="61" borderId="5" xfId="14" applyFont="1" applyFill="1" applyBorder="1" applyAlignment="1" applyProtection="1">
      <alignment horizontal="left" vertical="center"/>
      <protection hidden="1"/>
    </xf>
    <xf numFmtId="0" fontId="79" fillId="61" borderId="6" xfId="14" applyFont="1" applyFill="1" applyBorder="1" applyAlignment="1" applyProtection="1">
      <alignment horizontal="left" vertical="center"/>
      <protection hidden="1"/>
    </xf>
    <xf numFmtId="9" fontId="84" fillId="61" borderId="7" xfId="14" applyNumberFormat="1" applyFont="1" applyFill="1" applyBorder="1" applyAlignment="1" applyProtection="1">
      <alignment vertical="center"/>
      <protection hidden="1"/>
    </xf>
    <xf numFmtId="0" fontId="89" fillId="0" borderId="0" xfId="14" applyFont="1" applyFill="1" applyBorder="1" applyAlignment="1" applyProtection="1">
      <protection hidden="1"/>
    </xf>
    <xf numFmtId="0" fontId="89" fillId="0" borderId="0" xfId="14" applyFont="1" applyFill="1" applyBorder="1" applyAlignment="1" applyProtection="1">
      <alignment horizontal="center"/>
      <protection hidden="1"/>
    </xf>
    <xf numFmtId="0" fontId="89" fillId="0" borderId="0" xfId="14" applyFont="1" applyFill="1" applyBorder="1" applyAlignment="1" applyProtection="1">
      <alignment horizontal="right"/>
      <protection hidden="1"/>
    </xf>
    <xf numFmtId="169" fontId="89" fillId="0" borderId="0" xfId="4" applyFont="1" applyFill="1" applyBorder="1" applyAlignment="1" applyProtection="1">
      <alignment horizontal="center"/>
      <protection hidden="1"/>
    </xf>
    <xf numFmtId="2" fontId="77" fillId="0" borderId="0" xfId="0" applyNumberFormat="1" applyFont="1" applyAlignment="1"/>
    <xf numFmtId="0" fontId="90" fillId="0" borderId="0" xfId="0" applyFont="1" applyFill="1" applyBorder="1" applyAlignment="1">
      <alignment horizontal="center" vertical="center"/>
    </xf>
    <xf numFmtId="175" fontId="90" fillId="0" borderId="0" xfId="0" applyNumberFormat="1" applyFont="1" applyFill="1" applyBorder="1" applyAlignment="1">
      <alignment horizontal="center" vertical="center"/>
    </xf>
    <xf numFmtId="1" fontId="78" fillId="0" borderId="0" xfId="0" applyNumberFormat="1" applyFont="1" applyAlignment="1">
      <alignment horizontal="left"/>
    </xf>
    <xf numFmtId="2" fontId="91" fillId="0" borderId="0" xfId="14" applyNumberFormat="1" applyFont="1" applyFill="1" applyBorder="1" applyAlignment="1" applyProtection="1">
      <alignment horizontal="right"/>
      <protection hidden="1"/>
    </xf>
    <xf numFmtId="2" fontId="91" fillId="0" borderId="0" xfId="14" applyNumberFormat="1" applyFont="1" applyFill="1" applyBorder="1" applyAlignment="1" applyProtection="1">
      <alignment horizontal="center"/>
      <protection hidden="1"/>
    </xf>
    <xf numFmtId="0" fontId="66" fillId="0" borderId="0" xfId="0" applyFont="1" applyAlignment="1">
      <alignment vertical="top" wrapText="1"/>
    </xf>
    <xf numFmtId="2" fontId="72" fillId="0" borderId="0" xfId="0" applyNumberFormat="1" applyFont="1" applyFill="1" applyBorder="1" applyAlignment="1">
      <alignment horizontal="center" vertical="center"/>
    </xf>
    <xf numFmtId="175" fontId="72" fillId="0" borderId="0" xfId="0" applyNumberFormat="1" applyFont="1" applyFill="1" applyBorder="1" applyAlignment="1">
      <alignment horizontal="center" vertical="center"/>
    </xf>
    <xf numFmtId="2" fontId="91" fillId="0" borderId="0" xfId="14" applyNumberFormat="1" applyFont="1" applyFill="1" applyBorder="1" applyAlignment="1" applyProtection="1">
      <alignment horizontal="center" wrapText="1"/>
      <protection hidden="1"/>
    </xf>
    <xf numFmtId="0" fontId="66" fillId="0" borderId="0" xfId="0" applyFont="1" applyAlignment="1">
      <alignment horizontal="center" wrapText="1"/>
    </xf>
    <xf numFmtId="2" fontId="66" fillId="0" borderId="5" xfId="14" applyNumberFormat="1" applyFont="1" applyFill="1" applyBorder="1" applyAlignment="1" applyProtection="1">
      <protection hidden="1"/>
    </xf>
    <xf numFmtId="2" fontId="92" fillId="0" borderId="6" xfId="4" applyNumberFormat="1" applyFont="1" applyFill="1" applyBorder="1" applyAlignment="1" applyProtection="1">
      <alignment horizontal="center" vertical="center"/>
      <protection hidden="1"/>
    </xf>
    <xf numFmtId="2" fontId="92" fillId="0" borderId="7" xfId="4" applyNumberFormat="1" applyFont="1" applyFill="1" applyBorder="1" applyAlignment="1" applyProtection="1">
      <alignment horizontal="right" vertical="center"/>
      <protection hidden="1"/>
    </xf>
    <xf numFmtId="2" fontId="70" fillId="0" borderId="1" xfId="4" applyNumberFormat="1" applyFont="1" applyFill="1" applyBorder="1" applyAlignment="1" applyProtection="1">
      <protection hidden="1"/>
    </xf>
    <xf numFmtId="175" fontId="72" fillId="0" borderId="8" xfId="0" applyNumberFormat="1" applyFont="1" applyFill="1" applyBorder="1" applyAlignment="1">
      <alignment horizontal="center" vertical="center"/>
    </xf>
    <xf numFmtId="1" fontId="71" fillId="0" borderId="1" xfId="14" applyNumberFormat="1" applyFont="1" applyFill="1" applyBorder="1" applyAlignment="1" applyProtection="1">
      <alignment horizontal="center"/>
      <protection hidden="1"/>
    </xf>
    <xf numFmtId="2" fontId="93" fillId="0" borderId="6" xfId="4" applyNumberFormat="1" applyFont="1" applyFill="1" applyBorder="1" applyAlignment="1" applyProtection="1">
      <alignment horizontal="left" vertical="center"/>
      <protection hidden="1"/>
    </xf>
    <xf numFmtId="2" fontId="89" fillId="0" borderId="7" xfId="4" applyNumberFormat="1" applyFont="1" applyFill="1" applyBorder="1" applyAlignment="1" applyProtection="1">
      <alignment horizontal="right" vertical="center"/>
      <protection hidden="1"/>
    </xf>
    <xf numFmtId="169" fontId="70" fillId="35" borderId="1" xfId="4" applyFont="1" applyFill="1" applyBorder="1" applyAlignment="1" applyProtection="1">
      <protection locked="0"/>
    </xf>
    <xf numFmtId="175" fontId="72" fillId="0" borderId="10" xfId="0" applyNumberFormat="1" applyFont="1" applyFill="1" applyBorder="1" applyAlignment="1">
      <alignment horizontal="center" vertical="center"/>
    </xf>
    <xf numFmtId="2" fontId="94" fillId="0" borderId="6" xfId="14" applyNumberFormat="1" applyFont="1" applyFill="1" applyBorder="1" applyAlignment="1" applyProtection="1">
      <protection hidden="1"/>
    </xf>
    <xf numFmtId="10" fontId="95" fillId="0" borderId="7" xfId="17" applyNumberFormat="1" applyFont="1" applyFill="1" applyBorder="1" applyAlignment="1" applyProtection="1">
      <alignment horizontal="right"/>
      <protection hidden="1"/>
    </xf>
    <xf numFmtId="0" fontId="66" fillId="0" borderId="5" xfId="14" applyFont="1" applyFill="1" applyBorder="1" applyAlignment="1" applyProtection="1">
      <protection hidden="1"/>
    </xf>
    <xf numFmtId="0" fontId="94" fillId="0" borderId="6" xfId="14" applyFont="1" applyFill="1" applyBorder="1" applyAlignment="1" applyProtection="1">
      <protection hidden="1"/>
    </xf>
    <xf numFmtId="0" fontId="94" fillId="0" borderId="7" xfId="14" applyFont="1" applyFill="1" applyBorder="1" applyAlignment="1" applyProtection="1">
      <alignment horizontal="right"/>
      <protection hidden="1"/>
    </xf>
    <xf numFmtId="169" fontId="70" fillId="0" borderId="1" xfId="4" applyFont="1" applyFill="1" applyBorder="1" applyAlignment="1" applyProtection="1">
      <protection locked="0"/>
    </xf>
    <xf numFmtId="0" fontId="95" fillId="0" borderId="6" xfId="14" applyFont="1" applyFill="1" applyBorder="1" applyAlignment="1" applyProtection="1">
      <alignment horizontal="right"/>
      <protection hidden="1"/>
    </xf>
    <xf numFmtId="0" fontId="95" fillId="0" borderId="7" xfId="14" applyFont="1" applyFill="1" applyBorder="1" applyAlignment="1" applyProtection="1">
      <alignment horizontal="right"/>
      <protection hidden="1"/>
    </xf>
    <xf numFmtId="169" fontId="70" fillId="0" borderId="1" xfId="4" applyFont="1" applyFill="1" applyBorder="1" applyAlignment="1" applyProtection="1">
      <protection hidden="1"/>
    </xf>
    <xf numFmtId="0" fontId="70" fillId="0" borderId="5" xfId="14" applyNumberFormat="1" applyFont="1" applyFill="1" applyBorder="1" applyAlignment="1" applyProtection="1">
      <protection hidden="1"/>
    </xf>
    <xf numFmtId="10" fontId="95" fillId="0" borderId="6" xfId="14" applyNumberFormat="1" applyFont="1" applyFill="1" applyBorder="1" applyAlignment="1" applyProtection="1">
      <alignment horizontal="right"/>
      <protection hidden="1"/>
    </xf>
    <xf numFmtId="0" fontId="94" fillId="0" borderId="6" xfId="14" applyFont="1" applyFill="1" applyBorder="1" applyAlignment="1" applyProtection="1">
      <alignment horizontal="center"/>
      <protection hidden="1"/>
    </xf>
    <xf numFmtId="175" fontId="96" fillId="0" borderId="1" xfId="17" applyNumberFormat="1" applyFont="1" applyFill="1" applyBorder="1" applyAlignment="1" applyProtection="1">
      <alignment horizontal="center"/>
      <protection hidden="1"/>
    </xf>
    <xf numFmtId="0" fontId="97" fillId="0" borderId="5" xfId="14" applyNumberFormat="1" applyFont="1" applyFill="1" applyBorder="1" applyAlignment="1" applyProtection="1">
      <protection hidden="1"/>
    </xf>
    <xf numFmtId="2" fontId="98" fillId="0" borderId="0" xfId="14" applyNumberFormat="1" applyFont="1" applyFill="1" applyBorder="1" applyAlignment="1" applyProtection="1">
      <alignment horizontal="center"/>
      <protection hidden="1"/>
    </xf>
    <xf numFmtId="175" fontId="68" fillId="0" borderId="10" xfId="0" applyNumberFormat="1" applyFont="1" applyFill="1" applyBorder="1" applyAlignment="1">
      <alignment horizontal="center" vertical="center"/>
    </xf>
    <xf numFmtId="0" fontId="68" fillId="0" borderId="0" xfId="0" applyFont="1" applyFill="1"/>
    <xf numFmtId="175" fontId="94" fillId="0" borderId="7" xfId="17" applyNumberFormat="1" applyFont="1" applyFill="1" applyBorder="1" applyAlignment="1" applyProtection="1">
      <alignment horizontal="right"/>
      <protection hidden="1"/>
    </xf>
    <xf numFmtId="169" fontId="94" fillId="0" borderId="6" xfId="14" applyNumberFormat="1" applyFont="1" applyFill="1" applyBorder="1" applyAlignment="1" applyProtection="1">
      <alignment horizontal="center"/>
      <protection hidden="1"/>
    </xf>
    <xf numFmtId="165" fontId="94" fillId="0" borderId="6" xfId="14" applyNumberFormat="1" applyFont="1" applyFill="1" applyBorder="1" applyAlignment="1" applyProtection="1">
      <alignment horizontal="center"/>
      <protection hidden="1"/>
    </xf>
    <xf numFmtId="167" fontId="94" fillId="0" borderId="7" xfId="9" applyFont="1" applyFill="1" applyBorder="1" applyAlignment="1" applyProtection="1">
      <alignment horizontal="right"/>
      <protection hidden="1"/>
    </xf>
    <xf numFmtId="0" fontId="71" fillId="0" borderId="1" xfId="0" applyFont="1" applyBorder="1"/>
    <xf numFmtId="10" fontId="94" fillId="0" borderId="7" xfId="17" applyNumberFormat="1" applyFont="1" applyFill="1" applyBorder="1" applyAlignment="1" applyProtection="1">
      <alignment horizontal="right"/>
      <protection hidden="1"/>
    </xf>
    <xf numFmtId="175" fontId="66" fillId="0" borderId="10" xfId="0" applyNumberFormat="1" applyFont="1" applyBorder="1"/>
    <xf numFmtId="169" fontId="94" fillId="0" borderId="7" xfId="14" applyNumberFormat="1" applyFont="1" applyFill="1" applyBorder="1" applyAlignment="1" applyProtection="1">
      <alignment horizontal="right"/>
      <protection hidden="1"/>
    </xf>
    <xf numFmtId="0" fontId="99" fillId="0" borderId="0" xfId="0" applyFont="1" applyFill="1" applyBorder="1"/>
    <xf numFmtId="0" fontId="99" fillId="0" borderId="8" xfId="0" applyFont="1" applyFill="1" applyBorder="1" applyAlignment="1">
      <alignment horizontal="right"/>
    </xf>
    <xf numFmtId="175" fontId="66" fillId="0" borderId="0" xfId="0" applyNumberFormat="1" applyFont="1" applyFill="1" applyBorder="1"/>
    <xf numFmtId="0" fontId="74" fillId="0" borderId="5" xfId="14" applyFont="1" applyFill="1" applyBorder="1" applyAlignment="1" applyProtection="1">
      <protection hidden="1"/>
    </xf>
    <xf numFmtId="169" fontId="95" fillId="0" borderId="6" xfId="14" applyNumberFormat="1" applyFont="1" applyFill="1" applyBorder="1" applyAlignment="1" applyProtection="1">
      <protection hidden="1"/>
    </xf>
    <xf numFmtId="169" fontId="95" fillId="0" borderId="7" xfId="14" applyNumberFormat="1" applyFont="1" applyFill="1" applyBorder="1" applyAlignment="1" applyProtection="1">
      <alignment horizontal="right"/>
      <protection hidden="1"/>
    </xf>
    <xf numFmtId="179" fontId="74" fillId="0" borderId="1" xfId="6" applyNumberFormat="1" applyFont="1" applyFill="1" applyBorder="1" applyAlignment="1" applyProtection="1">
      <protection hidden="1"/>
    </xf>
    <xf numFmtId="179" fontId="68" fillId="0" borderId="0" xfId="0" applyNumberFormat="1" applyFont="1" applyFill="1" applyAlignment="1"/>
    <xf numFmtId="0" fontId="68" fillId="0" borderId="0" xfId="0" applyFont="1" applyFill="1" applyBorder="1" applyAlignment="1"/>
    <xf numFmtId="0" fontId="95" fillId="0" borderId="0" xfId="0" applyFont="1" applyFill="1" applyBorder="1" applyAlignment="1"/>
    <xf numFmtId="0" fontId="95" fillId="0" borderId="10" xfId="0" applyFont="1" applyFill="1" applyBorder="1" applyAlignment="1">
      <alignment horizontal="right"/>
    </xf>
    <xf numFmtId="0" fontId="68" fillId="0" borderId="0" xfId="0" applyFont="1" applyFill="1" applyAlignment="1"/>
    <xf numFmtId="0" fontId="95" fillId="0" borderId="0" xfId="0" applyFont="1"/>
    <xf numFmtId="0" fontId="95" fillId="0" borderId="0" xfId="0" applyFont="1" applyAlignment="1">
      <alignment horizontal="right"/>
    </xf>
    <xf numFmtId="175" fontId="68" fillId="0" borderId="0" xfId="0" applyNumberFormat="1" applyFont="1"/>
    <xf numFmtId="0" fontId="68" fillId="0" borderId="0" xfId="0" applyFont="1" applyAlignment="1">
      <alignment horizontal="right"/>
    </xf>
    <xf numFmtId="2" fontId="81" fillId="0" borderId="0" xfId="0" applyNumberFormat="1" applyFont="1" applyAlignment="1"/>
    <xf numFmtId="2" fontId="82" fillId="0" borderId="0" xfId="0" applyNumberFormat="1" applyFont="1"/>
    <xf numFmtId="0" fontId="100" fillId="0" borderId="0" xfId="14" applyFont="1" applyFill="1" applyBorder="1" applyAlignment="1" applyProtection="1">
      <alignment horizontal="right"/>
      <protection hidden="1"/>
    </xf>
    <xf numFmtId="1" fontId="82" fillId="0" borderId="0" xfId="0" applyNumberFormat="1" applyFont="1" applyAlignment="1">
      <alignment horizontal="left"/>
    </xf>
    <xf numFmtId="2" fontId="100" fillId="0" borderId="0" xfId="14" applyNumberFormat="1" applyFont="1" applyFill="1" applyBorder="1" applyAlignment="1" applyProtection="1">
      <alignment horizontal="right"/>
      <protection hidden="1"/>
    </xf>
    <xf numFmtId="2" fontId="79" fillId="61" borderId="5" xfId="14" applyNumberFormat="1" applyFont="1" applyFill="1" applyBorder="1" applyAlignment="1" applyProtection="1">
      <alignment horizontal="left" vertical="center" wrapText="1"/>
      <protection hidden="1"/>
    </xf>
    <xf numFmtId="2" fontId="102" fillId="61" borderId="6" xfId="14" applyNumberFormat="1" applyFont="1" applyFill="1" applyBorder="1" applyAlignment="1" applyProtection="1">
      <alignment horizontal="center" wrapText="1"/>
      <protection hidden="1"/>
    </xf>
    <xf numFmtId="2" fontId="102" fillId="61" borderId="7" xfId="14" applyNumberFormat="1" applyFont="1" applyFill="1" applyBorder="1" applyAlignment="1" applyProtection="1">
      <alignment horizontal="right" wrapText="1"/>
      <protection hidden="1"/>
    </xf>
    <xf numFmtId="2" fontId="102" fillId="61" borderId="5" xfId="14" applyNumberFormat="1" applyFont="1" applyFill="1" applyBorder="1" applyAlignment="1" applyProtection="1">
      <alignment horizontal="left" vertical="center" wrapText="1"/>
      <protection hidden="1"/>
    </xf>
    <xf numFmtId="0" fontId="104" fillId="0" borderId="6" xfId="14" applyFont="1" applyFill="1" applyBorder="1" applyAlignment="1" applyProtection="1">
      <alignment horizontal="center"/>
      <protection hidden="1"/>
    </xf>
    <xf numFmtId="9" fontId="71" fillId="61" borderId="1" xfId="66" applyFont="1" applyFill="1" applyBorder="1" applyAlignment="1">
      <alignment horizontal="center"/>
    </xf>
    <xf numFmtId="169" fontId="104" fillId="0" borderId="6" xfId="14" applyNumberFormat="1" applyFont="1" applyFill="1" applyBorder="1" applyAlignment="1" applyProtection="1">
      <protection hidden="1"/>
    </xf>
    <xf numFmtId="0" fontId="69" fillId="0" borderId="0" xfId="0" applyFont="1"/>
    <xf numFmtId="0" fontId="66" fillId="0" borderId="1" xfId="0" applyFont="1" applyBorder="1"/>
    <xf numFmtId="0" fontId="66" fillId="0" borderId="1" xfId="0" applyFont="1" applyBorder="1" applyAlignment="1">
      <alignment horizontal="center"/>
    </xf>
    <xf numFmtId="0" fontId="71" fillId="0" borderId="6" xfId="0" applyFont="1" applyBorder="1"/>
    <xf numFmtId="0" fontId="99" fillId="0" borderId="0" xfId="11" applyFont="1" applyBorder="1" applyAlignment="1"/>
    <xf numFmtId="0" fontId="99" fillId="0" borderId="0" xfId="11" applyFont="1" applyFill="1" applyBorder="1"/>
    <xf numFmtId="179" fontId="99" fillId="0" borderId="0" xfId="11" applyNumberFormat="1" applyFont="1" applyFill="1" applyBorder="1"/>
    <xf numFmtId="2" fontId="99" fillId="0" borderId="0" xfId="11" applyNumberFormat="1" applyFont="1" applyFill="1"/>
    <xf numFmtId="2" fontId="77" fillId="0" borderId="0" xfId="11" applyNumberFormat="1" applyFont="1" applyFill="1" applyBorder="1" applyAlignment="1">
      <alignment vertical="center"/>
    </xf>
    <xf numFmtId="2" fontId="77" fillId="0" borderId="0" xfId="11" applyNumberFormat="1" applyFont="1" applyFill="1" applyBorder="1" applyAlignment="1">
      <alignment horizontal="right" vertical="center"/>
    </xf>
    <xf numFmtId="2" fontId="78" fillId="0" borderId="0" xfId="11" applyNumberFormat="1" applyFont="1" applyFill="1" applyBorder="1" applyAlignment="1">
      <alignment vertical="center"/>
    </xf>
    <xf numFmtId="0" fontId="72" fillId="0" borderId="0" xfId="15" applyFont="1" applyFill="1" applyBorder="1"/>
    <xf numFmtId="2" fontId="72" fillId="0" borderId="0" xfId="15" applyNumberFormat="1" applyFont="1" applyFill="1" applyBorder="1"/>
    <xf numFmtId="0" fontId="66" fillId="0" borderId="1" xfId="11" applyFont="1" applyFill="1" applyBorder="1"/>
    <xf numFmtId="0" fontId="66" fillId="0" borderId="0" xfId="11" applyFont="1" applyFill="1" applyBorder="1" applyAlignment="1"/>
    <xf numFmtId="0" fontId="99" fillId="0" borderId="0" xfId="11" applyFont="1" applyFill="1" applyBorder="1" applyAlignment="1"/>
    <xf numFmtId="0" fontId="66" fillId="0" borderId="1" xfId="11" applyFont="1" applyFill="1" applyBorder="1" applyAlignment="1"/>
    <xf numFmtId="0" fontId="66" fillId="0" borderId="6" xfId="11" applyFont="1" applyFill="1" applyBorder="1" applyAlignment="1"/>
    <xf numFmtId="0" fontId="66" fillId="0" borderId="2" xfId="11" applyFont="1" applyFill="1" applyBorder="1" applyAlignment="1"/>
    <xf numFmtId="0" fontId="66" fillId="0" borderId="0" xfId="0" applyFont="1" applyAlignment="1">
      <alignment horizontal="left" vertical="center" indent="6"/>
    </xf>
    <xf numFmtId="0" fontId="66" fillId="0" borderId="5" xfId="10" applyFont="1" applyFill="1" applyBorder="1" applyAlignment="1" applyProtection="1">
      <alignment horizontal="left"/>
      <protection hidden="1"/>
    </xf>
    <xf numFmtId="0" fontId="66" fillId="0" borderId="7" xfId="10" applyFont="1" applyFill="1" applyBorder="1" applyAlignment="1" applyProtection="1">
      <alignment horizontal="left"/>
      <protection hidden="1"/>
    </xf>
    <xf numFmtId="0" fontId="66" fillId="0" borderId="1" xfId="10" applyFont="1" applyFill="1" applyBorder="1" applyAlignment="1" applyProtection="1">
      <alignment horizontal="left"/>
      <protection hidden="1"/>
    </xf>
    <xf numFmtId="0" fontId="66" fillId="0" borderId="1" xfId="10" applyFont="1" applyFill="1" applyBorder="1" applyAlignment="1" applyProtection="1">
      <alignment horizontal="center"/>
      <protection hidden="1"/>
    </xf>
    <xf numFmtId="0" fontId="66" fillId="0" borderId="1" xfId="10" applyNumberFormat="1" applyFont="1" applyFill="1" applyBorder="1" applyAlignment="1" applyProtection="1">
      <alignment horizontal="left"/>
      <protection hidden="1"/>
    </xf>
    <xf numFmtId="0" fontId="71" fillId="0" borderId="0" xfId="10" applyNumberFormat="1" applyFont="1" applyFill="1" applyBorder="1" applyAlignment="1" applyProtection="1">
      <alignment horizontal="left" vertical="center"/>
      <protection hidden="1"/>
    </xf>
    <xf numFmtId="0" fontId="66" fillId="0" borderId="5" xfId="10" applyFont="1" applyFill="1" applyBorder="1" applyAlignment="1" applyProtection="1">
      <alignment horizontal="left" vertical="top"/>
      <protection hidden="1"/>
    </xf>
    <xf numFmtId="0" fontId="66" fillId="0" borderId="6" xfId="10" applyFont="1" applyFill="1" applyBorder="1" applyAlignment="1" applyProtection="1">
      <alignment horizontal="left" vertical="top"/>
      <protection hidden="1"/>
    </xf>
    <xf numFmtId="0" fontId="66" fillId="0" borderId="7" xfId="10" applyFont="1" applyFill="1" applyBorder="1" applyAlignment="1" applyProtection="1">
      <alignment horizontal="center" vertical="top"/>
      <protection hidden="1"/>
    </xf>
    <xf numFmtId="0" fontId="66" fillId="0" borderId="0" xfId="10" applyNumberFormat="1" applyFont="1" applyFill="1" applyBorder="1" applyAlignment="1" applyProtection="1">
      <alignment horizontal="center"/>
      <protection hidden="1"/>
    </xf>
    <xf numFmtId="0" fontId="66" fillId="0" borderId="0" xfId="10" applyFont="1" applyFill="1" applyBorder="1" applyAlignment="1" applyProtection="1">
      <alignment horizontal="left"/>
      <protection hidden="1"/>
    </xf>
    <xf numFmtId="0" fontId="66" fillId="0" borderId="0" xfId="10" applyFont="1" applyFill="1" applyBorder="1" applyAlignment="1" applyProtection="1">
      <alignment horizontal="center"/>
      <protection hidden="1"/>
    </xf>
    <xf numFmtId="0" fontId="66" fillId="0" borderId="1" xfId="10" applyFont="1" applyFill="1" applyBorder="1" applyAlignment="1" applyProtection="1">
      <alignment horizontal="left" vertical="center"/>
      <protection hidden="1"/>
    </xf>
    <xf numFmtId="0" fontId="66" fillId="0" borderId="5" xfId="10" applyFont="1" applyFill="1" applyBorder="1" applyAlignment="1" applyProtection="1">
      <alignment horizontal="left" vertical="center"/>
      <protection hidden="1"/>
    </xf>
    <xf numFmtId="0" fontId="66" fillId="0" borderId="1" xfId="10" applyFont="1" applyFill="1" applyBorder="1" applyAlignment="1" applyProtection="1">
      <alignment horizontal="left" wrapText="1"/>
      <protection hidden="1"/>
    </xf>
    <xf numFmtId="0" fontId="66" fillId="0" borderId="7" xfId="10" applyFont="1" applyFill="1" applyBorder="1" applyAlignment="1" applyProtection="1">
      <alignment horizontal="left" wrapText="1"/>
      <protection hidden="1"/>
    </xf>
    <xf numFmtId="0" fontId="66" fillId="0" borderId="1" xfId="10" applyFont="1" applyFill="1" applyBorder="1" applyAlignment="1" applyProtection="1">
      <alignment horizontal="right"/>
      <protection hidden="1"/>
    </xf>
    <xf numFmtId="0" fontId="66" fillId="0" borderId="1" xfId="10" applyNumberFormat="1" applyFont="1" applyFill="1" applyBorder="1" applyAlignment="1" applyProtection="1">
      <alignment horizontal="left" vertical="center"/>
      <protection hidden="1"/>
    </xf>
    <xf numFmtId="0" fontId="66" fillId="0" borderId="1" xfId="10" applyFont="1" applyFill="1" applyBorder="1" applyAlignment="1" applyProtection="1">
      <alignment horizontal="center" wrapText="1"/>
      <protection hidden="1"/>
    </xf>
    <xf numFmtId="0" fontId="101" fillId="0" borderId="0" xfId="10" applyNumberFormat="1" applyFont="1" applyFill="1" applyBorder="1" applyAlignment="1" applyProtection="1">
      <alignment horizontal="left" vertical="center"/>
      <protection hidden="1"/>
    </xf>
    <xf numFmtId="0" fontId="79" fillId="61" borderId="5" xfId="10" applyNumberFormat="1" applyFont="1" applyFill="1" applyBorder="1" applyAlignment="1" applyProtection="1">
      <alignment horizontal="left" vertical="center"/>
      <protection hidden="1"/>
    </xf>
    <xf numFmtId="0" fontId="84" fillId="61" borderId="6" xfId="11" applyFont="1" applyFill="1" applyBorder="1"/>
    <xf numFmtId="0" fontId="103" fillId="61" borderId="6" xfId="11" applyFont="1" applyFill="1" applyBorder="1"/>
    <xf numFmtId="0" fontId="103" fillId="61" borderId="7" xfId="11" applyFont="1" applyFill="1" applyBorder="1"/>
    <xf numFmtId="0" fontId="84" fillId="61" borderId="6" xfId="11" applyFont="1" applyFill="1" applyBorder="1" applyAlignment="1"/>
    <xf numFmtId="0" fontId="84" fillId="61" borderId="7" xfId="11" applyFont="1" applyFill="1" applyBorder="1" applyAlignment="1"/>
    <xf numFmtId="0" fontId="79" fillId="61" borderId="5" xfId="10" applyNumberFormat="1" applyFont="1" applyFill="1" applyBorder="1" applyAlignment="1" applyProtection="1">
      <alignment vertical="center"/>
      <protection hidden="1"/>
    </xf>
    <xf numFmtId="0" fontId="79" fillId="61" borderId="6" xfId="10" applyNumberFormat="1" applyFont="1" applyFill="1" applyBorder="1" applyAlignment="1" applyProtection="1">
      <alignment vertical="center"/>
      <protection hidden="1"/>
    </xf>
    <xf numFmtId="0" fontId="68" fillId="0" borderId="0" xfId="14" applyFont="1" applyFill="1" applyAlignment="1" applyProtection="1">
      <alignment horizontal="center"/>
      <protection hidden="1"/>
    </xf>
    <xf numFmtId="173" fontId="66" fillId="0" borderId="0" xfId="9" applyNumberFormat="1" applyFont="1" applyFill="1" applyAlignment="1" applyProtection="1">
      <protection hidden="1"/>
    </xf>
    <xf numFmtId="0" fontId="66" fillId="0" borderId="0" xfId="85" applyFont="1"/>
    <xf numFmtId="0" fontId="67" fillId="0" borderId="0" xfId="14" applyFont="1" applyFill="1" applyBorder="1" applyAlignment="1" applyProtection="1">
      <protection hidden="1"/>
    </xf>
    <xf numFmtId="0" fontId="66" fillId="0" borderId="1" xfId="104" applyFont="1" applyBorder="1" applyAlignment="1">
      <alignment vertical="top" wrapText="1"/>
    </xf>
    <xf numFmtId="175" fontId="67" fillId="0" borderId="0" xfId="4" applyNumberFormat="1" applyFont="1" applyFill="1" applyBorder="1" applyAlignment="1" applyProtection="1">
      <alignment horizontal="center"/>
      <protection hidden="1"/>
    </xf>
    <xf numFmtId="169" fontId="67" fillId="0" borderId="0" xfId="4" applyFont="1" applyFill="1" applyBorder="1" applyAlignment="1" applyProtection="1">
      <alignment horizontal="center"/>
      <protection hidden="1"/>
    </xf>
    <xf numFmtId="0" fontId="67" fillId="0" borderId="0" xfId="14" applyFont="1" applyFill="1" applyBorder="1" applyAlignment="1" applyProtection="1">
      <alignment horizontal="center"/>
      <protection hidden="1"/>
    </xf>
    <xf numFmtId="0" fontId="66" fillId="0" borderId="0" xfId="85" applyFont="1" applyFill="1" applyBorder="1" applyAlignment="1">
      <alignment horizontal="center" vertical="center"/>
    </xf>
    <xf numFmtId="175" fontId="66" fillId="0" borderId="0" xfId="85" applyNumberFormat="1" applyFont="1" applyFill="1" applyBorder="1" applyAlignment="1">
      <alignment horizontal="center" vertical="center"/>
    </xf>
    <xf numFmtId="0" fontId="66" fillId="0" borderId="0" xfId="85" applyFont="1" applyFill="1" applyBorder="1"/>
    <xf numFmtId="2" fontId="77" fillId="0" borderId="0" xfId="85" applyNumberFormat="1" applyFont="1" applyAlignment="1"/>
    <xf numFmtId="173" fontId="67" fillId="0" borderId="0" xfId="9" applyNumberFormat="1" applyFont="1" applyFill="1" applyBorder="1" applyAlignment="1" applyProtection="1">
      <alignment horizontal="center"/>
      <protection hidden="1"/>
    </xf>
    <xf numFmtId="0" fontId="66" fillId="0" borderId="0" xfId="104" applyFont="1"/>
    <xf numFmtId="2" fontId="66" fillId="0" borderId="1" xfId="85" applyNumberFormat="1" applyFont="1" applyFill="1" applyBorder="1"/>
    <xf numFmtId="44" fontId="66" fillId="0" borderId="1" xfId="67" applyFont="1" applyBorder="1" applyAlignment="1">
      <alignment vertical="top" wrapText="1"/>
    </xf>
    <xf numFmtId="166" fontId="66" fillId="0" borderId="1" xfId="105" applyFont="1" applyBorder="1" applyAlignment="1">
      <alignment vertical="top" wrapText="1"/>
    </xf>
    <xf numFmtId="0" fontId="66" fillId="0" borderId="1" xfId="85" applyFont="1" applyFill="1" applyBorder="1"/>
    <xf numFmtId="0" fontId="66" fillId="0" borderId="1" xfId="104" applyFont="1" applyBorder="1" applyAlignment="1">
      <alignment vertical="top"/>
    </xf>
    <xf numFmtId="0" fontId="66" fillId="2" borderId="1" xfId="90" applyFont="1" applyFill="1" applyBorder="1"/>
    <xf numFmtId="0" fontId="66" fillId="0" borderId="0" xfId="104" applyFont="1" applyAlignment="1">
      <alignment horizontal="center"/>
    </xf>
    <xf numFmtId="173" fontId="66" fillId="0" borderId="0" xfId="9" applyNumberFormat="1" applyFont="1"/>
    <xf numFmtId="167" fontId="66" fillId="0" borderId="0" xfId="106" applyFont="1"/>
    <xf numFmtId="0" fontId="71" fillId="0" borderId="0" xfId="14" applyFont="1" applyFill="1" applyBorder="1" applyAlignment="1" applyProtection="1">
      <alignment horizontal="right"/>
      <protection hidden="1"/>
    </xf>
    <xf numFmtId="2" fontId="66" fillId="0" borderId="0" xfId="14" applyNumberFormat="1" applyFont="1" applyFill="1" applyBorder="1" applyAlignment="1" applyProtection="1">
      <alignment horizontal="right"/>
      <protection hidden="1"/>
    </xf>
    <xf numFmtId="2" fontId="71" fillId="0" borderId="0" xfId="14" applyNumberFormat="1" applyFont="1" applyFill="1" applyBorder="1" applyAlignment="1" applyProtection="1">
      <alignment horizontal="right"/>
      <protection hidden="1"/>
    </xf>
    <xf numFmtId="173" fontId="80" fillId="61" borderId="4" xfId="9" applyNumberFormat="1" applyFont="1" applyFill="1" applyBorder="1" applyAlignment="1">
      <alignment vertical="top" wrapText="1"/>
    </xf>
    <xf numFmtId="0" fontId="71" fillId="0" borderId="5" xfId="14" applyFont="1" applyFill="1" applyBorder="1" applyAlignment="1" applyProtection="1">
      <alignment vertical="center"/>
      <protection hidden="1"/>
    </xf>
    <xf numFmtId="10" fontId="71" fillId="0" borderId="1" xfId="17" applyNumberFormat="1" applyFont="1" applyFill="1" applyBorder="1" applyAlignment="1"/>
    <xf numFmtId="0" fontId="71" fillId="0" borderId="1" xfId="14" applyFont="1" applyFill="1" applyBorder="1" applyAlignment="1" applyProtection="1">
      <alignment vertical="center"/>
      <protection hidden="1"/>
    </xf>
    <xf numFmtId="2" fontId="71" fillId="0" borderId="1" xfId="14" applyNumberFormat="1"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71" fillId="0" borderId="5" xfId="14" applyFont="1" applyFill="1" applyBorder="1" applyAlignment="1" applyProtection="1">
      <protection hidden="1"/>
    </xf>
    <xf numFmtId="0" fontId="99" fillId="0" borderId="6" xfId="14" applyFont="1" applyFill="1" applyBorder="1" applyAlignment="1" applyProtection="1">
      <protection hidden="1"/>
    </xf>
    <xf numFmtId="0" fontId="99" fillId="0" borderId="7" xfId="14" applyFont="1" applyFill="1" applyBorder="1" applyAlignment="1" applyProtection="1">
      <alignment horizontal="right"/>
      <protection hidden="1"/>
    </xf>
    <xf numFmtId="2" fontId="100" fillId="0" borderId="0" xfId="14" applyNumberFormat="1" applyFont="1" applyFill="1" applyBorder="1" applyAlignment="1" applyProtection="1">
      <alignment horizontal="center"/>
      <protection hidden="1"/>
    </xf>
    <xf numFmtId="179" fontId="71" fillId="0" borderId="1" xfId="4" applyNumberFormat="1" applyFont="1" applyFill="1" applyBorder="1" applyAlignment="1" applyProtection="1">
      <protection hidden="1"/>
    </xf>
    <xf numFmtId="179" fontId="71" fillId="0" borderId="9" xfId="6" applyNumberFormat="1" applyFont="1" applyFill="1" applyBorder="1" applyAlignment="1" applyProtection="1">
      <protection hidden="1"/>
    </xf>
    <xf numFmtId="169" fontId="99" fillId="0" borderId="6" xfId="14" applyNumberFormat="1" applyFont="1" applyFill="1" applyBorder="1" applyAlignment="1" applyProtection="1">
      <protection hidden="1"/>
    </xf>
    <xf numFmtId="175" fontId="66" fillId="0" borderId="11" xfId="0" applyNumberFormat="1" applyFont="1" applyFill="1" applyBorder="1" applyAlignment="1">
      <alignment horizontal="center" vertical="center"/>
    </xf>
    <xf numFmtId="0" fontId="68" fillId="0" borderId="5" xfId="14" applyNumberFormat="1" applyFont="1" applyFill="1" applyBorder="1" applyAlignment="1" applyProtection="1">
      <protection hidden="1"/>
    </xf>
    <xf numFmtId="175" fontId="66" fillId="0" borderId="10" xfId="0" applyNumberFormat="1" applyFont="1" applyFill="1" applyBorder="1" applyAlignment="1">
      <alignment horizontal="center" vertical="center"/>
    </xf>
    <xf numFmtId="0" fontId="66" fillId="0" borderId="0" xfId="18" applyFont="1" applyFill="1" applyBorder="1"/>
    <xf numFmtId="0" fontId="66" fillId="0" borderId="41" xfId="18" applyFont="1" applyFill="1" applyBorder="1"/>
    <xf numFmtId="0" fontId="66" fillId="0" borderId="41" xfId="0" applyFont="1" applyBorder="1"/>
    <xf numFmtId="0" fontId="66" fillId="0" borderId="42" xfId="0" applyFont="1" applyFill="1" applyBorder="1"/>
    <xf numFmtId="0" fontId="66" fillId="0" borderId="43" xfId="0" applyFont="1" applyFill="1" applyBorder="1"/>
    <xf numFmtId="0" fontId="66" fillId="0" borderId="41" xfId="0" applyFont="1" applyFill="1" applyBorder="1"/>
    <xf numFmtId="0" fontId="66" fillId="0" borderId="44" xfId="0" applyFont="1" applyFill="1" applyBorder="1"/>
    <xf numFmtId="0" fontId="66" fillId="0" borderId="43" xfId="0" applyFont="1" applyBorder="1"/>
    <xf numFmtId="0" fontId="80" fillId="61" borderId="1" xfId="14" applyFont="1" applyFill="1" applyBorder="1" applyAlignment="1" applyProtection="1">
      <alignment horizontal="left" vertical="center"/>
      <protection hidden="1"/>
    </xf>
    <xf numFmtId="2" fontId="80" fillId="61" borderId="1" xfId="0" applyNumberFormat="1" applyFont="1" applyFill="1" applyBorder="1" applyAlignment="1">
      <alignment horizontal="center" vertical="center" wrapText="1"/>
    </xf>
    <xf numFmtId="0" fontId="66" fillId="0" borderId="0" xfId="18" applyFont="1" applyAlignment="1">
      <alignment horizontal="center"/>
    </xf>
    <xf numFmtId="0" fontId="80" fillId="61" borderId="1" xfId="0" applyNumberFormat="1" applyFont="1" applyFill="1" applyBorder="1" applyAlignment="1">
      <alignment horizontal="left" vertical="center" wrapText="1"/>
    </xf>
    <xf numFmtId="173" fontId="66" fillId="0" borderId="1" xfId="9" applyNumberFormat="1" applyFont="1" applyFill="1" applyBorder="1" applyAlignment="1">
      <alignment horizontal="center" vertical="center"/>
    </xf>
    <xf numFmtId="0" fontId="71" fillId="0" borderId="1" xfId="0" applyFont="1" applyBorder="1" applyAlignment="1">
      <alignment vertical="center"/>
    </xf>
    <xf numFmtId="0" fontId="71" fillId="0" borderId="1" xfId="0" applyFont="1" applyFill="1" applyBorder="1" applyAlignment="1"/>
    <xf numFmtId="0" fontId="71" fillId="0" borderId="0" xfId="18" applyFont="1" applyFill="1"/>
    <xf numFmtId="0" fontId="71" fillId="0" borderId="1" xfId="0" applyFont="1" applyFill="1" applyBorder="1" applyAlignment="1">
      <alignment horizontal="center" vertical="center"/>
    </xf>
    <xf numFmtId="173" fontId="71" fillId="0" borderId="1" xfId="9" applyNumberFormat="1" applyFont="1" applyFill="1" applyBorder="1" applyAlignment="1">
      <alignment horizontal="center" vertical="center"/>
    </xf>
    <xf numFmtId="1" fontId="75" fillId="0" borderId="5" xfId="0" applyNumberFormat="1" applyFont="1" applyFill="1" applyBorder="1" applyAlignment="1">
      <alignment horizontal="left" vertical="center"/>
    </xf>
    <xf numFmtId="1" fontId="75" fillId="0" borderId="6" xfId="0" applyNumberFormat="1" applyFont="1" applyFill="1" applyBorder="1" applyAlignment="1">
      <alignment horizontal="left" vertical="center"/>
    </xf>
    <xf numFmtId="2" fontId="105" fillId="0" borderId="0" xfId="13" applyNumberFormat="1" applyFont="1" applyFill="1" applyAlignment="1"/>
    <xf numFmtId="49" fontId="86" fillId="63" borderId="1" xfId="10" applyNumberFormat="1" applyFont="1" applyFill="1" applyBorder="1" applyAlignment="1" applyProtection="1">
      <alignment horizontal="left" vertical="top"/>
      <protection hidden="1"/>
    </xf>
    <xf numFmtId="9" fontId="86" fillId="62" borderId="1" xfId="62" applyNumberFormat="1" applyFont="1" applyFill="1" applyBorder="1" applyAlignment="1">
      <alignment horizontal="center" vertical="center"/>
    </xf>
    <xf numFmtId="0" fontId="86" fillId="0" borderId="0" xfId="14" applyFont="1" applyFill="1" applyBorder="1" applyAlignment="1" applyProtection="1">
      <alignment horizontal="left" vertical="center"/>
      <protection hidden="1"/>
    </xf>
    <xf numFmtId="49" fontId="86" fillId="63" borderId="1" xfId="63" applyNumberFormat="1" applyFont="1" applyFill="1" applyBorder="1" applyAlignment="1" applyProtection="1">
      <alignment horizontal="left" vertical="top"/>
      <protection hidden="1"/>
    </xf>
    <xf numFmtId="173" fontId="71" fillId="62" borderId="1" xfId="9" applyNumberFormat="1" applyFont="1" applyFill="1" applyBorder="1" applyAlignment="1">
      <alignment horizontal="center"/>
    </xf>
    <xf numFmtId="0" fontId="71" fillId="2" borderId="0" xfId="0" applyFont="1" applyFill="1" applyAlignment="1">
      <alignment horizontal="center"/>
    </xf>
    <xf numFmtId="9" fontId="66" fillId="2" borderId="0" xfId="17" applyFont="1" applyFill="1" applyBorder="1" applyAlignment="1">
      <alignment horizontal="center"/>
    </xf>
    <xf numFmtId="0" fontId="66" fillId="2" borderId="0" xfId="0" applyFont="1" applyFill="1" applyBorder="1"/>
    <xf numFmtId="0" fontId="66" fillId="2" borderId="0" xfId="0" applyFont="1" applyFill="1"/>
    <xf numFmtId="2" fontId="87" fillId="61" borderId="4" xfId="0" applyNumberFormat="1" applyFont="1" applyFill="1" applyBorder="1" applyAlignment="1">
      <alignment horizontal="center" vertical="top" wrapText="1"/>
    </xf>
    <xf numFmtId="180" fontId="66" fillId="62" borderId="1" xfId="66" applyNumberFormat="1" applyFont="1" applyFill="1" applyBorder="1" applyAlignment="1">
      <alignment horizontal="center"/>
    </xf>
    <xf numFmtId="0" fontId="68" fillId="62" borderId="1" xfId="14" applyFont="1" applyFill="1" applyBorder="1" applyAlignment="1" applyProtection="1">
      <protection hidden="1"/>
    </xf>
    <xf numFmtId="177" fontId="66" fillId="62" borderId="1" xfId="12" applyNumberFormat="1" applyFont="1" applyFill="1" applyBorder="1" applyAlignment="1" applyProtection="1">
      <alignment vertical="center"/>
      <protection hidden="1"/>
    </xf>
    <xf numFmtId="166" fontId="70" fillId="62" borderId="1" xfId="19" applyFont="1" applyFill="1" applyBorder="1" applyAlignment="1" applyProtection="1">
      <alignment horizontal="right" vertical="center"/>
      <protection hidden="1"/>
    </xf>
    <xf numFmtId="10" fontId="66" fillId="62" borderId="1" xfId="12" applyNumberFormat="1" applyFont="1" applyFill="1" applyBorder="1" applyAlignment="1" applyProtection="1">
      <alignment vertical="center"/>
      <protection hidden="1"/>
    </xf>
    <xf numFmtId="2" fontId="70" fillId="62" borderId="1" xfId="14" applyNumberFormat="1" applyFont="1" applyFill="1" applyBorder="1" applyAlignment="1" applyProtection="1">
      <alignment horizontal="right" vertical="center"/>
      <protection hidden="1"/>
    </xf>
    <xf numFmtId="169" fontId="70" fillId="63" borderId="1" xfId="4" applyFont="1" applyFill="1" applyBorder="1" applyAlignment="1" applyProtection="1">
      <protection locked="0"/>
    </xf>
    <xf numFmtId="10" fontId="94" fillId="62" borderId="1" xfId="17" applyNumberFormat="1" applyFont="1" applyFill="1" applyBorder="1" applyAlignment="1" applyProtection="1">
      <alignment horizontal="right"/>
      <protection hidden="1"/>
    </xf>
    <xf numFmtId="169" fontId="97" fillId="62" borderId="1" xfId="4" applyFont="1" applyFill="1" applyBorder="1" applyAlignment="1" applyProtection="1">
      <alignment horizontal="right"/>
      <protection locked="0"/>
    </xf>
    <xf numFmtId="0" fontId="66" fillId="62" borderId="5" xfId="14" applyFont="1" applyFill="1" applyBorder="1" applyAlignment="1" applyProtection="1">
      <protection hidden="1"/>
    </xf>
    <xf numFmtId="9" fontId="70" fillId="62" borderId="1" xfId="17" applyNumberFormat="1" applyFont="1" applyFill="1" applyBorder="1" applyAlignment="1" applyProtection="1">
      <alignment horizontal="center"/>
      <protection hidden="1"/>
    </xf>
    <xf numFmtId="0" fontId="68" fillId="62" borderId="1" xfId="11" applyFont="1" applyFill="1" applyBorder="1"/>
    <xf numFmtId="44" fontId="70" fillId="63" borderId="1" xfId="67" applyFont="1" applyFill="1" applyBorder="1" applyAlignment="1" applyProtection="1">
      <protection locked="0"/>
    </xf>
    <xf numFmtId="44" fontId="66" fillId="63" borderId="1" xfId="67" applyFont="1" applyFill="1" applyBorder="1" applyAlignment="1" applyProtection="1">
      <protection locked="0"/>
    </xf>
    <xf numFmtId="0" fontId="66" fillId="62" borderId="1" xfId="11" applyFont="1" applyFill="1" applyBorder="1" applyAlignment="1"/>
    <xf numFmtId="0" fontId="66" fillId="62" borderId="2" xfId="11" applyFont="1" applyFill="1" applyBorder="1" applyAlignment="1"/>
    <xf numFmtId="179" fontId="99" fillId="62" borderId="1" xfId="11" applyNumberFormat="1" applyFont="1" applyFill="1" applyBorder="1" applyAlignment="1"/>
    <xf numFmtId="0" fontId="66" fillId="62" borderId="6" xfId="11" applyFont="1" applyFill="1" applyBorder="1" applyAlignment="1"/>
    <xf numFmtId="0" fontId="66" fillId="62" borderId="5" xfId="11" applyFont="1" applyFill="1" applyBorder="1" applyAlignment="1"/>
    <xf numFmtId="179" fontId="99" fillId="62" borderId="1" xfId="11" applyNumberFormat="1" applyFont="1" applyFill="1" applyBorder="1"/>
    <xf numFmtId="0" fontId="66" fillId="62" borderId="1" xfId="11" applyFont="1" applyFill="1" applyBorder="1"/>
    <xf numFmtId="167" fontId="66" fillId="2" borderId="1" xfId="9" applyFont="1" applyFill="1" applyBorder="1" applyAlignment="1">
      <alignment horizontal="center"/>
    </xf>
    <xf numFmtId="167" fontId="71" fillId="2" borderId="1" xfId="9" applyFont="1" applyFill="1" applyBorder="1"/>
    <xf numFmtId="3" fontId="66" fillId="0" borderId="1" xfId="9" applyNumberFormat="1" applyFont="1" applyFill="1" applyBorder="1" applyAlignment="1">
      <alignment horizontal="center" vertical="top" wrapText="1"/>
    </xf>
    <xf numFmtId="180" fontId="71" fillId="2" borderId="1" xfId="85" applyNumberFormat="1" applyFont="1" applyFill="1" applyBorder="1" applyAlignment="1">
      <alignment vertical="top" wrapText="1"/>
    </xf>
    <xf numFmtId="2" fontId="71" fillId="2" borderId="5" xfId="85" applyNumberFormat="1" applyFont="1" applyFill="1" applyBorder="1" applyAlignment="1">
      <alignment vertical="top" wrapText="1"/>
    </xf>
    <xf numFmtId="2" fontId="71" fillId="2" borderId="7" xfId="85" applyNumberFormat="1" applyFont="1" applyFill="1" applyBorder="1" applyAlignment="1">
      <alignment vertical="top" wrapText="1"/>
    </xf>
    <xf numFmtId="3" fontId="71" fillId="2" borderId="6" xfId="9" applyNumberFormat="1" applyFont="1" applyFill="1" applyBorder="1" applyAlignment="1">
      <alignment horizontal="center" vertical="top" wrapText="1"/>
    </xf>
    <xf numFmtId="180" fontId="71" fillId="2" borderId="7" xfId="85" applyNumberFormat="1" applyFont="1" applyFill="1" applyBorder="1" applyAlignment="1">
      <alignment vertical="top" wrapText="1"/>
    </xf>
    <xf numFmtId="180" fontId="71" fillId="2" borderId="5" xfId="85" applyNumberFormat="1" applyFont="1" applyFill="1" applyBorder="1" applyAlignment="1">
      <alignment vertical="top" wrapText="1"/>
    </xf>
    <xf numFmtId="2" fontId="71" fillId="2" borderId="6" xfId="85" applyNumberFormat="1" applyFont="1" applyFill="1" applyBorder="1" applyAlignment="1">
      <alignment vertical="top" wrapText="1"/>
    </xf>
    <xf numFmtId="2" fontId="66" fillId="0" borderId="0" xfId="14" applyNumberFormat="1" applyFont="1" applyFill="1" applyBorder="1" applyAlignment="1" applyProtection="1">
      <protection hidden="1"/>
    </xf>
    <xf numFmtId="166" fontId="66" fillId="0" borderId="0" xfId="19" applyFont="1" applyFill="1" applyBorder="1" applyAlignment="1" applyProtection="1">
      <protection hidden="1"/>
    </xf>
    <xf numFmtId="2" fontId="66" fillId="0" borderId="5" xfId="14" applyNumberFormat="1" applyFont="1" applyFill="1" applyBorder="1" applyAlignment="1" applyProtection="1">
      <alignment vertical="center"/>
      <protection hidden="1"/>
    </xf>
    <xf numFmtId="1" fontId="71" fillId="0" borderId="1" xfId="14" applyNumberFormat="1" applyFont="1" applyFill="1" applyBorder="1" applyAlignment="1" applyProtection="1">
      <alignment horizontal="center" vertical="center"/>
      <protection hidden="1"/>
    </xf>
    <xf numFmtId="9" fontId="71" fillId="0" borderId="1" xfId="0" applyNumberFormat="1" applyFont="1" applyBorder="1" applyAlignment="1">
      <alignment horizontal="center"/>
    </xf>
    <xf numFmtId="9" fontId="71" fillId="0" borderId="1" xfId="17" applyFont="1" applyBorder="1" applyAlignment="1">
      <alignment horizontal="center"/>
    </xf>
    <xf numFmtId="166" fontId="66" fillId="0" borderId="1" xfId="19" applyFont="1" applyBorder="1" applyAlignment="1">
      <alignment horizontal="center" vertical="top" wrapText="1"/>
    </xf>
    <xf numFmtId="2" fontId="80" fillId="61" borderId="4" xfId="85" applyNumberFormat="1" applyFont="1" applyFill="1" applyBorder="1" applyAlignment="1">
      <alignment horizontal="left" vertical="top" wrapText="1"/>
    </xf>
    <xf numFmtId="2" fontId="80" fillId="61" borderId="4" xfId="85" applyNumberFormat="1" applyFont="1" applyFill="1" applyBorder="1" applyAlignment="1">
      <alignment vertical="top" wrapText="1"/>
    </xf>
    <xf numFmtId="0" fontId="71" fillId="0" borderId="0" xfId="104" applyFont="1"/>
    <xf numFmtId="196" fontId="66" fillId="62" borderId="1" xfId="9" applyNumberFormat="1" applyFont="1" applyFill="1" applyBorder="1" applyAlignment="1">
      <alignment horizontal="center"/>
    </xf>
    <xf numFmtId="2" fontId="83" fillId="0" borderId="0" xfId="64" applyNumberFormat="1" applyFont="1" applyFill="1" applyBorder="1" applyAlignment="1"/>
    <xf numFmtId="0" fontId="69" fillId="0" borderId="45" xfId="0" applyFont="1" applyBorder="1"/>
    <xf numFmtId="2" fontId="102" fillId="61" borderId="46" xfId="14" applyNumberFormat="1" applyFont="1" applyFill="1" applyBorder="1" applyAlignment="1" applyProtection="1">
      <alignment horizontal="left" vertical="center" wrapText="1"/>
      <protection hidden="1"/>
    </xf>
    <xf numFmtId="2" fontId="66" fillId="0" borderId="46" xfId="14" applyNumberFormat="1" applyFont="1" applyFill="1" applyBorder="1" applyAlignment="1" applyProtection="1">
      <protection hidden="1"/>
    </xf>
    <xf numFmtId="1" fontId="71" fillId="0" borderId="47" xfId="14" applyNumberFormat="1" applyFont="1" applyFill="1" applyBorder="1" applyAlignment="1" applyProtection="1">
      <alignment horizontal="center"/>
      <protection hidden="1"/>
    </xf>
    <xf numFmtId="166" fontId="66" fillId="0" borderId="46" xfId="19" applyFont="1" applyFill="1" applyBorder="1" applyAlignment="1" applyProtection="1">
      <protection hidden="1"/>
    </xf>
    <xf numFmtId="166" fontId="66" fillId="0" borderId="47" xfId="19" applyFont="1" applyFill="1" applyBorder="1" applyAlignment="1" applyProtection="1">
      <protection hidden="1"/>
    </xf>
    <xf numFmtId="0" fontId="71" fillId="0" borderId="47" xfId="0" applyFont="1" applyBorder="1"/>
    <xf numFmtId="166" fontId="71" fillId="0" borderId="47" xfId="19" applyFont="1" applyBorder="1"/>
    <xf numFmtId="2" fontId="87" fillId="61" borderId="38" xfId="0" applyNumberFormat="1" applyFont="1" applyFill="1" applyBorder="1" applyAlignment="1">
      <alignment horizontal="center" vertical="top" wrapText="1"/>
    </xf>
    <xf numFmtId="0" fontId="66" fillId="2" borderId="1" xfId="0" applyFont="1" applyFill="1" applyBorder="1" applyAlignment="1">
      <alignment vertical="center"/>
    </xf>
    <xf numFmtId="167" fontId="66" fillId="62" borderId="1" xfId="9" applyFont="1" applyFill="1" applyBorder="1" applyAlignment="1">
      <alignment horizontal="center"/>
    </xf>
    <xf numFmtId="2" fontId="80" fillId="61" borderId="1" xfId="90" applyNumberFormat="1" applyFont="1" applyFill="1" applyBorder="1" applyAlignment="1">
      <alignment vertical="top" wrapText="1"/>
    </xf>
    <xf numFmtId="173" fontId="80" fillId="61" borderId="1" xfId="9" applyNumberFormat="1" applyFont="1" applyFill="1" applyBorder="1" applyAlignment="1">
      <alignment vertical="top" wrapText="1"/>
    </xf>
    <xf numFmtId="167" fontId="80" fillId="61" borderId="1" xfId="9" applyFont="1" applyFill="1" applyBorder="1" applyAlignment="1">
      <alignment horizontal="center" vertical="top" wrapText="1"/>
    </xf>
    <xf numFmtId="10" fontId="66" fillId="62" borderId="1" xfId="17" applyNumberFormat="1" applyFont="1" applyFill="1" applyBorder="1" applyAlignment="1">
      <alignment horizontal="center"/>
    </xf>
    <xf numFmtId="9" fontId="66" fillId="2" borderId="1" xfId="66" applyFont="1" applyFill="1" applyBorder="1" applyAlignment="1">
      <alignment horizontal="center"/>
    </xf>
    <xf numFmtId="0" fontId="107" fillId="0" borderId="0" xfId="64" applyFont="1" applyFill="1" applyAlignment="1"/>
    <xf numFmtId="0" fontId="87" fillId="2" borderId="0" xfId="0" applyFont="1" applyFill="1" applyAlignment="1">
      <alignment horizontal="center"/>
    </xf>
    <xf numFmtId="0" fontId="87" fillId="0" borderId="0" xfId="14" applyFont="1" applyFill="1" applyProtection="1">
      <protection hidden="1"/>
    </xf>
    <xf numFmtId="177" fontId="71" fillId="62" borderId="1" xfId="12" applyNumberFormat="1" applyFont="1" applyFill="1" applyBorder="1" applyAlignment="1" applyProtection="1">
      <alignment horizontal="center" vertical="center"/>
      <protection hidden="1"/>
    </xf>
    <xf numFmtId="0" fontId="94" fillId="2" borderId="6" xfId="14" applyFont="1" applyFill="1" applyBorder="1" applyAlignment="1" applyProtection="1">
      <protection hidden="1"/>
    </xf>
    <xf numFmtId="0" fontId="94" fillId="62" borderId="6" xfId="14" applyFont="1" applyFill="1" applyBorder="1" applyAlignment="1" applyProtection="1">
      <alignment horizontal="center"/>
      <protection hidden="1"/>
    </xf>
    <xf numFmtId="0" fontId="94" fillId="62" borderId="7" xfId="14" applyFont="1" applyFill="1" applyBorder="1" applyAlignment="1" applyProtection="1">
      <alignment horizontal="right"/>
      <protection hidden="1"/>
    </xf>
    <xf numFmtId="10" fontId="94" fillId="62" borderId="7" xfId="17" applyNumberFormat="1" applyFont="1" applyFill="1" applyBorder="1" applyAlignment="1" applyProtection="1">
      <alignment horizontal="right"/>
      <protection hidden="1"/>
    </xf>
    <xf numFmtId="0" fontId="87" fillId="0" borderId="0" xfId="14" applyFont="1" applyFill="1" applyBorder="1" applyAlignment="1" applyProtection="1">
      <alignment horizontal="right" vertical="center"/>
      <protection hidden="1"/>
    </xf>
    <xf numFmtId="2" fontId="87" fillId="0" borderId="0" xfId="14" applyNumberFormat="1" applyFont="1" applyFill="1" applyAlignment="1" applyProtection="1">
      <alignment vertical="center"/>
      <protection hidden="1"/>
    </xf>
    <xf numFmtId="0" fontId="87" fillId="0" borderId="0" xfId="14" applyFont="1" applyFill="1" applyBorder="1" applyAlignment="1" applyProtection="1">
      <alignment vertical="center"/>
      <protection hidden="1"/>
    </xf>
    <xf numFmtId="0" fontId="87" fillId="0" borderId="0" xfId="0" applyFont="1"/>
    <xf numFmtId="0" fontId="66" fillId="0" borderId="52" xfId="0" applyFont="1" applyBorder="1"/>
    <xf numFmtId="0" fontId="80" fillId="61" borderId="53" xfId="0" applyFont="1" applyFill="1" applyBorder="1" applyAlignment="1">
      <alignment wrapText="1"/>
    </xf>
    <xf numFmtId="0" fontId="66" fillId="0" borderId="54" xfId="0" applyFont="1" applyBorder="1"/>
    <xf numFmtId="0" fontId="66" fillId="0" borderId="55" xfId="0" applyFont="1" applyBorder="1"/>
    <xf numFmtId="166" fontId="66" fillId="62" borderId="46" xfId="19" applyFont="1" applyFill="1" applyBorder="1" applyAlignment="1" applyProtection="1">
      <alignment vertical="center"/>
      <protection hidden="1"/>
    </xf>
    <xf numFmtId="166" fontId="66" fillId="62" borderId="47" xfId="19" applyFont="1" applyFill="1" applyBorder="1" applyAlignment="1" applyProtection="1">
      <alignment vertical="center"/>
      <protection hidden="1"/>
    </xf>
    <xf numFmtId="167" fontId="87" fillId="61" borderId="38" xfId="9" applyFont="1" applyFill="1" applyBorder="1" applyAlignment="1">
      <alignment horizontal="center" vertical="top" wrapText="1"/>
    </xf>
    <xf numFmtId="43" fontId="68" fillId="0" borderId="47" xfId="9" applyNumberFormat="1" applyFont="1" applyFill="1" applyBorder="1" applyAlignment="1">
      <alignment horizontal="center"/>
    </xf>
    <xf numFmtId="0" fontId="66" fillId="0" borderId="45" xfId="0" applyFont="1" applyFill="1" applyBorder="1" applyAlignment="1">
      <alignment horizontal="left"/>
    </xf>
    <xf numFmtId="177" fontId="66" fillId="62" borderId="47" xfId="12" applyNumberFormat="1" applyFont="1" applyFill="1" applyBorder="1" applyAlignment="1" applyProtection="1">
      <alignment vertical="center"/>
      <protection hidden="1"/>
    </xf>
    <xf numFmtId="0" fontId="66" fillId="0" borderId="46" xfId="0" applyFont="1" applyBorder="1"/>
    <xf numFmtId="2" fontId="66" fillId="0" borderId="47" xfId="0" applyNumberFormat="1" applyFont="1" applyFill="1" applyBorder="1"/>
    <xf numFmtId="1" fontId="85" fillId="0" borderId="47" xfId="0" applyNumberFormat="1" applyFont="1" applyFill="1" applyBorder="1" applyAlignment="1">
      <alignment horizontal="center"/>
    </xf>
    <xf numFmtId="0" fontId="85" fillId="0" borderId="47" xfId="0" applyFont="1" applyBorder="1"/>
    <xf numFmtId="0" fontId="66" fillId="0" borderId="47" xfId="104" applyFont="1" applyBorder="1" applyAlignment="1">
      <alignment vertical="top"/>
    </xf>
    <xf numFmtId="3" fontId="66" fillId="0" borderId="47" xfId="9" applyNumberFormat="1" applyFont="1" applyFill="1" applyBorder="1" applyAlignment="1">
      <alignment horizontal="center" vertical="top" wrapText="1"/>
    </xf>
    <xf numFmtId="0" fontId="66" fillId="0" borderId="47" xfId="104" applyFont="1" applyBorder="1" applyAlignment="1">
      <alignment vertical="top" wrapText="1"/>
    </xf>
    <xf numFmtId="0" fontId="108" fillId="0" borderId="0" xfId="85" applyFont="1" applyFill="1"/>
    <xf numFmtId="0" fontId="66" fillId="0" borderId="0" xfId="85" applyFont="1" applyFill="1"/>
    <xf numFmtId="0" fontId="108" fillId="0" borderId="0" xfId="85" applyFont="1" applyFill="1" applyBorder="1"/>
    <xf numFmtId="0" fontId="66" fillId="0" borderId="0" xfId="104" applyFont="1" applyFill="1"/>
    <xf numFmtId="0" fontId="66" fillId="0" borderId="0" xfId="104" applyFont="1" applyFill="1" applyBorder="1" applyAlignment="1">
      <alignment vertical="top" wrapText="1"/>
    </xf>
    <xf numFmtId="44" fontId="66" fillId="0" borderId="0" xfId="67" applyFont="1" applyFill="1" applyBorder="1" applyAlignment="1" applyProtection="1">
      <protection locked="0"/>
    </xf>
    <xf numFmtId="44" fontId="66" fillId="63" borderId="47" xfId="67" applyFont="1" applyFill="1" applyBorder="1" applyAlignment="1" applyProtection="1">
      <protection locked="0"/>
    </xf>
    <xf numFmtId="0" fontId="66" fillId="0" borderId="56" xfId="0" applyFont="1" applyBorder="1" applyAlignment="1">
      <alignment wrapText="1"/>
    </xf>
    <xf numFmtId="0" fontId="66" fillId="0" borderId="57" xfId="0" applyFont="1" applyBorder="1" applyAlignment="1">
      <alignment wrapText="1"/>
    </xf>
    <xf numFmtId="0" fontId="66" fillId="0" borderId="58" xfId="0" applyFont="1" applyBorder="1" applyAlignment="1">
      <alignment wrapText="1"/>
    </xf>
    <xf numFmtId="0" fontId="66" fillId="0" borderId="47" xfId="0" applyFont="1" applyFill="1" applyBorder="1"/>
    <xf numFmtId="0" fontId="87" fillId="0" borderId="0" xfId="0" applyFont="1" applyFill="1" applyAlignment="1">
      <alignment horizontal="left" vertical="center"/>
    </xf>
    <xf numFmtId="0" fontId="66" fillId="0" borderId="0" xfId="0" applyFont="1" applyFill="1" applyAlignment="1">
      <alignment horizontal="center" vertical="center"/>
    </xf>
    <xf numFmtId="173" fontId="80" fillId="61" borderId="47" xfId="9" applyNumberFormat="1" applyFont="1" applyFill="1" applyBorder="1" applyAlignment="1">
      <alignment vertical="top" wrapText="1"/>
    </xf>
    <xf numFmtId="2" fontId="66" fillId="0" borderId="47" xfId="90" applyNumberFormat="1" applyFont="1" applyFill="1" applyBorder="1"/>
    <xf numFmtId="167" fontId="71" fillId="2" borderId="47" xfId="9" applyFont="1" applyFill="1" applyBorder="1"/>
    <xf numFmtId="0" fontId="66" fillId="0" borderId="21" xfId="0" applyFont="1" applyFill="1" applyBorder="1" applyAlignment="1">
      <alignment wrapText="1"/>
    </xf>
    <xf numFmtId="173" fontId="71" fillId="0" borderId="1" xfId="9" applyNumberFormat="1" applyFont="1" applyFill="1" applyBorder="1" applyAlignment="1">
      <alignment horizontal="center"/>
    </xf>
    <xf numFmtId="197" fontId="72" fillId="0" borderId="0" xfId="13" applyNumberFormat="1" applyFont="1" applyFill="1" applyAlignment="1">
      <alignment horizontal="right"/>
    </xf>
    <xf numFmtId="0" fontId="66" fillId="0" borderId="1" xfId="90" applyFont="1" applyFill="1" applyBorder="1"/>
    <xf numFmtId="0" fontId="66" fillId="0" borderId="1" xfId="104" applyFont="1" applyFill="1" applyBorder="1" applyAlignment="1">
      <alignment vertical="top"/>
    </xf>
    <xf numFmtId="0" fontId="66" fillId="0" borderId="1" xfId="104" applyFont="1" applyFill="1" applyBorder="1" applyAlignment="1">
      <alignment vertical="top" wrapText="1"/>
    </xf>
    <xf numFmtId="0" fontId="66" fillId="0" borderId="47" xfId="104" applyFont="1" applyFill="1" applyBorder="1" applyAlignment="1">
      <alignment vertical="top"/>
    </xf>
    <xf numFmtId="0" fontId="66" fillId="0" borderId="0" xfId="64" applyFont="1" applyFill="1" applyBorder="1" applyAlignment="1"/>
    <xf numFmtId="166" fontId="66" fillId="0" borderId="0" xfId="19" applyFont="1" applyFill="1" applyBorder="1" applyAlignment="1" applyProtection="1">
      <alignment horizontal="center" vertical="center"/>
      <protection hidden="1"/>
    </xf>
    <xf numFmtId="198" fontId="66" fillId="2" borderId="1" xfId="9" applyNumberFormat="1" applyFont="1" applyFill="1" applyBorder="1" applyAlignment="1">
      <alignment horizontal="center"/>
    </xf>
    <xf numFmtId="198" fontId="66" fillId="2" borderId="1" xfId="19" applyNumberFormat="1" applyFont="1" applyFill="1" applyBorder="1" applyAlignment="1">
      <alignment horizontal="center"/>
    </xf>
    <xf numFmtId="198" fontId="71" fillId="2" borderId="1" xfId="9" applyNumberFormat="1" applyFont="1" applyFill="1" applyBorder="1"/>
    <xf numFmtId="198" fontId="71" fillId="2" borderId="1" xfId="19" applyNumberFormat="1" applyFont="1" applyFill="1" applyBorder="1"/>
    <xf numFmtId="173" fontId="71" fillId="0" borderId="1" xfId="9" applyNumberFormat="1" applyFont="1" applyBorder="1" applyAlignment="1">
      <alignment horizontal="center" vertical="center" wrapText="1"/>
    </xf>
    <xf numFmtId="0" fontId="68" fillId="0" borderId="0" xfId="90" applyFont="1" applyFill="1"/>
    <xf numFmtId="0" fontId="69" fillId="0" borderId="0" xfId="0" applyFont="1" applyFill="1"/>
    <xf numFmtId="167" fontId="66" fillId="2" borderId="1" xfId="9" applyFont="1" applyFill="1" applyBorder="1" applyAlignment="1">
      <alignment horizontal="right"/>
    </xf>
    <xf numFmtId="198" fontId="68" fillId="0" borderId="0" xfId="90" applyNumberFormat="1" applyFont="1"/>
    <xf numFmtId="167" fontId="66" fillId="0" borderId="1" xfId="9" applyFont="1" applyFill="1" applyBorder="1" applyAlignment="1">
      <alignment horizontal="right"/>
    </xf>
    <xf numFmtId="167" fontId="66" fillId="0" borderId="7" xfId="9" applyFont="1" applyFill="1" applyBorder="1" applyAlignment="1">
      <alignment horizontal="right"/>
    </xf>
    <xf numFmtId="167" fontId="66" fillId="0" borderId="21" xfId="9" applyFont="1" applyBorder="1" applyAlignment="1">
      <alignment wrapText="1"/>
    </xf>
    <xf numFmtId="167" fontId="85" fillId="0" borderId="21" xfId="9" applyFont="1" applyBorder="1" applyAlignment="1">
      <alignment wrapText="1"/>
    </xf>
    <xf numFmtId="167" fontId="66" fillId="0" borderId="0" xfId="9" applyFont="1" applyFill="1" applyBorder="1" applyAlignment="1">
      <alignment horizontal="right"/>
    </xf>
    <xf numFmtId="1" fontId="66" fillId="0" borderId="1" xfId="0" applyNumberFormat="1" applyFont="1" applyFill="1" applyBorder="1" applyAlignment="1">
      <alignment horizontal="left"/>
    </xf>
    <xf numFmtId="1" fontId="66" fillId="0" borderId="9" xfId="0" applyNumberFormat="1" applyFont="1" applyFill="1" applyBorder="1" applyAlignment="1">
      <alignment horizontal="left"/>
    </xf>
    <xf numFmtId="0" fontId="66" fillId="0" borderId="21" xfId="0" applyFont="1" applyBorder="1" applyAlignment="1">
      <alignment horizontal="left" wrapText="1"/>
    </xf>
    <xf numFmtId="0" fontId="85" fillId="0" borderId="21" xfId="60" applyFont="1" applyBorder="1" applyAlignment="1">
      <alignment horizontal="left" wrapText="1"/>
    </xf>
    <xf numFmtId="9" fontId="66" fillId="0" borderId="1" xfId="66" applyFont="1" applyFill="1" applyBorder="1" applyAlignment="1">
      <alignment horizontal="center"/>
    </xf>
    <xf numFmtId="2" fontId="107" fillId="0" borderId="0" xfId="64" applyNumberFormat="1" applyFont="1" applyFill="1" applyAlignment="1">
      <alignment horizontal="left"/>
    </xf>
    <xf numFmtId="173" fontId="71" fillId="0" borderId="0" xfId="9" applyNumberFormat="1" applyFont="1" applyFill="1" applyAlignment="1">
      <alignment horizontal="center"/>
    </xf>
    <xf numFmtId="173" fontId="69" fillId="0" borderId="0" xfId="9" applyNumberFormat="1" applyFont="1" applyFill="1" applyAlignment="1">
      <alignment horizontal="left"/>
    </xf>
    <xf numFmtId="173" fontId="69" fillId="0" borderId="0" xfId="9" applyNumberFormat="1" applyFont="1" applyFill="1" applyAlignment="1">
      <alignment horizontal="center"/>
    </xf>
    <xf numFmtId="0" fontId="66" fillId="0" borderId="0" xfId="90" applyFont="1" applyFill="1"/>
    <xf numFmtId="0" fontId="71" fillId="0" borderId="0" xfId="0" applyFont="1" applyFill="1" applyAlignment="1">
      <alignment horizontal="left"/>
    </xf>
    <xf numFmtId="1" fontId="71" fillId="0" borderId="0" xfId="0" applyNumberFormat="1" applyFont="1" applyFill="1" applyAlignment="1">
      <alignment horizontal="center"/>
    </xf>
    <xf numFmtId="0" fontId="71" fillId="0" borderId="0" xfId="0" applyFont="1" applyFill="1" applyAlignment="1">
      <alignment horizontal="center"/>
    </xf>
    <xf numFmtId="0" fontId="87" fillId="0" borderId="0" xfId="0" applyFont="1" applyFill="1" applyAlignment="1">
      <alignment horizontal="center"/>
    </xf>
    <xf numFmtId="0" fontId="66" fillId="0" borderId="0" xfId="0" applyFont="1" applyFill="1" applyAlignment="1">
      <alignment horizontal="left"/>
    </xf>
    <xf numFmtId="175" fontId="89" fillId="0" borderId="0" xfId="4" applyNumberFormat="1" applyFont="1" applyFill="1" applyBorder="1" applyAlignment="1" applyProtection="1">
      <alignment horizontal="center"/>
      <protection hidden="1"/>
    </xf>
    <xf numFmtId="0" fontId="66" fillId="0" borderId="0" xfId="0" applyFont="1" applyFill="1" applyAlignment="1">
      <alignment horizontal="right"/>
    </xf>
    <xf numFmtId="2" fontId="107" fillId="0" borderId="0" xfId="11" applyNumberFormat="1" applyFont="1" applyFill="1" applyBorder="1" applyAlignment="1">
      <alignment horizontal="left" vertical="center"/>
    </xf>
    <xf numFmtId="49" fontId="66" fillId="0" borderId="1" xfId="104" applyNumberFormat="1" applyFont="1" applyFill="1" applyBorder="1" applyAlignment="1">
      <alignment horizontal="center" vertical="top" wrapText="1"/>
    </xf>
    <xf numFmtId="167" fontId="66" fillId="0" borderId="0" xfId="9" applyFont="1" applyFill="1" applyAlignment="1">
      <alignment horizontal="left"/>
    </xf>
    <xf numFmtId="167" fontId="66" fillId="0" borderId="0" xfId="9" applyFont="1" applyFill="1" applyAlignment="1">
      <alignment horizontal="right"/>
    </xf>
    <xf numFmtId="0" fontId="85" fillId="0" borderId="47" xfId="0" applyFont="1" applyFill="1" applyBorder="1"/>
    <xf numFmtId="44" fontId="69" fillId="0" borderId="0" xfId="67" applyFont="1" applyFill="1" applyBorder="1" applyAlignment="1" applyProtection="1">
      <protection locked="0"/>
    </xf>
    <xf numFmtId="0" fontId="66" fillId="0" borderId="5" xfId="10" applyFont="1" applyFill="1" applyBorder="1" applyAlignment="1" applyProtection="1">
      <alignment horizontal="left" vertical="center"/>
      <protection hidden="1"/>
    </xf>
    <xf numFmtId="0" fontId="69" fillId="0" borderId="0" xfId="90" applyFont="1"/>
    <xf numFmtId="0" fontId="87" fillId="0" borderId="0" xfId="0" applyFont="1" applyFill="1"/>
    <xf numFmtId="0" fontId="66" fillId="0" borderId="1" xfId="10" applyNumberFormat="1" applyFont="1" applyFill="1" applyBorder="1" applyAlignment="1" applyProtection="1">
      <alignment horizontal="left" wrapText="1"/>
      <protection hidden="1"/>
    </xf>
    <xf numFmtId="0" fontId="66" fillId="0" borderId="1" xfId="0" applyFont="1" applyFill="1" applyBorder="1" applyAlignment="1">
      <alignment wrapText="1"/>
    </xf>
    <xf numFmtId="44" fontId="80" fillId="61" borderId="7" xfId="64" applyNumberFormat="1" applyFont="1" applyFill="1" applyBorder="1" applyAlignment="1"/>
    <xf numFmtId="0" fontId="85" fillId="0" borderId="45" xfId="0" applyFont="1" applyBorder="1"/>
    <xf numFmtId="0" fontId="66" fillId="0" borderId="45" xfId="0" applyFont="1" applyFill="1" applyBorder="1"/>
    <xf numFmtId="0" fontId="66" fillId="0" borderId="45" xfId="0" applyFont="1" applyFill="1" applyBorder="1" applyAlignment="1"/>
    <xf numFmtId="2" fontId="66" fillId="0" borderId="45" xfId="0" applyNumberFormat="1" applyFont="1" applyFill="1" applyBorder="1"/>
    <xf numFmtId="0" fontId="66" fillId="0" borderId="59" xfId="0" applyFont="1" applyBorder="1" applyAlignment="1">
      <alignment wrapText="1"/>
    </xf>
    <xf numFmtId="0" fontId="66" fillId="0" borderId="38" xfId="0" applyFont="1" applyFill="1" applyBorder="1" applyAlignment="1"/>
    <xf numFmtId="0" fontId="85" fillId="0" borderId="1" xfId="0" applyFont="1" applyBorder="1"/>
    <xf numFmtId="0" fontId="66" fillId="0" borderId="1" xfId="0" applyFont="1" applyBorder="1" applyAlignment="1">
      <alignment wrapText="1"/>
    </xf>
    <xf numFmtId="2" fontId="87" fillId="0" borderId="0" xfId="0" applyNumberFormat="1" applyFont="1" applyFill="1"/>
    <xf numFmtId="173" fontId="66" fillId="0" borderId="0" xfId="9" applyNumberFormat="1" applyFont="1" applyFill="1" applyAlignment="1">
      <alignment horizontal="left"/>
    </xf>
    <xf numFmtId="173" fontId="87" fillId="0" borderId="0" xfId="9" applyNumberFormat="1" applyFont="1" applyFill="1" applyAlignment="1">
      <alignment horizontal="left"/>
    </xf>
    <xf numFmtId="0" fontId="71" fillId="0" borderId="0" xfId="85" applyFont="1" applyAlignment="1">
      <alignment horizontal="left"/>
    </xf>
    <xf numFmtId="0" fontId="66" fillId="0" borderId="0" xfId="85" applyFont="1" applyAlignment="1">
      <alignment horizontal="left"/>
    </xf>
    <xf numFmtId="0" fontId="66" fillId="0" borderId="0" xfId="14" applyFont="1" applyFill="1" applyBorder="1" applyAlignment="1" applyProtection="1">
      <alignment horizontal="left"/>
      <protection hidden="1"/>
    </xf>
    <xf numFmtId="169" fontId="66" fillId="0" borderId="0" xfId="4" applyFont="1" applyFill="1" applyBorder="1" applyAlignment="1" applyProtection="1">
      <alignment horizontal="left"/>
      <protection hidden="1"/>
    </xf>
    <xf numFmtId="175" fontId="66" fillId="0" borderId="0" xfId="4" applyNumberFormat="1" applyFont="1" applyFill="1" applyBorder="1" applyAlignment="1" applyProtection="1">
      <alignment horizontal="left"/>
      <protection hidden="1"/>
    </xf>
    <xf numFmtId="0" fontId="66" fillId="0" borderId="0" xfId="85" applyFont="1" applyFill="1" applyBorder="1" applyAlignment="1">
      <alignment horizontal="left" vertical="center"/>
    </xf>
    <xf numFmtId="175" fontId="66" fillId="0" borderId="0" xfId="85" applyNumberFormat="1" applyFont="1" applyFill="1" applyBorder="1" applyAlignment="1">
      <alignment horizontal="left" vertical="center"/>
    </xf>
    <xf numFmtId="0" fontId="66" fillId="0" borderId="0" xfId="85" applyFont="1" applyFill="1" applyAlignment="1">
      <alignment horizontal="left"/>
    </xf>
    <xf numFmtId="0" fontId="66" fillId="0" borderId="0" xfId="85" applyFont="1" applyFill="1" applyBorder="1" applyAlignment="1">
      <alignment horizontal="left"/>
    </xf>
    <xf numFmtId="0" fontId="66" fillId="0" borderId="0" xfId="104" applyFont="1" applyAlignment="1">
      <alignment horizontal="left"/>
    </xf>
    <xf numFmtId="0" fontId="66" fillId="0" borderId="0" xfId="104" applyFont="1" applyFill="1" applyAlignment="1">
      <alignment horizontal="left"/>
    </xf>
    <xf numFmtId="0" fontId="66" fillId="0" borderId="1" xfId="104" applyFont="1" applyFill="1" applyBorder="1" applyAlignment="1">
      <alignment horizontal="left"/>
    </xf>
    <xf numFmtId="0" fontId="66" fillId="62" borderId="1" xfId="104" applyFont="1" applyFill="1" applyBorder="1" applyAlignment="1">
      <alignment horizontal="left"/>
    </xf>
    <xf numFmtId="166" fontId="66" fillId="62" borderId="1" xfId="19" applyFont="1" applyFill="1" applyBorder="1" applyAlignment="1">
      <alignment horizontal="left"/>
    </xf>
    <xf numFmtId="198" fontId="66" fillId="0" borderId="1" xfId="19" applyNumberFormat="1" applyFont="1" applyFill="1" applyBorder="1" applyAlignment="1">
      <alignment horizontal="center"/>
    </xf>
    <xf numFmtId="198" fontId="71" fillId="0" borderId="1" xfId="19" applyNumberFormat="1" applyFont="1" applyFill="1" applyBorder="1"/>
    <xf numFmtId="173" fontId="66" fillId="0" borderId="47" xfId="9" applyNumberFormat="1" applyFont="1" applyFill="1" applyBorder="1" applyAlignment="1">
      <alignment horizontal="right"/>
    </xf>
    <xf numFmtId="49" fontId="80" fillId="0" borderId="0" xfId="64" applyNumberFormat="1" applyFont="1" applyFill="1" applyBorder="1" applyAlignment="1"/>
    <xf numFmtId="0" fontId="80" fillId="0" borderId="0" xfId="64" applyFont="1" applyFill="1" applyBorder="1" applyAlignment="1"/>
    <xf numFmtId="9" fontId="80" fillId="0" borderId="0" xfId="17" applyFont="1" applyFill="1" applyBorder="1" applyAlignment="1">
      <alignment horizontal="center"/>
    </xf>
    <xf numFmtId="44" fontId="80" fillId="0" borderId="0" xfId="64" applyNumberFormat="1" applyFont="1" applyFill="1" applyBorder="1" applyAlignment="1"/>
    <xf numFmtId="198" fontId="78" fillId="0" borderId="0" xfId="64" applyNumberFormat="1" applyFont="1" applyFill="1" applyAlignment="1"/>
    <xf numFmtId="0" fontId="66" fillId="0" borderId="0" xfId="0" applyFont="1" applyFill="1" applyBorder="1" applyAlignment="1">
      <alignment horizontal="left" vertical="top" wrapText="1"/>
    </xf>
    <xf numFmtId="0" fontId="69" fillId="0" borderId="0" xfId="14" applyFont="1" applyFill="1" applyBorder="1" applyAlignment="1" applyProtection="1">
      <alignment horizontal="left" vertical="top" wrapText="1"/>
      <protection hidden="1"/>
    </xf>
    <xf numFmtId="2" fontId="82" fillId="62" borderId="0" xfId="64" applyNumberFormat="1" applyFont="1" applyFill="1" applyBorder="1" applyAlignment="1"/>
    <xf numFmtId="0" fontId="66" fillId="62" borderId="0" xfId="65" applyFont="1" applyFill="1" applyAlignment="1"/>
    <xf numFmtId="49" fontId="79" fillId="61" borderId="39" xfId="64" applyNumberFormat="1" applyFont="1" applyFill="1" applyBorder="1" applyAlignment="1">
      <alignment horizontal="left" vertical="top" wrapText="1"/>
    </xf>
    <xf numFmtId="49" fontId="79" fillId="61" borderId="49" xfId="64" applyNumberFormat="1" applyFont="1" applyFill="1" applyBorder="1" applyAlignment="1">
      <alignment horizontal="left" vertical="top" wrapText="1"/>
    </xf>
    <xf numFmtId="49" fontId="79" fillId="61" borderId="50" xfId="64" applyNumberFormat="1" applyFont="1" applyFill="1" applyBorder="1" applyAlignment="1">
      <alignment horizontal="left" vertical="top" wrapText="1"/>
    </xf>
    <xf numFmtId="49" fontId="79" fillId="61" borderId="51" xfId="64" applyNumberFormat="1" applyFont="1" applyFill="1" applyBorder="1" applyAlignment="1">
      <alignment horizontal="left" vertical="top" wrapText="1"/>
    </xf>
    <xf numFmtId="49" fontId="79" fillId="61" borderId="0" xfId="64" applyNumberFormat="1" applyFont="1" applyFill="1" applyBorder="1" applyAlignment="1">
      <alignment horizontal="left" vertical="top" wrapText="1"/>
    </xf>
    <xf numFmtId="49" fontId="79" fillId="61" borderId="10" xfId="64" applyNumberFormat="1" applyFont="1" applyFill="1" applyBorder="1" applyAlignment="1">
      <alignment horizontal="left" vertical="top" wrapText="1"/>
    </xf>
    <xf numFmtId="49" fontId="79" fillId="61" borderId="40" xfId="64" applyNumberFormat="1" applyFont="1" applyFill="1" applyBorder="1" applyAlignment="1">
      <alignment horizontal="left" vertical="top" wrapText="1"/>
    </xf>
    <xf numFmtId="49" fontId="79" fillId="61" borderId="2" xfId="64" applyNumberFormat="1" applyFont="1" applyFill="1" applyBorder="1" applyAlignment="1">
      <alignment horizontal="left" vertical="top" wrapText="1"/>
    </xf>
    <xf numFmtId="49" fontId="79" fillId="61" borderId="11" xfId="64" applyNumberFormat="1" applyFont="1" applyFill="1" applyBorder="1" applyAlignment="1">
      <alignment horizontal="left" vertical="top" wrapText="1"/>
    </xf>
    <xf numFmtId="0" fontId="71" fillId="0" borderId="5" xfId="64" applyFont="1" applyFill="1" applyBorder="1" applyAlignment="1">
      <alignment horizontal="center"/>
    </xf>
    <xf numFmtId="0" fontId="71" fillId="0" borderId="6" xfId="64" applyFont="1" applyFill="1" applyBorder="1" applyAlignment="1">
      <alignment horizontal="center"/>
    </xf>
    <xf numFmtId="0" fontId="71" fillId="0" borderId="7" xfId="64" applyFont="1" applyFill="1" applyBorder="1" applyAlignment="1">
      <alignment horizontal="center"/>
    </xf>
    <xf numFmtId="49" fontId="71" fillId="0" borderId="5" xfId="63" applyNumberFormat="1" applyFont="1" applyFill="1" applyBorder="1" applyAlignment="1" applyProtection="1">
      <alignment horizontal="center"/>
      <protection hidden="1"/>
    </xf>
    <xf numFmtId="49" fontId="71" fillId="0" borderId="6" xfId="63" applyNumberFormat="1" applyFont="1" applyFill="1" applyBorder="1" applyAlignment="1" applyProtection="1">
      <alignment horizontal="center"/>
      <protection hidden="1"/>
    </xf>
    <xf numFmtId="49" fontId="71" fillId="0" borderId="7" xfId="63" applyNumberFormat="1" applyFont="1" applyFill="1" applyBorder="1" applyAlignment="1" applyProtection="1">
      <alignment horizontal="center"/>
      <protection hidden="1"/>
    </xf>
    <xf numFmtId="173" fontId="71" fillId="0" borderId="1" xfId="9" applyNumberFormat="1" applyFont="1" applyBorder="1" applyAlignment="1">
      <alignment horizontal="center" vertical="center"/>
    </xf>
    <xf numFmtId="173" fontId="71" fillId="0" borderId="5" xfId="9" applyNumberFormat="1" applyFont="1" applyBorder="1" applyAlignment="1">
      <alignment horizontal="center" vertical="center" wrapText="1"/>
    </xf>
    <xf numFmtId="173" fontId="71" fillId="0" borderId="48" xfId="9" applyNumberFormat="1" applyFont="1" applyBorder="1" applyAlignment="1">
      <alignment horizontal="center" vertical="center"/>
    </xf>
    <xf numFmtId="173" fontId="71" fillId="0" borderId="7" xfId="9" applyNumberFormat="1" applyFont="1" applyBorder="1" applyAlignment="1">
      <alignment horizontal="center" vertical="center"/>
    </xf>
    <xf numFmtId="2" fontId="71" fillId="0" borderId="5" xfId="90" applyNumberFormat="1" applyFont="1" applyBorder="1" applyAlignment="1">
      <alignment horizontal="center" vertical="center"/>
    </xf>
    <xf numFmtId="2" fontId="71" fillId="0" borderId="48" xfId="90" applyNumberFormat="1" applyFont="1" applyBorder="1" applyAlignment="1">
      <alignment horizontal="center" vertical="center"/>
    </xf>
    <xf numFmtId="2" fontId="71" fillId="0" borderId="7" xfId="90" applyNumberFormat="1" applyFont="1" applyBorder="1" applyAlignment="1">
      <alignment horizontal="center" vertical="center"/>
    </xf>
    <xf numFmtId="2" fontId="80" fillId="61" borderId="5" xfId="0" applyNumberFormat="1" applyFont="1" applyFill="1" applyBorder="1" applyAlignment="1">
      <alignment horizontal="center" vertical="center" wrapText="1"/>
    </xf>
    <xf numFmtId="2" fontId="80" fillId="61" borderId="6" xfId="0" applyNumberFormat="1" applyFont="1" applyFill="1" applyBorder="1" applyAlignment="1">
      <alignment horizontal="center" vertical="center" wrapText="1"/>
    </xf>
    <xf numFmtId="2" fontId="80" fillId="61" borderId="7" xfId="0" applyNumberFormat="1" applyFont="1" applyFill="1" applyBorder="1" applyAlignment="1">
      <alignment horizontal="center" vertical="center" wrapText="1"/>
    </xf>
    <xf numFmtId="167" fontId="87" fillId="61" borderId="39" xfId="9" applyFont="1" applyFill="1" applyBorder="1" applyAlignment="1">
      <alignment horizontal="center" vertical="top" wrapText="1"/>
    </xf>
    <xf numFmtId="167" fontId="87" fillId="61" borderId="49" xfId="9" applyFont="1" applyFill="1" applyBorder="1" applyAlignment="1">
      <alignment horizontal="center" vertical="top" wrapText="1"/>
    </xf>
    <xf numFmtId="167" fontId="87" fillId="61" borderId="50" xfId="9" applyFont="1" applyFill="1" applyBorder="1" applyAlignment="1">
      <alignment horizontal="center" vertical="top" wrapText="1"/>
    </xf>
    <xf numFmtId="167" fontId="87" fillId="61" borderId="40" xfId="9" applyFont="1" applyFill="1" applyBorder="1" applyAlignment="1">
      <alignment horizontal="center" vertical="top" wrapText="1"/>
    </xf>
    <xf numFmtId="167" fontId="87" fillId="61" borderId="2" xfId="9" applyFont="1" applyFill="1" applyBorder="1" applyAlignment="1">
      <alignment horizontal="center" vertical="top" wrapText="1"/>
    </xf>
    <xf numFmtId="167" fontId="87" fillId="61" borderId="11" xfId="9" applyFont="1" applyFill="1" applyBorder="1" applyAlignment="1">
      <alignment horizontal="center" vertical="top" wrapText="1"/>
    </xf>
    <xf numFmtId="0" fontId="66" fillId="0" borderId="5" xfId="0" applyFont="1" applyFill="1" applyBorder="1" applyAlignment="1">
      <alignment horizontal="left"/>
    </xf>
    <xf numFmtId="0" fontId="66" fillId="0" borderId="7" xfId="0" applyFont="1" applyFill="1" applyBorder="1" applyAlignment="1">
      <alignment horizontal="left"/>
    </xf>
    <xf numFmtId="0" fontId="71" fillId="0" borderId="5" xfId="14" applyFont="1" applyFill="1" applyBorder="1" applyAlignment="1" applyProtection="1">
      <alignment horizontal="left" vertical="center"/>
      <protection hidden="1"/>
    </xf>
    <xf numFmtId="0" fontId="71" fillId="0" borderId="7" xfId="14" applyFont="1" applyFill="1" applyBorder="1" applyAlignment="1" applyProtection="1">
      <alignment horizontal="left" vertical="center"/>
      <protection hidden="1"/>
    </xf>
    <xf numFmtId="2" fontId="102" fillId="61" borderId="47" xfId="14" applyNumberFormat="1" applyFont="1" applyFill="1" applyBorder="1" applyAlignment="1" applyProtection="1">
      <alignment horizontal="center" vertical="center" wrapText="1"/>
      <protection hidden="1"/>
    </xf>
    <xf numFmtId="2" fontId="102" fillId="61" borderId="5" xfId="4" applyNumberFormat="1" applyFont="1" applyFill="1" applyBorder="1" applyAlignment="1" applyProtection="1">
      <alignment horizontal="center" vertical="center" wrapText="1"/>
      <protection hidden="1"/>
    </xf>
    <xf numFmtId="0" fontId="80" fillId="61" borderId="7" xfId="0" applyFont="1" applyFill="1" applyBorder="1" applyAlignment="1">
      <alignment horizontal="center" vertical="center" wrapText="1"/>
    </xf>
    <xf numFmtId="0" fontId="66" fillId="0" borderId="0" xfId="0" applyFont="1" applyFill="1" applyAlignment="1">
      <alignment horizontal="left" vertical="top" wrapText="1"/>
    </xf>
    <xf numFmtId="0" fontId="66" fillId="0" borderId="0" xfId="0" applyFont="1" applyAlignment="1">
      <alignment horizontal="left" vertical="top" wrapText="1"/>
    </xf>
    <xf numFmtId="2" fontId="102" fillId="61" borderId="1" xfId="14" applyNumberFormat="1" applyFont="1" applyFill="1" applyBorder="1" applyAlignment="1" applyProtection="1">
      <alignment horizontal="center" vertical="center" wrapText="1"/>
      <protection hidden="1"/>
    </xf>
    <xf numFmtId="2" fontId="102" fillId="61" borderId="46" xfId="14" applyNumberFormat="1" applyFont="1" applyFill="1" applyBorder="1" applyAlignment="1" applyProtection="1">
      <alignment horizontal="center" vertical="center" wrapText="1"/>
      <protection hidden="1"/>
    </xf>
    <xf numFmtId="2" fontId="102" fillId="61" borderId="48" xfId="14" applyNumberFormat="1" applyFont="1" applyFill="1" applyBorder="1" applyAlignment="1" applyProtection="1">
      <alignment horizontal="center" vertical="center" wrapText="1"/>
      <protection hidden="1"/>
    </xf>
    <xf numFmtId="2" fontId="102" fillId="61" borderId="45" xfId="14" applyNumberFormat="1" applyFont="1" applyFill="1" applyBorder="1" applyAlignment="1" applyProtection="1">
      <alignment horizontal="center" vertical="center" wrapText="1"/>
      <protection hidden="1"/>
    </xf>
    <xf numFmtId="0" fontId="84" fillId="61" borderId="7" xfId="0" applyFont="1" applyFill="1" applyBorder="1" applyAlignment="1">
      <alignment horizontal="center" vertical="center" wrapText="1"/>
    </xf>
    <xf numFmtId="0" fontId="66" fillId="0" borderId="5" xfId="10" applyFont="1" applyFill="1" applyBorder="1" applyAlignment="1" applyProtection="1">
      <alignment horizontal="center"/>
      <protection hidden="1"/>
    </xf>
    <xf numFmtId="0" fontId="66" fillId="0" borderId="6" xfId="10" applyFont="1" applyFill="1" applyBorder="1" applyAlignment="1" applyProtection="1">
      <alignment horizontal="center"/>
      <protection hidden="1"/>
    </xf>
    <xf numFmtId="0" fontId="66" fillId="0" borderId="7" xfId="10" applyFont="1" applyFill="1" applyBorder="1" applyAlignment="1" applyProtection="1">
      <alignment horizontal="center"/>
      <protection hidden="1"/>
    </xf>
    <xf numFmtId="0" fontId="66" fillId="0" borderId="5" xfId="10" applyFont="1" applyFill="1" applyBorder="1" applyAlignment="1" applyProtection="1">
      <alignment horizontal="left" vertical="center"/>
      <protection hidden="1"/>
    </xf>
    <xf numFmtId="0" fontId="66" fillId="0" borderId="6" xfId="10" applyFont="1" applyFill="1" applyBorder="1" applyAlignment="1" applyProtection="1">
      <alignment horizontal="left" vertical="center"/>
      <protection hidden="1"/>
    </xf>
    <xf numFmtId="0" fontId="66" fillId="0" borderId="7" xfId="10" applyFont="1" applyFill="1" applyBorder="1" applyAlignment="1" applyProtection="1">
      <alignment horizontal="left" vertical="center"/>
      <protection hidden="1"/>
    </xf>
    <xf numFmtId="0" fontId="66" fillId="62" borderId="5" xfId="10" applyFont="1" applyFill="1" applyBorder="1" applyAlignment="1" applyProtection="1">
      <alignment horizontal="left"/>
      <protection hidden="1"/>
    </xf>
    <xf numFmtId="0" fontId="66" fillId="62" borderId="6" xfId="10" applyFont="1" applyFill="1" applyBorder="1" applyAlignment="1" applyProtection="1">
      <alignment horizontal="left"/>
      <protection hidden="1"/>
    </xf>
    <xf numFmtId="0" fontId="66" fillId="62" borderId="7" xfId="10" applyFont="1" applyFill="1" applyBorder="1" applyAlignment="1" applyProtection="1">
      <alignment horizontal="left"/>
      <protection hidden="1"/>
    </xf>
    <xf numFmtId="0" fontId="79" fillId="61" borderId="51" xfId="10" applyNumberFormat="1" applyFont="1" applyFill="1" applyBorder="1" applyAlignment="1" applyProtection="1">
      <alignment horizontal="left" vertical="center"/>
      <protection hidden="1"/>
    </xf>
    <xf numFmtId="0" fontId="79" fillId="61" borderId="0" xfId="10" applyNumberFormat="1" applyFont="1" applyFill="1" applyBorder="1" applyAlignment="1" applyProtection="1">
      <alignment horizontal="left" vertical="center"/>
      <protection hidden="1"/>
    </xf>
  </cellXfs>
  <cellStyles count="52888">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15" xfId="52887" xr:uid="{015F1345-9391-4FDD-A2F9-66055FF307ED}"/>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3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s>
    <sheetDataSet>
      <sheetData sheetId="0" refreshError="1"/>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tabSelected="1" showOutlineSymbols="0" zoomScaleNormal="100" workbookViewId="0">
      <pane ySplit="5" topLeftCell="A6" activePane="bottomLeft" state="frozen"/>
      <selection activeCell="D33" sqref="D33"/>
      <selection pane="bottomLeft" activeCell="A6" sqref="A6:F6"/>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63</v>
      </c>
      <c r="B1" s="2"/>
      <c r="C1" s="2"/>
      <c r="D1" s="2"/>
      <c r="E1" s="2"/>
      <c r="F1" s="3"/>
      <c r="G1" s="3"/>
      <c r="H1" s="3"/>
    </row>
    <row r="2" spans="1:8" ht="26.1" customHeight="1">
      <c r="A2" s="48" t="s">
        <v>22</v>
      </c>
      <c r="B2" s="5"/>
      <c r="C2" s="5"/>
      <c r="D2" s="5"/>
      <c r="E2" s="5"/>
      <c r="F2" s="6"/>
      <c r="G2" s="6"/>
      <c r="H2" s="6"/>
    </row>
    <row r="3" spans="1:8">
      <c r="A3" s="5"/>
      <c r="B3" s="5"/>
      <c r="C3" s="5"/>
      <c r="D3" s="5"/>
      <c r="E3" s="5"/>
      <c r="F3" s="7"/>
      <c r="G3" s="8"/>
      <c r="H3" s="6"/>
    </row>
    <row r="4" spans="1:8" ht="17.25" customHeight="1">
      <c r="A4" s="9" t="s">
        <v>205</v>
      </c>
      <c r="B4" s="10"/>
      <c r="C4" s="10"/>
      <c r="F4" s="503" t="s">
        <v>19</v>
      </c>
      <c r="H4" s="6"/>
    </row>
    <row r="5" spans="1:8" ht="33.75" customHeight="1">
      <c r="A5" s="630" t="s">
        <v>129</v>
      </c>
      <c r="B5" s="630"/>
      <c r="C5" s="630"/>
      <c r="D5" s="630"/>
      <c r="E5" s="630"/>
      <c r="F5" s="630"/>
      <c r="G5" s="8"/>
      <c r="H5" s="6"/>
    </row>
    <row r="6" spans="1:8" ht="18" customHeight="1">
      <c r="A6" s="631"/>
      <c r="B6" s="631"/>
      <c r="C6" s="631"/>
      <c r="D6" s="631"/>
      <c r="E6" s="631"/>
      <c r="F6" s="631"/>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33"/>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D82"/>
  <sheetViews>
    <sheetView showGridLines="0" zoomScale="80" zoomScaleNormal="80" zoomScaleSheetLayoutView="50" zoomScalePageLayoutView="50" workbookViewId="0">
      <pane ySplit="12" topLeftCell="A13" activePane="bottomLeft" state="frozen"/>
      <selection activeCell="D33" sqref="D33"/>
      <selection pane="bottomLeft" activeCell="A13" sqref="A13"/>
    </sheetView>
  </sheetViews>
  <sheetFormatPr defaultColWidth="13.6640625" defaultRowHeight="13.2"/>
  <cols>
    <col min="1" max="1" width="46.109375" style="381" customWidth="1"/>
    <col min="2" max="2" width="43.109375" style="388" bestFit="1" customWidth="1"/>
    <col min="3" max="3" width="12.109375" style="381" customWidth="1"/>
    <col min="4" max="4" width="43.109375" style="389" bestFit="1" customWidth="1"/>
    <col min="5" max="6" width="13.6640625" style="390" customWidth="1"/>
    <col min="7" max="7" width="15.88671875" style="390" customWidth="1"/>
    <col min="8" max="8" width="13.6640625" style="381" customWidth="1"/>
    <col min="9" max="9" width="15.88671875" style="390" customWidth="1"/>
    <col min="10" max="251" width="13.6640625" style="532"/>
    <col min="252" max="252" width="22.109375" style="532" customWidth="1"/>
    <col min="253" max="259" width="13.6640625" style="532" customWidth="1"/>
    <col min="260" max="260" width="15.88671875" style="532" customWidth="1"/>
    <col min="261" max="261" width="16.5546875" style="532" bestFit="1" customWidth="1"/>
    <col min="262" max="262" width="13.6640625" style="532" customWidth="1"/>
    <col min="263" max="263" width="17.109375" style="532" bestFit="1" customWidth="1"/>
    <col min="264" max="264" width="4" style="532" customWidth="1"/>
    <col min="265" max="265" width="13.6640625" style="532" customWidth="1"/>
    <col min="266" max="507" width="13.6640625" style="532"/>
    <col min="508" max="508" width="22.109375" style="532" customWidth="1"/>
    <col min="509" max="515" width="13.6640625" style="532" customWidth="1"/>
    <col min="516" max="516" width="15.88671875" style="532" customWidth="1"/>
    <col min="517" max="517" width="16.5546875" style="532" bestFit="1" customWidth="1"/>
    <col min="518" max="518" width="13.6640625" style="532" customWidth="1"/>
    <col min="519" max="519" width="17.109375" style="532" bestFit="1" customWidth="1"/>
    <col min="520" max="520" width="4" style="532" customWidth="1"/>
    <col min="521" max="521" width="13.6640625" style="532" customWidth="1"/>
    <col min="522" max="763" width="13.6640625" style="532"/>
    <col min="764" max="764" width="22.109375" style="532" customWidth="1"/>
    <col min="765" max="771" width="13.6640625" style="532" customWidth="1"/>
    <col min="772" max="772" width="15.88671875" style="532" customWidth="1"/>
    <col min="773" max="773" width="16.5546875" style="532" bestFit="1" customWidth="1"/>
    <col min="774" max="774" width="13.6640625" style="532" customWidth="1"/>
    <col min="775" max="775" width="17.109375" style="532" bestFit="1" customWidth="1"/>
    <col min="776" max="776" width="4" style="532" customWidth="1"/>
    <col min="777" max="777" width="13.6640625" style="532" customWidth="1"/>
    <col min="778" max="1019" width="13.6640625" style="532"/>
    <col min="1020" max="1020" width="22.109375" style="532" customWidth="1"/>
    <col min="1021" max="1027" width="13.6640625" style="532" customWidth="1"/>
    <col min="1028" max="1028" width="15.88671875" style="532" customWidth="1"/>
    <col min="1029" max="1029" width="16.5546875" style="532" bestFit="1" customWidth="1"/>
    <col min="1030" max="1030" width="13.6640625" style="532" customWidth="1"/>
    <col min="1031" max="1031" width="17.109375" style="532" bestFit="1" customWidth="1"/>
    <col min="1032" max="1032" width="4" style="532" customWidth="1"/>
    <col min="1033" max="1033" width="13.6640625" style="532" customWidth="1"/>
    <col min="1034" max="1275" width="13.6640625" style="532"/>
    <col min="1276" max="1276" width="22.109375" style="532" customWidth="1"/>
    <col min="1277" max="1283" width="13.6640625" style="532" customWidth="1"/>
    <col min="1284" max="1284" width="15.88671875" style="532" customWidth="1"/>
    <col min="1285" max="1285" width="16.5546875" style="532" bestFit="1" customWidth="1"/>
    <col min="1286" max="1286" width="13.6640625" style="532" customWidth="1"/>
    <col min="1287" max="1287" width="17.109375" style="532" bestFit="1" customWidth="1"/>
    <col min="1288" max="1288" width="4" style="532" customWidth="1"/>
    <col min="1289" max="1289" width="13.6640625" style="532" customWidth="1"/>
    <col min="1290" max="1531" width="13.6640625" style="532"/>
    <col min="1532" max="1532" width="22.109375" style="532" customWidth="1"/>
    <col min="1533" max="1539" width="13.6640625" style="532" customWidth="1"/>
    <col min="1540" max="1540" width="15.88671875" style="532" customWidth="1"/>
    <col min="1541" max="1541" width="16.5546875" style="532" bestFit="1" customWidth="1"/>
    <col min="1542" max="1542" width="13.6640625" style="532" customWidth="1"/>
    <col min="1543" max="1543" width="17.109375" style="532" bestFit="1" customWidth="1"/>
    <col min="1544" max="1544" width="4" style="532" customWidth="1"/>
    <col min="1545" max="1545" width="13.6640625" style="532" customWidth="1"/>
    <col min="1546" max="1787" width="13.6640625" style="532"/>
    <col min="1788" max="1788" width="22.109375" style="532" customWidth="1"/>
    <col min="1789" max="1795" width="13.6640625" style="532" customWidth="1"/>
    <col min="1796" max="1796" width="15.88671875" style="532" customWidth="1"/>
    <col min="1797" max="1797" width="16.5546875" style="532" bestFit="1" customWidth="1"/>
    <col min="1798" max="1798" width="13.6640625" style="532" customWidth="1"/>
    <col min="1799" max="1799" width="17.109375" style="532" bestFit="1" customWidth="1"/>
    <col min="1800" max="1800" width="4" style="532" customWidth="1"/>
    <col min="1801" max="1801" width="13.6640625" style="532" customWidth="1"/>
    <col min="1802" max="2043" width="13.6640625" style="532"/>
    <col min="2044" max="2044" width="22.109375" style="532" customWidth="1"/>
    <col min="2045" max="2051" width="13.6640625" style="532" customWidth="1"/>
    <col min="2052" max="2052" width="15.88671875" style="532" customWidth="1"/>
    <col min="2053" max="2053" width="16.5546875" style="532" bestFit="1" customWidth="1"/>
    <col min="2054" max="2054" width="13.6640625" style="532" customWidth="1"/>
    <col min="2055" max="2055" width="17.109375" style="532" bestFit="1" customWidth="1"/>
    <col min="2056" max="2056" width="4" style="532" customWidth="1"/>
    <col min="2057" max="2057" width="13.6640625" style="532" customWidth="1"/>
    <col min="2058" max="2299" width="13.6640625" style="532"/>
    <col min="2300" max="2300" width="22.109375" style="532" customWidth="1"/>
    <col min="2301" max="2307" width="13.6640625" style="532" customWidth="1"/>
    <col min="2308" max="2308" width="15.88671875" style="532" customWidth="1"/>
    <col min="2309" max="2309" width="16.5546875" style="532" bestFit="1" customWidth="1"/>
    <col min="2310" max="2310" width="13.6640625" style="532" customWidth="1"/>
    <col min="2311" max="2311" width="17.109375" style="532" bestFit="1" customWidth="1"/>
    <col min="2312" max="2312" width="4" style="532" customWidth="1"/>
    <col min="2313" max="2313" width="13.6640625" style="532" customWidth="1"/>
    <col min="2314" max="2555" width="13.6640625" style="532"/>
    <col min="2556" max="2556" width="22.109375" style="532" customWidth="1"/>
    <col min="2557" max="2563" width="13.6640625" style="532" customWidth="1"/>
    <col min="2564" max="2564" width="15.88671875" style="532" customWidth="1"/>
    <col min="2565" max="2565" width="16.5546875" style="532" bestFit="1" customWidth="1"/>
    <col min="2566" max="2566" width="13.6640625" style="532" customWidth="1"/>
    <col min="2567" max="2567" width="17.109375" style="532" bestFit="1" customWidth="1"/>
    <col min="2568" max="2568" width="4" style="532" customWidth="1"/>
    <col min="2569" max="2569" width="13.6640625" style="532" customWidth="1"/>
    <col min="2570" max="2811" width="13.6640625" style="532"/>
    <col min="2812" max="2812" width="22.109375" style="532" customWidth="1"/>
    <col min="2813" max="2819" width="13.6640625" style="532" customWidth="1"/>
    <col min="2820" max="2820" width="15.88671875" style="532" customWidth="1"/>
    <col min="2821" max="2821" width="16.5546875" style="532" bestFit="1" customWidth="1"/>
    <col min="2822" max="2822" width="13.6640625" style="532" customWidth="1"/>
    <col min="2823" max="2823" width="17.109375" style="532" bestFit="1" customWidth="1"/>
    <col min="2824" max="2824" width="4" style="532" customWidth="1"/>
    <col min="2825" max="2825" width="13.6640625" style="532" customWidth="1"/>
    <col min="2826" max="3067" width="13.6640625" style="532"/>
    <col min="3068" max="3068" width="22.109375" style="532" customWidth="1"/>
    <col min="3069" max="3075" width="13.6640625" style="532" customWidth="1"/>
    <col min="3076" max="3076" width="15.88671875" style="532" customWidth="1"/>
    <col min="3077" max="3077" width="16.5546875" style="532" bestFit="1" customWidth="1"/>
    <col min="3078" max="3078" width="13.6640625" style="532" customWidth="1"/>
    <col min="3079" max="3079" width="17.109375" style="532" bestFit="1" customWidth="1"/>
    <col min="3080" max="3080" width="4" style="532" customWidth="1"/>
    <col min="3081" max="3081" width="13.6640625" style="532" customWidth="1"/>
    <col min="3082" max="3323" width="13.6640625" style="532"/>
    <col min="3324" max="3324" width="22.109375" style="532" customWidth="1"/>
    <col min="3325" max="3331" width="13.6640625" style="532" customWidth="1"/>
    <col min="3332" max="3332" width="15.88671875" style="532" customWidth="1"/>
    <col min="3333" max="3333" width="16.5546875" style="532" bestFit="1" customWidth="1"/>
    <col min="3334" max="3334" width="13.6640625" style="532" customWidth="1"/>
    <col min="3335" max="3335" width="17.109375" style="532" bestFit="1" customWidth="1"/>
    <col min="3336" max="3336" width="4" style="532" customWidth="1"/>
    <col min="3337" max="3337" width="13.6640625" style="532" customWidth="1"/>
    <col min="3338" max="3579" width="13.6640625" style="532"/>
    <col min="3580" max="3580" width="22.109375" style="532" customWidth="1"/>
    <col min="3581" max="3587" width="13.6640625" style="532" customWidth="1"/>
    <col min="3588" max="3588" width="15.88671875" style="532" customWidth="1"/>
    <col min="3589" max="3589" width="16.5546875" style="532" bestFit="1" customWidth="1"/>
    <col min="3590" max="3590" width="13.6640625" style="532" customWidth="1"/>
    <col min="3591" max="3591" width="17.109375" style="532" bestFit="1" customWidth="1"/>
    <col min="3592" max="3592" width="4" style="532" customWidth="1"/>
    <col min="3593" max="3593" width="13.6640625" style="532" customWidth="1"/>
    <col min="3594" max="3835" width="13.6640625" style="532"/>
    <col min="3836" max="3836" width="22.109375" style="532" customWidth="1"/>
    <col min="3837" max="3843" width="13.6640625" style="532" customWidth="1"/>
    <col min="3844" max="3844" width="15.88671875" style="532" customWidth="1"/>
    <col min="3845" max="3845" width="16.5546875" style="532" bestFit="1" customWidth="1"/>
    <col min="3846" max="3846" width="13.6640625" style="532" customWidth="1"/>
    <col min="3847" max="3847" width="17.109375" style="532" bestFit="1" customWidth="1"/>
    <col min="3848" max="3848" width="4" style="532" customWidth="1"/>
    <col min="3849" max="3849" width="13.6640625" style="532" customWidth="1"/>
    <col min="3850" max="4091" width="13.6640625" style="532"/>
    <col min="4092" max="4092" width="22.109375" style="532" customWidth="1"/>
    <col min="4093" max="4099" width="13.6640625" style="532" customWidth="1"/>
    <col min="4100" max="4100" width="15.88671875" style="532" customWidth="1"/>
    <col min="4101" max="4101" width="16.5546875" style="532" bestFit="1" customWidth="1"/>
    <col min="4102" max="4102" width="13.6640625" style="532" customWidth="1"/>
    <col min="4103" max="4103" width="17.109375" style="532" bestFit="1" customWidth="1"/>
    <col min="4104" max="4104" width="4" style="532" customWidth="1"/>
    <col min="4105" max="4105" width="13.6640625" style="532" customWidth="1"/>
    <col min="4106" max="4347" width="13.6640625" style="532"/>
    <col min="4348" max="4348" width="22.109375" style="532" customWidth="1"/>
    <col min="4349" max="4355" width="13.6640625" style="532" customWidth="1"/>
    <col min="4356" max="4356" width="15.88671875" style="532" customWidth="1"/>
    <col min="4357" max="4357" width="16.5546875" style="532" bestFit="1" customWidth="1"/>
    <col min="4358" max="4358" width="13.6640625" style="532" customWidth="1"/>
    <col min="4359" max="4359" width="17.109375" style="532" bestFit="1" customWidth="1"/>
    <col min="4360" max="4360" width="4" style="532" customWidth="1"/>
    <col min="4361" max="4361" width="13.6640625" style="532" customWidth="1"/>
    <col min="4362" max="4603" width="13.6640625" style="532"/>
    <col min="4604" max="4604" width="22.109375" style="532" customWidth="1"/>
    <col min="4605" max="4611" width="13.6640625" style="532" customWidth="1"/>
    <col min="4612" max="4612" width="15.88671875" style="532" customWidth="1"/>
    <col min="4613" max="4613" width="16.5546875" style="532" bestFit="1" customWidth="1"/>
    <col min="4614" max="4614" width="13.6640625" style="532" customWidth="1"/>
    <col min="4615" max="4615" width="17.109375" style="532" bestFit="1" customWidth="1"/>
    <col min="4616" max="4616" width="4" style="532" customWidth="1"/>
    <col min="4617" max="4617" width="13.6640625" style="532" customWidth="1"/>
    <col min="4618" max="4859" width="13.6640625" style="532"/>
    <col min="4860" max="4860" width="22.109375" style="532" customWidth="1"/>
    <col min="4861" max="4867" width="13.6640625" style="532" customWidth="1"/>
    <col min="4868" max="4868" width="15.88671875" style="532" customWidth="1"/>
    <col min="4869" max="4869" width="16.5546875" style="532" bestFit="1" customWidth="1"/>
    <col min="4870" max="4870" width="13.6640625" style="532" customWidth="1"/>
    <col min="4871" max="4871" width="17.109375" style="532" bestFit="1" customWidth="1"/>
    <col min="4872" max="4872" width="4" style="532" customWidth="1"/>
    <col min="4873" max="4873" width="13.6640625" style="532" customWidth="1"/>
    <col min="4874" max="5115" width="13.6640625" style="532"/>
    <col min="5116" max="5116" width="22.109375" style="532" customWidth="1"/>
    <col min="5117" max="5123" width="13.6640625" style="532" customWidth="1"/>
    <col min="5124" max="5124" width="15.88671875" style="532" customWidth="1"/>
    <col min="5125" max="5125" width="16.5546875" style="532" bestFit="1" customWidth="1"/>
    <col min="5126" max="5126" width="13.6640625" style="532" customWidth="1"/>
    <col min="5127" max="5127" width="17.109375" style="532" bestFit="1" customWidth="1"/>
    <col min="5128" max="5128" width="4" style="532" customWidth="1"/>
    <col min="5129" max="5129" width="13.6640625" style="532" customWidth="1"/>
    <col min="5130" max="5371" width="13.6640625" style="532"/>
    <col min="5372" max="5372" width="22.109375" style="532" customWidth="1"/>
    <col min="5373" max="5379" width="13.6640625" style="532" customWidth="1"/>
    <col min="5380" max="5380" width="15.88671875" style="532" customWidth="1"/>
    <col min="5381" max="5381" width="16.5546875" style="532" bestFit="1" customWidth="1"/>
    <col min="5382" max="5382" width="13.6640625" style="532" customWidth="1"/>
    <col min="5383" max="5383" width="17.109375" style="532" bestFit="1" customWidth="1"/>
    <col min="5384" max="5384" width="4" style="532" customWidth="1"/>
    <col min="5385" max="5385" width="13.6640625" style="532" customWidth="1"/>
    <col min="5386" max="5627" width="13.6640625" style="532"/>
    <col min="5628" max="5628" width="22.109375" style="532" customWidth="1"/>
    <col min="5629" max="5635" width="13.6640625" style="532" customWidth="1"/>
    <col min="5636" max="5636" width="15.88671875" style="532" customWidth="1"/>
    <col min="5637" max="5637" width="16.5546875" style="532" bestFit="1" customWidth="1"/>
    <col min="5638" max="5638" width="13.6640625" style="532" customWidth="1"/>
    <col min="5639" max="5639" width="17.109375" style="532" bestFit="1" customWidth="1"/>
    <col min="5640" max="5640" width="4" style="532" customWidth="1"/>
    <col min="5641" max="5641" width="13.6640625" style="532" customWidth="1"/>
    <col min="5642" max="5883" width="13.6640625" style="532"/>
    <col min="5884" max="5884" width="22.109375" style="532" customWidth="1"/>
    <col min="5885" max="5891" width="13.6640625" style="532" customWidth="1"/>
    <col min="5892" max="5892" width="15.88671875" style="532" customWidth="1"/>
    <col min="5893" max="5893" width="16.5546875" style="532" bestFit="1" customWidth="1"/>
    <col min="5894" max="5894" width="13.6640625" style="532" customWidth="1"/>
    <col min="5895" max="5895" width="17.109375" style="532" bestFit="1" customWidth="1"/>
    <col min="5896" max="5896" width="4" style="532" customWidth="1"/>
    <col min="5897" max="5897" width="13.6640625" style="532" customWidth="1"/>
    <col min="5898" max="6139" width="13.6640625" style="532"/>
    <col min="6140" max="6140" width="22.109375" style="532" customWidth="1"/>
    <col min="6141" max="6147" width="13.6640625" style="532" customWidth="1"/>
    <col min="6148" max="6148" width="15.88671875" style="532" customWidth="1"/>
    <col min="6149" max="6149" width="16.5546875" style="532" bestFit="1" customWidth="1"/>
    <col min="6150" max="6150" width="13.6640625" style="532" customWidth="1"/>
    <col min="6151" max="6151" width="17.109375" style="532" bestFit="1" customWidth="1"/>
    <col min="6152" max="6152" width="4" style="532" customWidth="1"/>
    <col min="6153" max="6153" width="13.6640625" style="532" customWidth="1"/>
    <col min="6154" max="6395" width="13.6640625" style="532"/>
    <col min="6396" max="6396" width="22.109375" style="532" customWidth="1"/>
    <col min="6397" max="6403" width="13.6640625" style="532" customWidth="1"/>
    <col min="6404" max="6404" width="15.88671875" style="532" customWidth="1"/>
    <col min="6405" max="6405" width="16.5546875" style="532" bestFit="1" customWidth="1"/>
    <col min="6406" max="6406" width="13.6640625" style="532" customWidth="1"/>
    <col min="6407" max="6407" width="17.109375" style="532" bestFit="1" customWidth="1"/>
    <col min="6408" max="6408" width="4" style="532" customWidth="1"/>
    <col min="6409" max="6409" width="13.6640625" style="532" customWidth="1"/>
    <col min="6410" max="6651" width="13.6640625" style="532"/>
    <col min="6652" max="6652" width="22.109375" style="532" customWidth="1"/>
    <col min="6653" max="6659" width="13.6640625" style="532" customWidth="1"/>
    <col min="6660" max="6660" width="15.88671875" style="532" customWidth="1"/>
    <col min="6661" max="6661" width="16.5546875" style="532" bestFit="1" customWidth="1"/>
    <col min="6662" max="6662" width="13.6640625" style="532" customWidth="1"/>
    <col min="6663" max="6663" width="17.109375" style="532" bestFit="1" customWidth="1"/>
    <col min="6664" max="6664" width="4" style="532" customWidth="1"/>
    <col min="6665" max="6665" width="13.6640625" style="532" customWidth="1"/>
    <col min="6666" max="6907" width="13.6640625" style="532"/>
    <col min="6908" max="6908" width="22.109375" style="532" customWidth="1"/>
    <col min="6909" max="6915" width="13.6640625" style="532" customWidth="1"/>
    <col min="6916" max="6916" width="15.88671875" style="532" customWidth="1"/>
    <col min="6917" max="6917" width="16.5546875" style="532" bestFit="1" customWidth="1"/>
    <col min="6918" max="6918" width="13.6640625" style="532" customWidth="1"/>
    <col min="6919" max="6919" width="17.109375" style="532" bestFit="1" customWidth="1"/>
    <col min="6920" max="6920" width="4" style="532" customWidth="1"/>
    <col min="6921" max="6921" width="13.6640625" style="532" customWidth="1"/>
    <col min="6922" max="7163" width="13.6640625" style="532"/>
    <col min="7164" max="7164" width="22.109375" style="532" customWidth="1"/>
    <col min="7165" max="7171" width="13.6640625" style="532" customWidth="1"/>
    <col min="7172" max="7172" width="15.88671875" style="532" customWidth="1"/>
    <col min="7173" max="7173" width="16.5546875" style="532" bestFit="1" customWidth="1"/>
    <col min="7174" max="7174" width="13.6640625" style="532" customWidth="1"/>
    <col min="7175" max="7175" width="17.109375" style="532" bestFit="1" customWidth="1"/>
    <col min="7176" max="7176" width="4" style="532" customWidth="1"/>
    <col min="7177" max="7177" width="13.6640625" style="532" customWidth="1"/>
    <col min="7178" max="7419" width="13.6640625" style="532"/>
    <col min="7420" max="7420" width="22.109375" style="532" customWidth="1"/>
    <col min="7421" max="7427" width="13.6640625" style="532" customWidth="1"/>
    <col min="7428" max="7428" width="15.88671875" style="532" customWidth="1"/>
    <col min="7429" max="7429" width="16.5546875" style="532" bestFit="1" customWidth="1"/>
    <col min="7430" max="7430" width="13.6640625" style="532" customWidth="1"/>
    <col min="7431" max="7431" width="17.109375" style="532" bestFit="1" customWidth="1"/>
    <col min="7432" max="7432" width="4" style="532" customWidth="1"/>
    <col min="7433" max="7433" width="13.6640625" style="532" customWidth="1"/>
    <col min="7434" max="7675" width="13.6640625" style="532"/>
    <col min="7676" max="7676" width="22.109375" style="532" customWidth="1"/>
    <col min="7677" max="7683" width="13.6640625" style="532" customWidth="1"/>
    <col min="7684" max="7684" width="15.88671875" style="532" customWidth="1"/>
    <col min="7685" max="7685" width="16.5546875" style="532" bestFit="1" customWidth="1"/>
    <col min="7686" max="7686" width="13.6640625" style="532" customWidth="1"/>
    <col min="7687" max="7687" width="17.109375" style="532" bestFit="1" customWidth="1"/>
    <col min="7688" max="7688" width="4" style="532" customWidth="1"/>
    <col min="7689" max="7689" width="13.6640625" style="532" customWidth="1"/>
    <col min="7690" max="7931" width="13.6640625" style="532"/>
    <col min="7932" max="7932" width="22.109375" style="532" customWidth="1"/>
    <col min="7933" max="7939" width="13.6640625" style="532" customWidth="1"/>
    <col min="7940" max="7940" width="15.88671875" style="532" customWidth="1"/>
    <col min="7941" max="7941" width="16.5546875" style="532" bestFit="1" customWidth="1"/>
    <col min="7942" max="7942" width="13.6640625" style="532" customWidth="1"/>
    <col min="7943" max="7943" width="17.109375" style="532" bestFit="1" customWidth="1"/>
    <col min="7944" max="7944" width="4" style="532" customWidth="1"/>
    <col min="7945" max="7945" width="13.6640625" style="532" customWidth="1"/>
    <col min="7946" max="8187" width="13.6640625" style="532"/>
    <col min="8188" max="8188" width="22.109375" style="532" customWidth="1"/>
    <col min="8189" max="8195" width="13.6640625" style="532" customWidth="1"/>
    <col min="8196" max="8196" width="15.88671875" style="532" customWidth="1"/>
    <col min="8197" max="8197" width="16.5546875" style="532" bestFit="1" customWidth="1"/>
    <col min="8198" max="8198" width="13.6640625" style="532" customWidth="1"/>
    <col min="8199" max="8199" width="17.109375" style="532" bestFit="1" customWidth="1"/>
    <col min="8200" max="8200" width="4" style="532" customWidth="1"/>
    <col min="8201" max="8201" width="13.6640625" style="532" customWidth="1"/>
    <col min="8202" max="8443" width="13.6640625" style="532"/>
    <col min="8444" max="8444" width="22.109375" style="532" customWidth="1"/>
    <col min="8445" max="8451" width="13.6640625" style="532" customWidth="1"/>
    <col min="8452" max="8452" width="15.88671875" style="532" customWidth="1"/>
    <col min="8453" max="8453" width="16.5546875" style="532" bestFit="1" customWidth="1"/>
    <col min="8454" max="8454" width="13.6640625" style="532" customWidth="1"/>
    <col min="8455" max="8455" width="17.109375" style="532" bestFit="1" customWidth="1"/>
    <col min="8456" max="8456" width="4" style="532" customWidth="1"/>
    <col min="8457" max="8457" width="13.6640625" style="532" customWidth="1"/>
    <col min="8458" max="8699" width="13.6640625" style="532"/>
    <col min="8700" max="8700" width="22.109375" style="532" customWidth="1"/>
    <col min="8701" max="8707" width="13.6640625" style="532" customWidth="1"/>
    <col min="8708" max="8708" width="15.88671875" style="532" customWidth="1"/>
    <col min="8709" max="8709" width="16.5546875" style="532" bestFit="1" customWidth="1"/>
    <col min="8710" max="8710" width="13.6640625" style="532" customWidth="1"/>
    <col min="8711" max="8711" width="17.109375" style="532" bestFit="1" customWidth="1"/>
    <col min="8712" max="8712" width="4" style="532" customWidth="1"/>
    <col min="8713" max="8713" width="13.6640625" style="532" customWidth="1"/>
    <col min="8714" max="8955" width="13.6640625" style="532"/>
    <col min="8956" max="8956" width="22.109375" style="532" customWidth="1"/>
    <col min="8957" max="8963" width="13.6640625" style="532" customWidth="1"/>
    <col min="8964" max="8964" width="15.88671875" style="532" customWidth="1"/>
    <col min="8965" max="8965" width="16.5546875" style="532" bestFit="1" customWidth="1"/>
    <col min="8966" max="8966" width="13.6640625" style="532" customWidth="1"/>
    <col min="8967" max="8967" width="17.109375" style="532" bestFit="1" customWidth="1"/>
    <col min="8968" max="8968" width="4" style="532" customWidth="1"/>
    <col min="8969" max="8969" width="13.6640625" style="532" customWidth="1"/>
    <col min="8970" max="9211" width="13.6640625" style="532"/>
    <col min="9212" max="9212" width="22.109375" style="532" customWidth="1"/>
    <col min="9213" max="9219" width="13.6640625" style="532" customWidth="1"/>
    <col min="9220" max="9220" width="15.88671875" style="532" customWidth="1"/>
    <col min="9221" max="9221" width="16.5546875" style="532" bestFit="1" customWidth="1"/>
    <col min="9222" max="9222" width="13.6640625" style="532" customWidth="1"/>
    <col min="9223" max="9223" width="17.109375" style="532" bestFit="1" customWidth="1"/>
    <col min="9224" max="9224" width="4" style="532" customWidth="1"/>
    <col min="9225" max="9225" width="13.6640625" style="532" customWidth="1"/>
    <col min="9226" max="9467" width="13.6640625" style="532"/>
    <col min="9468" max="9468" width="22.109375" style="532" customWidth="1"/>
    <col min="9469" max="9475" width="13.6640625" style="532" customWidth="1"/>
    <col min="9476" max="9476" width="15.88671875" style="532" customWidth="1"/>
    <col min="9477" max="9477" width="16.5546875" style="532" bestFit="1" customWidth="1"/>
    <col min="9478" max="9478" width="13.6640625" style="532" customWidth="1"/>
    <col min="9479" max="9479" width="17.109375" style="532" bestFit="1" customWidth="1"/>
    <col min="9480" max="9480" width="4" style="532" customWidth="1"/>
    <col min="9481" max="9481" width="13.6640625" style="532" customWidth="1"/>
    <col min="9482" max="9723" width="13.6640625" style="532"/>
    <col min="9724" max="9724" width="22.109375" style="532" customWidth="1"/>
    <col min="9725" max="9731" width="13.6640625" style="532" customWidth="1"/>
    <col min="9732" max="9732" width="15.88671875" style="532" customWidth="1"/>
    <col min="9733" max="9733" width="16.5546875" style="532" bestFit="1" customWidth="1"/>
    <col min="9734" max="9734" width="13.6640625" style="532" customWidth="1"/>
    <col min="9735" max="9735" width="17.109375" style="532" bestFit="1" customWidth="1"/>
    <col min="9736" max="9736" width="4" style="532" customWidth="1"/>
    <col min="9737" max="9737" width="13.6640625" style="532" customWidth="1"/>
    <col min="9738" max="9979" width="13.6640625" style="532"/>
    <col min="9980" max="9980" width="22.109375" style="532" customWidth="1"/>
    <col min="9981" max="9987" width="13.6640625" style="532" customWidth="1"/>
    <col min="9988" max="9988" width="15.88671875" style="532" customWidth="1"/>
    <col min="9989" max="9989" width="16.5546875" style="532" bestFit="1" customWidth="1"/>
    <col min="9990" max="9990" width="13.6640625" style="532" customWidth="1"/>
    <col min="9991" max="9991" width="17.109375" style="532" bestFit="1" customWidth="1"/>
    <col min="9992" max="9992" width="4" style="532" customWidth="1"/>
    <col min="9993" max="9993" width="13.6640625" style="532" customWidth="1"/>
    <col min="9994" max="10235" width="13.6640625" style="532"/>
    <col min="10236" max="10236" width="22.109375" style="532" customWidth="1"/>
    <col min="10237" max="10243" width="13.6640625" style="532" customWidth="1"/>
    <col min="10244" max="10244" width="15.88671875" style="532" customWidth="1"/>
    <col min="10245" max="10245" width="16.5546875" style="532" bestFit="1" customWidth="1"/>
    <col min="10246" max="10246" width="13.6640625" style="532" customWidth="1"/>
    <col min="10247" max="10247" width="17.109375" style="532" bestFit="1" customWidth="1"/>
    <col min="10248" max="10248" width="4" style="532" customWidth="1"/>
    <col min="10249" max="10249" width="13.6640625" style="532" customWidth="1"/>
    <col min="10250" max="10491" width="13.6640625" style="532"/>
    <col min="10492" max="10492" width="22.109375" style="532" customWidth="1"/>
    <col min="10493" max="10499" width="13.6640625" style="532" customWidth="1"/>
    <col min="10500" max="10500" width="15.88671875" style="532" customWidth="1"/>
    <col min="10501" max="10501" width="16.5546875" style="532" bestFit="1" customWidth="1"/>
    <col min="10502" max="10502" width="13.6640625" style="532" customWidth="1"/>
    <col min="10503" max="10503" width="17.109375" style="532" bestFit="1" customWidth="1"/>
    <col min="10504" max="10504" width="4" style="532" customWidth="1"/>
    <col min="10505" max="10505" width="13.6640625" style="532" customWidth="1"/>
    <col min="10506" max="10747" width="13.6640625" style="532"/>
    <col min="10748" max="10748" width="22.109375" style="532" customWidth="1"/>
    <col min="10749" max="10755" width="13.6640625" style="532" customWidth="1"/>
    <col min="10756" max="10756" width="15.88671875" style="532" customWidth="1"/>
    <col min="10757" max="10757" width="16.5546875" style="532" bestFit="1" customWidth="1"/>
    <col min="10758" max="10758" width="13.6640625" style="532" customWidth="1"/>
    <col min="10759" max="10759" width="17.109375" style="532" bestFit="1" customWidth="1"/>
    <col min="10760" max="10760" width="4" style="532" customWidth="1"/>
    <col min="10761" max="10761" width="13.6640625" style="532" customWidth="1"/>
    <col min="10762" max="11003" width="13.6640625" style="532"/>
    <col min="11004" max="11004" width="22.109375" style="532" customWidth="1"/>
    <col min="11005" max="11011" width="13.6640625" style="532" customWidth="1"/>
    <col min="11012" max="11012" width="15.88671875" style="532" customWidth="1"/>
    <col min="11013" max="11013" width="16.5546875" style="532" bestFit="1" customWidth="1"/>
    <col min="11014" max="11014" width="13.6640625" style="532" customWidth="1"/>
    <col min="11015" max="11015" width="17.109375" style="532" bestFit="1" customWidth="1"/>
    <col min="11016" max="11016" width="4" style="532" customWidth="1"/>
    <col min="11017" max="11017" width="13.6640625" style="532" customWidth="1"/>
    <col min="11018" max="11259" width="13.6640625" style="532"/>
    <col min="11260" max="11260" width="22.109375" style="532" customWidth="1"/>
    <col min="11261" max="11267" width="13.6640625" style="532" customWidth="1"/>
    <col min="11268" max="11268" width="15.88671875" style="532" customWidth="1"/>
    <col min="11269" max="11269" width="16.5546875" style="532" bestFit="1" customWidth="1"/>
    <col min="11270" max="11270" width="13.6640625" style="532" customWidth="1"/>
    <col min="11271" max="11271" width="17.109375" style="532" bestFit="1" customWidth="1"/>
    <col min="11272" max="11272" width="4" style="532" customWidth="1"/>
    <col min="11273" max="11273" width="13.6640625" style="532" customWidth="1"/>
    <col min="11274" max="11515" width="13.6640625" style="532"/>
    <col min="11516" max="11516" width="22.109375" style="532" customWidth="1"/>
    <col min="11517" max="11523" width="13.6640625" style="532" customWidth="1"/>
    <col min="11524" max="11524" width="15.88671875" style="532" customWidth="1"/>
    <col min="11525" max="11525" width="16.5546875" style="532" bestFit="1" customWidth="1"/>
    <col min="11526" max="11526" width="13.6640625" style="532" customWidth="1"/>
    <col min="11527" max="11527" width="17.109375" style="532" bestFit="1" customWidth="1"/>
    <col min="11528" max="11528" width="4" style="532" customWidth="1"/>
    <col min="11529" max="11529" width="13.6640625" style="532" customWidth="1"/>
    <col min="11530" max="11771" width="13.6640625" style="532"/>
    <col min="11772" max="11772" width="22.109375" style="532" customWidth="1"/>
    <col min="11773" max="11779" width="13.6640625" style="532" customWidth="1"/>
    <col min="11780" max="11780" width="15.88671875" style="532" customWidth="1"/>
    <col min="11781" max="11781" width="16.5546875" style="532" bestFit="1" customWidth="1"/>
    <col min="11782" max="11782" width="13.6640625" style="532" customWidth="1"/>
    <col min="11783" max="11783" width="17.109375" style="532" bestFit="1" customWidth="1"/>
    <col min="11784" max="11784" width="4" style="532" customWidth="1"/>
    <col min="11785" max="11785" width="13.6640625" style="532" customWidth="1"/>
    <col min="11786" max="12027" width="13.6640625" style="532"/>
    <col min="12028" max="12028" width="22.109375" style="532" customWidth="1"/>
    <col min="12029" max="12035" width="13.6640625" style="532" customWidth="1"/>
    <col min="12036" max="12036" width="15.88671875" style="532" customWidth="1"/>
    <col min="12037" max="12037" width="16.5546875" style="532" bestFit="1" customWidth="1"/>
    <col min="12038" max="12038" width="13.6640625" style="532" customWidth="1"/>
    <col min="12039" max="12039" width="17.109375" style="532" bestFit="1" customWidth="1"/>
    <col min="12040" max="12040" width="4" style="532" customWidth="1"/>
    <col min="12041" max="12041" width="13.6640625" style="532" customWidth="1"/>
    <col min="12042" max="12283" width="13.6640625" style="532"/>
    <col min="12284" max="12284" width="22.109375" style="532" customWidth="1"/>
    <col min="12285" max="12291" width="13.6640625" style="532" customWidth="1"/>
    <col min="12292" max="12292" width="15.88671875" style="532" customWidth="1"/>
    <col min="12293" max="12293" width="16.5546875" style="532" bestFit="1" customWidth="1"/>
    <col min="12294" max="12294" width="13.6640625" style="532" customWidth="1"/>
    <col min="12295" max="12295" width="17.109375" style="532" bestFit="1" customWidth="1"/>
    <col min="12296" max="12296" width="4" style="532" customWidth="1"/>
    <col min="12297" max="12297" width="13.6640625" style="532" customWidth="1"/>
    <col min="12298" max="12539" width="13.6640625" style="532"/>
    <col min="12540" max="12540" width="22.109375" style="532" customWidth="1"/>
    <col min="12541" max="12547" width="13.6640625" style="532" customWidth="1"/>
    <col min="12548" max="12548" width="15.88671875" style="532" customWidth="1"/>
    <col min="12549" max="12549" width="16.5546875" style="532" bestFit="1" customWidth="1"/>
    <col min="12550" max="12550" width="13.6640625" style="532" customWidth="1"/>
    <col min="12551" max="12551" width="17.109375" style="532" bestFit="1" customWidth="1"/>
    <col min="12552" max="12552" width="4" style="532" customWidth="1"/>
    <col min="12553" max="12553" width="13.6640625" style="532" customWidth="1"/>
    <col min="12554" max="12795" width="13.6640625" style="532"/>
    <col min="12796" max="12796" width="22.109375" style="532" customWidth="1"/>
    <col min="12797" max="12803" width="13.6640625" style="532" customWidth="1"/>
    <col min="12804" max="12804" width="15.88671875" style="532" customWidth="1"/>
    <col min="12805" max="12805" width="16.5546875" style="532" bestFit="1" customWidth="1"/>
    <col min="12806" max="12806" width="13.6640625" style="532" customWidth="1"/>
    <col min="12807" max="12807" width="17.109375" style="532" bestFit="1" customWidth="1"/>
    <col min="12808" max="12808" width="4" style="532" customWidth="1"/>
    <col min="12809" max="12809" width="13.6640625" style="532" customWidth="1"/>
    <col min="12810" max="13051" width="13.6640625" style="532"/>
    <col min="13052" max="13052" width="22.109375" style="532" customWidth="1"/>
    <col min="13053" max="13059" width="13.6640625" style="532" customWidth="1"/>
    <col min="13060" max="13060" width="15.88671875" style="532" customWidth="1"/>
    <col min="13061" max="13061" width="16.5546875" style="532" bestFit="1" customWidth="1"/>
    <col min="13062" max="13062" width="13.6640625" style="532" customWidth="1"/>
    <col min="13063" max="13063" width="17.109375" style="532" bestFit="1" customWidth="1"/>
    <col min="13064" max="13064" width="4" style="532" customWidth="1"/>
    <col min="13065" max="13065" width="13.6640625" style="532" customWidth="1"/>
    <col min="13066" max="13307" width="13.6640625" style="532"/>
    <col min="13308" max="13308" width="22.109375" style="532" customWidth="1"/>
    <col min="13309" max="13315" width="13.6640625" style="532" customWidth="1"/>
    <col min="13316" max="13316" width="15.88671875" style="532" customWidth="1"/>
    <col min="13317" max="13317" width="16.5546875" style="532" bestFit="1" customWidth="1"/>
    <col min="13318" max="13318" width="13.6640625" style="532" customWidth="1"/>
    <col min="13319" max="13319" width="17.109375" style="532" bestFit="1" customWidth="1"/>
    <col min="13320" max="13320" width="4" style="532" customWidth="1"/>
    <col min="13321" max="13321" width="13.6640625" style="532" customWidth="1"/>
    <col min="13322" max="13563" width="13.6640625" style="532"/>
    <col min="13564" max="13564" width="22.109375" style="532" customWidth="1"/>
    <col min="13565" max="13571" width="13.6640625" style="532" customWidth="1"/>
    <col min="13572" max="13572" width="15.88671875" style="532" customWidth="1"/>
    <col min="13573" max="13573" width="16.5546875" style="532" bestFit="1" customWidth="1"/>
    <col min="13574" max="13574" width="13.6640625" style="532" customWidth="1"/>
    <col min="13575" max="13575" width="17.109375" style="532" bestFit="1" customWidth="1"/>
    <col min="13576" max="13576" width="4" style="532" customWidth="1"/>
    <col min="13577" max="13577" width="13.6640625" style="532" customWidth="1"/>
    <col min="13578" max="13819" width="13.6640625" style="532"/>
    <col min="13820" max="13820" width="22.109375" style="532" customWidth="1"/>
    <col min="13821" max="13827" width="13.6640625" style="532" customWidth="1"/>
    <col min="13828" max="13828" width="15.88671875" style="532" customWidth="1"/>
    <col min="13829" max="13829" width="16.5546875" style="532" bestFit="1" customWidth="1"/>
    <col min="13830" max="13830" width="13.6640625" style="532" customWidth="1"/>
    <col min="13831" max="13831" width="17.109375" style="532" bestFit="1" customWidth="1"/>
    <col min="13832" max="13832" width="4" style="532" customWidth="1"/>
    <col min="13833" max="13833" width="13.6640625" style="532" customWidth="1"/>
    <col min="13834" max="14075" width="13.6640625" style="532"/>
    <col min="14076" max="14076" width="22.109375" style="532" customWidth="1"/>
    <col min="14077" max="14083" width="13.6640625" style="532" customWidth="1"/>
    <col min="14084" max="14084" width="15.88671875" style="532" customWidth="1"/>
    <col min="14085" max="14085" width="16.5546875" style="532" bestFit="1" customWidth="1"/>
    <col min="14086" max="14086" width="13.6640625" style="532" customWidth="1"/>
    <col min="14087" max="14087" width="17.109375" style="532" bestFit="1" customWidth="1"/>
    <col min="14088" max="14088" width="4" style="532" customWidth="1"/>
    <col min="14089" max="14089" width="13.6640625" style="532" customWidth="1"/>
    <col min="14090" max="14331" width="13.6640625" style="532"/>
    <col min="14332" max="14332" width="22.109375" style="532" customWidth="1"/>
    <col min="14333" max="14339" width="13.6640625" style="532" customWidth="1"/>
    <col min="14340" max="14340" width="15.88671875" style="532" customWidth="1"/>
    <col min="14341" max="14341" width="16.5546875" style="532" bestFit="1" customWidth="1"/>
    <col min="14342" max="14342" width="13.6640625" style="532" customWidth="1"/>
    <col min="14343" max="14343" width="17.109375" style="532" bestFit="1" customWidth="1"/>
    <col min="14344" max="14344" width="4" style="532" customWidth="1"/>
    <col min="14345" max="14345" width="13.6640625" style="532" customWidth="1"/>
    <col min="14346" max="14587" width="13.6640625" style="532"/>
    <col min="14588" max="14588" width="22.109375" style="532" customWidth="1"/>
    <col min="14589" max="14595" width="13.6640625" style="532" customWidth="1"/>
    <col min="14596" max="14596" width="15.88671875" style="532" customWidth="1"/>
    <col min="14597" max="14597" width="16.5546875" style="532" bestFit="1" customWidth="1"/>
    <col min="14598" max="14598" width="13.6640625" style="532" customWidth="1"/>
    <col min="14599" max="14599" width="17.109375" style="532" bestFit="1" customWidth="1"/>
    <col min="14600" max="14600" width="4" style="532" customWidth="1"/>
    <col min="14601" max="14601" width="13.6640625" style="532" customWidth="1"/>
    <col min="14602" max="14843" width="13.6640625" style="532"/>
    <col min="14844" max="14844" width="22.109375" style="532" customWidth="1"/>
    <col min="14845" max="14851" width="13.6640625" style="532" customWidth="1"/>
    <col min="14852" max="14852" width="15.88671875" style="532" customWidth="1"/>
    <col min="14853" max="14853" width="16.5546875" style="532" bestFit="1" customWidth="1"/>
    <col min="14854" max="14854" width="13.6640625" style="532" customWidth="1"/>
    <col min="14855" max="14855" width="17.109375" style="532" bestFit="1" customWidth="1"/>
    <col min="14856" max="14856" width="4" style="532" customWidth="1"/>
    <col min="14857" max="14857" width="13.6640625" style="532" customWidth="1"/>
    <col min="14858" max="15099" width="13.6640625" style="532"/>
    <col min="15100" max="15100" width="22.109375" style="532" customWidth="1"/>
    <col min="15101" max="15107" width="13.6640625" style="532" customWidth="1"/>
    <col min="15108" max="15108" width="15.88671875" style="532" customWidth="1"/>
    <col min="15109" max="15109" width="16.5546875" style="532" bestFit="1" customWidth="1"/>
    <col min="15110" max="15110" width="13.6640625" style="532" customWidth="1"/>
    <col min="15111" max="15111" width="17.109375" style="532" bestFit="1" customWidth="1"/>
    <col min="15112" max="15112" width="4" style="532" customWidth="1"/>
    <col min="15113" max="15113" width="13.6640625" style="532" customWidth="1"/>
    <col min="15114" max="15355" width="13.6640625" style="532"/>
    <col min="15356" max="15356" width="22.109375" style="532" customWidth="1"/>
    <col min="15357" max="15363" width="13.6640625" style="532" customWidth="1"/>
    <col min="15364" max="15364" width="15.88671875" style="532" customWidth="1"/>
    <col min="15365" max="15365" width="16.5546875" style="532" bestFit="1" customWidth="1"/>
    <col min="15366" max="15366" width="13.6640625" style="532" customWidth="1"/>
    <col min="15367" max="15367" width="17.109375" style="532" bestFit="1" customWidth="1"/>
    <col min="15368" max="15368" width="4" style="532" customWidth="1"/>
    <col min="15369" max="15369" width="13.6640625" style="532" customWidth="1"/>
    <col min="15370" max="15611" width="13.6640625" style="532"/>
    <col min="15612" max="15612" width="22.109375" style="532" customWidth="1"/>
    <col min="15613" max="15619" width="13.6640625" style="532" customWidth="1"/>
    <col min="15620" max="15620" width="15.88671875" style="532" customWidth="1"/>
    <col min="15621" max="15621" width="16.5546875" style="532" bestFit="1" customWidth="1"/>
    <col min="15622" max="15622" width="13.6640625" style="532" customWidth="1"/>
    <col min="15623" max="15623" width="17.109375" style="532" bestFit="1" customWidth="1"/>
    <col min="15624" max="15624" width="4" style="532" customWidth="1"/>
    <col min="15625" max="15625" width="13.6640625" style="532" customWidth="1"/>
    <col min="15626" max="15867" width="13.6640625" style="532"/>
    <col min="15868" max="15868" width="22.109375" style="532" customWidth="1"/>
    <col min="15869" max="15875" width="13.6640625" style="532" customWidth="1"/>
    <col min="15876" max="15876" width="15.88671875" style="532" customWidth="1"/>
    <col min="15877" max="15877" width="16.5546875" style="532" bestFit="1" customWidth="1"/>
    <col min="15878" max="15878" width="13.6640625" style="532" customWidth="1"/>
    <col min="15879" max="15879" width="17.109375" style="532" bestFit="1" customWidth="1"/>
    <col min="15880" max="15880" width="4" style="532" customWidth="1"/>
    <col min="15881" max="15881" width="13.6640625" style="532" customWidth="1"/>
    <col min="15882" max="16123" width="13.6640625" style="532"/>
    <col min="16124" max="16124" width="22.109375" style="532" customWidth="1"/>
    <col min="16125" max="16131" width="13.6640625" style="532" customWidth="1"/>
    <col min="16132" max="16132" width="15.88671875" style="532" customWidth="1"/>
    <col min="16133" max="16133" width="16.5546875" style="532" bestFit="1" customWidth="1"/>
    <col min="16134" max="16134" width="13.6640625" style="532" customWidth="1"/>
    <col min="16135" max="16135" width="17.109375" style="532" bestFit="1" customWidth="1"/>
    <col min="16136" max="16136" width="4" style="532" customWidth="1"/>
    <col min="16137" max="16137" width="13.6640625" style="532" customWidth="1"/>
    <col min="16138" max="16384" width="13.6640625" style="532"/>
  </cols>
  <sheetData>
    <row r="1" spans="1:30" s="370" customFormat="1">
      <c r="A1" s="442" t="s">
        <v>25</v>
      </c>
      <c r="B1" s="368"/>
      <c r="C1" s="46"/>
      <c r="D1" s="369"/>
      <c r="E1" s="46"/>
      <c r="F1" s="46"/>
      <c r="G1" s="3"/>
      <c r="H1" s="3"/>
      <c r="I1" s="3"/>
    </row>
    <row r="2" spans="1:30" s="370" customFormat="1">
      <c r="A2" s="371"/>
      <c r="B2" s="368"/>
      <c r="C2" s="46"/>
      <c r="D2" s="394" t="s">
        <v>150</v>
      </c>
      <c r="E2" s="394" t="s">
        <v>115</v>
      </c>
      <c r="F2" s="46"/>
      <c r="G2" s="3"/>
      <c r="H2" s="3"/>
      <c r="I2" s="3"/>
    </row>
    <row r="3" spans="1:30" s="370" customFormat="1" ht="15">
      <c r="A3" s="80" t="str">
        <f>'1-Contractblad totaal'!A3</f>
        <v>Naam opdrachtgever</v>
      </c>
      <c r="B3" s="81" t="str">
        <f>'1-Contractblad totaal'!B3</f>
        <v>Juridisch Loket</v>
      </c>
      <c r="C3" s="46"/>
      <c r="D3" s="372" t="s">
        <v>152</v>
      </c>
      <c r="E3" s="454"/>
      <c r="F3" s="46"/>
      <c r="G3" s="3"/>
      <c r="H3" s="3"/>
      <c r="I3" s="3"/>
    </row>
    <row r="4" spans="1:30" s="370" customFormat="1" ht="15">
      <c r="A4" s="80" t="str">
        <f>'1-Contractblad totaal'!A4</f>
        <v>Calculatie onderdeel</v>
      </c>
      <c r="B4" s="81" t="str">
        <f ca="1">MID(CELL("bestandsnaam",$C$9),SEARCH("]",CELL("bestandsnaam",$C$9),1)+1,256)</f>
        <v>9-Glasbewassing</v>
      </c>
      <c r="C4" s="46"/>
      <c r="D4" s="372" t="s">
        <v>151</v>
      </c>
      <c r="E4" s="454"/>
      <c r="F4" s="46"/>
      <c r="G4" s="3"/>
      <c r="H4" s="3"/>
      <c r="I4" s="3"/>
    </row>
    <row r="5" spans="1:30" s="370" customFormat="1" ht="15">
      <c r="A5" s="80" t="str">
        <f>'1-Contractblad totaal'!A5</f>
        <v>Gebouw/plaats</v>
      </c>
      <c r="B5" s="81" t="str">
        <f>'1-Contractblad totaal'!B5</f>
        <v>Diverse locaties</v>
      </c>
      <c r="C5" s="391"/>
      <c r="D5" s="372" t="s">
        <v>153</v>
      </c>
      <c r="E5" s="454"/>
      <c r="F5" s="46"/>
      <c r="G5" s="373"/>
      <c r="I5" s="374"/>
      <c r="J5" s="375"/>
      <c r="K5" s="374"/>
      <c r="L5" s="373"/>
      <c r="M5" s="374"/>
      <c r="N5" s="374"/>
      <c r="O5" s="373"/>
      <c r="P5" s="374"/>
      <c r="Q5" s="374"/>
      <c r="R5" s="373"/>
      <c r="S5" s="375"/>
      <c r="T5" s="374"/>
      <c r="U5" s="373"/>
      <c r="V5" s="374"/>
      <c r="W5" s="374"/>
      <c r="X5" s="373"/>
      <c r="Y5" s="374"/>
      <c r="Z5" s="374"/>
      <c r="AA5" s="373"/>
      <c r="AB5" s="374"/>
      <c r="AC5" s="374"/>
      <c r="AD5" s="373"/>
    </row>
    <row r="6" spans="1:30" s="370" customFormat="1" ht="17.25" customHeight="1">
      <c r="A6" s="80" t="str">
        <f>'1-Contractblad totaal'!A6</f>
        <v>Referentie nummer</v>
      </c>
      <c r="B6" s="81" t="str">
        <f>'1-Contractblad totaal'!B6</f>
        <v>EU-JL-ID.MvD-2020</v>
      </c>
      <c r="C6" s="391"/>
      <c r="D6" s="526" t="s">
        <v>581</v>
      </c>
      <c r="E6" s="535"/>
      <c r="F6" s="46"/>
      <c r="G6" s="373"/>
      <c r="I6" s="376"/>
      <c r="J6" s="375"/>
      <c r="K6" s="376"/>
      <c r="L6" s="377"/>
      <c r="M6" s="374"/>
      <c r="N6" s="376"/>
      <c r="O6" s="377"/>
      <c r="P6" s="374"/>
      <c r="Q6" s="376"/>
      <c r="R6" s="377"/>
      <c r="S6" s="375"/>
      <c r="T6" s="376"/>
      <c r="U6" s="377"/>
      <c r="V6" s="374"/>
      <c r="W6" s="376"/>
      <c r="X6" s="377"/>
      <c r="Y6" s="374"/>
      <c r="Z6" s="376"/>
      <c r="AA6" s="377"/>
      <c r="AB6" s="374"/>
      <c r="AC6" s="376"/>
      <c r="AD6" s="377"/>
    </row>
    <row r="7" spans="1:30" s="370" customFormat="1" ht="17.25" customHeight="1">
      <c r="A7" s="80" t="str">
        <f>'1-Contractblad totaal'!A8</f>
        <v>Naam dienstverlener</v>
      </c>
      <c r="B7" s="309">
        <f>'1-Contractblad totaal'!B8</f>
        <v>0</v>
      </c>
      <c r="C7" s="392"/>
      <c r="D7" s="533"/>
      <c r="E7" s="534"/>
      <c r="F7" s="46"/>
      <c r="G7" s="373"/>
      <c r="H7" s="373"/>
      <c r="I7" s="373"/>
      <c r="J7" s="373"/>
      <c r="K7" s="373"/>
      <c r="L7" s="373"/>
      <c r="M7" s="373"/>
    </row>
    <row r="8" spans="1:30" s="370" customFormat="1" ht="17.25" customHeight="1">
      <c r="A8" s="80" t="str">
        <f>'1-Contractblad totaal'!A9</f>
        <v>Prijspeil</v>
      </c>
      <c r="B8" s="115">
        <f>'1-Contractblad totaal'!B9</f>
        <v>44013</v>
      </c>
      <c r="C8" s="393"/>
      <c r="D8" s="533"/>
      <c r="E8" s="534"/>
      <c r="F8" s="46"/>
      <c r="G8" s="373"/>
      <c r="H8" s="529"/>
      <c r="I8" s="529"/>
      <c r="J8" s="529"/>
      <c r="K8" s="529"/>
      <c r="L8" s="530"/>
    </row>
    <row r="9" spans="1:30" s="378" customFormat="1" ht="17.25" customHeight="1">
      <c r="C9" s="393"/>
      <c r="D9" s="533"/>
      <c r="E9" s="590"/>
      <c r="F9" s="46"/>
      <c r="G9" s="373"/>
      <c r="H9" s="531"/>
      <c r="I9" s="531"/>
      <c r="J9" s="531"/>
      <c r="K9" s="531"/>
    </row>
    <row r="10" spans="1:30" s="370" customFormat="1" ht="17.25" customHeight="1">
      <c r="C10" s="393"/>
      <c r="D10" s="533"/>
      <c r="E10" s="590"/>
      <c r="F10" s="46"/>
      <c r="G10" s="373"/>
      <c r="H10" s="529"/>
      <c r="I10" s="529"/>
      <c r="J10" s="529"/>
      <c r="K10" s="529"/>
      <c r="L10" s="530"/>
    </row>
    <row r="11" spans="1:30" s="370" customFormat="1" ht="15">
      <c r="A11" s="379"/>
      <c r="D11" s="380"/>
      <c r="E11" s="374"/>
      <c r="F11" s="374"/>
      <c r="G11" s="373"/>
      <c r="H11" s="530"/>
      <c r="I11" s="530"/>
      <c r="J11" s="530"/>
      <c r="K11" s="530"/>
      <c r="L11" s="530"/>
    </row>
    <row r="12" spans="1:30" s="481" customFormat="1" ht="43.5" customHeight="1">
      <c r="A12" s="479" t="s">
        <v>108</v>
      </c>
      <c r="B12" s="480" t="s">
        <v>150</v>
      </c>
      <c r="C12" s="394" t="s">
        <v>154</v>
      </c>
      <c r="D12" s="480" t="s">
        <v>109</v>
      </c>
      <c r="E12" s="480" t="s">
        <v>58</v>
      </c>
      <c r="F12" s="480" t="s">
        <v>203</v>
      </c>
      <c r="G12" s="480" t="s">
        <v>155</v>
      </c>
      <c r="H12" s="480" t="s">
        <v>156</v>
      </c>
      <c r="I12" s="480" t="s">
        <v>157</v>
      </c>
    </row>
    <row r="13" spans="1:30">
      <c r="A13" s="382" t="s">
        <v>486</v>
      </c>
      <c r="B13" s="386" t="s">
        <v>153</v>
      </c>
      <c r="C13" s="464">
        <v>44</v>
      </c>
      <c r="D13" s="383">
        <f>C13*F13</f>
        <v>0</v>
      </c>
      <c r="E13" s="586" t="s">
        <v>158</v>
      </c>
      <c r="F13" s="478">
        <f t="shared" ref="F13:F44" si="0">VLOOKUP(B13,$D$3:$E$10,2,FALSE)</f>
        <v>0</v>
      </c>
      <c r="G13" s="383">
        <f>E13*D13</f>
        <v>0</v>
      </c>
      <c r="H13" s="453"/>
      <c r="I13" s="384">
        <f>G13+H13</f>
        <v>0</v>
      </c>
    </row>
    <row r="14" spans="1:30">
      <c r="A14" s="382" t="s">
        <v>486</v>
      </c>
      <c r="B14" s="526" t="s">
        <v>151</v>
      </c>
      <c r="C14" s="527">
        <v>125</v>
      </c>
      <c r="D14" s="383">
        <f t="shared" ref="D14:D75" si="1">C14*F14</f>
        <v>0</v>
      </c>
      <c r="E14" s="586" t="s">
        <v>158</v>
      </c>
      <c r="F14" s="478">
        <f t="shared" si="0"/>
        <v>0</v>
      </c>
      <c r="G14" s="383">
        <f t="shared" ref="G14:G75" si="2">E14*D14</f>
        <v>0</v>
      </c>
      <c r="H14" s="453"/>
      <c r="I14" s="384">
        <f t="shared" ref="I14:I75" si="3">G14+H14</f>
        <v>0</v>
      </c>
    </row>
    <row r="15" spans="1:30">
      <c r="A15" s="382" t="s">
        <v>486</v>
      </c>
      <c r="B15" s="526" t="s">
        <v>152</v>
      </c>
      <c r="C15" s="527">
        <v>125</v>
      </c>
      <c r="D15" s="383">
        <f t="shared" si="1"/>
        <v>0</v>
      </c>
      <c r="E15" s="586" t="s">
        <v>158</v>
      </c>
      <c r="F15" s="478">
        <f t="shared" si="0"/>
        <v>0</v>
      </c>
      <c r="G15" s="383">
        <f t="shared" si="2"/>
        <v>0</v>
      </c>
      <c r="H15" s="453"/>
      <c r="I15" s="384">
        <f t="shared" si="3"/>
        <v>0</v>
      </c>
    </row>
    <row r="16" spans="1:30">
      <c r="A16" s="382" t="s">
        <v>469</v>
      </c>
      <c r="B16" s="386" t="s">
        <v>153</v>
      </c>
      <c r="C16" s="464">
        <v>238</v>
      </c>
      <c r="D16" s="383">
        <f t="shared" si="1"/>
        <v>0</v>
      </c>
      <c r="E16" s="586" t="s">
        <v>158</v>
      </c>
      <c r="F16" s="478">
        <f t="shared" si="0"/>
        <v>0</v>
      </c>
      <c r="G16" s="383">
        <f t="shared" si="2"/>
        <v>0</v>
      </c>
      <c r="H16" s="453"/>
      <c r="I16" s="384">
        <f t="shared" si="3"/>
        <v>0</v>
      </c>
    </row>
    <row r="17" spans="1:9">
      <c r="A17" s="382" t="s">
        <v>469</v>
      </c>
      <c r="B17" s="526" t="s">
        <v>151</v>
      </c>
      <c r="C17" s="527">
        <f>123.63/0.79</f>
        <v>156.49367088607593</v>
      </c>
      <c r="D17" s="383">
        <f t="shared" si="1"/>
        <v>0</v>
      </c>
      <c r="E17" s="586" t="s">
        <v>158</v>
      </c>
      <c r="F17" s="478">
        <f t="shared" si="0"/>
        <v>0</v>
      </c>
      <c r="G17" s="383">
        <f t="shared" si="2"/>
        <v>0</v>
      </c>
      <c r="H17" s="453"/>
      <c r="I17" s="384">
        <f t="shared" si="3"/>
        <v>0</v>
      </c>
    </row>
    <row r="18" spans="1:9">
      <c r="A18" s="385" t="s">
        <v>418</v>
      </c>
      <c r="B18" s="386" t="s">
        <v>581</v>
      </c>
      <c r="C18" s="464">
        <v>223</v>
      </c>
      <c r="D18" s="383">
        <f t="shared" si="1"/>
        <v>0</v>
      </c>
      <c r="E18" s="586" t="s">
        <v>158</v>
      </c>
      <c r="F18" s="478">
        <f t="shared" si="0"/>
        <v>0</v>
      </c>
      <c r="G18" s="383">
        <f t="shared" si="2"/>
        <v>0</v>
      </c>
      <c r="H18" s="453"/>
      <c r="I18" s="384">
        <f t="shared" si="3"/>
        <v>0</v>
      </c>
    </row>
    <row r="19" spans="1:9">
      <c r="A19" s="385" t="s">
        <v>418</v>
      </c>
      <c r="B19" s="526" t="s">
        <v>152</v>
      </c>
      <c r="C19" s="527">
        <f>115.62/0.79</f>
        <v>146.35443037974684</v>
      </c>
      <c r="D19" s="383">
        <f t="shared" si="1"/>
        <v>0</v>
      </c>
      <c r="E19" s="586" t="s">
        <v>158</v>
      </c>
      <c r="F19" s="478">
        <f t="shared" si="0"/>
        <v>0</v>
      </c>
      <c r="G19" s="383">
        <f t="shared" si="2"/>
        <v>0</v>
      </c>
      <c r="H19" s="453"/>
      <c r="I19" s="384">
        <f t="shared" si="3"/>
        <v>0</v>
      </c>
    </row>
    <row r="20" spans="1:9">
      <c r="A20" s="385" t="s">
        <v>527</v>
      </c>
      <c r="B20" s="386" t="s">
        <v>153</v>
      </c>
      <c r="C20" s="464">
        <f>25.38/0.79</f>
        <v>32.12658227848101</v>
      </c>
      <c r="D20" s="383">
        <f t="shared" si="1"/>
        <v>0</v>
      </c>
      <c r="E20" s="586" t="s">
        <v>158</v>
      </c>
      <c r="F20" s="478">
        <f t="shared" si="0"/>
        <v>0</v>
      </c>
      <c r="G20" s="383">
        <f t="shared" si="2"/>
        <v>0</v>
      </c>
      <c r="H20" s="453"/>
      <c r="I20" s="384">
        <f t="shared" si="3"/>
        <v>0</v>
      </c>
    </row>
    <row r="21" spans="1:9" ht="13.95" customHeight="1">
      <c r="A21" s="385" t="s">
        <v>527</v>
      </c>
      <c r="B21" s="526" t="s">
        <v>151</v>
      </c>
      <c r="C21" s="527">
        <f>52.3/0.79</f>
        <v>66.202531645569607</v>
      </c>
      <c r="D21" s="383">
        <f t="shared" si="1"/>
        <v>0</v>
      </c>
      <c r="E21" s="586" t="s">
        <v>158</v>
      </c>
      <c r="F21" s="478">
        <f t="shared" si="0"/>
        <v>0</v>
      </c>
      <c r="G21" s="383">
        <f t="shared" si="2"/>
        <v>0</v>
      </c>
      <c r="H21" s="453"/>
      <c r="I21" s="384">
        <f t="shared" si="3"/>
        <v>0</v>
      </c>
    </row>
    <row r="22" spans="1:9">
      <c r="A22" s="385" t="s">
        <v>455</v>
      </c>
      <c r="B22" s="372" t="s">
        <v>153</v>
      </c>
      <c r="C22" s="464">
        <f>47.79/0.79</f>
        <v>60.493670886075947</v>
      </c>
      <c r="D22" s="383">
        <f t="shared" si="1"/>
        <v>0</v>
      </c>
      <c r="E22" s="586" t="s">
        <v>158</v>
      </c>
      <c r="F22" s="478">
        <f t="shared" si="0"/>
        <v>0</v>
      </c>
      <c r="G22" s="383">
        <f t="shared" si="2"/>
        <v>0</v>
      </c>
      <c r="H22" s="453"/>
      <c r="I22" s="384">
        <f t="shared" si="3"/>
        <v>0</v>
      </c>
    </row>
    <row r="23" spans="1:9">
      <c r="A23" s="385" t="s">
        <v>455</v>
      </c>
      <c r="B23" s="528" t="s">
        <v>151</v>
      </c>
      <c r="C23" s="527">
        <f>78.46/0.79</f>
        <v>99.316455696202524</v>
      </c>
      <c r="D23" s="383">
        <f t="shared" si="1"/>
        <v>0</v>
      </c>
      <c r="E23" s="586" t="s">
        <v>158</v>
      </c>
      <c r="F23" s="478">
        <f t="shared" si="0"/>
        <v>0</v>
      </c>
      <c r="G23" s="383">
        <f t="shared" si="2"/>
        <v>0</v>
      </c>
      <c r="H23" s="453"/>
      <c r="I23" s="384">
        <f t="shared" si="3"/>
        <v>0</v>
      </c>
    </row>
    <row r="24" spans="1:9">
      <c r="A24" s="385" t="s">
        <v>355</v>
      </c>
      <c r="B24" s="386" t="s">
        <v>153</v>
      </c>
      <c r="C24" s="464">
        <v>145</v>
      </c>
      <c r="D24" s="383">
        <f t="shared" si="1"/>
        <v>0</v>
      </c>
      <c r="E24" s="586" t="s">
        <v>158</v>
      </c>
      <c r="F24" s="478">
        <f t="shared" si="0"/>
        <v>0</v>
      </c>
      <c r="G24" s="383">
        <f t="shared" si="2"/>
        <v>0</v>
      </c>
      <c r="H24" s="453"/>
      <c r="I24" s="384">
        <f t="shared" si="3"/>
        <v>0</v>
      </c>
    </row>
    <row r="25" spans="1:9">
      <c r="A25" s="385" t="s">
        <v>355</v>
      </c>
      <c r="B25" s="526" t="s">
        <v>151</v>
      </c>
      <c r="C25" s="527">
        <f>59.22/0.79</f>
        <v>74.962025316455694</v>
      </c>
      <c r="D25" s="383">
        <f t="shared" si="1"/>
        <v>0</v>
      </c>
      <c r="E25" s="586" t="s">
        <v>158</v>
      </c>
      <c r="F25" s="478">
        <f t="shared" si="0"/>
        <v>0</v>
      </c>
      <c r="G25" s="383">
        <f t="shared" si="2"/>
        <v>0</v>
      </c>
      <c r="H25" s="453"/>
      <c r="I25" s="384">
        <f t="shared" si="3"/>
        <v>0</v>
      </c>
    </row>
    <row r="26" spans="1:9">
      <c r="A26" s="385" t="s">
        <v>355</v>
      </c>
      <c r="B26" s="526" t="s">
        <v>152</v>
      </c>
      <c r="C26" s="527">
        <f>59.22/0.79</f>
        <v>74.962025316455694</v>
      </c>
      <c r="D26" s="383">
        <f t="shared" si="1"/>
        <v>0</v>
      </c>
      <c r="E26" s="586" t="s">
        <v>158</v>
      </c>
      <c r="F26" s="478">
        <f t="shared" si="0"/>
        <v>0</v>
      </c>
      <c r="G26" s="383">
        <f t="shared" si="2"/>
        <v>0</v>
      </c>
      <c r="H26" s="453"/>
      <c r="I26" s="384">
        <f t="shared" si="3"/>
        <v>0</v>
      </c>
    </row>
    <row r="27" spans="1:9">
      <c r="A27" s="385" t="s">
        <v>464</v>
      </c>
      <c r="B27" s="386" t="s">
        <v>153</v>
      </c>
      <c r="C27" s="464">
        <f>53.11/0.79</f>
        <v>67.22784810126582</v>
      </c>
      <c r="D27" s="383">
        <f t="shared" si="1"/>
        <v>0</v>
      </c>
      <c r="E27" s="586" t="s">
        <v>158</v>
      </c>
      <c r="F27" s="478">
        <f t="shared" si="0"/>
        <v>0</v>
      </c>
      <c r="G27" s="383">
        <f t="shared" si="2"/>
        <v>0</v>
      </c>
      <c r="H27" s="453"/>
      <c r="I27" s="384">
        <f t="shared" si="3"/>
        <v>0</v>
      </c>
    </row>
    <row r="28" spans="1:9">
      <c r="A28" s="385" t="s">
        <v>464</v>
      </c>
      <c r="B28" s="526" t="s">
        <v>151</v>
      </c>
      <c r="C28" s="527">
        <f>40.44/0.79</f>
        <v>51.189873417721515</v>
      </c>
      <c r="D28" s="383">
        <f t="shared" si="1"/>
        <v>0</v>
      </c>
      <c r="E28" s="586" t="s">
        <v>158</v>
      </c>
      <c r="F28" s="478">
        <f t="shared" si="0"/>
        <v>0</v>
      </c>
      <c r="G28" s="383">
        <f t="shared" si="2"/>
        <v>0</v>
      </c>
      <c r="H28" s="453"/>
      <c r="I28" s="384">
        <f t="shared" si="3"/>
        <v>0</v>
      </c>
    </row>
    <row r="29" spans="1:9">
      <c r="A29" s="385" t="s">
        <v>573</v>
      </c>
      <c r="B29" s="386" t="s">
        <v>153</v>
      </c>
      <c r="C29" s="464">
        <f>39.61/0.79</f>
        <v>50.139240506329109</v>
      </c>
      <c r="D29" s="383">
        <f t="shared" si="1"/>
        <v>0</v>
      </c>
      <c r="E29" s="586" t="s">
        <v>158</v>
      </c>
      <c r="F29" s="478">
        <f t="shared" si="0"/>
        <v>0</v>
      </c>
      <c r="G29" s="383">
        <f t="shared" si="2"/>
        <v>0</v>
      </c>
      <c r="H29" s="453"/>
      <c r="I29" s="384">
        <f t="shared" si="3"/>
        <v>0</v>
      </c>
    </row>
    <row r="30" spans="1:9">
      <c r="A30" s="385" t="s">
        <v>573</v>
      </c>
      <c r="B30" s="526" t="s">
        <v>151</v>
      </c>
      <c r="C30" s="527">
        <f>49.13/0.79</f>
        <v>62.189873417721522</v>
      </c>
      <c r="D30" s="383">
        <f t="shared" si="1"/>
        <v>0</v>
      </c>
      <c r="E30" s="586" t="s">
        <v>158</v>
      </c>
      <c r="F30" s="478">
        <f t="shared" si="0"/>
        <v>0</v>
      </c>
      <c r="G30" s="383">
        <f t="shared" si="2"/>
        <v>0</v>
      </c>
      <c r="H30" s="453"/>
      <c r="I30" s="384">
        <f t="shared" si="3"/>
        <v>0</v>
      </c>
    </row>
    <row r="31" spans="1:9">
      <c r="A31" s="385" t="s">
        <v>497</v>
      </c>
      <c r="B31" s="386" t="s">
        <v>153</v>
      </c>
      <c r="C31" s="464">
        <f>29.09/0.79</f>
        <v>36.822784810126578</v>
      </c>
      <c r="D31" s="383">
        <f t="shared" si="1"/>
        <v>0</v>
      </c>
      <c r="E31" s="586" t="s">
        <v>158</v>
      </c>
      <c r="F31" s="478">
        <f t="shared" si="0"/>
        <v>0</v>
      </c>
      <c r="G31" s="383">
        <f t="shared" si="2"/>
        <v>0</v>
      </c>
      <c r="H31" s="453"/>
      <c r="I31" s="384">
        <f t="shared" si="3"/>
        <v>0</v>
      </c>
    </row>
    <row r="32" spans="1:9">
      <c r="A32" s="385" t="s">
        <v>497</v>
      </c>
      <c r="B32" s="526" t="s">
        <v>151</v>
      </c>
      <c r="C32" s="527">
        <f>66.63/0.79</f>
        <v>84.341772151898724</v>
      </c>
      <c r="D32" s="383">
        <f t="shared" si="1"/>
        <v>0</v>
      </c>
      <c r="E32" s="586" t="s">
        <v>158</v>
      </c>
      <c r="F32" s="478">
        <f t="shared" si="0"/>
        <v>0</v>
      </c>
      <c r="G32" s="383">
        <f t="shared" si="2"/>
        <v>0</v>
      </c>
      <c r="H32" s="453"/>
      <c r="I32" s="384">
        <f t="shared" si="3"/>
        <v>0</v>
      </c>
    </row>
    <row r="33" spans="1:9">
      <c r="A33" s="385" t="s">
        <v>497</v>
      </c>
      <c r="B33" s="526" t="s">
        <v>152</v>
      </c>
      <c r="C33" s="527">
        <f>66.63/0.79</f>
        <v>84.341772151898724</v>
      </c>
      <c r="D33" s="383">
        <f t="shared" si="1"/>
        <v>0</v>
      </c>
      <c r="E33" s="586" t="s">
        <v>158</v>
      </c>
      <c r="F33" s="478">
        <f t="shared" si="0"/>
        <v>0</v>
      </c>
      <c r="G33" s="383">
        <f t="shared" si="2"/>
        <v>0</v>
      </c>
      <c r="H33" s="453"/>
      <c r="I33" s="384">
        <f t="shared" si="3"/>
        <v>0</v>
      </c>
    </row>
    <row r="34" spans="1:9">
      <c r="A34" s="385" t="s">
        <v>501</v>
      </c>
      <c r="B34" s="549" t="s">
        <v>153</v>
      </c>
      <c r="C34" s="464">
        <v>54</v>
      </c>
      <c r="D34" s="383">
        <f t="shared" si="1"/>
        <v>0</v>
      </c>
      <c r="E34" s="586" t="s">
        <v>158</v>
      </c>
      <c r="F34" s="478">
        <f t="shared" si="0"/>
        <v>0</v>
      </c>
      <c r="G34" s="383">
        <f t="shared" si="2"/>
        <v>0</v>
      </c>
      <c r="H34" s="453"/>
      <c r="I34" s="384">
        <f t="shared" si="3"/>
        <v>0</v>
      </c>
    </row>
    <row r="35" spans="1:9">
      <c r="A35" s="385" t="s">
        <v>501</v>
      </c>
      <c r="B35" s="551" t="s">
        <v>151</v>
      </c>
      <c r="C35" s="464">
        <v>47</v>
      </c>
      <c r="D35" s="383">
        <f t="shared" si="1"/>
        <v>0</v>
      </c>
      <c r="E35" s="586" t="s">
        <v>158</v>
      </c>
      <c r="F35" s="478">
        <f t="shared" si="0"/>
        <v>0</v>
      </c>
      <c r="G35" s="383">
        <f t="shared" si="2"/>
        <v>0</v>
      </c>
      <c r="H35" s="453"/>
      <c r="I35" s="384">
        <f t="shared" si="3"/>
        <v>0</v>
      </c>
    </row>
    <row r="36" spans="1:9">
      <c r="A36" s="385" t="s">
        <v>501</v>
      </c>
      <c r="B36" s="551" t="s">
        <v>152</v>
      </c>
      <c r="C36" s="464">
        <v>47</v>
      </c>
      <c r="D36" s="383">
        <f t="shared" si="1"/>
        <v>0</v>
      </c>
      <c r="E36" s="586" t="s">
        <v>158</v>
      </c>
      <c r="F36" s="478">
        <f t="shared" si="0"/>
        <v>0</v>
      </c>
      <c r="G36" s="383">
        <f t="shared" si="2"/>
        <v>0</v>
      </c>
      <c r="H36" s="453"/>
      <c r="I36" s="384">
        <f t="shared" si="3"/>
        <v>0</v>
      </c>
    </row>
    <row r="37" spans="1:9">
      <c r="A37" s="385" t="s">
        <v>296</v>
      </c>
      <c r="B37" s="526" t="s">
        <v>151</v>
      </c>
      <c r="C37" s="527">
        <f>19.07/0.79</f>
        <v>24.139240506329113</v>
      </c>
      <c r="D37" s="383">
        <f t="shared" si="1"/>
        <v>0</v>
      </c>
      <c r="E37" s="586" t="s">
        <v>158</v>
      </c>
      <c r="F37" s="478">
        <f t="shared" si="0"/>
        <v>0</v>
      </c>
      <c r="G37" s="383">
        <f t="shared" si="2"/>
        <v>0</v>
      </c>
      <c r="H37" s="453"/>
      <c r="I37" s="384">
        <f t="shared" si="3"/>
        <v>0</v>
      </c>
    </row>
    <row r="38" spans="1:9">
      <c r="A38" s="385" t="s">
        <v>296</v>
      </c>
      <c r="B38" s="526" t="s">
        <v>152</v>
      </c>
      <c r="C38" s="527">
        <f>19.07/0.79</f>
        <v>24.139240506329113</v>
      </c>
      <c r="D38" s="383">
        <f t="shared" si="1"/>
        <v>0</v>
      </c>
      <c r="E38" s="586" t="s">
        <v>158</v>
      </c>
      <c r="F38" s="478">
        <f t="shared" si="0"/>
        <v>0</v>
      </c>
      <c r="G38" s="383">
        <f t="shared" si="2"/>
        <v>0</v>
      </c>
      <c r="H38" s="453"/>
      <c r="I38" s="384">
        <f t="shared" si="3"/>
        <v>0</v>
      </c>
    </row>
    <row r="39" spans="1:9">
      <c r="A39" s="385" t="s">
        <v>530</v>
      </c>
      <c r="B39" s="386" t="s">
        <v>153</v>
      </c>
      <c r="C39" s="464">
        <v>392</v>
      </c>
      <c r="D39" s="383">
        <f t="shared" si="1"/>
        <v>0</v>
      </c>
      <c r="E39" s="586" t="s">
        <v>158</v>
      </c>
      <c r="F39" s="478">
        <f t="shared" si="0"/>
        <v>0</v>
      </c>
      <c r="G39" s="383">
        <f t="shared" si="2"/>
        <v>0</v>
      </c>
      <c r="H39" s="453"/>
      <c r="I39" s="384">
        <f t="shared" si="3"/>
        <v>0</v>
      </c>
    </row>
    <row r="40" spans="1:9">
      <c r="A40" s="385" t="s">
        <v>530</v>
      </c>
      <c r="B40" s="526" t="s">
        <v>151</v>
      </c>
      <c r="C40" s="527">
        <f>95.1/0.79</f>
        <v>120.37974683544303</v>
      </c>
      <c r="D40" s="383">
        <f t="shared" si="1"/>
        <v>0</v>
      </c>
      <c r="E40" s="586" t="s">
        <v>158</v>
      </c>
      <c r="F40" s="478">
        <f t="shared" si="0"/>
        <v>0</v>
      </c>
      <c r="G40" s="383">
        <f t="shared" si="2"/>
        <v>0</v>
      </c>
      <c r="H40" s="453"/>
      <c r="I40" s="384">
        <f t="shared" si="3"/>
        <v>0</v>
      </c>
    </row>
    <row r="41" spans="1:9">
      <c r="A41" s="385" t="s">
        <v>246</v>
      </c>
      <c r="B41" s="549" t="s">
        <v>153</v>
      </c>
      <c r="C41" s="464">
        <v>75</v>
      </c>
      <c r="D41" s="383">
        <f t="shared" si="1"/>
        <v>0</v>
      </c>
      <c r="E41" s="586" t="s">
        <v>158</v>
      </c>
      <c r="F41" s="478">
        <f t="shared" si="0"/>
        <v>0</v>
      </c>
      <c r="G41" s="383">
        <f t="shared" si="2"/>
        <v>0</v>
      </c>
      <c r="H41" s="453"/>
      <c r="I41" s="384">
        <f t="shared" si="3"/>
        <v>0</v>
      </c>
    </row>
    <row r="42" spans="1:9">
      <c r="A42" s="385" t="s">
        <v>246</v>
      </c>
      <c r="B42" s="551" t="s">
        <v>151</v>
      </c>
      <c r="C42" s="464">
        <v>141</v>
      </c>
      <c r="D42" s="383">
        <f t="shared" si="1"/>
        <v>0</v>
      </c>
      <c r="E42" s="586" t="s">
        <v>158</v>
      </c>
      <c r="F42" s="478">
        <f t="shared" si="0"/>
        <v>0</v>
      </c>
      <c r="G42" s="383">
        <f t="shared" si="2"/>
        <v>0</v>
      </c>
      <c r="H42" s="453"/>
      <c r="I42" s="384">
        <f t="shared" si="3"/>
        <v>0</v>
      </c>
    </row>
    <row r="43" spans="1:9">
      <c r="A43" s="385" t="s">
        <v>246</v>
      </c>
      <c r="B43" s="551" t="s">
        <v>152</v>
      </c>
      <c r="C43" s="464">
        <v>141</v>
      </c>
      <c r="D43" s="383">
        <f t="shared" si="1"/>
        <v>0</v>
      </c>
      <c r="E43" s="586" t="s">
        <v>158</v>
      </c>
      <c r="F43" s="478">
        <f t="shared" si="0"/>
        <v>0</v>
      </c>
      <c r="G43" s="383">
        <f t="shared" si="2"/>
        <v>0</v>
      </c>
      <c r="H43" s="453"/>
      <c r="I43" s="384">
        <f t="shared" si="3"/>
        <v>0</v>
      </c>
    </row>
    <row r="44" spans="1:9">
      <c r="A44" s="385" t="s">
        <v>416</v>
      </c>
      <c r="B44" s="386" t="s">
        <v>153</v>
      </c>
      <c r="C44" s="464">
        <v>797</v>
      </c>
      <c r="D44" s="383">
        <f t="shared" si="1"/>
        <v>0</v>
      </c>
      <c r="E44" s="586" t="s">
        <v>158</v>
      </c>
      <c r="F44" s="478">
        <f t="shared" si="0"/>
        <v>0</v>
      </c>
      <c r="G44" s="383">
        <f t="shared" si="2"/>
        <v>0</v>
      </c>
      <c r="H44" s="453"/>
      <c r="I44" s="384">
        <f t="shared" si="3"/>
        <v>0</v>
      </c>
    </row>
    <row r="45" spans="1:9">
      <c r="A45" s="385" t="s">
        <v>416</v>
      </c>
      <c r="B45" s="526" t="s">
        <v>151</v>
      </c>
      <c r="C45" s="527">
        <v>271</v>
      </c>
      <c r="D45" s="383">
        <f t="shared" si="1"/>
        <v>0</v>
      </c>
      <c r="E45" s="586" t="s">
        <v>158</v>
      </c>
      <c r="F45" s="478">
        <f t="shared" ref="F45:F80" si="4">VLOOKUP(B45,$D$3:$E$10,2,FALSE)</f>
        <v>0</v>
      </c>
      <c r="G45" s="383">
        <f t="shared" si="2"/>
        <v>0</v>
      </c>
      <c r="H45" s="453"/>
      <c r="I45" s="384">
        <f t="shared" si="3"/>
        <v>0</v>
      </c>
    </row>
    <row r="46" spans="1:9">
      <c r="A46" s="385" t="s">
        <v>284</v>
      </c>
      <c r="B46" s="386" t="s">
        <v>153</v>
      </c>
      <c r="C46" s="464">
        <f>49.3/0.79</f>
        <v>62.405063291139236</v>
      </c>
      <c r="D46" s="383">
        <f t="shared" si="1"/>
        <v>0</v>
      </c>
      <c r="E46" s="586" t="s">
        <v>158</v>
      </c>
      <c r="F46" s="478">
        <f t="shared" si="4"/>
        <v>0</v>
      </c>
      <c r="G46" s="383">
        <f t="shared" si="2"/>
        <v>0</v>
      </c>
      <c r="H46" s="453"/>
      <c r="I46" s="384">
        <f t="shared" si="3"/>
        <v>0</v>
      </c>
    </row>
    <row r="47" spans="1:9">
      <c r="A47" s="385" t="s">
        <v>284</v>
      </c>
      <c r="B47" s="526" t="s">
        <v>151</v>
      </c>
      <c r="C47" s="527">
        <f>30.2/0.79</f>
        <v>38.22784810126582</v>
      </c>
      <c r="D47" s="383">
        <f t="shared" si="1"/>
        <v>0</v>
      </c>
      <c r="E47" s="586" t="s">
        <v>158</v>
      </c>
      <c r="F47" s="478">
        <f t="shared" si="4"/>
        <v>0</v>
      </c>
      <c r="G47" s="383">
        <f t="shared" si="2"/>
        <v>0</v>
      </c>
      <c r="H47" s="453"/>
      <c r="I47" s="384">
        <f t="shared" si="3"/>
        <v>0</v>
      </c>
    </row>
    <row r="48" spans="1:9">
      <c r="A48" s="385" t="s">
        <v>284</v>
      </c>
      <c r="B48" s="526" t="s">
        <v>152</v>
      </c>
      <c r="C48" s="527">
        <f>30.2/0.79</f>
        <v>38.22784810126582</v>
      </c>
      <c r="D48" s="383">
        <f t="shared" si="1"/>
        <v>0</v>
      </c>
      <c r="E48" s="586" t="s">
        <v>158</v>
      </c>
      <c r="F48" s="478">
        <f t="shared" si="4"/>
        <v>0</v>
      </c>
      <c r="G48" s="383">
        <f t="shared" si="2"/>
        <v>0</v>
      </c>
      <c r="H48" s="453"/>
      <c r="I48" s="384">
        <f t="shared" si="3"/>
        <v>0</v>
      </c>
    </row>
    <row r="49" spans="1:9">
      <c r="A49" s="385" t="s">
        <v>350</v>
      </c>
      <c r="B49" s="386" t="s">
        <v>153</v>
      </c>
      <c r="C49" s="464">
        <f>52.3/0.79</f>
        <v>66.202531645569607</v>
      </c>
      <c r="D49" s="383">
        <f t="shared" si="1"/>
        <v>0</v>
      </c>
      <c r="E49" s="586" t="s">
        <v>158</v>
      </c>
      <c r="F49" s="478">
        <f t="shared" si="4"/>
        <v>0</v>
      </c>
      <c r="G49" s="383">
        <f t="shared" si="2"/>
        <v>0</v>
      </c>
      <c r="H49" s="453"/>
      <c r="I49" s="384">
        <f t="shared" si="3"/>
        <v>0</v>
      </c>
    </row>
    <row r="50" spans="1:9">
      <c r="A50" s="385" t="s">
        <v>350</v>
      </c>
      <c r="B50" s="526" t="s">
        <v>151</v>
      </c>
      <c r="C50" s="527">
        <f>28.53/0.79</f>
        <v>36.11392405063291</v>
      </c>
      <c r="D50" s="383">
        <f t="shared" si="1"/>
        <v>0</v>
      </c>
      <c r="E50" s="586" t="s">
        <v>158</v>
      </c>
      <c r="F50" s="478">
        <f t="shared" si="4"/>
        <v>0</v>
      </c>
      <c r="G50" s="383">
        <f t="shared" si="2"/>
        <v>0</v>
      </c>
      <c r="H50" s="453"/>
      <c r="I50" s="384">
        <f t="shared" si="3"/>
        <v>0</v>
      </c>
    </row>
    <row r="51" spans="1:9">
      <c r="A51" s="385" t="s">
        <v>457</v>
      </c>
      <c r="B51" s="386" t="s">
        <v>153</v>
      </c>
      <c r="C51" s="464">
        <f>80.03/0.79</f>
        <v>101.30379746835443</v>
      </c>
      <c r="D51" s="383">
        <f t="shared" si="1"/>
        <v>0</v>
      </c>
      <c r="E51" s="586" t="s">
        <v>158</v>
      </c>
      <c r="F51" s="478">
        <f t="shared" si="4"/>
        <v>0</v>
      </c>
      <c r="G51" s="383">
        <f t="shared" si="2"/>
        <v>0</v>
      </c>
      <c r="H51" s="453"/>
      <c r="I51" s="384">
        <f t="shared" si="3"/>
        <v>0</v>
      </c>
    </row>
    <row r="52" spans="1:9">
      <c r="A52" s="385" t="s">
        <v>457</v>
      </c>
      <c r="B52" s="526" t="s">
        <v>151</v>
      </c>
      <c r="C52" s="527">
        <f>50.69/0.79</f>
        <v>64.164556962025316</v>
      </c>
      <c r="D52" s="383">
        <f t="shared" si="1"/>
        <v>0</v>
      </c>
      <c r="E52" s="586" t="s">
        <v>158</v>
      </c>
      <c r="F52" s="478">
        <f t="shared" si="4"/>
        <v>0</v>
      </c>
      <c r="G52" s="383">
        <f t="shared" si="2"/>
        <v>0</v>
      </c>
      <c r="H52" s="453"/>
      <c r="I52" s="384">
        <f t="shared" si="3"/>
        <v>0</v>
      </c>
    </row>
    <row r="53" spans="1:9">
      <c r="A53" s="385" t="s">
        <v>495</v>
      </c>
      <c r="B53" s="386" t="s">
        <v>153</v>
      </c>
      <c r="C53" s="464">
        <f>51.52/0.79</f>
        <v>65.215189873417728</v>
      </c>
      <c r="D53" s="383">
        <f t="shared" si="1"/>
        <v>0</v>
      </c>
      <c r="E53" s="586" t="s">
        <v>158</v>
      </c>
      <c r="F53" s="478">
        <f t="shared" si="4"/>
        <v>0</v>
      </c>
      <c r="G53" s="383">
        <f t="shared" si="2"/>
        <v>0</v>
      </c>
      <c r="H53" s="453"/>
      <c r="I53" s="384">
        <f t="shared" si="3"/>
        <v>0</v>
      </c>
    </row>
    <row r="54" spans="1:9">
      <c r="A54" s="385" t="s">
        <v>495</v>
      </c>
      <c r="B54" s="526" t="s">
        <v>151</v>
      </c>
      <c r="C54" s="527">
        <f>43.65/0.79</f>
        <v>55.25316455696202</v>
      </c>
      <c r="D54" s="383">
        <f t="shared" si="1"/>
        <v>0</v>
      </c>
      <c r="E54" s="586" t="s">
        <v>158</v>
      </c>
      <c r="F54" s="478">
        <f t="shared" si="4"/>
        <v>0</v>
      </c>
      <c r="G54" s="383">
        <f t="shared" si="2"/>
        <v>0</v>
      </c>
      <c r="H54" s="453"/>
      <c r="I54" s="384">
        <f t="shared" si="3"/>
        <v>0</v>
      </c>
    </row>
    <row r="55" spans="1:9">
      <c r="A55" s="385" t="s">
        <v>495</v>
      </c>
      <c r="B55" s="526" t="s">
        <v>152</v>
      </c>
      <c r="C55" s="527">
        <f>43.65/0.79</f>
        <v>55.25316455696202</v>
      </c>
      <c r="D55" s="383">
        <f t="shared" si="1"/>
        <v>0</v>
      </c>
      <c r="E55" s="586" t="s">
        <v>158</v>
      </c>
      <c r="F55" s="478">
        <f t="shared" si="4"/>
        <v>0</v>
      </c>
      <c r="G55" s="383">
        <f t="shared" si="2"/>
        <v>0</v>
      </c>
      <c r="H55" s="453"/>
      <c r="I55" s="384">
        <f t="shared" si="3"/>
        <v>0</v>
      </c>
    </row>
    <row r="56" spans="1:9">
      <c r="A56" s="385" t="s">
        <v>347</v>
      </c>
      <c r="B56" s="386" t="s">
        <v>153</v>
      </c>
      <c r="C56" s="464">
        <f>18.38/0.79</f>
        <v>23.265822784810123</v>
      </c>
      <c r="D56" s="383">
        <f t="shared" si="1"/>
        <v>0</v>
      </c>
      <c r="E56" s="586" t="s">
        <v>158</v>
      </c>
      <c r="F56" s="478">
        <f t="shared" si="4"/>
        <v>0</v>
      </c>
      <c r="G56" s="383">
        <f t="shared" si="2"/>
        <v>0</v>
      </c>
      <c r="H56" s="453"/>
      <c r="I56" s="384">
        <f t="shared" si="3"/>
        <v>0</v>
      </c>
    </row>
    <row r="57" spans="1:9">
      <c r="A57" s="385" t="s">
        <v>347</v>
      </c>
      <c r="B57" s="526" t="s">
        <v>151</v>
      </c>
      <c r="C57" s="527">
        <f>32.93/0.79</f>
        <v>41.683544303797468</v>
      </c>
      <c r="D57" s="383">
        <f t="shared" si="1"/>
        <v>0</v>
      </c>
      <c r="E57" s="586" t="s">
        <v>158</v>
      </c>
      <c r="F57" s="478">
        <f t="shared" si="4"/>
        <v>0</v>
      </c>
      <c r="G57" s="383">
        <f t="shared" si="2"/>
        <v>0</v>
      </c>
      <c r="H57" s="453"/>
      <c r="I57" s="384">
        <f t="shared" si="3"/>
        <v>0</v>
      </c>
    </row>
    <row r="58" spans="1:9">
      <c r="A58" s="385" t="s">
        <v>347</v>
      </c>
      <c r="B58" s="526" t="s">
        <v>152</v>
      </c>
      <c r="C58" s="527">
        <f>32.93/0.79</f>
        <v>41.683544303797468</v>
      </c>
      <c r="D58" s="383">
        <f t="shared" si="1"/>
        <v>0</v>
      </c>
      <c r="E58" s="586" t="s">
        <v>158</v>
      </c>
      <c r="F58" s="478">
        <f t="shared" si="4"/>
        <v>0</v>
      </c>
      <c r="G58" s="383">
        <f t="shared" si="2"/>
        <v>0</v>
      </c>
      <c r="H58" s="453"/>
      <c r="I58" s="384">
        <f t="shared" si="3"/>
        <v>0</v>
      </c>
    </row>
    <row r="59" spans="1:9">
      <c r="A59" s="385" t="s">
        <v>567</v>
      </c>
      <c r="B59" s="386" t="s">
        <v>153</v>
      </c>
      <c r="C59" s="464">
        <f>22.2/0.79</f>
        <v>28.101265822784807</v>
      </c>
      <c r="D59" s="383">
        <f t="shared" si="1"/>
        <v>0</v>
      </c>
      <c r="E59" s="586" t="s">
        <v>158</v>
      </c>
      <c r="F59" s="478">
        <f t="shared" si="4"/>
        <v>0</v>
      </c>
      <c r="G59" s="383">
        <f t="shared" si="2"/>
        <v>0</v>
      </c>
      <c r="H59" s="453"/>
      <c r="I59" s="384">
        <f t="shared" si="3"/>
        <v>0</v>
      </c>
    </row>
    <row r="60" spans="1:9">
      <c r="A60" s="385" t="s">
        <v>567</v>
      </c>
      <c r="B60" s="526" t="s">
        <v>151</v>
      </c>
      <c r="C60" s="527">
        <f>101.43/0.79</f>
        <v>128.39240506329114</v>
      </c>
      <c r="D60" s="383">
        <f t="shared" si="1"/>
        <v>0</v>
      </c>
      <c r="E60" s="586" t="s">
        <v>158</v>
      </c>
      <c r="F60" s="478">
        <f t="shared" si="4"/>
        <v>0</v>
      </c>
      <c r="G60" s="383">
        <f t="shared" si="2"/>
        <v>0</v>
      </c>
      <c r="H60" s="453"/>
      <c r="I60" s="384">
        <f t="shared" si="3"/>
        <v>0</v>
      </c>
    </row>
    <row r="61" spans="1:9">
      <c r="A61" s="385" t="s">
        <v>520</v>
      </c>
      <c r="B61" s="386" t="s">
        <v>153</v>
      </c>
      <c r="C61" s="464">
        <f>88.75/0.79</f>
        <v>112.34177215189872</v>
      </c>
      <c r="D61" s="383">
        <f t="shared" si="1"/>
        <v>0</v>
      </c>
      <c r="E61" s="586" t="s">
        <v>158</v>
      </c>
      <c r="F61" s="478">
        <f t="shared" si="4"/>
        <v>0</v>
      </c>
      <c r="G61" s="383">
        <f t="shared" si="2"/>
        <v>0</v>
      </c>
      <c r="H61" s="453"/>
      <c r="I61" s="384">
        <f t="shared" si="3"/>
        <v>0</v>
      </c>
    </row>
    <row r="62" spans="1:9">
      <c r="A62" s="385" t="s">
        <v>520</v>
      </c>
      <c r="B62" s="526" t="s">
        <v>151</v>
      </c>
      <c r="C62" s="527">
        <f>49.93/0.79</f>
        <v>63.202531645569614</v>
      </c>
      <c r="D62" s="383">
        <f t="shared" si="1"/>
        <v>0</v>
      </c>
      <c r="E62" s="586" t="s">
        <v>158</v>
      </c>
      <c r="F62" s="478">
        <f t="shared" si="4"/>
        <v>0</v>
      </c>
      <c r="G62" s="383">
        <f t="shared" si="2"/>
        <v>0</v>
      </c>
      <c r="H62" s="453"/>
      <c r="I62" s="384">
        <f t="shared" si="3"/>
        <v>0</v>
      </c>
    </row>
    <row r="63" spans="1:9">
      <c r="A63" s="385" t="s">
        <v>472</v>
      </c>
      <c r="B63" s="386" t="s">
        <v>153</v>
      </c>
      <c r="C63" s="464">
        <f>20.6/0.79</f>
        <v>26.075949367088608</v>
      </c>
      <c r="D63" s="383">
        <f t="shared" si="1"/>
        <v>0</v>
      </c>
      <c r="E63" s="586" t="s">
        <v>158</v>
      </c>
      <c r="F63" s="478">
        <f t="shared" si="4"/>
        <v>0</v>
      </c>
      <c r="G63" s="383">
        <f t="shared" si="2"/>
        <v>0</v>
      </c>
      <c r="H63" s="453"/>
      <c r="I63" s="384">
        <f t="shared" si="3"/>
        <v>0</v>
      </c>
    </row>
    <row r="64" spans="1:9">
      <c r="A64" s="385" t="s">
        <v>472</v>
      </c>
      <c r="B64" s="526" t="s">
        <v>151</v>
      </c>
      <c r="C64" s="527">
        <f>35.66/0.79</f>
        <v>45.139240506329109</v>
      </c>
      <c r="D64" s="383">
        <f t="shared" si="1"/>
        <v>0</v>
      </c>
      <c r="E64" s="586" t="s">
        <v>158</v>
      </c>
      <c r="F64" s="478">
        <f t="shared" si="4"/>
        <v>0</v>
      </c>
      <c r="G64" s="383">
        <f t="shared" si="2"/>
        <v>0</v>
      </c>
      <c r="H64" s="453"/>
      <c r="I64" s="384">
        <f t="shared" si="3"/>
        <v>0</v>
      </c>
    </row>
    <row r="65" spans="1:9">
      <c r="A65" s="385" t="s">
        <v>472</v>
      </c>
      <c r="B65" s="526" t="s">
        <v>152</v>
      </c>
      <c r="C65" s="527">
        <f>35.66/0.79</f>
        <v>45.139240506329109</v>
      </c>
      <c r="D65" s="383">
        <f t="shared" si="1"/>
        <v>0</v>
      </c>
      <c r="E65" s="586" t="s">
        <v>158</v>
      </c>
      <c r="F65" s="478">
        <f t="shared" si="4"/>
        <v>0</v>
      </c>
      <c r="G65" s="383">
        <f t="shared" si="2"/>
        <v>0</v>
      </c>
      <c r="H65" s="453"/>
      <c r="I65" s="384">
        <f t="shared" si="3"/>
        <v>0</v>
      </c>
    </row>
    <row r="66" spans="1:9">
      <c r="A66" s="385" t="s">
        <v>460</v>
      </c>
      <c r="B66" s="386" t="s">
        <v>153</v>
      </c>
      <c r="C66" s="464">
        <f>42.11/0.79</f>
        <v>53.303797468354425</v>
      </c>
      <c r="D66" s="383">
        <f t="shared" si="1"/>
        <v>0</v>
      </c>
      <c r="E66" s="586" t="s">
        <v>158</v>
      </c>
      <c r="F66" s="478">
        <f t="shared" si="4"/>
        <v>0</v>
      </c>
      <c r="G66" s="383">
        <f t="shared" si="2"/>
        <v>0</v>
      </c>
      <c r="H66" s="453"/>
      <c r="I66" s="384">
        <f t="shared" si="3"/>
        <v>0</v>
      </c>
    </row>
    <row r="67" spans="1:9">
      <c r="A67" s="385" t="s">
        <v>460</v>
      </c>
      <c r="B67" s="526" t="s">
        <v>151</v>
      </c>
      <c r="C67" s="527">
        <f>97.99/0.79</f>
        <v>124.03797468354429</v>
      </c>
      <c r="D67" s="383">
        <f t="shared" si="1"/>
        <v>0</v>
      </c>
      <c r="E67" s="586" t="s">
        <v>158</v>
      </c>
      <c r="F67" s="478">
        <f t="shared" si="4"/>
        <v>0</v>
      </c>
      <c r="G67" s="383">
        <f t="shared" si="2"/>
        <v>0</v>
      </c>
      <c r="H67" s="453"/>
      <c r="I67" s="384">
        <f t="shared" si="3"/>
        <v>0</v>
      </c>
    </row>
    <row r="68" spans="1:9">
      <c r="A68" s="385" t="s">
        <v>363</v>
      </c>
      <c r="B68" s="386" t="s">
        <v>581</v>
      </c>
      <c r="C68" s="464">
        <f>99.52/0.79</f>
        <v>125.97468354430379</v>
      </c>
      <c r="D68" s="383">
        <f t="shared" si="1"/>
        <v>0</v>
      </c>
      <c r="E68" s="586" t="s">
        <v>158</v>
      </c>
      <c r="F68" s="478">
        <f t="shared" si="4"/>
        <v>0</v>
      </c>
      <c r="G68" s="383">
        <f t="shared" si="2"/>
        <v>0</v>
      </c>
      <c r="H68" s="453"/>
      <c r="I68" s="384">
        <f t="shared" si="3"/>
        <v>0</v>
      </c>
    </row>
    <row r="69" spans="1:9">
      <c r="A69" s="385" t="s">
        <v>363</v>
      </c>
      <c r="B69" s="526" t="s">
        <v>152</v>
      </c>
      <c r="C69" s="527">
        <f>53.59/0.79</f>
        <v>67.835443037974684</v>
      </c>
      <c r="D69" s="383">
        <f t="shared" si="1"/>
        <v>0</v>
      </c>
      <c r="E69" s="586" t="s">
        <v>158</v>
      </c>
      <c r="F69" s="478">
        <f t="shared" si="4"/>
        <v>0</v>
      </c>
      <c r="G69" s="383">
        <f t="shared" si="2"/>
        <v>0</v>
      </c>
      <c r="H69" s="453"/>
      <c r="I69" s="384">
        <f t="shared" si="3"/>
        <v>0</v>
      </c>
    </row>
    <row r="70" spans="1:9">
      <c r="A70" s="385" t="s">
        <v>304</v>
      </c>
      <c r="B70" s="550" t="s">
        <v>581</v>
      </c>
      <c r="C70" s="464">
        <f>92.7/0.79</f>
        <v>117.34177215189874</v>
      </c>
      <c r="D70" s="383">
        <f t="shared" si="1"/>
        <v>0</v>
      </c>
      <c r="E70" s="586" t="s">
        <v>158</v>
      </c>
      <c r="F70" s="478">
        <f t="shared" si="4"/>
        <v>0</v>
      </c>
      <c r="G70" s="383">
        <f t="shared" si="2"/>
        <v>0</v>
      </c>
      <c r="H70" s="453"/>
      <c r="I70" s="384">
        <f t="shared" si="3"/>
        <v>0</v>
      </c>
    </row>
    <row r="71" spans="1:9">
      <c r="A71" s="548" t="s">
        <v>307</v>
      </c>
      <c r="B71" s="549" t="s">
        <v>153</v>
      </c>
      <c r="C71" s="464">
        <v>147</v>
      </c>
      <c r="D71" s="383">
        <f t="shared" si="1"/>
        <v>0</v>
      </c>
      <c r="E71" s="586" t="s">
        <v>158</v>
      </c>
      <c r="F71" s="478">
        <f t="shared" si="4"/>
        <v>0</v>
      </c>
      <c r="G71" s="383">
        <f t="shared" si="2"/>
        <v>0</v>
      </c>
      <c r="H71" s="453"/>
      <c r="I71" s="384">
        <f t="shared" si="3"/>
        <v>0</v>
      </c>
    </row>
    <row r="72" spans="1:9">
      <c r="A72" s="548" t="s">
        <v>307</v>
      </c>
      <c r="B72" s="551" t="s">
        <v>151</v>
      </c>
      <c r="C72" s="464">
        <v>237</v>
      </c>
      <c r="D72" s="383">
        <f t="shared" si="1"/>
        <v>0</v>
      </c>
      <c r="E72" s="586" t="s">
        <v>158</v>
      </c>
      <c r="F72" s="478">
        <f t="shared" si="4"/>
        <v>0</v>
      </c>
      <c r="G72" s="383">
        <f t="shared" si="2"/>
        <v>0</v>
      </c>
      <c r="H72" s="453"/>
      <c r="I72" s="384">
        <f t="shared" si="3"/>
        <v>0</v>
      </c>
    </row>
    <row r="73" spans="1:9">
      <c r="A73" s="387" t="s">
        <v>517</v>
      </c>
      <c r="B73" s="386" t="s">
        <v>153</v>
      </c>
      <c r="C73" s="464">
        <v>216</v>
      </c>
      <c r="D73" s="383">
        <f t="shared" si="1"/>
        <v>0</v>
      </c>
      <c r="E73" s="586" t="s">
        <v>158</v>
      </c>
      <c r="F73" s="478">
        <f t="shared" si="4"/>
        <v>0</v>
      </c>
      <c r="G73" s="383">
        <f t="shared" si="2"/>
        <v>0</v>
      </c>
      <c r="H73" s="453"/>
      <c r="I73" s="384">
        <f t="shared" si="3"/>
        <v>0</v>
      </c>
    </row>
    <row r="74" spans="1:9">
      <c r="A74" s="387" t="s">
        <v>517</v>
      </c>
      <c r="B74" s="526" t="s">
        <v>151</v>
      </c>
      <c r="C74" s="527">
        <v>128</v>
      </c>
      <c r="D74" s="383">
        <f t="shared" si="1"/>
        <v>0</v>
      </c>
      <c r="E74" s="586" t="s">
        <v>158</v>
      </c>
      <c r="F74" s="478">
        <f t="shared" si="4"/>
        <v>0</v>
      </c>
      <c r="G74" s="383">
        <f t="shared" si="2"/>
        <v>0</v>
      </c>
      <c r="H74" s="453"/>
      <c r="I74" s="384">
        <f t="shared" si="3"/>
        <v>0</v>
      </c>
    </row>
    <row r="75" spans="1:9">
      <c r="A75" s="387" t="s">
        <v>456</v>
      </c>
      <c r="B75" s="386" t="s">
        <v>153</v>
      </c>
      <c r="C75" s="464">
        <v>157</v>
      </c>
      <c r="D75" s="383">
        <f t="shared" si="1"/>
        <v>0</v>
      </c>
      <c r="E75" s="586" t="s">
        <v>158</v>
      </c>
      <c r="F75" s="478">
        <f t="shared" si="4"/>
        <v>0</v>
      </c>
      <c r="G75" s="383">
        <f t="shared" si="2"/>
        <v>0</v>
      </c>
      <c r="H75" s="453"/>
      <c r="I75" s="384">
        <f t="shared" si="3"/>
        <v>0</v>
      </c>
    </row>
    <row r="76" spans="1:9">
      <c r="A76" s="387" t="s">
        <v>456</v>
      </c>
      <c r="B76" s="526" t="s">
        <v>151</v>
      </c>
      <c r="C76" s="527">
        <f>79.01/0.79</f>
        <v>100.01265822784811</v>
      </c>
      <c r="D76" s="383">
        <f t="shared" ref="D76:D80" si="5">C76*F76</f>
        <v>0</v>
      </c>
      <c r="E76" s="586" t="s">
        <v>158</v>
      </c>
      <c r="F76" s="478">
        <f t="shared" si="4"/>
        <v>0</v>
      </c>
      <c r="G76" s="383">
        <f t="shared" ref="G76:G80" si="6">E76*D76</f>
        <v>0</v>
      </c>
      <c r="H76" s="453"/>
      <c r="I76" s="384">
        <f t="shared" ref="I76:I80" si="7">G76+H76</f>
        <v>0</v>
      </c>
    </row>
    <row r="77" spans="1:9">
      <c r="A77" s="387" t="s">
        <v>456</v>
      </c>
      <c r="B77" s="526" t="s">
        <v>152</v>
      </c>
      <c r="C77" s="527">
        <f>79.01/0.79</f>
        <v>100.01265822784811</v>
      </c>
      <c r="D77" s="383">
        <f t="shared" si="5"/>
        <v>0</v>
      </c>
      <c r="E77" s="586" t="s">
        <v>158</v>
      </c>
      <c r="F77" s="478">
        <f t="shared" si="4"/>
        <v>0</v>
      </c>
      <c r="G77" s="383">
        <f t="shared" si="6"/>
        <v>0</v>
      </c>
      <c r="H77" s="453"/>
      <c r="I77" s="384">
        <f t="shared" si="7"/>
        <v>0</v>
      </c>
    </row>
    <row r="78" spans="1:9">
      <c r="A78" s="548" t="s">
        <v>422</v>
      </c>
      <c r="B78" s="549" t="s">
        <v>153</v>
      </c>
      <c r="C78" s="464">
        <v>53</v>
      </c>
      <c r="D78" s="383">
        <f t="shared" si="5"/>
        <v>0</v>
      </c>
      <c r="E78" s="586" t="s">
        <v>158</v>
      </c>
      <c r="F78" s="478">
        <f t="shared" si="4"/>
        <v>0</v>
      </c>
      <c r="G78" s="383">
        <f t="shared" si="6"/>
        <v>0</v>
      </c>
      <c r="H78" s="453"/>
      <c r="I78" s="384">
        <f t="shared" si="7"/>
        <v>0</v>
      </c>
    </row>
    <row r="79" spans="1:9">
      <c r="A79" s="548" t="s">
        <v>422</v>
      </c>
      <c r="B79" s="551" t="s">
        <v>151</v>
      </c>
      <c r="C79" s="464">
        <v>53</v>
      </c>
      <c r="D79" s="383">
        <f t="shared" si="5"/>
        <v>0</v>
      </c>
      <c r="E79" s="586" t="s">
        <v>158</v>
      </c>
      <c r="F79" s="478">
        <f t="shared" si="4"/>
        <v>0</v>
      </c>
      <c r="G79" s="383">
        <f t="shared" si="6"/>
        <v>0</v>
      </c>
      <c r="H79" s="453"/>
      <c r="I79" s="384">
        <f t="shared" si="7"/>
        <v>0</v>
      </c>
    </row>
    <row r="80" spans="1:9">
      <c r="A80" s="548" t="s">
        <v>422</v>
      </c>
      <c r="B80" s="551" t="s">
        <v>152</v>
      </c>
      <c r="C80" s="464">
        <v>98</v>
      </c>
      <c r="D80" s="383">
        <f t="shared" si="5"/>
        <v>0</v>
      </c>
      <c r="E80" s="586" t="s">
        <v>158</v>
      </c>
      <c r="F80" s="478">
        <f t="shared" si="4"/>
        <v>0</v>
      </c>
      <c r="G80" s="383">
        <f t="shared" si="6"/>
        <v>0</v>
      </c>
      <c r="H80" s="453"/>
      <c r="I80" s="384">
        <f t="shared" si="7"/>
        <v>0</v>
      </c>
    </row>
    <row r="81" spans="1:9">
      <c r="B81" s="381"/>
      <c r="D81" s="381"/>
      <c r="E81" s="381"/>
      <c r="F81" s="381"/>
      <c r="G81" s="381"/>
      <c r="I81" s="381"/>
    </row>
    <row r="82" spans="1:9">
      <c r="A82" s="466" t="s">
        <v>8</v>
      </c>
      <c r="B82" s="467"/>
      <c r="C82" s="468">
        <f>SUM(C13:C80)</f>
        <v>7095.7341772151894</v>
      </c>
      <c r="D82" s="470"/>
      <c r="E82" s="471"/>
      <c r="F82" s="467"/>
      <c r="G82" s="469">
        <f>SUM(G13:G80)</f>
        <v>0</v>
      </c>
      <c r="H82" s="465">
        <f>SUM(H13:H80)</f>
        <v>0</v>
      </c>
      <c r="I82" s="465">
        <f>SUM(I13:I80)</f>
        <v>0</v>
      </c>
    </row>
  </sheetData>
  <autoFilter ref="A12:AD82" xr:uid="{00000000-0009-0000-0000-00000A000000}"/>
  <phoneticPr fontId="110" type="noConversion"/>
  <printOptions horizontalCentered="1"/>
  <pageMargins left="0.7" right="0.7" top="0.75" bottom="0.75" header="0.3" footer="0.3"/>
  <pageSetup paperSize="9" scale="61"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AE6FA-7487-48F1-B329-86F90733F99C}">
  <sheetPr>
    <tabColor theme="0" tint="-0.14999847407452621"/>
    <pageSetUpPr fitToPage="1"/>
  </sheetPr>
  <dimension ref="A1:Z110"/>
  <sheetViews>
    <sheetView showGridLines="0" zoomScale="80" zoomScaleNormal="80" zoomScaleSheetLayoutView="50" zoomScalePageLayoutView="50" workbookViewId="0">
      <pane ySplit="12" topLeftCell="A13" activePane="bottomLeft" state="frozen"/>
      <selection activeCell="D33" sqref="D33"/>
      <selection pane="bottomLeft" activeCell="A13" sqref="A13"/>
    </sheetView>
  </sheetViews>
  <sheetFormatPr defaultColWidth="13.6640625" defaultRowHeight="13.2"/>
  <cols>
    <col min="1" max="1" width="46.109375" style="381" customWidth="1"/>
    <col min="2" max="2" width="43.109375" style="388" bestFit="1" customWidth="1"/>
    <col min="3" max="3" width="12.109375" style="381" customWidth="1"/>
    <col min="4" max="4" width="13.6640625" style="390" customWidth="1"/>
    <col min="5" max="5" width="15.88671875" style="390" customWidth="1"/>
    <col min="6" max="6" width="13.33203125" style="618" bestFit="1" customWidth="1"/>
    <col min="7" max="7" width="21" style="618" bestFit="1" customWidth="1"/>
    <col min="8" max="8" width="61" style="618" customWidth="1"/>
    <col min="9" max="9" width="13.6640625" style="618"/>
    <col min="10" max="247" width="13.6640625" style="532"/>
    <col min="248" max="248" width="22.109375" style="532" customWidth="1"/>
    <col min="249" max="255" width="13.6640625" style="532" customWidth="1"/>
    <col min="256" max="256" width="15.88671875" style="532" customWidth="1"/>
    <col min="257" max="257" width="16.5546875" style="532" bestFit="1" customWidth="1"/>
    <col min="258" max="258" width="13.6640625" style="532" customWidth="1"/>
    <col min="259" max="259" width="17.109375" style="532" bestFit="1" customWidth="1"/>
    <col min="260" max="260" width="4" style="532" customWidth="1"/>
    <col min="261" max="261" width="13.6640625" style="532" customWidth="1"/>
    <col min="262" max="503" width="13.6640625" style="532"/>
    <col min="504" max="504" width="22.109375" style="532" customWidth="1"/>
    <col min="505" max="511" width="13.6640625" style="532" customWidth="1"/>
    <col min="512" max="512" width="15.88671875" style="532" customWidth="1"/>
    <col min="513" max="513" width="16.5546875" style="532" bestFit="1" customWidth="1"/>
    <col min="514" max="514" width="13.6640625" style="532" customWidth="1"/>
    <col min="515" max="515" width="17.109375" style="532" bestFit="1" customWidth="1"/>
    <col min="516" max="516" width="4" style="532" customWidth="1"/>
    <col min="517" max="517" width="13.6640625" style="532" customWidth="1"/>
    <col min="518" max="759" width="13.6640625" style="532"/>
    <col min="760" max="760" width="22.109375" style="532" customWidth="1"/>
    <col min="761" max="767" width="13.6640625" style="532" customWidth="1"/>
    <col min="768" max="768" width="15.88671875" style="532" customWidth="1"/>
    <col min="769" max="769" width="16.5546875" style="532" bestFit="1" customWidth="1"/>
    <col min="770" max="770" width="13.6640625" style="532" customWidth="1"/>
    <col min="771" max="771" width="17.109375" style="532" bestFit="1" customWidth="1"/>
    <col min="772" max="772" width="4" style="532" customWidth="1"/>
    <col min="773" max="773" width="13.6640625" style="532" customWidth="1"/>
    <col min="774" max="1015" width="13.6640625" style="532"/>
    <col min="1016" max="1016" width="22.109375" style="532" customWidth="1"/>
    <col min="1017" max="1023" width="13.6640625" style="532" customWidth="1"/>
    <col min="1024" max="1024" width="15.88671875" style="532" customWidth="1"/>
    <col min="1025" max="1025" width="16.5546875" style="532" bestFit="1" customWidth="1"/>
    <col min="1026" max="1026" width="13.6640625" style="532" customWidth="1"/>
    <col min="1027" max="1027" width="17.109375" style="532" bestFit="1" customWidth="1"/>
    <col min="1028" max="1028" width="4" style="532" customWidth="1"/>
    <col min="1029" max="1029" width="13.6640625" style="532" customWidth="1"/>
    <col min="1030" max="1271" width="13.6640625" style="532"/>
    <col min="1272" max="1272" width="22.109375" style="532" customWidth="1"/>
    <col min="1273" max="1279" width="13.6640625" style="532" customWidth="1"/>
    <col min="1280" max="1280" width="15.88671875" style="532" customWidth="1"/>
    <col min="1281" max="1281" width="16.5546875" style="532" bestFit="1" customWidth="1"/>
    <col min="1282" max="1282" width="13.6640625" style="532" customWidth="1"/>
    <col min="1283" max="1283" width="17.109375" style="532" bestFit="1" customWidth="1"/>
    <col min="1284" max="1284" width="4" style="532" customWidth="1"/>
    <col min="1285" max="1285" width="13.6640625" style="532" customWidth="1"/>
    <col min="1286" max="1527" width="13.6640625" style="532"/>
    <col min="1528" max="1528" width="22.109375" style="532" customWidth="1"/>
    <col min="1529" max="1535" width="13.6640625" style="532" customWidth="1"/>
    <col min="1536" max="1536" width="15.88671875" style="532" customWidth="1"/>
    <col min="1537" max="1537" width="16.5546875" style="532" bestFit="1" customWidth="1"/>
    <col min="1538" max="1538" width="13.6640625" style="532" customWidth="1"/>
    <col min="1539" max="1539" width="17.109375" style="532" bestFit="1" customWidth="1"/>
    <col min="1540" max="1540" width="4" style="532" customWidth="1"/>
    <col min="1541" max="1541" width="13.6640625" style="532" customWidth="1"/>
    <col min="1542" max="1783" width="13.6640625" style="532"/>
    <col min="1784" max="1784" width="22.109375" style="532" customWidth="1"/>
    <col min="1785" max="1791" width="13.6640625" style="532" customWidth="1"/>
    <col min="1792" max="1792" width="15.88671875" style="532" customWidth="1"/>
    <col min="1793" max="1793" width="16.5546875" style="532" bestFit="1" customWidth="1"/>
    <col min="1794" max="1794" width="13.6640625" style="532" customWidth="1"/>
    <col min="1795" max="1795" width="17.109375" style="532" bestFit="1" customWidth="1"/>
    <col min="1796" max="1796" width="4" style="532" customWidth="1"/>
    <col min="1797" max="1797" width="13.6640625" style="532" customWidth="1"/>
    <col min="1798" max="2039" width="13.6640625" style="532"/>
    <col min="2040" max="2040" width="22.109375" style="532" customWidth="1"/>
    <col min="2041" max="2047" width="13.6640625" style="532" customWidth="1"/>
    <col min="2048" max="2048" width="15.88671875" style="532" customWidth="1"/>
    <col min="2049" max="2049" width="16.5546875" style="532" bestFit="1" customWidth="1"/>
    <col min="2050" max="2050" width="13.6640625" style="532" customWidth="1"/>
    <col min="2051" max="2051" width="17.109375" style="532" bestFit="1" customWidth="1"/>
    <col min="2052" max="2052" width="4" style="532" customWidth="1"/>
    <col min="2053" max="2053" width="13.6640625" style="532" customWidth="1"/>
    <col min="2054" max="2295" width="13.6640625" style="532"/>
    <col min="2296" max="2296" width="22.109375" style="532" customWidth="1"/>
    <col min="2297" max="2303" width="13.6640625" style="532" customWidth="1"/>
    <col min="2304" max="2304" width="15.88671875" style="532" customWidth="1"/>
    <col min="2305" max="2305" width="16.5546875" style="532" bestFit="1" customWidth="1"/>
    <col min="2306" max="2306" width="13.6640625" style="532" customWidth="1"/>
    <col min="2307" max="2307" width="17.109375" style="532" bestFit="1" customWidth="1"/>
    <col min="2308" max="2308" width="4" style="532" customWidth="1"/>
    <col min="2309" max="2309" width="13.6640625" style="532" customWidth="1"/>
    <col min="2310" max="2551" width="13.6640625" style="532"/>
    <col min="2552" max="2552" width="22.109375" style="532" customWidth="1"/>
    <col min="2553" max="2559" width="13.6640625" style="532" customWidth="1"/>
    <col min="2560" max="2560" width="15.88671875" style="532" customWidth="1"/>
    <col min="2561" max="2561" width="16.5546875" style="532" bestFit="1" customWidth="1"/>
    <col min="2562" max="2562" width="13.6640625" style="532" customWidth="1"/>
    <col min="2563" max="2563" width="17.109375" style="532" bestFit="1" customWidth="1"/>
    <col min="2564" max="2564" width="4" style="532" customWidth="1"/>
    <col min="2565" max="2565" width="13.6640625" style="532" customWidth="1"/>
    <col min="2566" max="2807" width="13.6640625" style="532"/>
    <col min="2808" max="2808" width="22.109375" style="532" customWidth="1"/>
    <col min="2809" max="2815" width="13.6640625" style="532" customWidth="1"/>
    <col min="2816" max="2816" width="15.88671875" style="532" customWidth="1"/>
    <col min="2817" max="2817" width="16.5546875" style="532" bestFit="1" customWidth="1"/>
    <col min="2818" max="2818" width="13.6640625" style="532" customWidth="1"/>
    <col min="2819" max="2819" width="17.109375" style="532" bestFit="1" customWidth="1"/>
    <col min="2820" max="2820" width="4" style="532" customWidth="1"/>
    <col min="2821" max="2821" width="13.6640625" style="532" customWidth="1"/>
    <col min="2822" max="3063" width="13.6640625" style="532"/>
    <col min="3064" max="3064" width="22.109375" style="532" customWidth="1"/>
    <col min="3065" max="3071" width="13.6640625" style="532" customWidth="1"/>
    <col min="3072" max="3072" width="15.88671875" style="532" customWidth="1"/>
    <col min="3073" max="3073" width="16.5546875" style="532" bestFit="1" customWidth="1"/>
    <col min="3074" max="3074" width="13.6640625" style="532" customWidth="1"/>
    <col min="3075" max="3075" width="17.109375" style="532" bestFit="1" customWidth="1"/>
    <col min="3076" max="3076" width="4" style="532" customWidth="1"/>
    <col min="3077" max="3077" width="13.6640625" style="532" customWidth="1"/>
    <col min="3078" max="3319" width="13.6640625" style="532"/>
    <col min="3320" max="3320" width="22.109375" style="532" customWidth="1"/>
    <col min="3321" max="3327" width="13.6640625" style="532" customWidth="1"/>
    <col min="3328" max="3328" width="15.88671875" style="532" customWidth="1"/>
    <col min="3329" max="3329" width="16.5546875" style="532" bestFit="1" customWidth="1"/>
    <col min="3330" max="3330" width="13.6640625" style="532" customWidth="1"/>
    <col min="3331" max="3331" width="17.109375" style="532" bestFit="1" customWidth="1"/>
    <col min="3332" max="3332" width="4" style="532" customWidth="1"/>
    <col min="3333" max="3333" width="13.6640625" style="532" customWidth="1"/>
    <col min="3334" max="3575" width="13.6640625" style="532"/>
    <col min="3576" max="3576" width="22.109375" style="532" customWidth="1"/>
    <col min="3577" max="3583" width="13.6640625" style="532" customWidth="1"/>
    <col min="3584" max="3584" width="15.88671875" style="532" customWidth="1"/>
    <col min="3585" max="3585" width="16.5546875" style="532" bestFit="1" customWidth="1"/>
    <col min="3586" max="3586" width="13.6640625" style="532" customWidth="1"/>
    <col min="3587" max="3587" width="17.109375" style="532" bestFit="1" customWidth="1"/>
    <col min="3588" max="3588" width="4" style="532" customWidth="1"/>
    <col min="3589" max="3589" width="13.6640625" style="532" customWidth="1"/>
    <col min="3590" max="3831" width="13.6640625" style="532"/>
    <col min="3832" max="3832" width="22.109375" style="532" customWidth="1"/>
    <col min="3833" max="3839" width="13.6640625" style="532" customWidth="1"/>
    <col min="3840" max="3840" width="15.88671875" style="532" customWidth="1"/>
    <col min="3841" max="3841" width="16.5546875" style="532" bestFit="1" customWidth="1"/>
    <col min="3842" max="3842" width="13.6640625" style="532" customWidth="1"/>
    <col min="3843" max="3843" width="17.109375" style="532" bestFit="1" customWidth="1"/>
    <col min="3844" max="3844" width="4" style="532" customWidth="1"/>
    <col min="3845" max="3845" width="13.6640625" style="532" customWidth="1"/>
    <col min="3846" max="4087" width="13.6640625" style="532"/>
    <col min="4088" max="4088" width="22.109375" style="532" customWidth="1"/>
    <col min="4089" max="4095" width="13.6640625" style="532" customWidth="1"/>
    <col min="4096" max="4096" width="15.88671875" style="532" customWidth="1"/>
    <col min="4097" max="4097" width="16.5546875" style="532" bestFit="1" customWidth="1"/>
    <col min="4098" max="4098" width="13.6640625" style="532" customWidth="1"/>
    <col min="4099" max="4099" width="17.109375" style="532" bestFit="1" customWidth="1"/>
    <col min="4100" max="4100" width="4" style="532" customWidth="1"/>
    <col min="4101" max="4101" width="13.6640625" style="532" customWidth="1"/>
    <col min="4102" max="4343" width="13.6640625" style="532"/>
    <col min="4344" max="4344" width="22.109375" style="532" customWidth="1"/>
    <col min="4345" max="4351" width="13.6640625" style="532" customWidth="1"/>
    <col min="4352" max="4352" width="15.88671875" style="532" customWidth="1"/>
    <col min="4353" max="4353" width="16.5546875" style="532" bestFit="1" customWidth="1"/>
    <col min="4354" max="4354" width="13.6640625" style="532" customWidth="1"/>
    <col min="4355" max="4355" width="17.109375" style="532" bestFit="1" customWidth="1"/>
    <col min="4356" max="4356" width="4" style="532" customWidth="1"/>
    <col min="4357" max="4357" width="13.6640625" style="532" customWidth="1"/>
    <col min="4358" max="4599" width="13.6640625" style="532"/>
    <col min="4600" max="4600" width="22.109375" style="532" customWidth="1"/>
    <col min="4601" max="4607" width="13.6640625" style="532" customWidth="1"/>
    <col min="4608" max="4608" width="15.88671875" style="532" customWidth="1"/>
    <col min="4609" max="4609" width="16.5546875" style="532" bestFit="1" customWidth="1"/>
    <col min="4610" max="4610" width="13.6640625" style="532" customWidth="1"/>
    <col min="4611" max="4611" width="17.109375" style="532" bestFit="1" customWidth="1"/>
    <col min="4612" max="4612" width="4" style="532" customWidth="1"/>
    <col min="4613" max="4613" width="13.6640625" style="532" customWidth="1"/>
    <col min="4614" max="4855" width="13.6640625" style="532"/>
    <col min="4856" max="4856" width="22.109375" style="532" customWidth="1"/>
    <col min="4857" max="4863" width="13.6640625" style="532" customWidth="1"/>
    <col min="4864" max="4864" width="15.88671875" style="532" customWidth="1"/>
    <col min="4865" max="4865" width="16.5546875" style="532" bestFit="1" customWidth="1"/>
    <col min="4866" max="4866" width="13.6640625" style="532" customWidth="1"/>
    <col min="4867" max="4867" width="17.109375" style="532" bestFit="1" customWidth="1"/>
    <col min="4868" max="4868" width="4" style="532" customWidth="1"/>
    <col min="4869" max="4869" width="13.6640625" style="532" customWidth="1"/>
    <col min="4870" max="5111" width="13.6640625" style="532"/>
    <col min="5112" max="5112" width="22.109375" style="532" customWidth="1"/>
    <col min="5113" max="5119" width="13.6640625" style="532" customWidth="1"/>
    <col min="5120" max="5120" width="15.88671875" style="532" customWidth="1"/>
    <col min="5121" max="5121" width="16.5546875" style="532" bestFit="1" customWidth="1"/>
    <col min="5122" max="5122" width="13.6640625" style="532" customWidth="1"/>
    <col min="5123" max="5123" width="17.109375" style="532" bestFit="1" customWidth="1"/>
    <col min="5124" max="5124" width="4" style="532" customWidth="1"/>
    <col min="5125" max="5125" width="13.6640625" style="532" customWidth="1"/>
    <col min="5126" max="5367" width="13.6640625" style="532"/>
    <col min="5368" max="5368" width="22.109375" style="532" customWidth="1"/>
    <col min="5369" max="5375" width="13.6640625" style="532" customWidth="1"/>
    <col min="5376" max="5376" width="15.88671875" style="532" customWidth="1"/>
    <col min="5377" max="5377" width="16.5546875" style="532" bestFit="1" customWidth="1"/>
    <col min="5378" max="5378" width="13.6640625" style="532" customWidth="1"/>
    <col min="5379" max="5379" width="17.109375" style="532" bestFit="1" customWidth="1"/>
    <col min="5380" max="5380" width="4" style="532" customWidth="1"/>
    <col min="5381" max="5381" width="13.6640625" style="532" customWidth="1"/>
    <col min="5382" max="5623" width="13.6640625" style="532"/>
    <col min="5624" max="5624" width="22.109375" style="532" customWidth="1"/>
    <col min="5625" max="5631" width="13.6640625" style="532" customWidth="1"/>
    <col min="5632" max="5632" width="15.88671875" style="532" customWidth="1"/>
    <col min="5633" max="5633" width="16.5546875" style="532" bestFit="1" customWidth="1"/>
    <col min="5634" max="5634" width="13.6640625" style="532" customWidth="1"/>
    <col min="5635" max="5635" width="17.109375" style="532" bestFit="1" customWidth="1"/>
    <col min="5636" max="5636" width="4" style="532" customWidth="1"/>
    <col min="5637" max="5637" width="13.6640625" style="532" customWidth="1"/>
    <col min="5638" max="5879" width="13.6640625" style="532"/>
    <col min="5880" max="5880" width="22.109375" style="532" customWidth="1"/>
    <col min="5881" max="5887" width="13.6640625" style="532" customWidth="1"/>
    <col min="5888" max="5888" width="15.88671875" style="532" customWidth="1"/>
    <col min="5889" max="5889" width="16.5546875" style="532" bestFit="1" customWidth="1"/>
    <col min="5890" max="5890" width="13.6640625" style="532" customWidth="1"/>
    <col min="5891" max="5891" width="17.109375" style="532" bestFit="1" customWidth="1"/>
    <col min="5892" max="5892" width="4" style="532" customWidth="1"/>
    <col min="5893" max="5893" width="13.6640625" style="532" customWidth="1"/>
    <col min="5894" max="6135" width="13.6640625" style="532"/>
    <col min="6136" max="6136" width="22.109375" style="532" customWidth="1"/>
    <col min="6137" max="6143" width="13.6640625" style="532" customWidth="1"/>
    <col min="6144" max="6144" width="15.88671875" style="532" customWidth="1"/>
    <col min="6145" max="6145" width="16.5546875" style="532" bestFit="1" customWidth="1"/>
    <col min="6146" max="6146" width="13.6640625" style="532" customWidth="1"/>
    <col min="6147" max="6147" width="17.109375" style="532" bestFit="1" customWidth="1"/>
    <col min="6148" max="6148" width="4" style="532" customWidth="1"/>
    <col min="6149" max="6149" width="13.6640625" style="532" customWidth="1"/>
    <col min="6150" max="6391" width="13.6640625" style="532"/>
    <col min="6392" max="6392" width="22.109375" style="532" customWidth="1"/>
    <col min="6393" max="6399" width="13.6640625" style="532" customWidth="1"/>
    <col min="6400" max="6400" width="15.88671875" style="532" customWidth="1"/>
    <col min="6401" max="6401" width="16.5546875" style="532" bestFit="1" customWidth="1"/>
    <col min="6402" max="6402" width="13.6640625" style="532" customWidth="1"/>
    <col min="6403" max="6403" width="17.109375" style="532" bestFit="1" customWidth="1"/>
    <col min="6404" max="6404" width="4" style="532" customWidth="1"/>
    <col min="6405" max="6405" width="13.6640625" style="532" customWidth="1"/>
    <col min="6406" max="6647" width="13.6640625" style="532"/>
    <col min="6648" max="6648" width="22.109375" style="532" customWidth="1"/>
    <col min="6649" max="6655" width="13.6640625" style="532" customWidth="1"/>
    <col min="6656" max="6656" width="15.88671875" style="532" customWidth="1"/>
    <col min="6657" max="6657" width="16.5546875" style="532" bestFit="1" customWidth="1"/>
    <col min="6658" max="6658" width="13.6640625" style="532" customWidth="1"/>
    <col min="6659" max="6659" width="17.109375" style="532" bestFit="1" customWidth="1"/>
    <col min="6660" max="6660" width="4" style="532" customWidth="1"/>
    <col min="6661" max="6661" width="13.6640625" style="532" customWidth="1"/>
    <col min="6662" max="6903" width="13.6640625" style="532"/>
    <col min="6904" max="6904" width="22.109375" style="532" customWidth="1"/>
    <col min="6905" max="6911" width="13.6640625" style="532" customWidth="1"/>
    <col min="6912" max="6912" width="15.88671875" style="532" customWidth="1"/>
    <col min="6913" max="6913" width="16.5546875" style="532" bestFit="1" customWidth="1"/>
    <col min="6914" max="6914" width="13.6640625" style="532" customWidth="1"/>
    <col min="6915" max="6915" width="17.109375" style="532" bestFit="1" customWidth="1"/>
    <col min="6916" max="6916" width="4" style="532" customWidth="1"/>
    <col min="6917" max="6917" width="13.6640625" style="532" customWidth="1"/>
    <col min="6918" max="7159" width="13.6640625" style="532"/>
    <col min="7160" max="7160" width="22.109375" style="532" customWidth="1"/>
    <col min="7161" max="7167" width="13.6640625" style="532" customWidth="1"/>
    <col min="7168" max="7168" width="15.88671875" style="532" customWidth="1"/>
    <col min="7169" max="7169" width="16.5546875" style="532" bestFit="1" customWidth="1"/>
    <col min="7170" max="7170" width="13.6640625" style="532" customWidth="1"/>
    <col min="7171" max="7171" width="17.109375" style="532" bestFit="1" customWidth="1"/>
    <col min="7172" max="7172" width="4" style="532" customWidth="1"/>
    <col min="7173" max="7173" width="13.6640625" style="532" customWidth="1"/>
    <col min="7174" max="7415" width="13.6640625" style="532"/>
    <col min="7416" max="7416" width="22.109375" style="532" customWidth="1"/>
    <col min="7417" max="7423" width="13.6640625" style="532" customWidth="1"/>
    <col min="7424" max="7424" width="15.88671875" style="532" customWidth="1"/>
    <col min="7425" max="7425" width="16.5546875" style="532" bestFit="1" customWidth="1"/>
    <col min="7426" max="7426" width="13.6640625" style="532" customWidth="1"/>
    <col min="7427" max="7427" width="17.109375" style="532" bestFit="1" customWidth="1"/>
    <col min="7428" max="7428" width="4" style="532" customWidth="1"/>
    <col min="7429" max="7429" width="13.6640625" style="532" customWidth="1"/>
    <col min="7430" max="7671" width="13.6640625" style="532"/>
    <col min="7672" max="7672" width="22.109375" style="532" customWidth="1"/>
    <col min="7673" max="7679" width="13.6640625" style="532" customWidth="1"/>
    <col min="7680" max="7680" width="15.88671875" style="532" customWidth="1"/>
    <col min="7681" max="7681" width="16.5546875" style="532" bestFit="1" customWidth="1"/>
    <col min="7682" max="7682" width="13.6640625" style="532" customWidth="1"/>
    <col min="7683" max="7683" width="17.109375" style="532" bestFit="1" customWidth="1"/>
    <col min="7684" max="7684" width="4" style="532" customWidth="1"/>
    <col min="7685" max="7685" width="13.6640625" style="532" customWidth="1"/>
    <col min="7686" max="7927" width="13.6640625" style="532"/>
    <col min="7928" max="7928" width="22.109375" style="532" customWidth="1"/>
    <col min="7929" max="7935" width="13.6640625" style="532" customWidth="1"/>
    <col min="7936" max="7936" width="15.88671875" style="532" customWidth="1"/>
    <col min="7937" max="7937" width="16.5546875" style="532" bestFit="1" customWidth="1"/>
    <col min="7938" max="7938" width="13.6640625" style="532" customWidth="1"/>
    <col min="7939" max="7939" width="17.109375" style="532" bestFit="1" customWidth="1"/>
    <col min="7940" max="7940" width="4" style="532" customWidth="1"/>
    <col min="7941" max="7941" width="13.6640625" style="532" customWidth="1"/>
    <col min="7942" max="8183" width="13.6640625" style="532"/>
    <col min="8184" max="8184" width="22.109375" style="532" customWidth="1"/>
    <col min="8185" max="8191" width="13.6640625" style="532" customWidth="1"/>
    <col min="8192" max="8192" width="15.88671875" style="532" customWidth="1"/>
    <col min="8193" max="8193" width="16.5546875" style="532" bestFit="1" customWidth="1"/>
    <col min="8194" max="8194" width="13.6640625" style="532" customWidth="1"/>
    <col min="8195" max="8195" width="17.109375" style="532" bestFit="1" customWidth="1"/>
    <col min="8196" max="8196" width="4" style="532" customWidth="1"/>
    <col min="8197" max="8197" width="13.6640625" style="532" customWidth="1"/>
    <col min="8198" max="8439" width="13.6640625" style="532"/>
    <col min="8440" max="8440" width="22.109375" style="532" customWidth="1"/>
    <col min="8441" max="8447" width="13.6640625" style="532" customWidth="1"/>
    <col min="8448" max="8448" width="15.88671875" style="532" customWidth="1"/>
    <col min="8449" max="8449" width="16.5546875" style="532" bestFit="1" customWidth="1"/>
    <col min="8450" max="8450" width="13.6640625" style="532" customWidth="1"/>
    <col min="8451" max="8451" width="17.109375" style="532" bestFit="1" customWidth="1"/>
    <col min="8452" max="8452" width="4" style="532" customWidth="1"/>
    <col min="8453" max="8453" width="13.6640625" style="532" customWidth="1"/>
    <col min="8454" max="8695" width="13.6640625" style="532"/>
    <col min="8696" max="8696" width="22.109375" style="532" customWidth="1"/>
    <col min="8697" max="8703" width="13.6640625" style="532" customWidth="1"/>
    <col min="8704" max="8704" width="15.88671875" style="532" customWidth="1"/>
    <col min="8705" max="8705" width="16.5546875" style="532" bestFit="1" customWidth="1"/>
    <col min="8706" max="8706" width="13.6640625" style="532" customWidth="1"/>
    <col min="8707" max="8707" width="17.109375" style="532" bestFit="1" customWidth="1"/>
    <col min="8708" max="8708" width="4" style="532" customWidth="1"/>
    <col min="8709" max="8709" width="13.6640625" style="532" customWidth="1"/>
    <col min="8710" max="8951" width="13.6640625" style="532"/>
    <col min="8952" max="8952" width="22.109375" style="532" customWidth="1"/>
    <col min="8953" max="8959" width="13.6640625" style="532" customWidth="1"/>
    <col min="8960" max="8960" width="15.88671875" style="532" customWidth="1"/>
    <col min="8961" max="8961" width="16.5546875" style="532" bestFit="1" customWidth="1"/>
    <col min="8962" max="8962" width="13.6640625" style="532" customWidth="1"/>
    <col min="8963" max="8963" width="17.109375" style="532" bestFit="1" customWidth="1"/>
    <col min="8964" max="8964" width="4" style="532" customWidth="1"/>
    <col min="8965" max="8965" width="13.6640625" style="532" customWidth="1"/>
    <col min="8966" max="9207" width="13.6640625" style="532"/>
    <col min="9208" max="9208" width="22.109375" style="532" customWidth="1"/>
    <col min="9209" max="9215" width="13.6640625" style="532" customWidth="1"/>
    <col min="9216" max="9216" width="15.88671875" style="532" customWidth="1"/>
    <col min="9217" max="9217" width="16.5546875" style="532" bestFit="1" customWidth="1"/>
    <col min="9218" max="9218" width="13.6640625" style="532" customWidth="1"/>
    <col min="9219" max="9219" width="17.109375" style="532" bestFit="1" customWidth="1"/>
    <col min="9220" max="9220" width="4" style="532" customWidth="1"/>
    <col min="9221" max="9221" width="13.6640625" style="532" customWidth="1"/>
    <col min="9222" max="9463" width="13.6640625" style="532"/>
    <col min="9464" max="9464" width="22.109375" style="532" customWidth="1"/>
    <col min="9465" max="9471" width="13.6640625" style="532" customWidth="1"/>
    <col min="9472" max="9472" width="15.88671875" style="532" customWidth="1"/>
    <col min="9473" max="9473" width="16.5546875" style="532" bestFit="1" customWidth="1"/>
    <col min="9474" max="9474" width="13.6640625" style="532" customWidth="1"/>
    <col min="9475" max="9475" width="17.109375" style="532" bestFit="1" customWidth="1"/>
    <col min="9476" max="9476" width="4" style="532" customWidth="1"/>
    <col min="9477" max="9477" width="13.6640625" style="532" customWidth="1"/>
    <col min="9478" max="9719" width="13.6640625" style="532"/>
    <col min="9720" max="9720" width="22.109375" style="532" customWidth="1"/>
    <col min="9721" max="9727" width="13.6640625" style="532" customWidth="1"/>
    <col min="9728" max="9728" width="15.88671875" style="532" customWidth="1"/>
    <col min="9729" max="9729" width="16.5546875" style="532" bestFit="1" customWidth="1"/>
    <col min="9730" max="9730" width="13.6640625" style="532" customWidth="1"/>
    <col min="9731" max="9731" width="17.109375" style="532" bestFit="1" customWidth="1"/>
    <col min="9732" max="9732" width="4" style="532" customWidth="1"/>
    <col min="9733" max="9733" width="13.6640625" style="532" customWidth="1"/>
    <col min="9734" max="9975" width="13.6640625" style="532"/>
    <col min="9976" max="9976" width="22.109375" style="532" customWidth="1"/>
    <col min="9977" max="9983" width="13.6640625" style="532" customWidth="1"/>
    <col min="9984" max="9984" width="15.88671875" style="532" customWidth="1"/>
    <col min="9985" max="9985" width="16.5546875" style="532" bestFit="1" customWidth="1"/>
    <col min="9986" max="9986" width="13.6640625" style="532" customWidth="1"/>
    <col min="9987" max="9987" width="17.109375" style="532" bestFit="1" customWidth="1"/>
    <col min="9988" max="9988" width="4" style="532" customWidth="1"/>
    <col min="9989" max="9989" width="13.6640625" style="532" customWidth="1"/>
    <col min="9990" max="10231" width="13.6640625" style="532"/>
    <col min="10232" max="10232" width="22.109375" style="532" customWidth="1"/>
    <col min="10233" max="10239" width="13.6640625" style="532" customWidth="1"/>
    <col min="10240" max="10240" width="15.88671875" style="532" customWidth="1"/>
    <col min="10241" max="10241" width="16.5546875" style="532" bestFit="1" customWidth="1"/>
    <col min="10242" max="10242" width="13.6640625" style="532" customWidth="1"/>
    <col min="10243" max="10243" width="17.109375" style="532" bestFit="1" customWidth="1"/>
    <col min="10244" max="10244" width="4" style="532" customWidth="1"/>
    <col min="10245" max="10245" width="13.6640625" style="532" customWidth="1"/>
    <col min="10246" max="10487" width="13.6640625" style="532"/>
    <col min="10488" max="10488" width="22.109375" style="532" customWidth="1"/>
    <col min="10489" max="10495" width="13.6640625" style="532" customWidth="1"/>
    <col min="10496" max="10496" width="15.88671875" style="532" customWidth="1"/>
    <col min="10497" max="10497" width="16.5546875" style="532" bestFit="1" customWidth="1"/>
    <col min="10498" max="10498" width="13.6640625" style="532" customWidth="1"/>
    <col min="10499" max="10499" width="17.109375" style="532" bestFit="1" customWidth="1"/>
    <col min="10500" max="10500" width="4" style="532" customWidth="1"/>
    <col min="10501" max="10501" width="13.6640625" style="532" customWidth="1"/>
    <col min="10502" max="10743" width="13.6640625" style="532"/>
    <col min="10744" max="10744" width="22.109375" style="532" customWidth="1"/>
    <col min="10745" max="10751" width="13.6640625" style="532" customWidth="1"/>
    <col min="10752" max="10752" width="15.88671875" style="532" customWidth="1"/>
    <col min="10753" max="10753" width="16.5546875" style="532" bestFit="1" customWidth="1"/>
    <col min="10754" max="10754" width="13.6640625" style="532" customWidth="1"/>
    <col min="10755" max="10755" width="17.109375" style="532" bestFit="1" customWidth="1"/>
    <col min="10756" max="10756" width="4" style="532" customWidth="1"/>
    <col min="10757" max="10757" width="13.6640625" style="532" customWidth="1"/>
    <col min="10758" max="10999" width="13.6640625" style="532"/>
    <col min="11000" max="11000" width="22.109375" style="532" customWidth="1"/>
    <col min="11001" max="11007" width="13.6640625" style="532" customWidth="1"/>
    <col min="11008" max="11008" width="15.88671875" style="532" customWidth="1"/>
    <col min="11009" max="11009" width="16.5546875" style="532" bestFit="1" customWidth="1"/>
    <col min="11010" max="11010" width="13.6640625" style="532" customWidth="1"/>
    <col min="11011" max="11011" width="17.109375" style="532" bestFit="1" customWidth="1"/>
    <col min="11012" max="11012" width="4" style="532" customWidth="1"/>
    <col min="11013" max="11013" width="13.6640625" style="532" customWidth="1"/>
    <col min="11014" max="11255" width="13.6640625" style="532"/>
    <col min="11256" max="11256" width="22.109375" style="532" customWidth="1"/>
    <col min="11257" max="11263" width="13.6640625" style="532" customWidth="1"/>
    <col min="11264" max="11264" width="15.88671875" style="532" customWidth="1"/>
    <col min="11265" max="11265" width="16.5546875" style="532" bestFit="1" customWidth="1"/>
    <col min="11266" max="11266" width="13.6640625" style="532" customWidth="1"/>
    <col min="11267" max="11267" width="17.109375" style="532" bestFit="1" customWidth="1"/>
    <col min="11268" max="11268" width="4" style="532" customWidth="1"/>
    <col min="11269" max="11269" width="13.6640625" style="532" customWidth="1"/>
    <col min="11270" max="11511" width="13.6640625" style="532"/>
    <col min="11512" max="11512" width="22.109375" style="532" customWidth="1"/>
    <col min="11513" max="11519" width="13.6640625" style="532" customWidth="1"/>
    <col min="11520" max="11520" width="15.88671875" style="532" customWidth="1"/>
    <col min="11521" max="11521" width="16.5546875" style="532" bestFit="1" customWidth="1"/>
    <col min="11522" max="11522" width="13.6640625" style="532" customWidth="1"/>
    <col min="11523" max="11523" width="17.109375" style="532" bestFit="1" customWidth="1"/>
    <col min="11524" max="11524" width="4" style="532" customWidth="1"/>
    <col min="11525" max="11525" width="13.6640625" style="532" customWidth="1"/>
    <col min="11526" max="11767" width="13.6640625" style="532"/>
    <col min="11768" max="11768" width="22.109375" style="532" customWidth="1"/>
    <col min="11769" max="11775" width="13.6640625" style="532" customWidth="1"/>
    <col min="11776" max="11776" width="15.88671875" style="532" customWidth="1"/>
    <col min="11777" max="11777" width="16.5546875" style="532" bestFit="1" customWidth="1"/>
    <col min="11778" max="11778" width="13.6640625" style="532" customWidth="1"/>
    <col min="11779" max="11779" width="17.109375" style="532" bestFit="1" customWidth="1"/>
    <col min="11780" max="11780" width="4" style="532" customWidth="1"/>
    <col min="11781" max="11781" width="13.6640625" style="532" customWidth="1"/>
    <col min="11782" max="12023" width="13.6640625" style="532"/>
    <col min="12024" max="12024" width="22.109375" style="532" customWidth="1"/>
    <col min="12025" max="12031" width="13.6640625" style="532" customWidth="1"/>
    <col min="12032" max="12032" width="15.88671875" style="532" customWidth="1"/>
    <col min="12033" max="12033" width="16.5546875" style="532" bestFit="1" customWidth="1"/>
    <col min="12034" max="12034" width="13.6640625" style="532" customWidth="1"/>
    <col min="12035" max="12035" width="17.109375" style="532" bestFit="1" customWidth="1"/>
    <col min="12036" max="12036" width="4" style="532" customWidth="1"/>
    <col min="12037" max="12037" width="13.6640625" style="532" customWidth="1"/>
    <col min="12038" max="12279" width="13.6640625" style="532"/>
    <col min="12280" max="12280" width="22.109375" style="532" customWidth="1"/>
    <col min="12281" max="12287" width="13.6640625" style="532" customWidth="1"/>
    <col min="12288" max="12288" width="15.88671875" style="532" customWidth="1"/>
    <col min="12289" max="12289" width="16.5546875" style="532" bestFit="1" customWidth="1"/>
    <col min="12290" max="12290" width="13.6640625" style="532" customWidth="1"/>
    <col min="12291" max="12291" width="17.109375" style="532" bestFit="1" customWidth="1"/>
    <col min="12292" max="12292" width="4" style="532" customWidth="1"/>
    <col min="12293" max="12293" width="13.6640625" style="532" customWidth="1"/>
    <col min="12294" max="12535" width="13.6640625" style="532"/>
    <col min="12536" max="12536" width="22.109375" style="532" customWidth="1"/>
    <col min="12537" max="12543" width="13.6640625" style="532" customWidth="1"/>
    <col min="12544" max="12544" width="15.88671875" style="532" customWidth="1"/>
    <col min="12545" max="12545" width="16.5546875" style="532" bestFit="1" customWidth="1"/>
    <col min="12546" max="12546" width="13.6640625" style="532" customWidth="1"/>
    <col min="12547" max="12547" width="17.109375" style="532" bestFit="1" customWidth="1"/>
    <col min="12548" max="12548" width="4" style="532" customWidth="1"/>
    <col min="12549" max="12549" width="13.6640625" style="532" customWidth="1"/>
    <col min="12550" max="12791" width="13.6640625" style="532"/>
    <col min="12792" max="12792" width="22.109375" style="532" customWidth="1"/>
    <col min="12793" max="12799" width="13.6640625" style="532" customWidth="1"/>
    <col min="12800" max="12800" width="15.88671875" style="532" customWidth="1"/>
    <col min="12801" max="12801" width="16.5546875" style="532" bestFit="1" customWidth="1"/>
    <col min="12802" max="12802" width="13.6640625" style="532" customWidth="1"/>
    <col min="12803" max="12803" width="17.109375" style="532" bestFit="1" customWidth="1"/>
    <col min="12804" max="12804" width="4" style="532" customWidth="1"/>
    <col min="12805" max="12805" width="13.6640625" style="532" customWidth="1"/>
    <col min="12806" max="13047" width="13.6640625" style="532"/>
    <col min="13048" max="13048" width="22.109375" style="532" customWidth="1"/>
    <col min="13049" max="13055" width="13.6640625" style="532" customWidth="1"/>
    <col min="13056" max="13056" width="15.88671875" style="532" customWidth="1"/>
    <col min="13057" max="13057" width="16.5546875" style="532" bestFit="1" customWidth="1"/>
    <col min="13058" max="13058" width="13.6640625" style="532" customWidth="1"/>
    <col min="13059" max="13059" width="17.109375" style="532" bestFit="1" customWidth="1"/>
    <col min="13060" max="13060" width="4" style="532" customWidth="1"/>
    <col min="13061" max="13061" width="13.6640625" style="532" customWidth="1"/>
    <col min="13062" max="13303" width="13.6640625" style="532"/>
    <col min="13304" max="13304" width="22.109375" style="532" customWidth="1"/>
    <col min="13305" max="13311" width="13.6640625" style="532" customWidth="1"/>
    <col min="13312" max="13312" width="15.88671875" style="532" customWidth="1"/>
    <col min="13313" max="13313" width="16.5546875" style="532" bestFit="1" customWidth="1"/>
    <col min="13314" max="13314" width="13.6640625" style="532" customWidth="1"/>
    <col min="13315" max="13315" width="17.109375" style="532" bestFit="1" customWidth="1"/>
    <col min="13316" max="13316" width="4" style="532" customWidth="1"/>
    <col min="13317" max="13317" width="13.6640625" style="532" customWidth="1"/>
    <col min="13318" max="13559" width="13.6640625" style="532"/>
    <col min="13560" max="13560" width="22.109375" style="532" customWidth="1"/>
    <col min="13561" max="13567" width="13.6640625" style="532" customWidth="1"/>
    <col min="13568" max="13568" width="15.88671875" style="532" customWidth="1"/>
    <col min="13569" max="13569" width="16.5546875" style="532" bestFit="1" customWidth="1"/>
    <col min="13570" max="13570" width="13.6640625" style="532" customWidth="1"/>
    <col min="13571" max="13571" width="17.109375" style="532" bestFit="1" customWidth="1"/>
    <col min="13572" max="13572" width="4" style="532" customWidth="1"/>
    <col min="13573" max="13573" width="13.6640625" style="532" customWidth="1"/>
    <col min="13574" max="13815" width="13.6640625" style="532"/>
    <col min="13816" max="13816" width="22.109375" style="532" customWidth="1"/>
    <col min="13817" max="13823" width="13.6640625" style="532" customWidth="1"/>
    <col min="13824" max="13824" width="15.88671875" style="532" customWidth="1"/>
    <col min="13825" max="13825" width="16.5546875" style="532" bestFit="1" customWidth="1"/>
    <col min="13826" max="13826" width="13.6640625" style="532" customWidth="1"/>
    <col min="13827" max="13827" width="17.109375" style="532" bestFit="1" customWidth="1"/>
    <col min="13828" max="13828" width="4" style="532" customWidth="1"/>
    <col min="13829" max="13829" width="13.6640625" style="532" customWidth="1"/>
    <col min="13830" max="14071" width="13.6640625" style="532"/>
    <col min="14072" max="14072" width="22.109375" style="532" customWidth="1"/>
    <col min="14073" max="14079" width="13.6640625" style="532" customWidth="1"/>
    <col min="14080" max="14080" width="15.88671875" style="532" customWidth="1"/>
    <col min="14081" max="14081" width="16.5546875" style="532" bestFit="1" customWidth="1"/>
    <col min="14082" max="14082" width="13.6640625" style="532" customWidth="1"/>
    <col min="14083" max="14083" width="17.109375" style="532" bestFit="1" customWidth="1"/>
    <col min="14084" max="14084" width="4" style="532" customWidth="1"/>
    <col min="14085" max="14085" width="13.6640625" style="532" customWidth="1"/>
    <col min="14086" max="14327" width="13.6640625" style="532"/>
    <col min="14328" max="14328" width="22.109375" style="532" customWidth="1"/>
    <col min="14329" max="14335" width="13.6640625" style="532" customWidth="1"/>
    <col min="14336" max="14336" width="15.88671875" style="532" customWidth="1"/>
    <col min="14337" max="14337" width="16.5546875" style="532" bestFit="1" customWidth="1"/>
    <col min="14338" max="14338" width="13.6640625" style="532" customWidth="1"/>
    <col min="14339" max="14339" width="17.109375" style="532" bestFit="1" customWidth="1"/>
    <col min="14340" max="14340" width="4" style="532" customWidth="1"/>
    <col min="14341" max="14341" width="13.6640625" style="532" customWidth="1"/>
    <col min="14342" max="14583" width="13.6640625" style="532"/>
    <col min="14584" max="14584" width="22.109375" style="532" customWidth="1"/>
    <col min="14585" max="14591" width="13.6640625" style="532" customWidth="1"/>
    <col min="14592" max="14592" width="15.88671875" style="532" customWidth="1"/>
    <col min="14593" max="14593" width="16.5546875" style="532" bestFit="1" customWidth="1"/>
    <col min="14594" max="14594" width="13.6640625" style="532" customWidth="1"/>
    <col min="14595" max="14595" width="17.109375" style="532" bestFit="1" customWidth="1"/>
    <col min="14596" max="14596" width="4" style="532" customWidth="1"/>
    <col min="14597" max="14597" width="13.6640625" style="532" customWidth="1"/>
    <col min="14598" max="14839" width="13.6640625" style="532"/>
    <col min="14840" max="14840" width="22.109375" style="532" customWidth="1"/>
    <col min="14841" max="14847" width="13.6640625" style="532" customWidth="1"/>
    <col min="14848" max="14848" width="15.88671875" style="532" customWidth="1"/>
    <col min="14849" max="14849" width="16.5546875" style="532" bestFit="1" customWidth="1"/>
    <col min="14850" max="14850" width="13.6640625" style="532" customWidth="1"/>
    <col min="14851" max="14851" width="17.109375" style="532" bestFit="1" customWidth="1"/>
    <col min="14852" max="14852" width="4" style="532" customWidth="1"/>
    <col min="14853" max="14853" width="13.6640625" style="532" customWidth="1"/>
    <col min="14854" max="15095" width="13.6640625" style="532"/>
    <col min="15096" max="15096" width="22.109375" style="532" customWidth="1"/>
    <col min="15097" max="15103" width="13.6640625" style="532" customWidth="1"/>
    <col min="15104" max="15104" width="15.88671875" style="532" customWidth="1"/>
    <col min="15105" max="15105" width="16.5546875" style="532" bestFit="1" customWidth="1"/>
    <col min="15106" max="15106" width="13.6640625" style="532" customWidth="1"/>
    <col min="15107" max="15107" width="17.109375" style="532" bestFit="1" customWidth="1"/>
    <col min="15108" max="15108" width="4" style="532" customWidth="1"/>
    <col min="15109" max="15109" width="13.6640625" style="532" customWidth="1"/>
    <col min="15110" max="15351" width="13.6640625" style="532"/>
    <col min="15352" max="15352" width="22.109375" style="532" customWidth="1"/>
    <col min="15353" max="15359" width="13.6640625" style="532" customWidth="1"/>
    <col min="15360" max="15360" width="15.88671875" style="532" customWidth="1"/>
    <col min="15361" max="15361" width="16.5546875" style="532" bestFit="1" customWidth="1"/>
    <col min="15362" max="15362" width="13.6640625" style="532" customWidth="1"/>
    <col min="15363" max="15363" width="17.109375" style="532" bestFit="1" customWidth="1"/>
    <col min="15364" max="15364" width="4" style="532" customWidth="1"/>
    <col min="15365" max="15365" width="13.6640625" style="532" customWidth="1"/>
    <col min="15366" max="15607" width="13.6640625" style="532"/>
    <col min="15608" max="15608" width="22.109375" style="532" customWidth="1"/>
    <col min="15609" max="15615" width="13.6640625" style="532" customWidth="1"/>
    <col min="15616" max="15616" width="15.88671875" style="532" customWidth="1"/>
    <col min="15617" max="15617" width="16.5546875" style="532" bestFit="1" customWidth="1"/>
    <col min="15618" max="15618" width="13.6640625" style="532" customWidth="1"/>
    <col min="15619" max="15619" width="17.109375" style="532" bestFit="1" customWidth="1"/>
    <col min="15620" max="15620" width="4" style="532" customWidth="1"/>
    <col min="15621" max="15621" width="13.6640625" style="532" customWidth="1"/>
    <col min="15622" max="15863" width="13.6640625" style="532"/>
    <col min="15864" max="15864" width="22.109375" style="532" customWidth="1"/>
    <col min="15865" max="15871" width="13.6640625" style="532" customWidth="1"/>
    <col min="15872" max="15872" width="15.88671875" style="532" customWidth="1"/>
    <col min="15873" max="15873" width="16.5546875" style="532" bestFit="1" customWidth="1"/>
    <col min="15874" max="15874" width="13.6640625" style="532" customWidth="1"/>
    <col min="15875" max="15875" width="17.109375" style="532" bestFit="1" customWidth="1"/>
    <col min="15876" max="15876" width="4" style="532" customWidth="1"/>
    <col min="15877" max="15877" width="13.6640625" style="532" customWidth="1"/>
    <col min="15878" max="16119" width="13.6640625" style="532"/>
    <col min="16120" max="16120" width="22.109375" style="532" customWidth="1"/>
    <col min="16121" max="16127" width="13.6640625" style="532" customWidth="1"/>
    <col min="16128" max="16128" width="15.88671875" style="532" customWidth="1"/>
    <col min="16129" max="16129" width="16.5546875" style="532" bestFit="1" customWidth="1"/>
    <col min="16130" max="16130" width="13.6640625" style="532" customWidth="1"/>
    <col min="16131" max="16131" width="17.109375" style="532" bestFit="1" customWidth="1"/>
    <col min="16132" max="16132" width="4" style="532" customWidth="1"/>
    <col min="16133" max="16133" width="13.6640625" style="532" customWidth="1"/>
    <col min="16134" max="16384" width="13.6640625" style="532"/>
  </cols>
  <sheetData>
    <row r="1" spans="1:26" s="370" customFormat="1">
      <c r="A1" s="442" t="s">
        <v>25</v>
      </c>
      <c r="B1" s="368"/>
      <c r="C1" s="46"/>
      <c r="D1" s="46"/>
      <c r="E1" s="3"/>
      <c r="F1" s="609"/>
      <c r="G1" s="609"/>
      <c r="H1" s="609"/>
      <c r="I1" s="609"/>
    </row>
    <row r="2" spans="1:26" s="370" customFormat="1">
      <c r="A2" s="371"/>
      <c r="B2" s="368"/>
      <c r="C2" s="46"/>
      <c r="D2" s="46"/>
      <c r="E2" s="3"/>
      <c r="F2" s="609"/>
      <c r="G2" s="609"/>
      <c r="H2" s="609"/>
      <c r="I2" s="609"/>
    </row>
    <row r="3" spans="1:26" s="370" customFormat="1" ht="15">
      <c r="A3" s="80" t="str">
        <f>'1-Contractblad totaal'!A3</f>
        <v>Naam opdrachtgever</v>
      </c>
      <c r="B3" s="81" t="str">
        <f>'1-Contractblad totaal'!B3</f>
        <v>Juridisch Loket</v>
      </c>
      <c r="C3" s="46"/>
      <c r="D3" s="46"/>
      <c r="E3" s="3"/>
      <c r="F3" s="608"/>
      <c r="G3" s="608"/>
      <c r="H3" s="608"/>
      <c r="I3" s="609"/>
    </row>
    <row r="4" spans="1:26" s="370" customFormat="1" ht="15">
      <c r="A4" s="80" t="str">
        <f>'1-Contractblad totaal'!A4</f>
        <v>Calculatie onderdeel</v>
      </c>
      <c r="B4" s="81" t="str">
        <f ca="1">MID(CELL("bestandsnaam",$C$9),SEARCH("]",CELL("bestandsnaam",$C$9),1)+1,256)</f>
        <v>10-Nulsituatie vloeren</v>
      </c>
      <c r="C4" s="46"/>
      <c r="D4" s="46"/>
      <c r="E4" s="3"/>
      <c r="F4" s="609"/>
      <c r="G4" s="609"/>
      <c r="H4" s="609"/>
      <c r="I4" s="609"/>
    </row>
    <row r="5" spans="1:26" s="370" customFormat="1" ht="15">
      <c r="A5" s="80" t="str">
        <f>'1-Contractblad totaal'!A5</f>
        <v>Gebouw/plaats</v>
      </c>
      <c r="B5" s="81" t="str">
        <f>'1-Contractblad totaal'!B5</f>
        <v>Diverse locaties</v>
      </c>
      <c r="C5" s="391"/>
      <c r="D5" s="46"/>
      <c r="E5" s="374"/>
      <c r="F5" s="610"/>
      <c r="G5" s="611"/>
      <c r="H5" s="612"/>
      <c r="I5" s="611"/>
      <c r="J5" s="374"/>
      <c r="K5" s="373"/>
      <c r="L5" s="374"/>
      <c r="M5" s="374"/>
      <c r="N5" s="373"/>
      <c r="O5" s="375"/>
      <c r="P5" s="374"/>
      <c r="Q5" s="373"/>
      <c r="R5" s="374"/>
      <c r="S5" s="374"/>
      <c r="T5" s="373"/>
      <c r="U5" s="374"/>
      <c r="V5" s="374"/>
      <c r="W5" s="373"/>
      <c r="X5" s="374"/>
      <c r="Y5" s="374"/>
      <c r="Z5" s="373"/>
    </row>
    <row r="6" spans="1:26" s="370" customFormat="1" ht="17.25" customHeight="1">
      <c r="A6" s="80" t="str">
        <f>'1-Contractblad totaal'!A6</f>
        <v>Referentie nummer</v>
      </c>
      <c r="B6" s="81" t="str">
        <f>'1-Contractblad totaal'!B6</f>
        <v>EU-JL-ID.MvD-2020</v>
      </c>
      <c r="C6" s="391"/>
      <c r="D6" s="46"/>
      <c r="E6" s="376"/>
      <c r="F6" s="610"/>
      <c r="G6" s="613"/>
      <c r="H6" s="614"/>
      <c r="I6" s="611"/>
      <c r="J6" s="376"/>
      <c r="K6" s="377"/>
      <c r="L6" s="374"/>
      <c r="M6" s="376"/>
      <c r="N6" s="377"/>
      <c r="O6" s="375"/>
      <c r="P6" s="376"/>
      <c r="Q6" s="377"/>
      <c r="R6" s="374"/>
      <c r="S6" s="376"/>
      <c r="T6" s="377"/>
      <c r="U6" s="374"/>
      <c r="V6" s="376"/>
      <c r="W6" s="377"/>
      <c r="X6" s="374"/>
      <c r="Y6" s="376"/>
      <c r="Z6" s="377"/>
    </row>
    <row r="7" spans="1:26" s="370" customFormat="1" ht="17.25" customHeight="1">
      <c r="A7" s="80" t="str">
        <f>'1-Contractblad totaal'!A8</f>
        <v>Naam dienstverlener</v>
      </c>
      <c r="B7" s="309">
        <f>'1-Contractblad totaal'!B8</f>
        <v>0</v>
      </c>
      <c r="C7" s="392"/>
      <c r="D7" s="46"/>
      <c r="E7" s="373"/>
      <c r="F7" s="612"/>
      <c r="G7" s="612"/>
      <c r="H7" s="612"/>
      <c r="I7" s="612"/>
    </row>
    <row r="8" spans="1:26" s="370" customFormat="1" ht="17.25" customHeight="1">
      <c r="A8" s="80" t="str">
        <f>'1-Contractblad totaal'!A9</f>
        <v>Prijspeil</v>
      </c>
      <c r="B8" s="115">
        <f>'1-Contractblad totaal'!B9</f>
        <v>44013</v>
      </c>
      <c r="C8" s="393"/>
      <c r="D8" s="46"/>
      <c r="E8" s="529"/>
      <c r="F8" s="615"/>
      <c r="G8" s="615"/>
      <c r="H8" s="615"/>
      <c r="I8" s="609"/>
    </row>
    <row r="9" spans="1:26" s="378" customFormat="1" ht="17.25" customHeight="1">
      <c r="C9" s="393"/>
      <c r="D9" s="46"/>
      <c r="E9" s="531"/>
      <c r="F9" s="616"/>
      <c r="G9" s="616"/>
      <c r="H9" s="616"/>
      <c r="I9" s="616"/>
    </row>
    <row r="10" spans="1:26" s="370" customFormat="1" ht="17.25" customHeight="1">
      <c r="C10" s="393"/>
      <c r="D10" s="46"/>
      <c r="E10" s="529"/>
      <c r="F10" s="615"/>
      <c r="G10" s="615"/>
      <c r="H10" s="615"/>
      <c r="I10" s="609"/>
    </row>
    <row r="11" spans="1:26" s="370" customFormat="1" ht="15">
      <c r="A11" s="379"/>
      <c r="D11" s="374"/>
      <c r="E11" s="530"/>
      <c r="F11" s="615"/>
      <c r="G11" s="615"/>
      <c r="H11" s="615"/>
      <c r="I11" s="609"/>
    </row>
    <row r="12" spans="1:26" s="481" customFormat="1" ht="43.5" customHeight="1">
      <c r="A12" s="479" t="s">
        <v>108</v>
      </c>
      <c r="B12" s="480" t="s">
        <v>608</v>
      </c>
      <c r="C12" s="394" t="s">
        <v>154</v>
      </c>
      <c r="D12" s="480" t="s">
        <v>203</v>
      </c>
      <c r="E12" s="480" t="s">
        <v>625</v>
      </c>
      <c r="F12" s="617"/>
      <c r="G12" s="480" t="s">
        <v>608</v>
      </c>
      <c r="H12" s="480" t="s">
        <v>623</v>
      </c>
      <c r="I12" s="480" t="s">
        <v>624</v>
      </c>
    </row>
    <row r="13" spans="1:26">
      <c r="A13" s="382" t="s">
        <v>486</v>
      </c>
      <c r="B13" s="386" t="s">
        <v>104</v>
      </c>
      <c r="C13" s="464">
        <v>280.20999999999992</v>
      </c>
      <c r="D13" s="478">
        <f t="shared" ref="D13:D44" si="0">VLOOKUP(B13,G:I,3,FALSE)</f>
        <v>0</v>
      </c>
      <c r="E13" s="384">
        <f>D13*C13</f>
        <v>0</v>
      </c>
      <c r="G13" s="619" t="s">
        <v>106</v>
      </c>
      <c r="H13" s="620"/>
      <c r="I13" s="621"/>
    </row>
    <row r="14" spans="1:26">
      <c r="A14" s="382" t="s">
        <v>486</v>
      </c>
      <c r="B14" s="526" t="s">
        <v>272</v>
      </c>
      <c r="C14" s="527">
        <v>42.19</v>
      </c>
      <c r="D14" s="478">
        <f t="shared" si="0"/>
        <v>0</v>
      </c>
      <c r="E14" s="384">
        <f t="shared" ref="E14:E74" si="1">D14*C14</f>
        <v>0</v>
      </c>
      <c r="G14" s="619" t="s">
        <v>565</v>
      </c>
      <c r="H14" s="620"/>
      <c r="I14" s="621"/>
    </row>
    <row r="15" spans="1:26">
      <c r="A15" s="382" t="s">
        <v>486</v>
      </c>
      <c r="B15" s="526" t="s">
        <v>105</v>
      </c>
      <c r="C15" s="527">
        <v>9.5299999999999994</v>
      </c>
      <c r="D15" s="478">
        <f t="shared" si="0"/>
        <v>0</v>
      </c>
      <c r="E15" s="384">
        <f t="shared" si="1"/>
        <v>0</v>
      </c>
      <c r="G15" s="619" t="s">
        <v>104</v>
      </c>
      <c r="H15" s="620"/>
      <c r="I15" s="621"/>
    </row>
    <row r="16" spans="1:26">
      <c r="A16" s="382" t="s">
        <v>469</v>
      </c>
      <c r="B16" s="386" t="s">
        <v>104</v>
      </c>
      <c r="C16" s="464">
        <v>161.23999999999998</v>
      </c>
      <c r="D16" s="478">
        <f t="shared" si="0"/>
        <v>0</v>
      </c>
      <c r="E16" s="384">
        <f t="shared" si="1"/>
        <v>0</v>
      </c>
      <c r="G16" s="619" t="s">
        <v>483</v>
      </c>
      <c r="H16" s="620"/>
      <c r="I16" s="621"/>
    </row>
    <row r="17" spans="1:9">
      <c r="A17" s="382" t="s">
        <v>469</v>
      </c>
      <c r="B17" s="386" t="s">
        <v>272</v>
      </c>
      <c r="C17" s="464">
        <v>14.49</v>
      </c>
      <c r="D17" s="478">
        <f t="shared" si="0"/>
        <v>0</v>
      </c>
      <c r="E17" s="384">
        <f t="shared" si="1"/>
        <v>0</v>
      </c>
      <c r="G17" s="619" t="s">
        <v>420</v>
      </c>
      <c r="H17" s="620"/>
      <c r="I17" s="621"/>
    </row>
    <row r="18" spans="1:9">
      <c r="A18" s="382" t="s">
        <v>469</v>
      </c>
      <c r="B18" s="526" t="s">
        <v>105</v>
      </c>
      <c r="C18" s="527">
        <v>5.79</v>
      </c>
      <c r="D18" s="478">
        <f t="shared" si="0"/>
        <v>0</v>
      </c>
      <c r="E18" s="384">
        <f t="shared" si="1"/>
        <v>0</v>
      </c>
      <c r="G18" s="619" t="s">
        <v>290</v>
      </c>
      <c r="H18" s="620"/>
      <c r="I18" s="621"/>
    </row>
    <row r="19" spans="1:9">
      <c r="A19" s="385" t="s">
        <v>418</v>
      </c>
      <c r="B19" s="386" t="s">
        <v>104</v>
      </c>
      <c r="C19" s="464">
        <v>157.31</v>
      </c>
      <c r="D19" s="478">
        <f t="shared" si="0"/>
        <v>0</v>
      </c>
      <c r="E19" s="384">
        <f t="shared" si="1"/>
        <v>0</v>
      </c>
      <c r="G19" s="619" t="s">
        <v>272</v>
      </c>
      <c r="H19" s="620"/>
      <c r="I19" s="621"/>
    </row>
    <row r="20" spans="1:9">
      <c r="A20" s="385" t="s">
        <v>418</v>
      </c>
      <c r="B20" s="386" t="s">
        <v>420</v>
      </c>
      <c r="C20" s="464">
        <v>5</v>
      </c>
      <c r="D20" s="478">
        <f t="shared" si="0"/>
        <v>0</v>
      </c>
      <c r="E20" s="384">
        <f t="shared" si="1"/>
        <v>0</v>
      </c>
      <c r="G20" s="619" t="s">
        <v>482</v>
      </c>
      <c r="H20" s="620"/>
      <c r="I20" s="621"/>
    </row>
    <row r="21" spans="1:9">
      <c r="A21" s="385" t="s">
        <v>418</v>
      </c>
      <c r="B21" s="386" t="s">
        <v>272</v>
      </c>
      <c r="C21" s="464">
        <v>40.1</v>
      </c>
      <c r="D21" s="478">
        <f t="shared" si="0"/>
        <v>0</v>
      </c>
      <c r="E21" s="384">
        <f t="shared" si="1"/>
        <v>0</v>
      </c>
      <c r="G21" s="386" t="s">
        <v>105</v>
      </c>
      <c r="H21" s="620"/>
      <c r="I21" s="621"/>
    </row>
    <row r="22" spans="1:9">
      <c r="A22" s="385" t="s">
        <v>418</v>
      </c>
      <c r="B22" s="526" t="s">
        <v>105</v>
      </c>
      <c r="C22" s="464">
        <v>27.04</v>
      </c>
      <c r="D22" s="478">
        <f t="shared" si="0"/>
        <v>0</v>
      </c>
      <c r="E22" s="384">
        <f t="shared" si="1"/>
        <v>0</v>
      </c>
      <c r="G22" s="619" t="s">
        <v>452</v>
      </c>
      <c r="H22" s="620"/>
      <c r="I22" s="621"/>
    </row>
    <row r="23" spans="1:9">
      <c r="A23" s="385" t="s">
        <v>527</v>
      </c>
      <c r="B23" s="386" t="s">
        <v>104</v>
      </c>
      <c r="C23" s="464">
        <v>279.32000000000005</v>
      </c>
      <c r="D23" s="478">
        <f t="shared" si="0"/>
        <v>0</v>
      </c>
      <c r="E23" s="384">
        <f t="shared" si="1"/>
        <v>0</v>
      </c>
      <c r="G23" s="619" t="s">
        <v>415</v>
      </c>
      <c r="H23" s="620"/>
      <c r="I23" s="621"/>
    </row>
    <row r="24" spans="1:9">
      <c r="A24" s="385" t="s">
        <v>527</v>
      </c>
      <c r="B24" s="386" t="s">
        <v>272</v>
      </c>
      <c r="C24" s="464">
        <v>79.88</v>
      </c>
      <c r="D24" s="478">
        <f t="shared" si="0"/>
        <v>0</v>
      </c>
      <c r="E24" s="384">
        <f t="shared" si="1"/>
        <v>0</v>
      </c>
    </row>
    <row r="25" spans="1:9" ht="13.95" customHeight="1">
      <c r="A25" s="385" t="s">
        <v>527</v>
      </c>
      <c r="B25" s="526" t="s">
        <v>105</v>
      </c>
      <c r="C25" s="527">
        <v>4.32</v>
      </c>
      <c r="D25" s="478">
        <f t="shared" si="0"/>
        <v>0</v>
      </c>
      <c r="E25" s="384">
        <f t="shared" si="1"/>
        <v>0</v>
      </c>
    </row>
    <row r="26" spans="1:9">
      <c r="A26" s="385" t="s">
        <v>455</v>
      </c>
      <c r="B26" s="372" t="s">
        <v>104</v>
      </c>
      <c r="C26" s="464">
        <v>222.45999999999998</v>
      </c>
      <c r="D26" s="478">
        <f t="shared" si="0"/>
        <v>0</v>
      </c>
      <c r="E26" s="384">
        <f t="shared" si="1"/>
        <v>0</v>
      </c>
    </row>
    <row r="27" spans="1:9">
      <c r="A27" s="385" t="s">
        <v>455</v>
      </c>
      <c r="B27" s="372" t="s">
        <v>272</v>
      </c>
      <c r="C27" s="464">
        <v>33.42</v>
      </c>
      <c r="D27" s="478">
        <f t="shared" si="0"/>
        <v>0</v>
      </c>
      <c r="E27" s="384">
        <f t="shared" si="1"/>
        <v>0</v>
      </c>
    </row>
    <row r="28" spans="1:9">
      <c r="A28" s="385" t="s">
        <v>455</v>
      </c>
      <c r="B28" s="526" t="s">
        <v>105</v>
      </c>
      <c r="C28" s="527">
        <v>13.67</v>
      </c>
      <c r="D28" s="478">
        <f t="shared" si="0"/>
        <v>0</v>
      </c>
      <c r="E28" s="384">
        <f t="shared" si="1"/>
        <v>0</v>
      </c>
    </row>
    <row r="29" spans="1:9">
      <c r="A29" s="385" t="s">
        <v>355</v>
      </c>
      <c r="B29" s="619" t="s">
        <v>104</v>
      </c>
      <c r="C29" s="464">
        <v>244.74</v>
      </c>
      <c r="D29" s="478">
        <f t="shared" si="0"/>
        <v>0</v>
      </c>
      <c r="E29" s="384">
        <f t="shared" si="1"/>
        <v>0</v>
      </c>
    </row>
    <row r="30" spans="1:9">
      <c r="A30" s="385" t="s">
        <v>355</v>
      </c>
      <c r="B30" s="526" t="s">
        <v>272</v>
      </c>
      <c r="C30" s="527">
        <v>42.12</v>
      </c>
      <c r="D30" s="478">
        <f t="shared" si="0"/>
        <v>0</v>
      </c>
      <c r="E30" s="384">
        <f t="shared" si="1"/>
        <v>0</v>
      </c>
    </row>
    <row r="31" spans="1:9">
      <c r="A31" s="385" t="s">
        <v>355</v>
      </c>
      <c r="B31" s="526" t="s">
        <v>105</v>
      </c>
      <c r="C31" s="527">
        <v>13.059999999999999</v>
      </c>
      <c r="D31" s="478">
        <f t="shared" si="0"/>
        <v>0</v>
      </c>
      <c r="E31" s="384">
        <f t="shared" si="1"/>
        <v>0</v>
      </c>
    </row>
    <row r="32" spans="1:9">
      <c r="A32" s="385" t="s">
        <v>464</v>
      </c>
      <c r="B32" s="386" t="s">
        <v>104</v>
      </c>
      <c r="C32" s="464">
        <v>241.36999999999998</v>
      </c>
      <c r="D32" s="478">
        <f t="shared" si="0"/>
        <v>0</v>
      </c>
      <c r="E32" s="384">
        <f t="shared" si="1"/>
        <v>0</v>
      </c>
    </row>
    <row r="33" spans="1:5">
      <c r="A33" s="385" t="s">
        <v>464</v>
      </c>
      <c r="B33" s="526" t="s">
        <v>272</v>
      </c>
      <c r="C33" s="527">
        <v>36.979999999999997</v>
      </c>
      <c r="D33" s="478">
        <f t="shared" si="0"/>
        <v>0</v>
      </c>
      <c r="E33" s="384">
        <f t="shared" si="1"/>
        <v>0</v>
      </c>
    </row>
    <row r="34" spans="1:5">
      <c r="A34" s="385" t="s">
        <v>573</v>
      </c>
      <c r="B34" s="386" t="s">
        <v>104</v>
      </c>
      <c r="C34" s="464">
        <v>232.35000000000002</v>
      </c>
      <c r="D34" s="478">
        <f t="shared" si="0"/>
        <v>0</v>
      </c>
      <c r="E34" s="384">
        <f t="shared" si="1"/>
        <v>0</v>
      </c>
    </row>
    <row r="35" spans="1:5">
      <c r="A35" s="385" t="s">
        <v>573</v>
      </c>
      <c r="B35" s="386" t="s">
        <v>272</v>
      </c>
      <c r="C35" s="464">
        <v>34.39</v>
      </c>
      <c r="D35" s="478">
        <f t="shared" si="0"/>
        <v>0</v>
      </c>
      <c r="E35" s="384">
        <f t="shared" si="1"/>
        <v>0</v>
      </c>
    </row>
    <row r="36" spans="1:5">
      <c r="A36" s="385" t="s">
        <v>573</v>
      </c>
      <c r="B36" s="526" t="s">
        <v>105</v>
      </c>
      <c r="C36" s="527">
        <v>12.81</v>
      </c>
      <c r="D36" s="478">
        <f t="shared" si="0"/>
        <v>0</v>
      </c>
      <c r="E36" s="384">
        <f t="shared" si="1"/>
        <v>0</v>
      </c>
    </row>
    <row r="37" spans="1:5">
      <c r="A37" s="385" t="s">
        <v>497</v>
      </c>
      <c r="B37" s="386" t="s">
        <v>104</v>
      </c>
      <c r="C37" s="464">
        <v>187.85</v>
      </c>
      <c r="D37" s="478">
        <f t="shared" si="0"/>
        <v>0</v>
      </c>
      <c r="E37" s="384">
        <f t="shared" si="1"/>
        <v>0</v>
      </c>
    </row>
    <row r="38" spans="1:5">
      <c r="A38" s="385" t="s">
        <v>497</v>
      </c>
      <c r="B38" s="526" t="s">
        <v>272</v>
      </c>
      <c r="C38" s="527">
        <v>40.29</v>
      </c>
      <c r="D38" s="478">
        <f t="shared" si="0"/>
        <v>0</v>
      </c>
      <c r="E38" s="384">
        <f t="shared" si="1"/>
        <v>0</v>
      </c>
    </row>
    <row r="39" spans="1:5">
      <c r="A39" s="385" t="s">
        <v>497</v>
      </c>
      <c r="B39" s="526" t="s">
        <v>105</v>
      </c>
      <c r="C39" s="527">
        <v>8.9700000000000006</v>
      </c>
      <c r="D39" s="478">
        <f t="shared" si="0"/>
        <v>0</v>
      </c>
      <c r="E39" s="384">
        <f t="shared" si="1"/>
        <v>0</v>
      </c>
    </row>
    <row r="40" spans="1:5">
      <c r="A40" s="385" t="s">
        <v>501</v>
      </c>
      <c r="B40" s="549" t="s">
        <v>415</v>
      </c>
      <c r="C40" s="464">
        <v>86.5</v>
      </c>
      <c r="D40" s="478">
        <f t="shared" si="0"/>
        <v>0</v>
      </c>
      <c r="E40" s="384">
        <f t="shared" si="1"/>
        <v>0</v>
      </c>
    </row>
    <row r="41" spans="1:5">
      <c r="A41" s="385" t="s">
        <v>501</v>
      </c>
      <c r="B41" s="551" t="s">
        <v>272</v>
      </c>
      <c r="C41" s="464">
        <v>132.19999999999999</v>
      </c>
      <c r="D41" s="478">
        <f t="shared" si="0"/>
        <v>0</v>
      </c>
      <c r="E41" s="384">
        <f t="shared" si="1"/>
        <v>0</v>
      </c>
    </row>
    <row r="42" spans="1:5">
      <c r="A42" s="385" t="s">
        <v>501</v>
      </c>
      <c r="B42" s="526" t="s">
        <v>105</v>
      </c>
      <c r="C42" s="464">
        <v>7.1</v>
      </c>
      <c r="D42" s="478">
        <f t="shared" si="0"/>
        <v>0</v>
      </c>
      <c r="E42" s="384">
        <f t="shared" si="1"/>
        <v>0</v>
      </c>
    </row>
    <row r="43" spans="1:5">
      <c r="A43" s="385" t="s">
        <v>296</v>
      </c>
      <c r="B43" s="526" t="s">
        <v>104</v>
      </c>
      <c r="C43" s="527">
        <v>229.10000000000002</v>
      </c>
      <c r="D43" s="478">
        <f t="shared" si="0"/>
        <v>0</v>
      </c>
      <c r="E43" s="384">
        <f t="shared" si="1"/>
        <v>0</v>
      </c>
    </row>
    <row r="44" spans="1:5">
      <c r="A44" s="385" t="s">
        <v>296</v>
      </c>
      <c r="B44" s="386" t="s">
        <v>272</v>
      </c>
      <c r="C44" s="464">
        <v>64.72</v>
      </c>
      <c r="D44" s="478">
        <f t="shared" si="0"/>
        <v>0</v>
      </c>
      <c r="E44" s="384">
        <f t="shared" si="1"/>
        <v>0</v>
      </c>
    </row>
    <row r="45" spans="1:5">
      <c r="A45" s="385" t="s">
        <v>296</v>
      </c>
      <c r="B45" s="526" t="s">
        <v>105</v>
      </c>
      <c r="C45" s="527">
        <v>10.510000000000002</v>
      </c>
      <c r="D45" s="478">
        <f t="shared" ref="D45:D76" si="2">VLOOKUP(B45,G:I,3,FALSE)</f>
        <v>0</v>
      </c>
      <c r="E45" s="384">
        <f t="shared" si="1"/>
        <v>0</v>
      </c>
    </row>
    <row r="46" spans="1:5">
      <c r="A46" s="385" t="s">
        <v>530</v>
      </c>
      <c r="B46" s="386" t="s">
        <v>565</v>
      </c>
      <c r="C46" s="464">
        <v>126.47999999999999</v>
      </c>
      <c r="D46" s="478">
        <f t="shared" si="2"/>
        <v>0</v>
      </c>
      <c r="E46" s="384">
        <f t="shared" si="1"/>
        <v>0</v>
      </c>
    </row>
    <row r="47" spans="1:5">
      <c r="A47" s="385" t="s">
        <v>530</v>
      </c>
      <c r="B47" s="386" t="s">
        <v>483</v>
      </c>
      <c r="C47" s="464">
        <v>112.91</v>
      </c>
      <c r="D47" s="478">
        <f t="shared" si="2"/>
        <v>0</v>
      </c>
      <c r="E47" s="384">
        <f t="shared" si="1"/>
        <v>0</v>
      </c>
    </row>
    <row r="48" spans="1:5">
      <c r="A48" s="385" t="s">
        <v>530</v>
      </c>
      <c r="B48" s="386" t="s">
        <v>272</v>
      </c>
      <c r="C48" s="464">
        <v>770.84000000000015</v>
      </c>
      <c r="D48" s="478">
        <f t="shared" si="2"/>
        <v>0</v>
      </c>
      <c r="E48" s="384">
        <f t="shared" si="1"/>
        <v>0</v>
      </c>
    </row>
    <row r="49" spans="1:5">
      <c r="A49" s="385" t="s">
        <v>530</v>
      </c>
      <c r="B49" s="526" t="s">
        <v>105</v>
      </c>
      <c r="C49" s="527">
        <v>8.9</v>
      </c>
      <c r="D49" s="478">
        <f t="shared" si="2"/>
        <v>0</v>
      </c>
      <c r="E49" s="384">
        <f t="shared" si="1"/>
        <v>0</v>
      </c>
    </row>
    <row r="50" spans="1:5">
      <c r="A50" s="385" t="s">
        <v>246</v>
      </c>
      <c r="B50" s="549" t="s">
        <v>104</v>
      </c>
      <c r="C50" s="464">
        <v>246.78</v>
      </c>
      <c r="D50" s="478">
        <f t="shared" si="2"/>
        <v>0</v>
      </c>
      <c r="E50" s="384">
        <f t="shared" si="1"/>
        <v>0</v>
      </c>
    </row>
    <row r="51" spans="1:5">
      <c r="A51" s="385" t="s">
        <v>246</v>
      </c>
      <c r="B51" s="551" t="s">
        <v>272</v>
      </c>
      <c r="C51" s="464">
        <v>124.04</v>
      </c>
      <c r="D51" s="478">
        <f t="shared" si="2"/>
        <v>0</v>
      </c>
      <c r="E51" s="384">
        <f t="shared" si="1"/>
        <v>0</v>
      </c>
    </row>
    <row r="52" spans="1:5">
      <c r="A52" s="385" t="s">
        <v>246</v>
      </c>
      <c r="B52" s="526" t="s">
        <v>105</v>
      </c>
      <c r="C52" s="464">
        <v>16.88</v>
      </c>
      <c r="D52" s="478">
        <f t="shared" si="2"/>
        <v>0</v>
      </c>
      <c r="E52" s="384">
        <f t="shared" si="1"/>
        <v>0</v>
      </c>
    </row>
    <row r="53" spans="1:5">
      <c r="A53" s="385" t="s">
        <v>416</v>
      </c>
      <c r="B53" s="386" t="s">
        <v>415</v>
      </c>
      <c r="C53" s="464">
        <v>1271.1799999999998</v>
      </c>
      <c r="D53" s="478">
        <f t="shared" si="2"/>
        <v>0</v>
      </c>
      <c r="E53" s="384">
        <f t="shared" si="1"/>
        <v>0</v>
      </c>
    </row>
    <row r="54" spans="1:5">
      <c r="A54" s="385" t="s">
        <v>416</v>
      </c>
      <c r="B54" s="386" t="s">
        <v>272</v>
      </c>
      <c r="C54" s="464">
        <v>125.01</v>
      </c>
      <c r="D54" s="478">
        <f t="shared" si="2"/>
        <v>0</v>
      </c>
      <c r="E54" s="384">
        <f t="shared" si="1"/>
        <v>0</v>
      </c>
    </row>
    <row r="55" spans="1:5">
      <c r="A55" s="385" t="s">
        <v>416</v>
      </c>
      <c r="B55" s="526" t="s">
        <v>105</v>
      </c>
      <c r="C55" s="464">
        <v>188.84</v>
      </c>
      <c r="D55" s="478">
        <f t="shared" si="2"/>
        <v>0</v>
      </c>
      <c r="E55" s="384">
        <f t="shared" si="1"/>
        <v>0</v>
      </c>
    </row>
    <row r="56" spans="1:5">
      <c r="A56" s="385" t="s">
        <v>284</v>
      </c>
      <c r="B56" s="386" t="s">
        <v>104</v>
      </c>
      <c r="C56" s="464">
        <v>219.72</v>
      </c>
      <c r="D56" s="478">
        <f t="shared" si="2"/>
        <v>0</v>
      </c>
      <c r="E56" s="384">
        <f t="shared" si="1"/>
        <v>0</v>
      </c>
    </row>
    <row r="57" spans="1:5">
      <c r="A57" s="385" t="s">
        <v>284</v>
      </c>
      <c r="B57" s="386" t="s">
        <v>290</v>
      </c>
      <c r="C57" s="464">
        <v>0</v>
      </c>
      <c r="D57" s="478">
        <f t="shared" si="2"/>
        <v>0</v>
      </c>
      <c r="E57" s="384">
        <f t="shared" si="1"/>
        <v>0</v>
      </c>
    </row>
    <row r="58" spans="1:5">
      <c r="A58" s="385" t="s">
        <v>284</v>
      </c>
      <c r="B58" s="526" t="s">
        <v>272</v>
      </c>
      <c r="C58" s="527">
        <v>37.29</v>
      </c>
      <c r="D58" s="478">
        <f t="shared" si="2"/>
        <v>0</v>
      </c>
      <c r="E58" s="384">
        <f t="shared" si="1"/>
        <v>0</v>
      </c>
    </row>
    <row r="59" spans="1:5">
      <c r="A59" s="385" t="s">
        <v>284</v>
      </c>
      <c r="B59" s="526" t="s">
        <v>105</v>
      </c>
      <c r="C59" s="527">
        <v>11.2</v>
      </c>
      <c r="D59" s="478">
        <f t="shared" si="2"/>
        <v>0</v>
      </c>
      <c r="E59" s="384">
        <f t="shared" si="1"/>
        <v>0</v>
      </c>
    </row>
    <row r="60" spans="1:5">
      <c r="A60" s="385" t="s">
        <v>350</v>
      </c>
      <c r="B60" s="386" t="s">
        <v>104</v>
      </c>
      <c r="C60" s="464">
        <v>216.82000000000005</v>
      </c>
      <c r="D60" s="478">
        <f t="shared" si="2"/>
        <v>0</v>
      </c>
      <c r="E60" s="384">
        <f t="shared" si="1"/>
        <v>0</v>
      </c>
    </row>
    <row r="61" spans="1:5">
      <c r="A61" s="385" t="s">
        <v>350</v>
      </c>
      <c r="B61" s="386" t="s">
        <v>272</v>
      </c>
      <c r="C61" s="464">
        <v>34.9</v>
      </c>
      <c r="D61" s="478">
        <f t="shared" si="2"/>
        <v>0</v>
      </c>
      <c r="E61" s="384">
        <f t="shared" si="1"/>
        <v>0</v>
      </c>
    </row>
    <row r="62" spans="1:5">
      <c r="A62" s="385" t="s">
        <v>350</v>
      </c>
      <c r="B62" s="526" t="s">
        <v>105</v>
      </c>
      <c r="C62" s="527">
        <v>19.14</v>
      </c>
      <c r="D62" s="478">
        <f t="shared" si="2"/>
        <v>0</v>
      </c>
      <c r="E62" s="384">
        <f t="shared" si="1"/>
        <v>0</v>
      </c>
    </row>
    <row r="63" spans="1:5">
      <c r="A63" s="385" t="s">
        <v>457</v>
      </c>
      <c r="B63" s="386" t="s">
        <v>104</v>
      </c>
      <c r="C63" s="464">
        <v>261.43</v>
      </c>
      <c r="D63" s="478">
        <f t="shared" si="2"/>
        <v>0</v>
      </c>
      <c r="E63" s="384">
        <f t="shared" si="1"/>
        <v>0</v>
      </c>
    </row>
    <row r="64" spans="1:5">
      <c r="A64" s="385" t="s">
        <v>457</v>
      </c>
      <c r="B64" s="386" t="s">
        <v>272</v>
      </c>
      <c r="C64" s="464">
        <v>35.229999999999997</v>
      </c>
      <c r="D64" s="478">
        <f t="shared" si="2"/>
        <v>0</v>
      </c>
      <c r="E64" s="384">
        <f t="shared" si="1"/>
        <v>0</v>
      </c>
    </row>
    <row r="65" spans="1:5">
      <c r="A65" s="385" t="s">
        <v>457</v>
      </c>
      <c r="B65" s="526" t="s">
        <v>105</v>
      </c>
      <c r="C65" s="527">
        <v>19.340000000000003</v>
      </c>
      <c r="D65" s="478">
        <f t="shared" si="2"/>
        <v>0</v>
      </c>
      <c r="E65" s="384">
        <f t="shared" si="1"/>
        <v>0</v>
      </c>
    </row>
    <row r="66" spans="1:5">
      <c r="A66" s="385" t="s">
        <v>495</v>
      </c>
      <c r="B66" s="386" t="s">
        <v>104</v>
      </c>
      <c r="C66" s="464">
        <v>166.21000000000004</v>
      </c>
      <c r="D66" s="478">
        <f t="shared" si="2"/>
        <v>0</v>
      </c>
      <c r="E66" s="384">
        <f t="shared" si="1"/>
        <v>0</v>
      </c>
    </row>
    <row r="67" spans="1:5">
      <c r="A67" s="385" t="s">
        <v>495</v>
      </c>
      <c r="B67" s="526" t="s">
        <v>272</v>
      </c>
      <c r="C67" s="527">
        <v>64.05</v>
      </c>
      <c r="D67" s="478">
        <f t="shared" si="2"/>
        <v>0</v>
      </c>
      <c r="E67" s="384">
        <f t="shared" si="1"/>
        <v>0</v>
      </c>
    </row>
    <row r="68" spans="1:5">
      <c r="A68" s="385" t="s">
        <v>495</v>
      </c>
      <c r="B68" s="526" t="s">
        <v>105</v>
      </c>
      <c r="C68" s="527">
        <v>9.5399999999999991</v>
      </c>
      <c r="D68" s="478">
        <f t="shared" si="2"/>
        <v>0</v>
      </c>
      <c r="E68" s="384">
        <f t="shared" si="1"/>
        <v>0</v>
      </c>
    </row>
    <row r="69" spans="1:5">
      <c r="A69" s="385" t="s">
        <v>347</v>
      </c>
      <c r="B69" s="386" t="s">
        <v>104</v>
      </c>
      <c r="C69" s="464">
        <v>171.05000000000004</v>
      </c>
      <c r="D69" s="478">
        <f t="shared" si="2"/>
        <v>0</v>
      </c>
      <c r="E69" s="384">
        <f t="shared" si="1"/>
        <v>0</v>
      </c>
    </row>
    <row r="70" spans="1:5">
      <c r="A70" s="385" t="s">
        <v>347</v>
      </c>
      <c r="B70" s="526" t="s">
        <v>272</v>
      </c>
      <c r="C70" s="527">
        <v>40.369999999999997</v>
      </c>
      <c r="D70" s="478">
        <f t="shared" si="2"/>
        <v>0</v>
      </c>
      <c r="E70" s="384">
        <f t="shared" si="1"/>
        <v>0</v>
      </c>
    </row>
    <row r="71" spans="1:5">
      <c r="A71" s="385" t="s">
        <v>347</v>
      </c>
      <c r="B71" s="526" t="s">
        <v>105</v>
      </c>
      <c r="C71" s="527">
        <v>10.299999999999999</v>
      </c>
      <c r="D71" s="478">
        <f t="shared" si="2"/>
        <v>0</v>
      </c>
      <c r="E71" s="384">
        <f t="shared" si="1"/>
        <v>0</v>
      </c>
    </row>
    <row r="72" spans="1:5">
      <c r="A72" s="385" t="s">
        <v>567</v>
      </c>
      <c r="B72" s="386" t="s">
        <v>483</v>
      </c>
      <c r="C72" s="464">
        <v>248</v>
      </c>
      <c r="D72" s="478">
        <f t="shared" si="2"/>
        <v>0</v>
      </c>
      <c r="E72" s="384">
        <f t="shared" si="1"/>
        <v>0</v>
      </c>
    </row>
    <row r="73" spans="1:5">
      <c r="A73" s="385" t="s">
        <v>567</v>
      </c>
      <c r="B73" s="526" t="s">
        <v>272</v>
      </c>
      <c r="C73" s="527">
        <v>45</v>
      </c>
      <c r="D73" s="478">
        <f t="shared" si="2"/>
        <v>0</v>
      </c>
      <c r="E73" s="384">
        <f t="shared" si="1"/>
        <v>0</v>
      </c>
    </row>
    <row r="74" spans="1:5">
      <c r="A74" s="385" t="s">
        <v>520</v>
      </c>
      <c r="B74" s="386" t="s">
        <v>106</v>
      </c>
      <c r="C74" s="464">
        <v>57.77</v>
      </c>
      <c r="D74" s="478">
        <f t="shared" si="2"/>
        <v>0</v>
      </c>
      <c r="E74" s="384">
        <f t="shared" si="1"/>
        <v>0</v>
      </c>
    </row>
    <row r="75" spans="1:5">
      <c r="A75" s="385" t="s">
        <v>520</v>
      </c>
      <c r="B75" s="386" t="s">
        <v>565</v>
      </c>
      <c r="C75" s="464">
        <v>7</v>
      </c>
      <c r="D75" s="478">
        <f t="shared" si="2"/>
        <v>0</v>
      </c>
      <c r="E75" s="384">
        <f t="shared" ref="E75:E108" si="3">D75*C75</f>
        <v>0</v>
      </c>
    </row>
    <row r="76" spans="1:5">
      <c r="A76" s="385" t="s">
        <v>520</v>
      </c>
      <c r="B76" s="386" t="s">
        <v>104</v>
      </c>
      <c r="C76" s="464">
        <v>229.22000000000003</v>
      </c>
      <c r="D76" s="478">
        <f t="shared" si="2"/>
        <v>0</v>
      </c>
      <c r="E76" s="384">
        <f t="shared" si="3"/>
        <v>0</v>
      </c>
    </row>
    <row r="77" spans="1:5">
      <c r="A77" s="385" t="s">
        <v>520</v>
      </c>
      <c r="B77" s="386" t="s">
        <v>272</v>
      </c>
      <c r="C77" s="464">
        <v>31.57</v>
      </c>
      <c r="D77" s="478">
        <f t="shared" ref="D77:D108" si="4">VLOOKUP(B77,G:I,3,FALSE)</f>
        <v>0</v>
      </c>
      <c r="E77" s="384">
        <f t="shared" si="3"/>
        <v>0</v>
      </c>
    </row>
    <row r="78" spans="1:5">
      <c r="A78" s="385" t="s">
        <v>520</v>
      </c>
      <c r="B78" s="526" t="s">
        <v>105</v>
      </c>
      <c r="C78" s="527">
        <v>20.88</v>
      </c>
      <c r="D78" s="478">
        <f t="shared" si="4"/>
        <v>0</v>
      </c>
      <c r="E78" s="384">
        <f t="shared" si="3"/>
        <v>0</v>
      </c>
    </row>
    <row r="79" spans="1:5">
      <c r="A79" s="385" t="s">
        <v>472</v>
      </c>
      <c r="B79" s="386" t="s">
        <v>483</v>
      </c>
      <c r="C79" s="464">
        <v>3.1</v>
      </c>
      <c r="D79" s="478">
        <f t="shared" si="4"/>
        <v>0</v>
      </c>
      <c r="E79" s="384">
        <f t="shared" si="3"/>
        <v>0</v>
      </c>
    </row>
    <row r="80" spans="1:5">
      <c r="A80" s="385" t="s">
        <v>472</v>
      </c>
      <c r="B80" s="386" t="s">
        <v>415</v>
      </c>
      <c r="C80" s="464">
        <v>113.19999999999999</v>
      </c>
      <c r="D80" s="478">
        <f t="shared" si="4"/>
        <v>0</v>
      </c>
      <c r="E80" s="384">
        <f t="shared" si="3"/>
        <v>0</v>
      </c>
    </row>
    <row r="81" spans="1:5">
      <c r="A81" s="385" t="s">
        <v>472</v>
      </c>
      <c r="B81" s="386" t="s">
        <v>272</v>
      </c>
      <c r="C81" s="464">
        <v>44.5</v>
      </c>
      <c r="D81" s="478">
        <f t="shared" si="4"/>
        <v>0</v>
      </c>
      <c r="E81" s="384">
        <f t="shared" si="3"/>
        <v>0</v>
      </c>
    </row>
    <row r="82" spans="1:5">
      <c r="A82" s="385" t="s">
        <v>472</v>
      </c>
      <c r="B82" s="619" t="s">
        <v>272</v>
      </c>
      <c r="C82" s="464">
        <v>25.4</v>
      </c>
      <c r="D82" s="478">
        <f t="shared" si="4"/>
        <v>0</v>
      </c>
      <c r="E82" s="384">
        <f t="shared" si="3"/>
        <v>0</v>
      </c>
    </row>
    <row r="83" spans="1:5">
      <c r="A83" s="385" t="s">
        <v>472</v>
      </c>
      <c r="B83" s="526" t="s">
        <v>482</v>
      </c>
      <c r="C83" s="527">
        <v>22.5</v>
      </c>
      <c r="D83" s="478">
        <f t="shared" si="4"/>
        <v>0</v>
      </c>
      <c r="E83" s="384">
        <f t="shared" si="3"/>
        <v>0</v>
      </c>
    </row>
    <row r="84" spans="1:5">
      <c r="A84" s="385" t="s">
        <v>472</v>
      </c>
      <c r="B84" s="526" t="s">
        <v>105</v>
      </c>
      <c r="C84" s="527">
        <v>12.25</v>
      </c>
      <c r="D84" s="478">
        <f t="shared" si="4"/>
        <v>0</v>
      </c>
      <c r="E84" s="384">
        <f t="shared" si="3"/>
        <v>0</v>
      </c>
    </row>
    <row r="85" spans="1:5">
      <c r="A85" s="385" t="s">
        <v>460</v>
      </c>
      <c r="B85" s="386" t="s">
        <v>104</v>
      </c>
      <c r="C85" s="464">
        <v>356.84</v>
      </c>
      <c r="D85" s="478">
        <f t="shared" si="4"/>
        <v>0</v>
      </c>
      <c r="E85" s="384">
        <f t="shared" si="3"/>
        <v>0</v>
      </c>
    </row>
    <row r="86" spans="1:5">
      <c r="A86" s="385" t="s">
        <v>460</v>
      </c>
      <c r="B86" s="386" t="s">
        <v>272</v>
      </c>
      <c r="C86" s="464">
        <v>40.479999999999997</v>
      </c>
      <c r="D86" s="478">
        <f t="shared" si="4"/>
        <v>0</v>
      </c>
      <c r="E86" s="384">
        <f t="shared" si="3"/>
        <v>0</v>
      </c>
    </row>
    <row r="87" spans="1:5">
      <c r="A87" s="385" t="s">
        <v>460</v>
      </c>
      <c r="B87" s="526" t="s">
        <v>105</v>
      </c>
      <c r="C87" s="527">
        <v>7.8</v>
      </c>
      <c r="D87" s="478">
        <f t="shared" si="4"/>
        <v>0</v>
      </c>
      <c r="E87" s="384">
        <f t="shared" si="3"/>
        <v>0</v>
      </c>
    </row>
    <row r="88" spans="1:5">
      <c r="A88" s="385" t="s">
        <v>363</v>
      </c>
      <c r="B88" s="386" t="s">
        <v>104</v>
      </c>
      <c r="C88" s="464">
        <v>212.53000000000003</v>
      </c>
      <c r="D88" s="478">
        <f t="shared" si="4"/>
        <v>0</v>
      </c>
      <c r="E88" s="384">
        <f t="shared" si="3"/>
        <v>0</v>
      </c>
    </row>
    <row r="89" spans="1:5">
      <c r="A89" s="385" t="s">
        <v>363</v>
      </c>
      <c r="B89" s="386" t="s">
        <v>272</v>
      </c>
      <c r="C89" s="464">
        <v>24.56</v>
      </c>
      <c r="D89" s="478">
        <f t="shared" si="4"/>
        <v>0</v>
      </c>
      <c r="E89" s="384">
        <f t="shared" si="3"/>
        <v>0</v>
      </c>
    </row>
    <row r="90" spans="1:5">
      <c r="A90" s="385" t="s">
        <v>363</v>
      </c>
      <c r="B90" s="526" t="s">
        <v>105</v>
      </c>
      <c r="C90" s="527">
        <v>14.580000000000002</v>
      </c>
      <c r="D90" s="478">
        <f t="shared" si="4"/>
        <v>0</v>
      </c>
      <c r="E90" s="384">
        <f t="shared" si="3"/>
        <v>0</v>
      </c>
    </row>
    <row r="91" spans="1:5">
      <c r="A91" s="385" t="s">
        <v>304</v>
      </c>
      <c r="B91" s="386" t="s">
        <v>104</v>
      </c>
      <c r="C91" s="464">
        <v>261.21999999999997</v>
      </c>
      <c r="D91" s="478">
        <f t="shared" si="4"/>
        <v>0</v>
      </c>
      <c r="E91" s="384">
        <f t="shared" si="3"/>
        <v>0</v>
      </c>
    </row>
    <row r="92" spans="1:5">
      <c r="A92" s="385" t="s">
        <v>304</v>
      </c>
      <c r="B92" s="550" t="s">
        <v>272</v>
      </c>
      <c r="C92" s="464">
        <v>58.070000000000007</v>
      </c>
      <c r="D92" s="478">
        <f t="shared" si="4"/>
        <v>0</v>
      </c>
      <c r="E92" s="384">
        <f t="shared" si="3"/>
        <v>0</v>
      </c>
    </row>
    <row r="93" spans="1:5">
      <c r="A93" s="548" t="s">
        <v>307</v>
      </c>
      <c r="B93" s="549" t="s">
        <v>106</v>
      </c>
      <c r="C93" s="464">
        <v>0.68</v>
      </c>
      <c r="D93" s="478">
        <f t="shared" si="4"/>
        <v>0</v>
      </c>
      <c r="E93" s="384">
        <f t="shared" si="3"/>
        <v>0</v>
      </c>
    </row>
    <row r="94" spans="1:5">
      <c r="A94" s="548" t="s">
        <v>307</v>
      </c>
      <c r="B94" s="549" t="s">
        <v>104</v>
      </c>
      <c r="C94" s="464">
        <v>489.2000000000001</v>
      </c>
      <c r="D94" s="478">
        <f t="shared" si="4"/>
        <v>0</v>
      </c>
      <c r="E94" s="384">
        <f t="shared" si="3"/>
        <v>0</v>
      </c>
    </row>
    <row r="95" spans="1:5">
      <c r="A95" s="548" t="s">
        <v>307</v>
      </c>
      <c r="B95" s="549" t="s">
        <v>272</v>
      </c>
      <c r="C95" s="464">
        <v>267.51</v>
      </c>
      <c r="D95" s="478">
        <f t="shared" si="4"/>
        <v>0</v>
      </c>
      <c r="E95" s="384">
        <f t="shared" si="3"/>
        <v>0</v>
      </c>
    </row>
    <row r="96" spans="1:5">
      <c r="A96" s="548" t="s">
        <v>307</v>
      </c>
      <c r="B96" s="551" t="s">
        <v>483</v>
      </c>
      <c r="C96" s="464">
        <v>12.67</v>
      </c>
      <c r="D96" s="478">
        <f t="shared" si="4"/>
        <v>0</v>
      </c>
      <c r="E96" s="384">
        <f t="shared" si="3"/>
        <v>0</v>
      </c>
    </row>
    <row r="97" spans="1:5">
      <c r="A97" s="548" t="s">
        <v>307</v>
      </c>
      <c r="B97" s="526" t="s">
        <v>105</v>
      </c>
      <c r="C97" s="464">
        <v>21.910000000000004</v>
      </c>
      <c r="D97" s="478">
        <f t="shared" si="4"/>
        <v>0</v>
      </c>
      <c r="E97" s="384">
        <f t="shared" si="3"/>
        <v>0</v>
      </c>
    </row>
    <row r="98" spans="1:5">
      <c r="A98" s="387" t="s">
        <v>517</v>
      </c>
      <c r="B98" s="386" t="s">
        <v>290</v>
      </c>
      <c r="C98" s="464">
        <v>6.41</v>
      </c>
      <c r="D98" s="478">
        <f t="shared" si="4"/>
        <v>0</v>
      </c>
      <c r="E98" s="384">
        <f t="shared" si="3"/>
        <v>0</v>
      </c>
    </row>
    <row r="99" spans="1:5">
      <c r="A99" s="387" t="s">
        <v>517</v>
      </c>
      <c r="B99" s="386" t="s">
        <v>104</v>
      </c>
      <c r="C99" s="464">
        <v>202.04999999999995</v>
      </c>
      <c r="D99" s="478">
        <f t="shared" si="4"/>
        <v>0</v>
      </c>
      <c r="E99" s="384">
        <f t="shared" si="3"/>
        <v>0</v>
      </c>
    </row>
    <row r="100" spans="1:5">
      <c r="A100" s="387" t="s">
        <v>517</v>
      </c>
      <c r="B100" s="386" t="s">
        <v>272</v>
      </c>
      <c r="C100" s="464">
        <v>179.64</v>
      </c>
      <c r="D100" s="478">
        <f t="shared" si="4"/>
        <v>0</v>
      </c>
      <c r="E100" s="384">
        <f t="shared" si="3"/>
        <v>0</v>
      </c>
    </row>
    <row r="101" spans="1:5">
      <c r="A101" s="387" t="s">
        <v>517</v>
      </c>
      <c r="B101" s="526" t="s">
        <v>105</v>
      </c>
      <c r="C101" s="464">
        <v>17.899999999999999</v>
      </c>
      <c r="D101" s="478">
        <f t="shared" si="4"/>
        <v>0</v>
      </c>
      <c r="E101" s="384">
        <f t="shared" si="3"/>
        <v>0</v>
      </c>
    </row>
    <row r="102" spans="1:5" ht="14.4" customHeight="1">
      <c r="A102" s="387" t="s">
        <v>456</v>
      </c>
      <c r="B102" s="386" t="s">
        <v>415</v>
      </c>
      <c r="C102" s="464">
        <v>196.95</v>
      </c>
      <c r="D102" s="478">
        <f t="shared" si="4"/>
        <v>0</v>
      </c>
      <c r="E102" s="384">
        <f t="shared" si="3"/>
        <v>0</v>
      </c>
    </row>
    <row r="103" spans="1:5" ht="14.4" customHeight="1">
      <c r="A103" s="387" t="s">
        <v>456</v>
      </c>
      <c r="B103" s="386" t="s">
        <v>272</v>
      </c>
      <c r="C103" s="464">
        <v>44.5</v>
      </c>
      <c r="D103" s="478">
        <f t="shared" si="4"/>
        <v>0</v>
      </c>
      <c r="E103" s="384">
        <f t="shared" si="3"/>
        <v>0</v>
      </c>
    </row>
    <row r="104" spans="1:5" ht="14.4" customHeight="1">
      <c r="A104" s="387" t="s">
        <v>456</v>
      </c>
      <c r="B104" s="526" t="s">
        <v>105</v>
      </c>
      <c r="C104" s="464">
        <v>10.399999999999999</v>
      </c>
      <c r="D104" s="478">
        <f t="shared" si="4"/>
        <v>0</v>
      </c>
      <c r="E104" s="384">
        <f t="shared" si="3"/>
        <v>0</v>
      </c>
    </row>
    <row r="105" spans="1:5" ht="14.4" customHeight="1">
      <c r="A105" s="387" t="s">
        <v>456</v>
      </c>
      <c r="B105" s="386" t="s">
        <v>452</v>
      </c>
      <c r="C105" s="464">
        <v>14.5</v>
      </c>
      <c r="D105" s="478">
        <f t="shared" si="4"/>
        <v>0</v>
      </c>
      <c r="E105" s="384">
        <f t="shared" si="3"/>
        <v>0</v>
      </c>
    </row>
    <row r="106" spans="1:5">
      <c r="A106" s="548" t="s">
        <v>422</v>
      </c>
      <c r="B106" s="549" t="s">
        <v>104</v>
      </c>
      <c r="C106" s="464">
        <v>285.43999999999994</v>
      </c>
      <c r="D106" s="478">
        <f t="shared" si="4"/>
        <v>0</v>
      </c>
      <c r="E106" s="384">
        <f t="shared" si="3"/>
        <v>0</v>
      </c>
    </row>
    <row r="107" spans="1:5">
      <c r="A107" s="548" t="s">
        <v>422</v>
      </c>
      <c r="B107" s="551" t="s">
        <v>272</v>
      </c>
      <c r="C107" s="464">
        <v>40.379999999999995</v>
      </c>
      <c r="D107" s="478">
        <f t="shared" si="4"/>
        <v>0</v>
      </c>
      <c r="E107" s="384">
        <f t="shared" si="3"/>
        <v>0</v>
      </c>
    </row>
    <row r="108" spans="1:5">
      <c r="A108" s="548" t="s">
        <v>422</v>
      </c>
      <c r="B108" s="526" t="s">
        <v>105</v>
      </c>
      <c r="C108" s="464">
        <v>7.66</v>
      </c>
      <c r="D108" s="478">
        <f t="shared" si="4"/>
        <v>0</v>
      </c>
      <c r="E108" s="384">
        <f t="shared" si="3"/>
        <v>0</v>
      </c>
    </row>
    <row r="109" spans="1:5">
      <c r="B109" s="381"/>
      <c r="D109" s="381"/>
      <c r="E109" s="381"/>
    </row>
    <row r="110" spans="1:5">
      <c r="A110" s="466" t="s">
        <v>8</v>
      </c>
      <c r="B110" s="467"/>
      <c r="C110" s="468">
        <f>SUM(C13:C108)</f>
        <v>10943.749999999996</v>
      </c>
      <c r="D110" s="467"/>
      <c r="E110" s="465">
        <f>SUM(E13:E108)</f>
        <v>0</v>
      </c>
    </row>
  </sheetData>
  <autoFilter ref="A12:Z110" xr:uid="{00000000-0009-0000-0000-00000A000000}"/>
  <printOptions horizontalCentered="1"/>
  <pageMargins left="0.7" right="0.7" top="0.75" bottom="0.75" header="0.3" footer="0.3"/>
  <pageSetup paperSize="9" scale="55"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U57"/>
  <sheetViews>
    <sheetView showGridLines="0" zoomScale="90" zoomScaleNormal="90" workbookViewId="0">
      <pane ySplit="10" topLeftCell="A11" activePane="bottomLeft" state="frozen"/>
      <selection activeCell="D33" sqref="D33"/>
      <selection pane="bottomLeft" activeCell="A11" sqref="A11"/>
    </sheetView>
  </sheetViews>
  <sheetFormatPr defaultColWidth="9.33203125" defaultRowHeight="13.2"/>
  <cols>
    <col min="1" max="1" width="35.5546875" style="50" customWidth="1"/>
    <col min="2" max="2" width="22.88671875" style="50" bestFit="1" customWidth="1"/>
    <col min="3" max="3" width="16.109375" style="50" customWidth="1"/>
    <col min="4" max="4" width="3.6640625" style="50" customWidth="1"/>
    <col min="5" max="6" width="12.6640625" style="50" customWidth="1"/>
    <col min="7" max="7" width="18" style="50" bestFit="1" customWidth="1"/>
    <col min="8" max="8" width="17.6640625" style="50" customWidth="1"/>
    <col min="9" max="9" width="2.44140625" style="50" customWidth="1"/>
    <col min="10" max="10" width="17.6640625" style="50" customWidth="1"/>
    <col min="11" max="11" width="15.5546875" style="50" bestFit="1" customWidth="1"/>
    <col min="12" max="12" width="13.33203125" style="50" customWidth="1"/>
    <col min="13" max="15" width="9.33203125" style="50"/>
    <col min="16" max="16" width="10.33203125" style="50" bestFit="1" customWidth="1"/>
    <col min="17" max="16384" width="9.33203125" style="50"/>
  </cols>
  <sheetData>
    <row r="1" spans="1:21">
      <c r="A1" s="434" t="s">
        <v>25</v>
      </c>
      <c r="B1" s="49"/>
      <c r="C1" s="49"/>
    </row>
    <row r="2" spans="1:21">
      <c r="A2" s="51"/>
      <c r="B2" s="49"/>
      <c r="C2" s="49"/>
    </row>
    <row r="3" spans="1:21" s="53" customFormat="1" ht="15">
      <c r="A3" s="80" t="s">
        <v>29</v>
      </c>
      <c r="B3" s="81" t="s">
        <v>574</v>
      </c>
      <c r="C3" s="81"/>
      <c r="D3" s="82"/>
      <c r="E3" s="52"/>
      <c r="F3" s="52"/>
      <c r="G3" s="50"/>
      <c r="H3" s="50"/>
      <c r="I3" s="50"/>
      <c r="J3" s="50"/>
      <c r="K3" s="50"/>
      <c r="L3" s="50"/>
    </row>
    <row r="4" spans="1:21" s="53" customFormat="1" ht="15">
      <c r="A4" s="80" t="s">
        <v>14</v>
      </c>
      <c r="B4" s="81" t="str">
        <f ca="1">MID(CELL("bestandsnaam",$D$10),SEARCH("]",CELL("bestandsnaam",$D$10),1)+1,256)</f>
        <v>1-Contractblad totaal</v>
      </c>
      <c r="C4" s="81"/>
      <c r="D4" s="82"/>
      <c r="E4" s="52"/>
      <c r="F4" s="52"/>
      <c r="G4" s="50"/>
      <c r="H4" s="50"/>
      <c r="I4" s="50"/>
      <c r="J4" s="50"/>
      <c r="K4" s="50"/>
      <c r="L4" s="50"/>
    </row>
    <row r="5" spans="1:21" s="53" customFormat="1" ht="15">
      <c r="A5" s="80" t="s">
        <v>86</v>
      </c>
      <c r="B5" s="81" t="s">
        <v>575</v>
      </c>
      <c r="C5" s="81"/>
      <c r="D5" s="82"/>
      <c r="E5" s="52"/>
      <c r="F5" s="52"/>
      <c r="G5" s="54"/>
      <c r="H5" s="54"/>
    </row>
    <row r="6" spans="1:21" s="53" customFormat="1" ht="15">
      <c r="A6" s="80" t="s">
        <v>242</v>
      </c>
      <c r="B6" s="81" t="s">
        <v>576</v>
      </c>
      <c r="C6" s="81"/>
      <c r="D6" s="82"/>
      <c r="E6" s="52"/>
      <c r="F6" s="52"/>
      <c r="G6" s="54"/>
      <c r="H6" s="54"/>
    </row>
    <row r="7" spans="1:21" s="53" customFormat="1" ht="15">
      <c r="A7" s="80" t="s">
        <v>204</v>
      </c>
      <c r="B7" s="81" t="s">
        <v>577</v>
      </c>
      <c r="C7" s="81"/>
      <c r="D7" s="82"/>
      <c r="E7" s="52"/>
      <c r="F7" s="52"/>
      <c r="G7" s="54"/>
      <c r="H7" s="54"/>
      <c r="J7" s="500"/>
      <c r="K7" s="500"/>
      <c r="L7" s="500"/>
      <c r="M7" s="500"/>
      <c r="N7" s="500"/>
      <c r="O7" s="500"/>
      <c r="P7" s="500"/>
      <c r="Q7" s="500"/>
      <c r="R7" s="500"/>
      <c r="S7" s="500"/>
      <c r="T7" s="500"/>
      <c r="U7" s="500"/>
    </row>
    <row r="8" spans="1:21" s="53" customFormat="1" ht="15">
      <c r="A8" s="80" t="s">
        <v>206</v>
      </c>
      <c r="B8" s="632"/>
      <c r="C8" s="632"/>
      <c r="D8" s="633"/>
      <c r="E8" s="52"/>
      <c r="F8" s="52"/>
      <c r="G8" s="54"/>
      <c r="H8" s="54"/>
      <c r="J8" s="500"/>
      <c r="K8" s="500"/>
      <c r="L8" s="500"/>
      <c r="M8" s="500"/>
      <c r="N8" s="500"/>
      <c r="O8" s="500"/>
      <c r="P8" s="500"/>
      <c r="Q8" s="500"/>
      <c r="R8" s="500"/>
      <c r="S8" s="500"/>
      <c r="T8" s="500"/>
      <c r="U8" s="500"/>
    </row>
    <row r="9" spans="1:21" s="53" customFormat="1" ht="15">
      <c r="A9" s="80" t="s">
        <v>10</v>
      </c>
      <c r="B9" s="115">
        <v>44013</v>
      </c>
      <c r="C9" s="83"/>
      <c r="D9" s="82"/>
      <c r="E9" s="52"/>
      <c r="F9" s="52"/>
      <c r="G9" s="54"/>
      <c r="H9" s="54"/>
      <c r="I9" s="54"/>
      <c r="J9" s="573"/>
      <c r="K9" s="573"/>
      <c r="L9" s="573"/>
      <c r="M9" s="573"/>
      <c r="N9" s="573"/>
      <c r="O9" s="573"/>
      <c r="P9" s="573"/>
      <c r="Q9" s="573"/>
      <c r="R9" s="573"/>
      <c r="S9" s="500"/>
      <c r="T9" s="500"/>
      <c r="U9" s="500"/>
    </row>
    <row r="10" spans="1:21" s="53" customFormat="1" ht="15">
      <c r="A10" s="55"/>
      <c r="G10" s="56"/>
      <c r="H10" s="56"/>
    </row>
    <row r="11" spans="1:21" s="53" customFormat="1" ht="15">
      <c r="A11" s="57" t="s">
        <v>627</v>
      </c>
      <c r="B11" s="58"/>
      <c r="C11" s="58"/>
      <c r="D11" s="58"/>
      <c r="E11" s="58"/>
      <c r="F11" s="58"/>
      <c r="G11" s="59"/>
      <c r="H11" s="60"/>
    </row>
    <row r="12" spans="1:21" ht="15">
      <c r="A12" s="643" t="s">
        <v>628</v>
      </c>
      <c r="B12" s="644"/>
      <c r="C12" s="644"/>
      <c r="D12" s="644"/>
      <c r="E12" s="644"/>
      <c r="F12" s="644"/>
      <c r="G12" s="644"/>
      <c r="H12" s="645"/>
      <c r="J12" s="53"/>
      <c r="K12" s="53"/>
      <c r="L12" s="53"/>
      <c r="M12" s="53"/>
      <c r="N12" s="53"/>
      <c r="O12" s="53"/>
      <c r="P12" s="53"/>
    </row>
    <row r="13" spans="1:21" ht="26.4">
      <c r="A13" s="84" t="s">
        <v>11</v>
      </c>
      <c r="D13" s="85"/>
      <c r="E13" s="85" t="s">
        <v>79</v>
      </c>
      <c r="F13" s="85" t="s">
        <v>49</v>
      </c>
      <c r="G13" s="85" t="s">
        <v>130</v>
      </c>
      <c r="H13" s="86" t="s">
        <v>43</v>
      </c>
      <c r="I13" s="61"/>
      <c r="J13" s="87"/>
      <c r="K13" s="53"/>
      <c r="L13" s="53"/>
      <c r="M13" s="53"/>
      <c r="N13" s="53"/>
      <c r="O13" s="53"/>
      <c r="P13" s="53"/>
    </row>
    <row r="14" spans="1:21" ht="15">
      <c r="A14" s="88" t="s">
        <v>131</v>
      </c>
      <c r="B14" s="88" t="s">
        <v>132</v>
      </c>
      <c r="C14" s="88" t="s">
        <v>133</v>
      </c>
      <c r="D14" s="89"/>
      <c r="E14" s="499">
        <f>100%</f>
        <v>1</v>
      </c>
      <c r="F14" s="62" t="e">
        <f>SUM('4-Basis ruimtestaat'!R:S)*E14</f>
        <v>#DIV/0!</v>
      </c>
      <c r="G14" s="63" t="e">
        <f>'6-Opbouw uurtarief productie'!E48</f>
        <v>#DIV/0!</v>
      </c>
      <c r="H14" s="64" t="e">
        <f>G14*F14</f>
        <v>#DIV/0!</v>
      </c>
      <c r="I14" s="61"/>
      <c r="J14" s="500"/>
      <c r="K14" s="53"/>
      <c r="L14" s="53"/>
      <c r="M14" s="53"/>
      <c r="N14" s="53"/>
      <c r="O14" s="53"/>
      <c r="P14" s="53"/>
    </row>
    <row r="15" spans="1:21" ht="15">
      <c r="A15" s="88"/>
      <c r="B15" s="90"/>
      <c r="C15" s="90"/>
      <c r="D15" s="90"/>
      <c r="E15" s="90"/>
      <c r="F15" s="91"/>
      <c r="G15" s="90"/>
      <c r="H15" s="90"/>
      <c r="I15" s="90"/>
      <c r="J15" s="87"/>
      <c r="K15" s="53"/>
      <c r="L15" s="53"/>
      <c r="M15" s="53"/>
      <c r="N15" s="53"/>
      <c r="O15" s="53"/>
      <c r="P15" s="53"/>
    </row>
    <row r="16" spans="1:21" ht="15">
      <c r="A16" s="88" t="s">
        <v>134</v>
      </c>
      <c r="B16" s="88" t="s">
        <v>132</v>
      </c>
      <c r="C16" s="88" t="s">
        <v>133</v>
      </c>
      <c r="D16" s="90"/>
      <c r="E16" s="572" t="e">
        <f>'2-Kosten per locatie'!G42/'2-Kosten per locatie'!D42</f>
        <v>#DIV/0!</v>
      </c>
      <c r="F16" s="66" t="e">
        <f>SUM(F14:F14)*E16</f>
        <v>#DIV/0!</v>
      </c>
      <c r="G16" s="63" t="e">
        <f>'7-Opbouw uurtarief toezicht'!E48</f>
        <v>#DIV/0!</v>
      </c>
      <c r="H16" s="64" t="e">
        <f>G16*F16</f>
        <v>#DIV/0!</v>
      </c>
      <c r="J16" s="87"/>
      <c r="K16" s="53"/>
      <c r="L16" s="53"/>
      <c r="M16" s="53"/>
      <c r="N16" s="53"/>
      <c r="O16" s="53"/>
      <c r="P16" s="53"/>
    </row>
    <row r="17" spans="1:16" ht="15">
      <c r="A17" s="88"/>
      <c r="B17" s="88"/>
      <c r="C17" s="94"/>
      <c r="D17" s="88"/>
      <c r="E17" s="95"/>
      <c r="F17" s="93"/>
      <c r="G17" s="88"/>
      <c r="H17" s="88"/>
      <c r="I17" s="88"/>
      <c r="J17" s="87"/>
      <c r="L17" s="53"/>
      <c r="M17" s="53"/>
      <c r="N17" s="53"/>
      <c r="O17" s="53"/>
      <c r="P17" s="53"/>
    </row>
    <row r="18" spans="1:16" ht="15">
      <c r="A18" s="96" t="s">
        <v>200</v>
      </c>
      <c r="B18" s="92" t="s">
        <v>132</v>
      </c>
      <c r="C18" s="92" t="s">
        <v>133</v>
      </c>
      <c r="D18" s="92"/>
      <c r="E18" s="67"/>
      <c r="F18" s="97"/>
      <c r="G18" s="68" t="e">
        <f>(H16+H14)/F14</f>
        <v>#DIV/0!</v>
      </c>
      <c r="H18" s="88"/>
      <c r="I18" s="88"/>
      <c r="J18" s="87"/>
      <c r="K18" s="500"/>
      <c r="L18" s="500"/>
      <c r="M18" s="500"/>
      <c r="N18" s="53"/>
      <c r="O18" s="53"/>
      <c r="P18" s="53"/>
    </row>
    <row r="19" spans="1:16" ht="15">
      <c r="A19" s="88"/>
      <c r="B19" s="88"/>
      <c r="C19" s="88"/>
      <c r="D19" s="88"/>
      <c r="E19" s="552"/>
      <c r="F19" s="93"/>
      <c r="G19" s="553"/>
      <c r="H19" s="88"/>
      <c r="I19" s="88"/>
      <c r="J19" s="87"/>
      <c r="K19" s="500"/>
      <c r="L19" s="500"/>
      <c r="M19" s="500"/>
      <c r="N19" s="53"/>
      <c r="O19" s="53"/>
      <c r="P19" s="53"/>
    </row>
    <row r="20" spans="1:16" ht="15">
      <c r="A20" s="88" t="s">
        <v>586</v>
      </c>
      <c r="B20" s="88"/>
      <c r="C20" s="88"/>
      <c r="D20" s="88"/>
      <c r="E20" s="552"/>
      <c r="F20" s="93"/>
      <c r="G20" s="553"/>
      <c r="H20" s="64" t="e">
        <f>'2-Kosten per locatie'!I42</f>
        <v>#DIV/0!</v>
      </c>
      <c r="I20" s="88"/>
      <c r="J20" s="87"/>
      <c r="K20" s="500"/>
      <c r="L20" s="500"/>
      <c r="M20" s="500"/>
      <c r="N20" s="53"/>
      <c r="O20" s="53"/>
      <c r="P20" s="53"/>
    </row>
    <row r="21" spans="1:16" ht="15">
      <c r="A21" s="88"/>
      <c r="B21" s="88"/>
      <c r="C21" s="88"/>
      <c r="D21" s="88"/>
      <c r="E21" s="552"/>
      <c r="F21" s="93"/>
      <c r="G21" s="553"/>
      <c r="H21" s="64"/>
      <c r="I21" s="88"/>
      <c r="J21" s="87"/>
      <c r="K21" s="500"/>
      <c r="L21" s="500"/>
      <c r="M21" s="500"/>
      <c r="N21" s="53"/>
      <c r="O21" s="53"/>
      <c r="P21" s="53"/>
    </row>
    <row r="22" spans="1:16" ht="15">
      <c r="A22" s="646" t="s">
        <v>629</v>
      </c>
      <c r="B22" s="647"/>
      <c r="C22" s="647"/>
      <c r="D22" s="647"/>
      <c r="E22" s="647"/>
      <c r="F22" s="647"/>
      <c r="G22" s="647"/>
      <c r="H22" s="648"/>
      <c r="I22" s="88"/>
      <c r="J22" s="87"/>
      <c r="K22" s="500"/>
      <c r="L22" s="500"/>
      <c r="M22" s="500"/>
      <c r="N22" s="53"/>
      <c r="O22" s="53"/>
      <c r="P22" s="53"/>
    </row>
    <row r="23" spans="1:16" ht="15">
      <c r="A23" s="88" t="s">
        <v>630</v>
      </c>
      <c r="B23" s="88"/>
      <c r="C23" s="88"/>
      <c r="D23" s="88"/>
      <c r="E23" s="552"/>
      <c r="F23" s="93"/>
      <c r="G23" s="553"/>
      <c r="H23" s="75">
        <f>'9-Glasbewassing'!I82</f>
        <v>0</v>
      </c>
      <c r="I23" s="88"/>
      <c r="J23" s="87"/>
      <c r="K23" s="500"/>
      <c r="L23" s="500"/>
      <c r="M23" s="500"/>
      <c r="N23" s="53"/>
      <c r="O23" s="53"/>
      <c r="P23" s="53"/>
    </row>
    <row r="24" spans="1:16" ht="15">
      <c r="A24" s="88"/>
      <c r="B24" s="88"/>
      <c r="C24" s="88"/>
      <c r="D24" s="88"/>
      <c r="E24" s="552"/>
      <c r="F24" s="93"/>
      <c r="G24" s="553"/>
      <c r="H24" s="75"/>
      <c r="I24" s="88"/>
      <c r="J24" s="87"/>
      <c r="K24" s="500"/>
      <c r="L24" s="500"/>
      <c r="M24" s="500"/>
      <c r="N24" s="53"/>
      <c r="O24" s="53"/>
      <c r="P24" s="53"/>
    </row>
    <row r="25" spans="1:16" ht="15">
      <c r="A25" s="88"/>
      <c r="B25" s="88"/>
      <c r="C25" s="88"/>
      <c r="D25" s="88"/>
      <c r="E25" s="88"/>
      <c r="F25" s="88"/>
      <c r="G25" s="88"/>
      <c r="H25" s="88"/>
      <c r="J25" s="87"/>
      <c r="K25" s="53"/>
      <c r="L25" s="53"/>
      <c r="M25" s="53"/>
      <c r="N25" s="53"/>
      <c r="O25" s="53"/>
      <c r="P25" s="53"/>
    </row>
    <row r="26" spans="1:16" ht="15">
      <c r="A26" s="98" t="s">
        <v>631</v>
      </c>
      <c r="H26" s="99" t="e">
        <f>SUM(H14:H25)</f>
        <v>#DIV/0!</v>
      </c>
      <c r="I26" s="69"/>
      <c r="J26" s="87"/>
      <c r="K26" s="53"/>
      <c r="L26" s="53"/>
      <c r="M26" s="53"/>
      <c r="N26" s="53"/>
      <c r="O26" s="53"/>
      <c r="P26" s="53"/>
    </row>
    <row r="27" spans="1:16" ht="15">
      <c r="A27" s="71" t="s">
        <v>9</v>
      </c>
      <c r="G27" s="72">
        <v>0.21</v>
      </c>
      <c r="H27" s="73" t="e">
        <f>G27*H26</f>
        <v>#DIV/0!</v>
      </c>
      <c r="I27" s="69"/>
      <c r="J27" s="87"/>
      <c r="K27" s="53"/>
      <c r="L27" s="53"/>
      <c r="M27" s="53"/>
      <c r="N27" s="53"/>
      <c r="O27" s="53"/>
      <c r="P27" s="53"/>
    </row>
    <row r="28" spans="1:16" ht="15">
      <c r="A28" s="71" t="s">
        <v>26</v>
      </c>
      <c r="G28" s="61" t="s">
        <v>62</v>
      </c>
      <c r="H28" s="64" t="e">
        <f>H27+H26</f>
        <v>#DIV/0!</v>
      </c>
      <c r="I28" s="69"/>
      <c r="J28" s="87"/>
      <c r="K28" s="53"/>
      <c r="L28" s="53"/>
      <c r="M28" s="53"/>
      <c r="N28" s="53"/>
      <c r="O28" s="53"/>
      <c r="P28" s="53"/>
    </row>
    <row r="29" spans="1:16" ht="15">
      <c r="A29" s="71"/>
      <c r="G29" s="61"/>
      <c r="H29" s="64"/>
      <c r="I29" s="69"/>
      <c r="J29" s="87"/>
      <c r="K29" s="53"/>
      <c r="L29" s="53"/>
      <c r="M29" s="53"/>
      <c r="N29" s="53"/>
      <c r="O29" s="53"/>
      <c r="P29" s="53"/>
    </row>
    <row r="30" spans="1:16" ht="15">
      <c r="A30" s="98" t="s">
        <v>634</v>
      </c>
      <c r="H30" s="99" t="e">
        <f>4*H26</f>
        <v>#DIV/0!</v>
      </c>
      <c r="I30" s="69"/>
      <c r="J30" s="87"/>
      <c r="K30" s="629"/>
      <c r="L30" s="53"/>
      <c r="M30" s="53"/>
      <c r="N30" s="53"/>
      <c r="O30" s="53"/>
      <c r="P30" s="53"/>
    </row>
    <row r="31" spans="1:16" ht="15">
      <c r="A31" s="71" t="s">
        <v>9</v>
      </c>
      <c r="G31" s="72">
        <v>0.21</v>
      </c>
      <c r="H31" s="73" t="e">
        <f>G31*H30</f>
        <v>#DIV/0!</v>
      </c>
      <c r="I31" s="69"/>
      <c r="J31" s="87"/>
      <c r="K31" s="53"/>
      <c r="L31" s="53"/>
      <c r="M31" s="53"/>
      <c r="N31" s="53"/>
      <c r="O31" s="53"/>
      <c r="P31" s="53"/>
    </row>
    <row r="32" spans="1:16" ht="15">
      <c r="A32" s="71" t="s">
        <v>26</v>
      </c>
      <c r="G32" s="61" t="s">
        <v>62</v>
      </c>
      <c r="H32" s="64" t="e">
        <f>H31+H30</f>
        <v>#DIV/0!</v>
      </c>
      <c r="I32" s="69"/>
      <c r="J32" s="87"/>
      <c r="K32" s="53"/>
      <c r="L32" s="53"/>
      <c r="M32" s="53"/>
      <c r="N32" s="53"/>
      <c r="O32" s="53"/>
      <c r="P32" s="53"/>
    </row>
    <row r="33" spans="1:16" ht="15">
      <c r="A33" s="71"/>
      <c r="G33" s="61"/>
      <c r="H33" s="64"/>
      <c r="I33" s="70"/>
      <c r="J33" s="53"/>
      <c r="K33" s="53"/>
      <c r="L33" s="53"/>
      <c r="M33" s="53"/>
      <c r="N33" s="53"/>
      <c r="O33" s="53"/>
      <c r="P33" s="53"/>
    </row>
    <row r="34" spans="1:16" s="53" customFormat="1" ht="15">
      <c r="A34" s="57" t="s">
        <v>632</v>
      </c>
      <c r="B34" s="58"/>
      <c r="C34" s="58"/>
      <c r="D34" s="58"/>
      <c r="E34" s="58"/>
      <c r="F34" s="58"/>
      <c r="G34" s="59"/>
      <c r="H34" s="60"/>
    </row>
    <row r="35" spans="1:16" ht="15">
      <c r="J35" s="53"/>
      <c r="K35" s="53"/>
      <c r="L35" s="53"/>
      <c r="M35" s="53"/>
      <c r="N35" s="53"/>
      <c r="O35" s="53"/>
      <c r="P35" s="53"/>
    </row>
    <row r="36" spans="1:16">
      <c r="A36" s="88" t="s">
        <v>607</v>
      </c>
      <c r="B36" s="74"/>
      <c r="C36" s="74"/>
      <c r="D36" s="74"/>
      <c r="E36" s="74"/>
      <c r="F36" s="74"/>
      <c r="G36" s="74"/>
      <c r="H36" s="75">
        <f>'10-Nulsituatie vloeren'!E110</f>
        <v>0</v>
      </c>
    </row>
    <row r="37" spans="1:16">
      <c r="A37" s="74"/>
      <c r="B37" s="74"/>
      <c r="C37" s="74"/>
      <c r="D37" s="74"/>
      <c r="E37" s="74"/>
      <c r="F37" s="74"/>
      <c r="G37" s="74"/>
      <c r="H37" s="74"/>
    </row>
    <row r="38" spans="1:16">
      <c r="A38" s="98" t="s">
        <v>633</v>
      </c>
      <c r="H38" s="76">
        <f>SUM(H35:H37)</f>
        <v>0</v>
      </c>
    </row>
    <row r="39" spans="1:16">
      <c r="A39" s="71" t="s">
        <v>9</v>
      </c>
      <c r="G39" s="72">
        <v>0.21</v>
      </c>
      <c r="H39" s="73">
        <f>G39*H38</f>
        <v>0</v>
      </c>
    </row>
    <row r="40" spans="1:16">
      <c r="A40" s="71" t="s">
        <v>26</v>
      </c>
      <c r="H40" s="76">
        <f>H38+H39</f>
        <v>0</v>
      </c>
    </row>
    <row r="42" spans="1:16">
      <c r="A42" s="100" t="s">
        <v>635</v>
      </c>
      <c r="B42" s="67"/>
      <c r="C42" s="67"/>
      <c r="D42" s="67"/>
      <c r="E42" s="101"/>
      <c r="F42" s="101" t="s">
        <v>135</v>
      </c>
      <c r="G42" s="101"/>
      <c r="H42" s="102" t="e">
        <f>H30+H38</f>
        <v>#DIV/0!</v>
      </c>
    </row>
    <row r="43" spans="1:16">
      <c r="A43" s="71" t="s">
        <v>9</v>
      </c>
      <c r="G43" s="72">
        <v>0.21</v>
      </c>
      <c r="H43" s="73" t="e">
        <f>G43*H42</f>
        <v>#DIV/0!</v>
      </c>
      <c r="L43" s="76"/>
    </row>
    <row r="44" spans="1:16">
      <c r="A44" s="71" t="s">
        <v>26</v>
      </c>
      <c r="H44" s="76" t="e">
        <f>H42+H43</f>
        <v>#DIV/0!</v>
      </c>
      <c r="K44" s="76"/>
    </row>
    <row r="46" spans="1:16" ht="15">
      <c r="A46" s="77" t="s">
        <v>233</v>
      </c>
      <c r="B46" s="78"/>
      <c r="C46" s="78"/>
      <c r="D46" s="78"/>
      <c r="E46" s="79"/>
      <c r="F46" s="78"/>
      <c r="G46" s="78"/>
      <c r="H46" s="596">
        <v>1100000</v>
      </c>
      <c r="J46" s="483"/>
      <c r="K46" s="76"/>
      <c r="L46" s="76"/>
    </row>
    <row r="47" spans="1:16" ht="15">
      <c r="A47" s="77" t="s">
        <v>222</v>
      </c>
      <c r="B47" s="78"/>
      <c r="C47" s="78"/>
      <c r="D47" s="78"/>
      <c r="E47" s="79"/>
      <c r="F47" s="78"/>
      <c r="G47" s="78"/>
      <c r="H47" s="596">
        <v>990000</v>
      </c>
      <c r="J47" s="483"/>
      <c r="K47" s="76"/>
    </row>
    <row r="48" spans="1:16" ht="15">
      <c r="A48" s="625"/>
      <c r="B48" s="626"/>
      <c r="C48" s="626"/>
      <c r="D48" s="626"/>
      <c r="E48" s="627"/>
      <c r="F48" s="626"/>
      <c r="G48" s="626"/>
      <c r="H48" s="628"/>
      <c r="J48" s="483"/>
    </row>
    <row r="49" spans="1:8">
      <c r="A49" s="98" t="s">
        <v>224</v>
      </c>
      <c r="H49" s="441">
        <v>0</v>
      </c>
    </row>
    <row r="50" spans="1:8">
      <c r="A50" s="71"/>
      <c r="H50" s="76"/>
    </row>
    <row r="51" spans="1:8" ht="13.2" customHeight="1">
      <c r="A51" s="634" t="s">
        <v>223</v>
      </c>
      <c r="B51" s="635"/>
      <c r="C51" s="635"/>
      <c r="D51" s="635"/>
      <c r="E51" s="635"/>
      <c r="F51" s="635"/>
      <c r="G51" s="635"/>
      <c r="H51" s="636"/>
    </row>
    <row r="52" spans="1:8">
      <c r="A52" s="637"/>
      <c r="B52" s="638"/>
      <c r="C52" s="638"/>
      <c r="D52" s="638"/>
      <c r="E52" s="638"/>
      <c r="F52" s="638"/>
      <c r="G52" s="638"/>
      <c r="H52" s="639"/>
    </row>
    <row r="53" spans="1:8">
      <c r="A53" s="640"/>
      <c r="B53" s="641"/>
      <c r="C53" s="641"/>
      <c r="D53" s="641"/>
      <c r="E53" s="641"/>
      <c r="F53" s="641"/>
      <c r="G53" s="641"/>
      <c r="H53" s="642"/>
    </row>
    <row r="55" spans="1:8">
      <c r="A55" s="634" t="s">
        <v>226</v>
      </c>
      <c r="B55" s="635"/>
      <c r="C55" s="635"/>
      <c r="D55" s="635"/>
      <c r="E55" s="635"/>
      <c r="F55" s="635"/>
      <c r="G55" s="635"/>
      <c r="H55" s="636"/>
    </row>
    <row r="56" spans="1:8">
      <c r="A56" s="637"/>
      <c r="B56" s="638"/>
      <c r="C56" s="638"/>
      <c r="D56" s="638"/>
      <c r="E56" s="638"/>
      <c r="F56" s="638"/>
      <c r="G56" s="638"/>
      <c r="H56" s="639"/>
    </row>
    <row r="57" spans="1:8">
      <c r="A57" s="640"/>
      <c r="B57" s="641"/>
      <c r="C57" s="641"/>
      <c r="D57" s="641"/>
      <c r="E57" s="641"/>
      <c r="F57" s="641"/>
      <c r="G57" s="641"/>
      <c r="H57" s="642"/>
    </row>
  </sheetData>
  <mergeCells count="5">
    <mergeCell ref="B8:D8"/>
    <mergeCell ref="A51:H53"/>
    <mergeCell ref="A55:H57"/>
    <mergeCell ref="A12:H12"/>
    <mergeCell ref="A22:H22"/>
  </mergeCells>
  <conditionalFormatting sqref="H42">
    <cfRule type="cellIs" dxfId="0" priority="5" operator="between">
      <formula>$H$46</formula>
      <formula>$H$47</formula>
    </cfRule>
    <cfRule type="cellIs" dxfId="1" priority="4" operator="greaterThan">
      <formula>$H$46</formula>
    </cfRule>
    <cfRule type="cellIs" dxfId="2" priority="3" operator="lessThan">
      <formula>$H$47</formula>
    </cfRule>
    <cfRule type="cellIs" dxfId="3" priority="2" operator="equal">
      <formula>$H$46</formula>
    </cfRule>
    <cfRule type="cellIs" dxfId="4" priority="1" operator="equal">
      <formula>$H$47</formula>
    </cfRule>
  </conditionalFormatting>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Z43"/>
  <sheetViews>
    <sheetView showGridLines="0" showZeros="0" zoomScale="80" zoomScaleNormal="80" workbookViewId="0">
      <pane ySplit="10" topLeftCell="A11" activePane="bottomLeft" state="frozen"/>
      <selection activeCell="B3" sqref="B3:D9"/>
      <selection pane="bottomLeft" activeCell="A11" sqref="A11"/>
    </sheetView>
  </sheetViews>
  <sheetFormatPr defaultColWidth="8.6640625" defaultRowHeight="14.1" customHeight="1"/>
  <cols>
    <col min="1" max="1" width="38.6640625" style="103" bestFit="1" customWidth="1"/>
    <col min="2" max="2" width="24" style="103" bestFit="1" customWidth="1"/>
    <col min="3" max="3" width="12.109375" style="103" bestFit="1" customWidth="1"/>
    <col min="4" max="4" width="13.44140625" style="112" bestFit="1" customWidth="1"/>
    <col min="5" max="5" width="14.33203125" style="112" bestFit="1" customWidth="1"/>
    <col min="6" max="6" width="13.44140625" style="112" bestFit="1" customWidth="1"/>
    <col min="7" max="7" width="13.5546875" style="112" bestFit="1" customWidth="1"/>
    <col min="8" max="8" width="15.33203125" style="112" bestFit="1" customWidth="1"/>
    <col min="9" max="9" width="14.88671875" style="112" bestFit="1" customWidth="1"/>
    <col min="10" max="10" width="15.44140625" style="112" bestFit="1" customWidth="1"/>
    <col min="11" max="11" width="13.6640625" style="112" customWidth="1"/>
    <col min="12" max="12" width="17.6640625" style="112" customWidth="1"/>
    <col min="13" max="14" width="16.6640625" style="112" customWidth="1"/>
    <col min="15" max="15" width="16.6640625" style="112" bestFit="1" customWidth="1"/>
    <col min="16" max="16" width="15.44140625" style="112" bestFit="1" customWidth="1"/>
    <col min="17" max="25" width="13.33203125" style="112" customWidth="1"/>
    <col min="26" max="16384" width="8.6640625" style="103"/>
  </cols>
  <sheetData>
    <row r="1" spans="1:25" ht="14.1" customHeight="1">
      <c r="A1" s="434" t="s">
        <v>25</v>
      </c>
    </row>
    <row r="2" spans="1:25" ht="14.1" customHeight="1">
      <c r="F2" s="103"/>
    </row>
    <row r="3" spans="1:25" ht="14.1" customHeight="1">
      <c r="A3" s="114" t="str">
        <f>'1-Contractblad totaal'!A3</f>
        <v>Naam opdrachtgever</v>
      </c>
      <c r="B3" s="141" t="str">
        <f>'1-Contractblad totaal'!B3</f>
        <v>Juridisch Loket</v>
      </c>
      <c r="C3" s="141"/>
      <c r="D3" s="104"/>
      <c r="E3" s="104"/>
      <c r="F3" s="104"/>
      <c r="G3" s="104"/>
      <c r="H3" s="104"/>
      <c r="I3" s="104"/>
      <c r="J3" s="104"/>
      <c r="K3" s="104"/>
      <c r="L3" s="104"/>
      <c r="M3" s="104"/>
      <c r="N3" s="104"/>
      <c r="O3" s="104"/>
      <c r="P3" s="104"/>
      <c r="Q3" s="104"/>
      <c r="R3" s="104"/>
      <c r="S3" s="104"/>
      <c r="T3" s="104"/>
      <c r="U3" s="104"/>
      <c r="V3" s="104"/>
      <c r="W3" s="104"/>
      <c r="X3" s="104"/>
      <c r="Y3" s="104"/>
    </row>
    <row r="4" spans="1:25" ht="14.1" customHeight="1">
      <c r="A4" s="114" t="str">
        <f>'1-Contractblad totaal'!A4</f>
        <v>Calculatie onderdeel</v>
      </c>
      <c r="B4" s="141" t="str">
        <f ca="1">MID(CELL("bestandsnaam",$B$9),SEARCH("]",CELL("bestandsnaam",$B$9),1)+1,256)</f>
        <v>2-Kosten per locatie</v>
      </c>
      <c r="C4" s="141"/>
      <c r="D4" s="606"/>
      <c r="E4" s="574"/>
      <c r="F4" s="574"/>
      <c r="G4" s="574"/>
      <c r="H4" s="574"/>
      <c r="I4" s="574"/>
      <c r="J4" s="574"/>
      <c r="K4" s="574"/>
      <c r="L4" s="574"/>
      <c r="M4" s="574"/>
      <c r="N4" s="574"/>
      <c r="O4" s="574"/>
      <c r="P4" s="104"/>
      <c r="Q4" s="104"/>
      <c r="R4" s="104"/>
      <c r="S4" s="104"/>
      <c r="T4" s="104"/>
      <c r="U4" s="104"/>
      <c r="V4" s="104"/>
      <c r="W4" s="104"/>
      <c r="X4" s="104"/>
      <c r="Y4" s="104"/>
    </row>
    <row r="5" spans="1:25" ht="14.1" customHeight="1">
      <c r="A5" s="114" t="str">
        <f>'1-Contractblad totaal'!A5</f>
        <v>Gebouw/plaats</v>
      </c>
      <c r="B5" s="141" t="str">
        <f>'1-Contractblad totaal'!B5</f>
        <v>Diverse locaties</v>
      </c>
      <c r="C5" s="141"/>
      <c r="D5" s="607"/>
      <c r="E5" s="574"/>
      <c r="F5" s="574"/>
      <c r="G5" s="574"/>
      <c r="H5" s="574"/>
      <c r="I5" s="575"/>
      <c r="J5" s="576"/>
      <c r="K5" s="576"/>
      <c r="L5" s="574"/>
      <c r="M5" s="574"/>
      <c r="N5" s="574"/>
      <c r="O5" s="574"/>
      <c r="P5" s="104"/>
      <c r="Q5" s="104"/>
      <c r="R5" s="104"/>
      <c r="S5" s="104"/>
      <c r="T5" s="104"/>
      <c r="U5" s="104"/>
      <c r="V5" s="104"/>
      <c r="W5" s="104"/>
      <c r="X5" s="104"/>
      <c r="Y5" s="104"/>
    </row>
    <row r="6" spans="1:25" ht="14.1" customHeight="1">
      <c r="A6" s="114" t="str">
        <f>'1-Contractblad totaal'!A6</f>
        <v>Referentie nummer</v>
      </c>
      <c r="B6" s="141" t="str">
        <f>'1-Contractblad totaal'!B6</f>
        <v>EU-JL-ID.MvD-2020</v>
      </c>
      <c r="C6" s="141"/>
      <c r="D6" s="104"/>
      <c r="E6" s="574"/>
      <c r="F6" s="574"/>
      <c r="G6" s="574"/>
      <c r="H6" s="574"/>
      <c r="I6" s="574"/>
      <c r="J6" s="574"/>
      <c r="K6" s="574"/>
      <c r="L6" s="574"/>
      <c r="M6" s="574"/>
      <c r="N6" s="574"/>
      <c r="O6" s="574"/>
      <c r="P6" s="104"/>
      <c r="Q6" s="104"/>
      <c r="R6" s="104"/>
      <c r="S6" s="104"/>
      <c r="T6" s="104"/>
      <c r="U6" s="104"/>
      <c r="V6" s="104"/>
      <c r="W6" s="104"/>
      <c r="X6" s="104"/>
      <c r="Y6" s="104"/>
    </row>
    <row r="7" spans="1:25" ht="14.1" customHeight="1">
      <c r="A7" s="114" t="str">
        <f>'1-Contractblad totaal'!A8</f>
        <v>Naam dienstverlener</v>
      </c>
      <c r="B7" s="114">
        <f>'1-Contractblad totaal'!B8</f>
        <v>0</v>
      </c>
      <c r="C7" s="114"/>
      <c r="D7" s="104"/>
      <c r="E7" s="577"/>
      <c r="F7" s="574"/>
      <c r="G7" s="574"/>
      <c r="H7" s="574"/>
      <c r="I7" s="574"/>
      <c r="J7" s="574"/>
      <c r="K7" s="574"/>
      <c r="L7" s="574"/>
      <c r="M7" s="574"/>
      <c r="N7" s="574"/>
      <c r="O7" s="574"/>
      <c r="P7" s="104"/>
      <c r="Q7" s="104"/>
      <c r="R7" s="104"/>
      <c r="S7" s="104"/>
      <c r="T7" s="104"/>
      <c r="U7" s="104"/>
      <c r="V7" s="104"/>
      <c r="W7" s="104"/>
      <c r="X7" s="104"/>
      <c r="Y7" s="104"/>
    </row>
    <row r="8" spans="1:25" ht="14.1" customHeight="1">
      <c r="A8" s="114" t="str">
        <f>'1-Contractblad totaal'!A9</f>
        <v>Prijspeil</v>
      </c>
      <c r="B8" s="115">
        <f>'1-Contractblad totaal'!B9</f>
        <v>44013</v>
      </c>
      <c r="C8" s="115"/>
      <c r="S8" s="104"/>
      <c r="T8" s="104"/>
      <c r="U8" s="104"/>
      <c r="V8" s="104"/>
      <c r="W8" s="104"/>
      <c r="X8" s="104"/>
      <c r="Y8" s="104"/>
    </row>
    <row r="9" spans="1:25" ht="29.4" customHeight="1">
      <c r="A9" s="106"/>
      <c r="B9" s="106"/>
      <c r="C9" s="653" t="s">
        <v>591</v>
      </c>
      <c r="D9" s="654"/>
      <c r="E9" s="654"/>
      <c r="F9" s="654"/>
      <c r="G9" s="655"/>
      <c r="H9" s="650" t="s">
        <v>590</v>
      </c>
      <c r="I9" s="651"/>
      <c r="J9" s="651"/>
      <c r="K9" s="651"/>
      <c r="L9" s="652"/>
      <c r="M9" s="558" t="s">
        <v>589</v>
      </c>
      <c r="N9" s="558" t="s">
        <v>621</v>
      </c>
      <c r="O9" s="649" t="s">
        <v>588</v>
      </c>
      <c r="P9" s="649"/>
      <c r="Q9" s="103"/>
      <c r="R9" s="103"/>
      <c r="S9" s="103"/>
      <c r="T9" s="103"/>
      <c r="U9" s="103"/>
      <c r="V9" s="103"/>
      <c r="W9" s="103"/>
      <c r="X9" s="103"/>
      <c r="Y9" s="103"/>
    </row>
    <row r="10" spans="1:25" ht="64.5" customHeight="1">
      <c r="A10" s="495" t="s">
        <v>108</v>
      </c>
      <c r="B10" s="496" t="s">
        <v>183</v>
      </c>
      <c r="C10" s="542" t="s">
        <v>582</v>
      </c>
      <c r="D10" s="497" t="s">
        <v>585</v>
      </c>
      <c r="E10" s="497" t="s">
        <v>225</v>
      </c>
      <c r="F10" s="497" t="s">
        <v>210</v>
      </c>
      <c r="G10" s="497" t="s">
        <v>184</v>
      </c>
      <c r="H10" s="113" t="s">
        <v>211</v>
      </c>
      <c r="I10" s="113" t="s">
        <v>214</v>
      </c>
      <c r="J10" s="113" t="s">
        <v>212</v>
      </c>
      <c r="K10" s="113" t="s">
        <v>213</v>
      </c>
      <c r="L10" s="113" t="s">
        <v>587</v>
      </c>
      <c r="M10" s="113" t="s">
        <v>185</v>
      </c>
      <c r="N10" s="163" t="s">
        <v>622</v>
      </c>
      <c r="O10" s="113" t="s">
        <v>186</v>
      </c>
      <c r="P10" s="113" t="s">
        <v>187</v>
      </c>
      <c r="Q10" s="103"/>
      <c r="R10" s="103"/>
      <c r="S10" s="103"/>
      <c r="T10" s="103"/>
      <c r="U10" s="103"/>
      <c r="V10" s="103"/>
      <c r="W10" s="103"/>
      <c r="X10" s="103"/>
      <c r="Y10" s="103"/>
    </row>
    <row r="11" spans="1:25" s="108" customFormat="1" ht="15" customHeight="1">
      <c r="A11" s="107" t="s">
        <v>486</v>
      </c>
      <c r="B11" s="561">
        <f>SUMIF('4-Basis ruimtestaat'!$C$10:$C$531,'2-Kosten per locatie'!A11,'4-Basis ruimtestaat'!$I$10:$I$531)</f>
        <v>331.92999999999989</v>
      </c>
      <c r="C11" s="624">
        <v>255</v>
      </c>
      <c r="D11" s="462" t="e">
        <f>SUMIF('4-Basis ruimtestaat'!$C$10:$C$531,'2-Kosten per locatie'!A11,'4-Basis ruimtestaat'!$R$10:$R$531)</f>
        <v>#DIV/0!</v>
      </c>
      <c r="E11" s="494"/>
      <c r="F11" s="498"/>
      <c r="G11" s="462" t="e">
        <f t="shared" ref="G11:G41" si="0">F11*D11</f>
        <v>#DIV/0!</v>
      </c>
      <c r="H11" s="554" t="e">
        <f>D11*'1-Contractblad totaal'!$G$14</f>
        <v>#DIV/0!</v>
      </c>
      <c r="I11" s="554" t="e">
        <f>E11*'1-Contractblad totaal'!$G$14</f>
        <v>#DIV/0!</v>
      </c>
      <c r="J11" s="554" t="e">
        <f>H11+I11</f>
        <v>#DIV/0!</v>
      </c>
      <c r="K11" s="554" t="e">
        <f>G11*'1-Contractblad totaal'!$G$16</f>
        <v>#DIV/0!</v>
      </c>
      <c r="L11" s="554" t="e">
        <f>J11+K11</f>
        <v>#DIV/0!</v>
      </c>
      <c r="M11" s="555">
        <f>SUMIF('9-Glasbewassing'!A$13:$A$80,A11,'9-Glasbewassing'!$I$13:$I$80)</f>
        <v>0</v>
      </c>
      <c r="N11" s="622">
        <f ca="1">SUMIF('10-Nulsituatie vloeren'!$A:$E,A11,'10-Nulsituatie vloeren'!$E:$E)</f>
        <v>0</v>
      </c>
      <c r="O11" s="555" t="e">
        <f ca="1">H11+I11+K11+M11+N11</f>
        <v>#DIV/0!</v>
      </c>
      <c r="P11" s="555" t="e">
        <f ca="1">O11/12</f>
        <v>#DIV/0!</v>
      </c>
      <c r="Q11" s="562"/>
    </row>
    <row r="12" spans="1:25" s="108" customFormat="1" ht="15" customHeight="1">
      <c r="A12" s="543" t="s">
        <v>469</v>
      </c>
      <c r="B12" s="561">
        <f>SUMIF('4-Basis ruimtestaat'!$C$10:$C$531,'2-Kosten per locatie'!A12,'4-Basis ruimtestaat'!$I$10:$I$531)</f>
        <v>181.51999999999995</v>
      </c>
      <c r="C12" s="624">
        <v>255</v>
      </c>
      <c r="D12" s="462" t="e">
        <f>SUMIF('4-Basis ruimtestaat'!$C$10:$C$531,'2-Kosten per locatie'!A12,'4-Basis ruimtestaat'!$R$10:$R$531)</f>
        <v>#DIV/0!</v>
      </c>
      <c r="E12" s="494"/>
      <c r="F12" s="498"/>
      <c r="G12" s="462" t="e">
        <f t="shared" si="0"/>
        <v>#DIV/0!</v>
      </c>
      <c r="H12" s="554" t="e">
        <f>D12*'1-Contractblad totaal'!$G$14</f>
        <v>#DIV/0!</v>
      </c>
      <c r="I12" s="554" t="e">
        <f>E12*'1-Contractblad totaal'!$G$14</f>
        <v>#DIV/0!</v>
      </c>
      <c r="J12" s="554" t="e">
        <f t="shared" ref="J12:J41" si="1">H12+I12</f>
        <v>#DIV/0!</v>
      </c>
      <c r="K12" s="554" t="e">
        <f>G12*'1-Contractblad totaal'!$G$16</f>
        <v>#DIV/0!</v>
      </c>
      <c r="L12" s="554" t="e">
        <f t="shared" ref="L12:L41" si="2">J12+K12</f>
        <v>#DIV/0!</v>
      </c>
      <c r="M12" s="555">
        <f>SUMIF('9-Glasbewassing'!A$13:$A$80,A12,'9-Glasbewassing'!$I$13:$I$80)</f>
        <v>0</v>
      </c>
      <c r="N12" s="622">
        <f ca="1">SUMIF('10-Nulsituatie vloeren'!$A:$E,A12,'10-Nulsituatie vloeren'!$E:$E)</f>
        <v>0</v>
      </c>
      <c r="O12" s="555" t="e">
        <f t="shared" ref="O12:O41" ca="1" si="3">H12+I12+K12+M12+N12</f>
        <v>#DIV/0!</v>
      </c>
      <c r="P12" s="555" t="e">
        <f t="shared" ref="P12:P41" ca="1" si="4">O12/12</f>
        <v>#DIV/0!</v>
      </c>
    </row>
    <row r="13" spans="1:25" s="108" customFormat="1" ht="15" customHeight="1">
      <c r="A13" s="543" t="s">
        <v>418</v>
      </c>
      <c r="B13" s="561">
        <f>SUMIF('4-Basis ruimtestaat'!$C$10:$C$531,'2-Kosten per locatie'!A13,'4-Basis ruimtestaat'!$I$10:$I$531)</f>
        <v>229.45000000000002</v>
      </c>
      <c r="C13" s="624">
        <v>104</v>
      </c>
      <c r="D13" s="462" t="e">
        <f>SUMIF('4-Basis ruimtestaat'!$C$10:$C$531,'2-Kosten per locatie'!A13,'4-Basis ruimtestaat'!$R$10:$R$531)</f>
        <v>#DIV/0!</v>
      </c>
      <c r="E13" s="494"/>
      <c r="F13" s="498"/>
      <c r="G13" s="462" t="e">
        <f t="shared" si="0"/>
        <v>#DIV/0!</v>
      </c>
      <c r="H13" s="554" t="e">
        <f>D13*'1-Contractblad totaal'!$G$14</f>
        <v>#DIV/0!</v>
      </c>
      <c r="I13" s="554" t="e">
        <f>E13*'1-Contractblad totaal'!$G$14</f>
        <v>#DIV/0!</v>
      </c>
      <c r="J13" s="554" t="e">
        <f t="shared" si="1"/>
        <v>#DIV/0!</v>
      </c>
      <c r="K13" s="554" t="e">
        <f>G13*'1-Contractblad totaal'!$G$16</f>
        <v>#DIV/0!</v>
      </c>
      <c r="L13" s="554" t="e">
        <f t="shared" si="2"/>
        <v>#DIV/0!</v>
      </c>
      <c r="M13" s="555">
        <f>SUMIF('9-Glasbewassing'!A$13:$A$80,A13,'9-Glasbewassing'!$I$13:$I$80)</f>
        <v>0</v>
      </c>
      <c r="N13" s="622">
        <f ca="1">SUMIF('10-Nulsituatie vloeren'!$A:$E,A13,'10-Nulsituatie vloeren'!$E:$E)</f>
        <v>0</v>
      </c>
      <c r="O13" s="555" t="e">
        <f t="shared" ca="1" si="3"/>
        <v>#DIV/0!</v>
      </c>
      <c r="P13" s="555" t="e">
        <f t="shared" ca="1" si="4"/>
        <v>#DIV/0!</v>
      </c>
      <c r="S13" s="559"/>
      <c r="T13" s="559"/>
    </row>
    <row r="14" spans="1:25" s="108" customFormat="1" ht="15" customHeight="1">
      <c r="A14" s="543" t="s">
        <v>527</v>
      </c>
      <c r="B14" s="561">
        <f>SUMIF('4-Basis ruimtestaat'!$C$10:$C$531,'2-Kosten per locatie'!A14,'4-Basis ruimtestaat'!$I$10:$I$531)</f>
        <v>363.52</v>
      </c>
      <c r="C14" s="624">
        <v>255</v>
      </c>
      <c r="D14" s="462" t="e">
        <f>SUMIF('4-Basis ruimtestaat'!$C$10:$C$531,'2-Kosten per locatie'!A14,'4-Basis ruimtestaat'!$R$10:$R$531)</f>
        <v>#DIV/0!</v>
      </c>
      <c r="E14" s="494"/>
      <c r="F14" s="498"/>
      <c r="G14" s="462" t="e">
        <f t="shared" si="0"/>
        <v>#DIV/0!</v>
      </c>
      <c r="H14" s="554" t="e">
        <f>D14*'1-Contractblad totaal'!$G$14</f>
        <v>#DIV/0!</v>
      </c>
      <c r="I14" s="554" t="e">
        <f>E14*'1-Contractblad totaal'!$G$14</f>
        <v>#DIV/0!</v>
      </c>
      <c r="J14" s="554" t="e">
        <f t="shared" si="1"/>
        <v>#DIV/0!</v>
      </c>
      <c r="K14" s="554" t="e">
        <f>G14*'1-Contractblad totaal'!$G$16</f>
        <v>#DIV/0!</v>
      </c>
      <c r="L14" s="554" t="e">
        <f t="shared" si="2"/>
        <v>#DIV/0!</v>
      </c>
      <c r="M14" s="555">
        <f>SUMIF('9-Glasbewassing'!A$13:$A$80,A14,'9-Glasbewassing'!$I$13:$I$80)</f>
        <v>0</v>
      </c>
      <c r="N14" s="622">
        <f ca="1">SUMIF('10-Nulsituatie vloeren'!$A:$E,A14,'10-Nulsituatie vloeren'!$E:$E)</f>
        <v>0</v>
      </c>
      <c r="O14" s="555" t="e">
        <f t="shared" ca="1" si="3"/>
        <v>#DIV/0!</v>
      </c>
      <c r="P14" s="555" t="e">
        <f t="shared" ca="1" si="4"/>
        <v>#DIV/0!</v>
      </c>
      <c r="S14" s="559"/>
      <c r="T14" s="559"/>
    </row>
    <row r="15" spans="1:25" s="108" customFormat="1" ht="15" customHeight="1">
      <c r="A15" s="543" t="s">
        <v>455</v>
      </c>
      <c r="B15" s="561">
        <f>SUMIF('4-Basis ruimtestaat'!$C$10:$C$531,'2-Kosten per locatie'!A15,'4-Basis ruimtestaat'!$I$10:$I$531)</f>
        <v>269.55</v>
      </c>
      <c r="C15" s="624">
        <v>255</v>
      </c>
      <c r="D15" s="462" t="e">
        <f>SUMIF('4-Basis ruimtestaat'!$C$10:$C$531,'2-Kosten per locatie'!A15,'4-Basis ruimtestaat'!$R$10:$R$531)</f>
        <v>#DIV/0!</v>
      </c>
      <c r="E15" s="494"/>
      <c r="F15" s="498"/>
      <c r="G15" s="462" t="e">
        <f t="shared" si="0"/>
        <v>#DIV/0!</v>
      </c>
      <c r="H15" s="554" t="e">
        <f>D15*'1-Contractblad totaal'!$G$14</f>
        <v>#DIV/0!</v>
      </c>
      <c r="I15" s="554" t="e">
        <f>E15*'1-Contractblad totaal'!$G$14</f>
        <v>#DIV/0!</v>
      </c>
      <c r="J15" s="554" t="e">
        <f t="shared" si="1"/>
        <v>#DIV/0!</v>
      </c>
      <c r="K15" s="554" t="e">
        <f>G15*'1-Contractblad totaal'!$G$16</f>
        <v>#DIV/0!</v>
      </c>
      <c r="L15" s="554" t="e">
        <f t="shared" si="2"/>
        <v>#DIV/0!</v>
      </c>
      <c r="M15" s="555">
        <f>SUMIF('9-Glasbewassing'!A$13:$A$80,A15,'9-Glasbewassing'!$I$13:$I$80)</f>
        <v>0</v>
      </c>
      <c r="N15" s="622">
        <f ca="1">SUMIF('10-Nulsituatie vloeren'!$A:$E,A15,'10-Nulsituatie vloeren'!$E:$E)</f>
        <v>0</v>
      </c>
      <c r="O15" s="555" t="e">
        <f t="shared" ca="1" si="3"/>
        <v>#DIV/0!</v>
      </c>
      <c r="P15" s="555" t="e">
        <f t="shared" ca="1" si="4"/>
        <v>#DIV/0!</v>
      </c>
    </row>
    <row r="16" spans="1:25" s="108" customFormat="1" ht="15" customHeight="1">
      <c r="A16" s="165" t="s">
        <v>620</v>
      </c>
      <c r="B16" s="561">
        <f>SUMIF('4-Basis ruimtestaat'!$C$10:$C$531,'2-Kosten per locatie'!A16,'4-Basis ruimtestaat'!$I$10:$I$531)</f>
        <v>358</v>
      </c>
      <c r="C16" s="624">
        <v>255</v>
      </c>
      <c r="D16" s="462" t="e">
        <f>SUMIF('4-Basis ruimtestaat'!$C$10:$C$531,'2-Kosten per locatie'!A16,'4-Basis ruimtestaat'!$R$10:$R$531)</f>
        <v>#DIV/0!</v>
      </c>
      <c r="E16" s="494"/>
      <c r="F16" s="498"/>
      <c r="G16" s="462" t="e">
        <f t="shared" ref="G16" si="5">F16*D16</f>
        <v>#DIV/0!</v>
      </c>
      <c r="H16" s="554" t="e">
        <f>D16*'1-Contractblad totaal'!$G$14</f>
        <v>#DIV/0!</v>
      </c>
      <c r="I16" s="554" t="e">
        <f>E16*'1-Contractblad totaal'!$G$14</f>
        <v>#DIV/0!</v>
      </c>
      <c r="J16" s="554" t="e">
        <f t="shared" ref="J16" si="6">H16+I16</f>
        <v>#DIV/0!</v>
      </c>
      <c r="K16" s="554" t="e">
        <f>G16*'1-Contractblad totaal'!$G$16</f>
        <v>#DIV/0!</v>
      </c>
      <c r="L16" s="554" t="e">
        <f t="shared" ref="L16" si="7">J16+K16</f>
        <v>#DIV/0!</v>
      </c>
      <c r="M16" s="555"/>
      <c r="N16" s="622"/>
      <c r="O16" s="555" t="e">
        <f t="shared" si="3"/>
        <v>#DIV/0!</v>
      </c>
      <c r="P16" s="555" t="e">
        <f t="shared" ref="P16" si="8">O16/12</f>
        <v>#DIV/0!</v>
      </c>
    </row>
    <row r="17" spans="1:16" s="108" customFormat="1" ht="15" customHeight="1">
      <c r="A17" s="543" t="s">
        <v>355</v>
      </c>
      <c r="B17" s="561">
        <f>SUMIF('4-Basis ruimtestaat'!$C$10:$C$531,'2-Kosten per locatie'!A17,'4-Basis ruimtestaat'!$I$10:$I$531)</f>
        <v>299.92</v>
      </c>
      <c r="C17" s="624">
        <v>255</v>
      </c>
      <c r="D17" s="462" t="e">
        <f>SUMIF('4-Basis ruimtestaat'!$C$10:$C$531,'2-Kosten per locatie'!A17,'4-Basis ruimtestaat'!$R$10:$R$531)</f>
        <v>#DIV/0!</v>
      </c>
      <c r="E17" s="494"/>
      <c r="F17" s="498"/>
      <c r="G17" s="462" t="e">
        <f t="shared" si="0"/>
        <v>#DIV/0!</v>
      </c>
      <c r="H17" s="554" t="e">
        <f>D17*'1-Contractblad totaal'!$G$14</f>
        <v>#DIV/0!</v>
      </c>
      <c r="I17" s="554" t="e">
        <f>E17*'1-Contractblad totaal'!$G$14</f>
        <v>#DIV/0!</v>
      </c>
      <c r="J17" s="554" t="e">
        <f t="shared" si="1"/>
        <v>#DIV/0!</v>
      </c>
      <c r="K17" s="554" t="e">
        <f>G17*'1-Contractblad totaal'!$G$16</f>
        <v>#DIV/0!</v>
      </c>
      <c r="L17" s="554" t="e">
        <f t="shared" si="2"/>
        <v>#DIV/0!</v>
      </c>
      <c r="M17" s="555">
        <f>SUMIF('9-Glasbewassing'!A$13:$A$80,A17,'9-Glasbewassing'!$I$13:$I$80)</f>
        <v>0</v>
      </c>
      <c r="N17" s="622">
        <f ca="1">SUMIF('10-Nulsituatie vloeren'!$A:$E,A17,'10-Nulsituatie vloeren'!$E:$E)</f>
        <v>0</v>
      </c>
      <c r="O17" s="555" t="e">
        <f t="shared" ca="1" si="3"/>
        <v>#DIV/0!</v>
      </c>
      <c r="P17" s="555" t="e">
        <f t="shared" ca="1" si="4"/>
        <v>#DIV/0!</v>
      </c>
    </row>
    <row r="18" spans="1:16" s="108" customFormat="1" ht="15" customHeight="1">
      <c r="A18" s="543" t="s">
        <v>464</v>
      </c>
      <c r="B18" s="561">
        <f>SUMIF('4-Basis ruimtestaat'!$C$10:$C$531,'2-Kosten per locatie'!A18,'4-Basis ruimtestaat'!$I$10:$I$531)</f>
        <v>278.35000000000002</v>
      </c>
      <c r="C18" s="624">
        <v>255</v>
      </c>
      <c r="D18" s="462" t="e">
        <f>SUMIF('4-Basis ruimtestaat'!$C$10:$C$531,'2-Kosten per locatie'!A18,'4-Basis ruimtestaat'!$R$10:$R$531)</f>
        <v>#DIV/0!</v>
      </c>
      <c r="E18" s="494"/>
      <c r="F18" s="498"/>
      <c r="G18" s="462" t="e">
        <f t="shared" si="0"/>
        <v>#DIV/0!</v>
      </c>
      <c r="H18" s="554" t="e">
        <f>D18*'1-Contractblad totaal'!$G$14</f>
        <v>#DIV/0!</v>
      </c>
      <c r="I18" s="554" t="e">
        <f>E18*'1-Contractblad totaal'!$G$14</f>
        <v>#DIV/0!</v>
      </c>
      <c r="J18" s="554" t="e">
        <f t="shared" si="1"/>
        <v>#DIV/0!</v>
      </c>
      <c r="K18" s="554" t="e">
        <f>G18*'1-Contractblad totaal'!$G$16</f>
        <v>#DIV/0!</v>
      </c>
      <c r="L18" s="554" t="e">
        <f t="shared" si="2"/>
        <v>#DIV/0!</v>
      </c>
      <c r="M18" s="555">
        <f>SUMIF('9-Glasbewassing'!A$13:$A$80,A18,'9-Glasbewassing'!$I$13:$I$80)</f>
        <v>0</v>
      </c>
      <c r="N18" s="622">
        <f ca="1">SUMIF('10-Nulsituatie vloeren'!$A:$E,A18,'10-Nulsituatie vloeren'!$E:$E)</f>
        <v>0</v>
      </c>
      <c r="O18" s="555" t="e">
        <f t="shared" ca="1" si="3"/>
        <v>#DIV/0!</v>
      </c>
      <c r="P18" s="555" t="e">
        <f t="shared" ca="1" si="4"/>
        <v>#DIV/0!</v>
      </c>
    </row>
    <row r="19" spans="1:16" s="108" customFormat="1" ht="15" customHeight="1">
      <c r="A19" s="543" t="s">
        <v>573</v>
      </c>
      <c r="B19" s="561">
        <f>SUMIF('4-Basis ruimtestaat'!$C$10:$C$531,'2-Kosten per locatie'!A19,'4-Basis ruimtestaat'!$I$10:$I$531)</f>
        <v>279.55000000000007</v>
      </c>
      <c r="C19" s="624">
        <v>205</v>
      </c>
      <c r="D19" s="462" t="e">
        <f>SUMIF('4-Basis ruimtestaat'!$C$10:$C$531,'2-Kosten per locatie'!A19,'4-Basis ruimtestaat'!$R$10:$R$531)</f>
        <v>#DIV/0!</v>
      </c>
      <c r="E19" s="494"/>
      <c r="F19" s="498"/>
      <c r="G19" s="462" t="e">
        <f t="shared" si="0"/>
        <v>#DIV/0!</v>
      </c>
      <c r="H19" s="554" t="e">
        <f>D19*'1-Contractblad totaal'!$G$14</f>
        <v>#DIV/0!</v>
      </c>
      <c r="I19" s="554" t="e">
        <f>E19*'1-Contractblad totaal'!$G$14</f>
        <v>#DIV/0!</v>
      </c>
      <c r="J19" s="554" t="e">
        <f t="shared" si="1"/>
        <v>#DIV/0!</v>
      </c>
      <c r="K19" s="554" t="e">
        <f>G19*'1-Contractblad totaal'!$G$16</f>
        <v>#DIV/0!</v>
      </c>
      <c r="L19" s="554" t="e">
        <f t="shared" si="2"/>
        <v>#DIV/0!</v>
      </c>
      <c r="M19" s="555">
        <f>SUMIF('9-Glasbewassing'!A$13:$A$80,A19,'9-Glasbewassing'!$I$13:$I$80)</f>
        <v>0</v>
      </c>
      <c r="N19" s="622">
        <f ca="1">SUMIF('10-Nulsituatie vloeren'!$A:$E,A19,'10-Nulsituatie vloeren'!$E:$E)</f>
        <v>0</v>
      </c>
      <c r="O19" s="555" t="e">
        <f t="shared" ca="1" si="3"/>
        <v>#DIV/0!</v>
      </c>
      <c r="P19" s="555" t="e">
        <f t="shared" ca="1" si="4"/>
        <v>#DIV/0!</v>
      </c>
    </row>
    <row r="20" spans="1:16" s="108" customFormat="1" ht="15" customHeight="1">
      <c r="A20" s="543" t="s">
        <v>497</v>
      </c>
      <c r="B20" s="561">
        <f>SUMIF('4-Basis ruimtestaat'!$C$10:$C$531,'2-Kosten per locatie'!A20,'4-Basis ruimtestaat'!$I$10:$I$531)</f>
        <v>237.11</v>
      </c>
      <c r="C20" s="624">
        <v>205</v>
      </c>
      <c r="D20" s="462" t="e">
        <f>SUMIF('4-Basis ruimtestaat'!$C$10:$C$531,'2-Kosten per locatie'!A20,'4-Basis ruimtestaat'!$R$10:$R$531)</f>
        <v>#DIV/0!</v>
      </c>
      <c r="E20" s="494"/>
      <c r="F20" s="498"/>
      <c r="G20" s="462" t="e">
        <f t="shared" si="0"/>
        <v>#DIV/0!</v>
      </c>
      <c r="H20" s="554" t="e">
        <f>D20*'1-Contractblad totaal'!$G$14</f>
        <v>#DIV/0!</v>
      </c>
      <c r="I20" s="554" t="e">
        <f>E20*'1-Contractblad totaal'!$G$14</f>
        <v>#DIV/0!</v>
      </c>
      <c r="J20" s="554" t="e">
        <f t="shared" si="1"/>
        <v>#DIV/0!</v>
      </c>
      <c r="K20" s="554" t="e">
        <f>G20*'1-Contractblad totaal'!$G$16</f>
        <v>#DIV/0!</v>
      </c>
      <c r="L20" s="554" t="e">
        <f t="shared" si="2"/>
        <v>#DIV/0!</v>
      </c>
      <c r="M20" s="555">
        <f>SUMIF('9-Glasbewassing'!A$13:$A$80,A20,'9-Glasbewassing'!$I$13:$I$80)</f>
        <v>0</v>
      </c>
      <c r="N20" s="622">
        <f ca="1">SUMIF('10-Nulsituatie vloeren'!$A:$E,A20,'10-Nulsituatie vloeren'!$E:$E)</f>
        <v>0</v>
      </c>
      <c r="O20" s="555" t="e">
        <f t="shared" ca="1" si="3"/>
        <v>#DIV/0!</v>
      </c>
      <c r="P20" s="555" t="e">
        <f t="shared" ca="1" si="4"/>
        <v>#DIV/0!</v>
      </c>
    </row>
    <row r="21" spans="1:16" s="108" customFormat="1" ht="15" customHeight="1">
      <c r="A21" s="543" t="s">
        <v>501</v>
      </c>
      <c r="B21" s="561">
        <f>SUMIF('4-Basis ruimtestaat'!$C$10:$C$531,'2-Kosten per locatie'!A21,'4-Basis ruimtestaat'!$I$10:$I$531)</f>
        <v>230.00000000000003</v>
      </c>
      <c r="C21" s="624">
        <v>255</v>
      </c>
      <c r="D21" s="462" t="e">
        <f>SUMIF('4-Basis ruimtestaat'!$C$10:$C$531,'2-Kosten per locatie'!A21,'4-Basis ruimtestaat'!$R$10:$R$531)</f>
        <v>#DIV/0!</v>
      </c>
      <c r="E21" s="494"/>
      <c r="F21" s="498"/>
      <c r="G21" s="462" t="e">
        <f t="shared" si="0"/>
        <v>#DIV/0!</v>
      </c>
      <c r="H21" s="554" t="e">
        <f>D21*'1-Contractblad totaal'!$G$14</f>
        <v>#DIV/0!</v>
      </c>
      <c r="I21" s="554" t="e">
        <f>E21*'1-Contractblad totaal'!$G$14</f>
        <v>#DIV/0!</v>
      </c>
      <c r="J21" s="554" t="e">
        <f t="shared" si="1"/>
        <v>#DIV/0!</v>
      </c>
      <c r="K21" s="554" t="e">
        <f>G21*'1-Contractblad totaal'!$G$16</f>
        <v>#DIV/0!</v>
      </c>
      <c r="L21" s="554" t="e">
        <f t="shared" si="2"/>
        <v>#DIV/0!</v>
      </c>
      <c r="M21" s="555">
        <f>SUMIF('9-Glasbewassing'!A$13:$A$80,A21,'9-Glasbewassing'!$I$13:$I$80)</f>
        <v>0</v>
      </c>
      <c r="N21" s="622">
        <f ca="1">SUMIF('10-Nulsituatie vloeren'!$A:$E,A21,'10-Nulsituatie vloeren'!$E:$E)</f>
        <v>0</v>
      </c>
      <c r="O21" s="555" t="e">
        <f t="shared" ca="1" si="3"/>
        <v>#DIV/0!</v>
      </c>
      <c r="P21" s="555" t="e">
        <f t="shared" ca="1" si="4"/>
        <v>#DIV/0!</v>
      </c>
    </row>
    <row r="22" spans="1:16" s="108" customFormat="1" ht="15" customHeight="1">
      <c r="A22" s="543" t="s">
        <v>296</v>
      </c>
      <c r="B22" s="561">
        <f>SUMIF('4-Basis ruimtestaat'!$C$10:$C$531,'2-Kosten per locatie'!A22,'4-Basis ruimtestaat'!$I$10:$I$531)</f>
        <v>304.33000000000004</v>
      </c>
      <c r="C22" s="624">
        <v>255</v>
      </c>
      <c r="D22" s="462" t="e">
        <f>SUMIF('4-Basis ruimtestaat'!$C$10:$C$531,'2-Kosten per locatie'!A22,'4-Basis ruimtestaat'!$R$10:$R$531)</f>
        <v>#DIV/0!</v>
      </c>
      <c r="E22" s="494"/>
      <c r="F22" s="498"/>
      <c r="G22" s="462" t="e">
        <f t="shared" si="0"/>
        <v>#DIV/0!</v>
      </c>
      <c r="H22" s="554" t="e">
        <f>D22*'1-Contractblad totaal'!$G$14</f>
        <v>#DIV/0!</v>
      </c>
      <c r="I22" s="554" t="e">
        <f>E22*'1-Contractblad totaal'!$G$14</f>
        <v>#DIV/0!</v>
      </c>
      <c r="J22" s="554" t="e">
        <f t="shared" si="1"/>
        <v>#DIV/0!</v>
      </c>
      <c r="K22" s="554" t="e">
        <f>G22*'1-Contractblad totaal'!$G$16</f>
        <v>#DIV/0!</v>
      </c>
      <c r="L22" s="554" t="e">
        <f t="shared" si="2"/>
        <v>#DIV/0!</v>
      </c>
      <c r="M22" s="555">
        <f>SUMIF('9-Glasbewassing'!A$13:$A$80,A22,'9-Glasbewassing'!$I$13:$I$80)</f>
        <v>0</v>
      </c>
      <c r="N22" s="622">
        <f ca="1">SUMIF('10-Nulsituatie vloeren'!$A:$E,A22,'10-Nulsituatie vloeren'!$E:$E)</f>
        <v>0</v>
      </c>
      <c r="O22" s="555" t="e">
        <f t="shared" ca="1" si="3"/>
        <v>#DIV/0!</v>
      </c>
      <c r="P22" s="555" t="e">
        <f t="shared" ca="1" si="4"/>
        <v>#DIV/0!</v>
      </c>
    </row>
    <row r="23" spans="1:16" s="108" customFormat="1" ht="15" customHeight="1">
      <c r="A23" s="543" t="s">
        <v>530</v>
      </c>
      <c r="B23" s="561">
        <f>SUMIF('4-Basis ruimtestaat'!$C$10:$C$531,'2-Kosten per locatie'!A23,'4-Basis ruimtestaat'!$I$10:$I$531)</f>
        <v>1019.1300000000002</v>
      </c>
      <c r="C23" s="624">
        <v>255</v>
      </c>
      <c r="D23" s="462" t="e">
        <f>SUMIF('4-Basis ruimtestaat'!$C$10:$C$531,'2-Kosten per locatie'!A23,'4-Basis ruimtestaat'!$R$10:$R$531)</f>
        <v>#DIV/0!</v>
      </c>
      <c r="E23" s="494"/>
      <c r="F23" s="498"/>
      <c r="G23" s="462" t="e">
        <f t="shared" si="0"/>
        <v>#DIV/0!</v>
      </c>
      <c r="H23" s="554" t="e">
        <f>D23*'1-Contractblad totaal'!$G$14</f>
        <v>#DIV/0!</v>
      </c>
      <c r="I23" s="554" t="e">
        <f>E23*'1-Contractblad totaal'!$G$14</f>
        <v>#DIV/0!</v>
      </c>
      <c r="J23" s="554" t="e">
        <f t="shared" si="1"/>
        <v>#DIV/0!</v>
      </c>
      <c r="K23" s="554" t="e">
        <f>G23*'1-Contractblad totaal'!$G$16</f>
        <v>#DIV/0!</v>
      </c>
      <c r="L23" s="554" t="e">
        <f t="shared" si="2"/>
        <v>#DIV/0!</v>
      </c>
      <c r="M23" s="555">
        <f>SUMIF('9-Glasbewassing'!A$13:$A$80,A23,'9-Glasbewassing'!$I$13:$I$80)</f>
        <v>0</v>
      </c>
      <c r="N23" s="622">
        <f ca="1">SUMIF('10-Nulsituatie vloeren'!$A:$E,A23,'10-Nulsituatie vloeren'!$E:$E)</f>
        <v>0</v>
      </c>
      <c r="O23" s="555" t="e">
        <f t="shared" ca="1" si="3"/>
        <v>#DIV/0!</v>
      </c>
      <c r="P23" s="555" t="e">
        <f t="shared" ca="1" si="4"/>
        <v>#DIV/0!</v>
      </c>
    </row>
    <row r="24" spans="1:16" s="108" customFormat="1" ht="15" customHeight="1">
      <c r="A24" s="543" t="s">
        <v>246</v>
      </c>
      <c r="B24" s="561">
        <f>SUMIF('4-Basis ruimtestaat'!$C$10:$C$531,'2-Kosten per locatie'!A24,'4-Basis ruimtestaat'!$I$10:$I$531)</f>
        <v>387.7</v>
      </c>
      <c r="C24" s="624">
        <v>255</v>
      </c>
      <c r="D24" s="462" t="e">
        <f>SUMIF('4-Basis ruimtestaat'!$C$10:$C$531,'2-Kosten per locatie'!A24,'4-Basis ruimtestaat'!$R$10:$R$531)</f>
        <v>#DIV/0!</v>
      </c>
      <c r="E24" s="494"/>
      <c r="F24" s="498"/>
      <c r="G24" s="462" t="e">
        <f t="shared" si="0"/>
        <v>#DIV/0!</v>
      </c>
      <c r="H24" s="554" t="e">
        <f>D24*'1-Contractblad totaal'!$G$14</f>
        <v>#DIV/0!</v>
      </c>
      <c r="I24" s="554" t="e">
        <f>E24*'1-Contractblad totaal'!$G$14</f>
        <v>#DIV/0!</v>
      </c>
      <c r="J24" s="554" t="e">
        <f t="shared" si="1"/>
        <v>#DIV/0!</v>
      </c>
      <c r="K24" s="554" t="e">
        <f>G24*'1-Contractblad totaal'!$G$16</f>
        <v>#DIV/0!</v>
      </c>
      <c r="L24" s="554" t="e">
        <f t="shared" si="2"/>
        <v>#DIV/0!</v>
      </c>
      <c r="M24" s="555">
        <f>SUMIF('9-Glasbewassing'!A$13:$A$80,A24,'9-Glasbewassing'!$I$13:$I$80)</f>
        <v>0</v>
      </c>
      <c r="N24" s="622">
        <f ca="1">SUMIF('10-Nulsituatie vloeren'!$A:$E,A24,'10-Nulsituatie vloeren'!$E:$E)</f>
        <v>0</v>
      </c>
      <c r="O24" s="555" t="e">
        <f t="shared" ca="1" si="3"/>
        <v>#DIV/0!</v>
      </c>
      <c r="P24" s="555" t="e">
        <f t="shared" ca="1" si="4"/>
        <v>#DIV/0!</v>
      </c>
    </row>
    <row r="25" spans="1:16" s="108" customFormat="1" ht="15" customHeight="1">
      <c r="A25" s="543" t="s">
        <v>416</v>
      </c>
      <c r="B25" s="561">
        <f>SUMIF('4-Basis ruimtestaat'!$C$10:$C$531,'2-Kosten per locatie'!A25,'4-Basis ruimtestaat'!$I$10:$I$531)</f>
        <v>1588.0100000000009</v>
      </c>
      <c r="C25" s="624">
        <v>255</v>
      </c>
      <c r="D25" s="462" t="e">
        <f>SUMIF('4-Basis ruimtestaat'!$C$10:$C$531,'2-Kosten per locatie'!A25,'4-Basis ruimtestaat'!$R$10:$R$531)</f>
        <v>#DIV/0!</v>
      </c>
      <c r="E25" s="494"/>
      <c r="F25" s="498"/>
      <c r="G25" s="462" t="e">
        <f t="shared" si="0"/>
        <v>#DIV/0!</v>
      </c>
      <c r="H25" s="554" t="e">
        <f>D25*'1-Contractblad totaal'!$G$14</f>
        <v>#DIV/0!</v>
      </c>
      <c r="I25" s="554" t="e">
        <f>E25*'1-Contractblad totaal'!$G$14</f>
        <v>#DIV/0!</v>
      </c>
      <c r="J25" s="554" t="e">
        <f t="shared" si="1"/>
        <v>#DIV/0!</v>
      </c>
      <c r="K25" s="554" t="e">
        <f>G25*'1-Contractblad totaal'!$G$16</f>
        <v>#DIV/0!</v>
      </c>
      <c r="L25" s="554" t="e">
        <f t="shared" si="2"/>
        <v>#DIV/0!</v>
      </c>
      <c r="M25" s="555">
        <f>SUMIF('9-Glasbewassing'!A$13:$A$80,A25,'9-Glasbewassing'!$I$13:$I$80)</f>
        <v>0</v>
      </c>
      <c r="N25" s="622">
        <f ca="1">SUMIF('10-Nulsituatie vloeren'!$A:$E,A25,'10-Nulsituatie vloeren'!$E:$E)</f>
        <v>0</v>
      </c>
      <c r="O25" s="555" t="e">
        <f t="shared" ca="1" si="3"/>
        <v>#DIV/0!</v>
      </c>
      <c r="P25" s="555" t="e">
        <f t="shared" ca="1" si="4"/>
        <v>#DIV/0!</v>
      </c>
    </row>
    <row r="26" spans="1:16" s="108" customFormat="1" ht="15" customHeight="1">
      <c r="A26" s="543" t="s">
        <v>284</v>
      </c>
      <c r="B26" s="561">
        <f>SUMIF('4-Basis ruimtestaat'!$C$10:$C$531,'2-Kosten per locatie'!A26,'4-Basis ruimtestaat'!$I$10:$I$531)</f>
        <v>268.21000000000004</v>
      </c>
      <c r="C26" s="624">
        <v>255</v>
      </c>
      <c r="D26" s="462" t="e">
        <f>SUMIF('4-Basis ruimtestaat'!$C$10:$C$531,'2-Kosten per locatie'!A26,'4-Basis ruimtestaat'!$R$10:$R$531)</f>
        <v>#DIV/0!</v>
      </c>
      <c r="E26" s="494"/>
      <c r="F26" s="498"/>
      <c r="G26" s="462" t="e">
        <f t="shared" si="0"/>
        <v>#DIV/0!</v>
      </c>
      <c r="H26" s="554" t="e">
        <f>D26*'1-Contractblad totaal'!$G$14</f>
        <v>#DIV/0!</v>
      </c>
      <c r="I26" s="554" t="e">
        <f>E26*'1-Contractblad totaal'!$G$14</f>
        <v>#DIV/0!</v>
      </c>
      <c r="J26" s="554" t="e">
        <f t="shared" si="1"/>
        <v>#DIV/0!</v>
      </c>
      <c r="K26" s="554" t="e">
        <f>G26*'1-Contractblad totaal'!$G$16</f>
        <v>#DIV/0!</v>
      </c>
      <c r="L26" s="554" t="e">
        <f t="shared" si="2"/>
        <v>#DIV/0!</v>
      </c>
      <c r="M26" s="555">
        <f>SUMIF('9-Glasbewassing'!A$13:$A$80,A26,'9-Glasbewassing'!$I$13:$I$80)</f>
        <v>0</v>
      </c>
      <c r="N26" s="622">
        <f ca="1">SUMIF('10-Nulsituatie vloeren'!$A:$E,A26,'10-Nulsituatie vloeren'!$E:$E)</f>
        <v>0</v>
      </c>
      <c r="O26" s="555" t="e">
        <f t="shared" ca="1" si="3"/>
        <v>#DIV/0!</v>
      </c>
      <c r="P26" s="555" t="e">
        <f t="shared" ca="1" si="4"/>
        <v>#DIV/0!</v>
      </c>
    </row>
    <row r="27" spans="1:16" s="108" customFormat="1" ht="15" customHeight="1">
      <c r="A27" s="543" t="s">
        <v>350</v>
      </c>
      <c r="B27" s="561">
        <f>SUMIF('4-Basis ruimtestaat'!$C$10:$C$531,'2-Kosten per locatie'!A27,'4-Basis ruimtestaat'!$I$10:$I$531)</f>
        <v>270.86</v>
      </c>
      <c r="C27" s="624">
        <v>156</v>
      </c>
      <c r="D27" s="462" t="e">
        <f>SUMIF('4-Basis ruimtestaat'!$C$10:$C$531,'2-Kosten per locatie'!A27,'4-Basis ruimtestaat'!$R$10:$R$531)</f>
        <v>#DIV/0!</v>
      </c>
      <c r="E27" s="494"/>
      <c r="F27" s="498"/>
      <c r="G27" s="462" t="e">
        <f t="shared" si="0"/>
        <v>#DIV/0!</v>
      </c>
      <c r="H27" s="554" t="e">
        <f>D27*'1-Contractblad totaal'!$G$14</f>
        <v>#DIV/0!</v>
      </c>
      <c r="I27" s="554" t="e">
        <f>E27*'1-Contractblad totaal'!$G$14</f>
        <v>#DIV/0!</v>
      </c>
      <c r="J27" s="554" t="e">
        <f t="shared" si="1"/>
        <v>#DIV/0!</v>
      </c>
      <c r="K27" s="554" t="e">
        <f>G27*'1-Contractblad totaal'!$G$16</f>
        <v>#DIV/0!</v>
      </c>
      <c r="L27" s="554" t="e">
        <f t="shared" si="2"/>
        <v>#DIV/0!</v>
      </c>
      <c r="M27" s="555">
        <f>SUMIF('9-Glasbewassing'!A$13:$A$80,A27,'9-Glasbewassing'!$I$13:$I$80)</f>
        <v>0</v>
      </c>
      <c r="N27" s="622">
        <f ca="1">SUMIF('10-Nulsituatie vloeren'!$A:$E,A27,'10-Nulsituatie vloeren'!$E:$E)</f>
        <v>0</v>
      </c>
      <c r="O27" s="555" t="e">
        <f t="shared" ca="1" si="3"/>
        <v>#DIV/0!</v>
      </c>
      <c r="P27" s="555" t="e">
        <f t="shared" ca="1" si="4"/>
        <v>#DIV/0!</v>
      </c>
    </row>
    <row r="28" spans="1:16" s="108" customFormat="1" ht="15" customHeight="1">
      <c r="A28" s="543" t="s">
        <v>457</v>
      </c>
      <c r="B28" s="561">
        <f>SUMIF('4-Basis ruimtestaat'!$C$10:$C$531,'2-Kosten per locatie'!A28,'4-Basis ruimtestaat'!$I$10:$I$531)</f>
        <v>316.00000000000006</v>
      </c>
      <c r="C28" s="624">
        <v>255</v>
      </c>
      <c r="D28" s="462" t="e">
        <f>SUMIF('4-Basis ruimtestaat'!$C$10:$C$531,'2-Kosten per locatie'!A28,'4-Basis ruimtestaat'!$R$10:$R$531)</f>
        <v>#DIV/0!</v>
      </c>
      <c r="E28" s="494"/>
      <c r="F28" s="498"/>
      <c r="G28" s="462" t="e">
        <f t="shared" si="0"/>
        <v>#DIV/0!</v>
      </c>
      <c r="H28" s="554" t="e">
        <f>D28*'1-Contractblad totaal'!$G$14</f>
        <v>#DIV/0!</v>
      </c>
      <c r="I28" s="554" t="e">
        <f>E28*'1-Contractblad totaal'!$G$14</f>
        <v>#DIV/0!</v>
      </c>
      <c r="J28" s="554" t="e">
        <f t="shared" si="1"/>
        <v>#DIV/0!</v>
      </c>
      <c r="K28" s="554" t="e">
        <f>G28*'1-Contractblad totaal'!$G$16</f>
        <v>#DIV/0!</v>
      </c>
      <c r="L28" s="554" t="e">
        <f t="shared" si="2"/>
        <v>#DIV/0!</v>
      </c>
      <c r="M28" s="555">
        <f>SUMIF('9-Glasbewassing'!A$13:$A$80,A28,'9-Glasbewassing'!$I$13:$I$80)</f>
        <v>0</v>
      </c>
      <c r="N28" s="622">
        <f ca="1">SUMIF('10-Nulsituatie vloeren'!$A:$E,A28,'10-Nulsituatie vloeren'!$E:$E)</f>
        <v>0</v>
      </c>
      <c r="O28" s="555" t="e">
        <f t="shared" ca="1" si="3"/>
        <v>#DIV/0!</v>
      </c>
      <c r="P28" s="555" t="e">
        <f t="shared" ca="1" si="4"/>
        <v>#DIV/0!</v>
      </c>
    </row>
    <row r="29" spans="1:16" s="108" customFormat="1" ht="15" customHeight="1">
      <c r="A29" s="543" t="s">
        <v>495</v>
      </c>
      <c r="B29" s="561">
        <f>SUMIF('4-Basis ruimtestaat'!$C$10:$C$531,'2-Kosten per locatie'!A29,'4-Basis ruimtestaat'!$I$10:$I$531)</f>
        <v>239.80000000000007</v>
      </c>
      <c r="C29" s="624">
        <v>255</v>
      </c>
      <c r="D29" s="462" t="e">
        <f>SUMIF('4-Basis ruimtestaat'!$C$10:$C$531,'2-Kosten per locatie'!A29,'4-Basis ruimtestaat'!$R$10:$R$531)</f>
        <v>#DIV/0!</v>
      </c>
      <c r="E29" s="494"/>
      <c r="F29" s="498"/>
      <c r="G29" s="462" t="e">
        <f t="shared" si="0"/>
        <v>#DIV/0!</v>
      </c>
      <c r="H29" s="554" t="e">
        <f>D29*'1-Contractblad totaal'!$G$14</f>
        <v>#DIV/0!</v>
      </c>
      <c r="I29" s="554" t="e">
        <f>E29*'1-Contractblad totaal'!$G$14</f>
        <v>#DIV/0!</v>
      </c>
      <c r="J29" s="554" t="e">
        <f t="shared" si="1"/>
        <v>#DIV/0!</v>
      </c>
      <c r="K29" s="554" t="e">
        <f>G29*'1-Contractblad totaal'!$G$16</f>
        <v>#DIV/0!</v>
      </c>
      <c r="L29" s="554" t="e">
        <f t="shared" si="2"/>
        <v>#DIV/0!</v>
      </c>
      <c r="M29" s="555">
        <f>SUMIF('9-Glasbewassing'!A$13:$A$80,A29,'9-Glasbewassing'!$I$13:$I$80)</f>
        <v>0</v>
      </c>
      <c r="N29" s="622">
        <f ca="1">SUMIF('10-Nulsituatie vloeren'!$A:$E,A29,'10-Nulsituatie vloeren'!$E:$E)</f>
        <v>0</v>
      </c>
      <c r="O29" s="555" t="e">
        <f t="shared" ca="1" si="3"/>
        <v>#DIV/0!</v>
      </c>
      <c r="P29" s="555" t="e">
        <f t="shared" ca="1" si="4"/>
        <v>#DIV/0!</v>
      </c>
    </row>
    <row r="30" spans="1:16" s="108" customFormat="1" ht="15" customHeight="1">
      <c r="A30" s="543" t="s">
        <v>347</v>
      </c>
      <c r="B30" s="561">
        <f>SUMIF('4-Basis ruimtestaat'!$C$10:$C$531,'2-Kosten per locatie'!A30,'4-Basis ruimtestaat'!$I$10:$I$531)</f>
        <v>221.72000000000003</v>
      </c>
      <c r="C30" s="624">
        <v>255</v>
      </c>
      <c r="D30" s="462" t="e">
        <f>SUMIF('4-Basis ruimtestaat'!$C$10:$C$531,'2-Kosten per locatie'!A30,'4-Basis ruimtestaat'!$R$10:$R$531)</f>
        <v>#DIV/0!</v>
      </c>
      <c r="E30" s="494"/>
      <c r="F30" s="498"/>
      <c r="G30" s="462" t="e">
        <f t="shared" si="0"/>
        <v>#DIV/0!</v>
      </c>
      <c r="H30" s="554" t="e">
        <f>D30*'1-Contractblad totaal'!$G$14</f>
        <v>#DIV/0!</v>
      </c>
      <c r="I30" s="554" t="e">
        <f>E30*'1-Contractblad totaal'!$G$14</f>
        <v>#DIV/0!</v>
      </c>
      <c r="J30" s="554" t="e">
        <f t="shared" si="1"/>
        <v>#DIV/0!</v>
      </c>
      <c r="K30" s="554" t="e">
        <f>G30*'1-Contractblad totaal'!$G$16</f>
        <v>#DIV/0!</v>
      </c>
      <c r="L30" s="554" t="e">
        <f t="shared" si="2"/>
        <v>#DIV/0!</v>
      </c>
      <c r="M30" s="555">
        <f>SUMIF('9-Glasbewassing'!A$13:$A$80,A30,'9-Glasbewassing'!$I$13:$I$80)</f>
        <v>0</v>
      </c>
      <c r="N30" s="622">
        <f ca="1">SUMIF('10-Nulsituatie vloeren'!$A:$E,A30,'10-Nulsituatie vloeren'!$E:$E)</f>
        <v>0</v>
      </c>
      <c r="O30" s="555" t="e">
        <f t="shared" ca="1" si="3"/>
        <v>#DIV/0!</v>
      </c>
      <c r="P30" s="555" t="e">
        <f t="shared" ca="1" si="4"/>
        <v>#DIV/0!</v>
      </c>
    </row>
    <row r="31" spans="1:16" s="108" customFormat="1" ht="15" customHeight="1">
      <c r="A31" s="543" t="s">
        <v>567</v>
      </c>
      <c r="B31" s="561">
        <f>SUMIF('4-Basis ruimtestaat'!$C$10:$C$531,'2-Kosten per locatie'!A31,'4-Basis ruimtestaat'!$I$10:$I$531)</f>
        <v>293</v>
      </c>
      <c r="C31" s="624">
        <v>205</v>
      </c>
      <c r="D31" s="462" t="e">
        <f>SUMIF('4-Basis ruimtestaat'!$C$10:$C$531,'2-Kosten per locatie'!A31,'4-Basis ruimtestaat'!$R$10:$R$531)</f>
        <v>#DIV/0!</v>
      </c>
      <c r="E31" s="494"/>
      <c r="F31" s="498"/>
      <c r="G31" s="462" t="e">
        <f t="shared" si="0"/>
        <v>#DIV/0!</v>
      </c>
      <c r="H31" s="554" t="e">
        <f>D31*'1-Contractblad totaal'!$G$14</f>
        <v>#DIV/0!</v>
      </c>
      <c r="I31" s="554" t="e">
        <f>E31*'1-Contractblad totaal'!$G$14</f>
        <v>#DIV/0!</v>
      </c>
      <c r="J31" s="554" t="e">
        <f t="shared" si="1"/>
        <v>#DIV/0!</v>
      </c>
      <c r="K31" s="554" t="e">
        <f>G31*'1-Contractblad totaal'!$G$16</f>
        <v>#DIV/0!</v>
      </c>
      <c r="L31" s="554" t="e">
        <f t="shared" si="2"/>
        <v>#DIV/0!</v>
      </c>
      <c r="M31" s="555">
        <f>SUMIF('9-Glasbewassing'!A$13:$A$80,A31,'9-Glasbewassing'!$I$13:$I$80)</f>
        <v>0</v>
      </c>
      <c r="N31" s="622">
        <f ca="1">SUMIF('10-Nulsituatie vloeren'!$A:$E,A31,'10-Nulsituatie vloeren'!$E:$E)</f>
        <v>0</v>
      </c>
      <c r="O31" s="555" t="e">
        <f t="shared" ca="1" si="3"/>
        <v>#DIV/0!</v>
      </c>
      <c r="P31" s="555" t="e">
        <f t="shared" ca="1" si="4"/>
        <v>#DIV/0!</v>
      </c>
    </row>
    <row r="32" spans="1:16" s="108" customFormat="1" ht="15" customHeight="1">
      <c r="A32" s="543" t="s">
        <v>520</v>
      </c>
      <c r="B32" s="561">
        <f>SUMIF('4-Basis ruimtestaat'!$C$10:$C$531,'2-Kosten per locatie'!A32,'4-Basis ruimtestaat'!$I$10:$I$531)</f>
        <v>346.44</v>
      </c>
      <c r="C32" s="624">
        <v>255</v>
      </c>
      <c r="D32" s="462" t="e">
        <f>SUMIF('4-Basis ruimtestaat'!$C$10:$C$531,'2-Kosten per locatie'!A32,'4-Basis ruimtestaat'!$R$10:$R$531)</f>
        <v>#DIV/0!</v>
      </c>
      <c r="E32" s="494"/>
      <c r="F32" s="498"/>
      <c r="G32" s="462" t="e">
        <f t="shared" si="0"/>
        <v>#DIV/0!</v>
      </c>
      <c r="H32" s="554" t="e">
        <f>D32*'1-Contractblad totaal'!$G$14</f>
        <v>#DIV/0!</v>
      </c>
      <c r="I32" s="554" t="e">
        <f>E32*'1-Contractblad totaal'!$G$14</f>
        <v>#DIV/0!</v>
      </c>
      <c r="J32" s="554" t="e">
        <f t="shared" si="1"/>
        <v>#DIV/0!</v>
      </c>
      <c r="K32" s="554" t="e">
        <f>G32*'1-Contractblad totaal'!$G$16</f>
        <v>#DIV/0!</v>
      </c>
      <c r="L32" s="554" t="e">
        <f t="shared" si="2"/>
        <v>#DIV/0!</v>
      </c>
      <c r="M32" s="555">
        <f>SUMIF('9-Glasbewassing'!A$13:$A$80,A32,'9-Glasbewassing'!$I$13:$I$80)</f>
        <v>0</v>
      </c>
      <c r="N32" s="622">
        <f ca="1">SUMIF('10-Nulsituatie vloeren'!$A:$E,A32,'10-Nulsituatie vloeren'!$E:$E)</f>
        <v>0</v>
      </c>
      <c r="O32" s="555" t="e">
        <f t="shared" ca="1" si="3"/>
        <v>#DIV/0!</v>
      </c>
      <c r="P32" s="555" t="e">
        <f t="shared" ca="1" si="4"/>
        <v>#DIV/0!</v>
      </c>
    </row>
    <row r="33" spans="1:26" s="108" customFormat="1" ht="15" customHeight="1">
      <c r="A33" s="543" t="s">
        <v>472</v>
      </c>
      <c r="B33" s="561">
        <f>SUMIF('4-Basis ruimtestaat'!$C$10:$C$531,'2-Kosten per locatie'!A33,'4-Basis ruimtestaat'!$I$10:$I$531)</f>
        <v>225.15</v>
      </c>
      <c r="C33" s="624">
        <v>255</v>
      </c>
      <c r="D33" s="462" t="e">
        <f>SUMIF('4-Basis ruimtestaat'!$C$10:$C$531,'2-Kosten per locatie'!A33,'4-Basis ruimtestaat'!$R$10:$R$531)</f>
        <v>#DIV/0!</v>
      </c>
      <c r="E33" s="494"/>
      <c r="F33" s="498"/>
      <c r="G33" s="462" t="e">
        <f t="shared" si="0"/>
        <v>#DIV/0!</v>
      </c>
      <c r="H33" s="554" t="e">
        <f>D33*'1-Contractblad totaal'!$G$14</f>
        <v>#DIV/0!</v>
      </c>
      <c r="I33" s="554" t="e">
        <f>E33*'1-Contractblad totaal'!$G$14</f>
        <v>#DIV/0!</v>
      </c>
      <c r="J33" s="554" t="e">
        <f t="shared" si="1"/>
        <v>#DIV/0!</v>
      </c>
      <c r="K33" s="554" t="e">
        <f>G33*'1-Contractblad totaal'!$G$16</f>
        <v>#DIV/0!</v>
      </c>
      <c r="L33" s="554" t="e">
        <f t="shared" si="2"/>
        <v>#DIV/0!</v>
      </c>
      <c r="M33" s="555">
        <f>SUMIF('9-Glasbewassing'!A$13:$A$80,A33,'9-Glasbewassing'!$I$13:$I$80)</f>
        <v>0</v>
      </c>
      <c r="N33" s="622">
        <f ca="1">SUMIF('10-Nulsituatie vloeren'!$A:$E,A33,'10-Nulsituatie vloeren'!$E:$E)</f>
        <v>0</v>
      </c>
      <c r="O33" s="555" t="e">
        <f t="shared" ca="1" si="3"/>
        <v>#DIV/0!</v>
      </c>
      <c r="P33" s="555" t="e">
        <f t="shared" ca="1" si="4"/>
        <v>#DIV/0!</v>
      </c>
    </row>
    <row r="34" spans="1:26" s="108" customFormat="1" ht="15" customHeight="1">
      <c r="A34" s="543" t="s">
        <v>460</v>
      </c>
      <c r="B34" s="561">
        <f>SUMIF('4-Basis ruimtestaat'!$C$10:$C$531,'2-Kosten per locatie'!A34,'4-Basis ruimtestaat'!$I$10:$I$531)</f>
        <v>405.12</v>
      </c>
      <c r="C34" s="624">
        <v>255</v>
      </c>
      <c r="D34" s="462" t="e">
        <f>SUMIF('4-Basis ruimtestaat'!$C$10:$C$531,'2-Kosten per locatie'!A34,'4-Basis ruimtestaat'!$R$10:$R$531)</f>
        <v>#DIV/0!</v>
      </c>
      <c r="E34" s="494"/>
      <c r="F34" s="498"/>
      <c r="G34" s="462" t="e">
        <f t="shared" si="0"/>
        <v>#DIV/0!</v>
      </c>
      <c r="H34" s="554" t="e">
        <f>D34*'1-Contractblad totaal'!$G$14</f>
        <v>#DIV/0!</v>
      </c>
      <c r="I34" s="554" t="e">
        <f>E34*'1-Contractblad totaal'!$G$14</f>
        <v>#DIV/0!</v>
      </c>
      <c r="J34" s="554" t="e">
        <f t="shared" si="1"/>
        <v>#DIV/0!</v>
      </c>
      <c r="K34" s="554" t="e">
        <f>G34*'1-Contractblad totaal'!$G$16</f>
        <v>#DIV/0!</v>
      </c>
      <c r="L34" s="554" t="e">
        <f t="shared" si="2"/>
        <v>#DIV/0!</v>
      </c>
      <c r="M34" s="555">
        <f>SUMIF('9-Glasbewassing'!A$13:$A$80,A34,'9-Glasbewassing'!$I$13:$I$80)</f>
        <v>0</v>
      </c>
      <c r="N34" s="622">
        <f ca="1">SUMIF('10-Nulsituatie vloeren'!$A:$E,A34,'10-Nulsituatie vloeren'!$E:$E)</f>
        <v>0</v>
      </c>
      <c r="O34" s="555" t="e">
        <f t="shared" ca="1" si="3"/>
        <v>#DIV/0!</v>
      </c>
      <c r="P34" s="555" t="e">
        <f t="shared" ca="1" si="4"/>
        <v>#DIV/0!</v>
      </c>
    </row>
    <row r="35" spans="1:26" s="108" customFormat="1" ht="15" customHeight="1">
      <c r="A35" s="543" t="s">
        <v>363</v>
      </c>
      <c r="B35" s="561">
        <f>SUMIF('4-Basis ruimtestaat'!$C$10:$C$531,'2-Kosten per locatie'!A35,'4-Basis ruimtestaat'!$I$10:$I$531)</f>
        <v>251.67000000000007</v>
      </c>
      <c r="C35" s="624">
        <v>255</v>
      </c>
      <c r="D35" s="462" t="e">
        <f>SUMIF('4-Basis ruimtestaat'!$C$10:$C$531,'2-Kosten per locatie'!A35,'4-Basis ruimtestaat'!$R$10:$R$531)</f>
        <v>#DIV/0!</v>
      </c>
      <c r="E35" s="494"/>
      <c r="F35" s="498"/>
      <c r="G35" s="462" t="e">
        <f t="shared" si="0"/>
        <v>#DIV/0!</v>
      </c>
      <c r="H35" s="554" t="e">
        <f>D35*'1-Contractblad totaal'!$G$14</f>
        <v>#DIV/0!</v>
      </c>
      <c r="I35" s="554" t="e">
        <f>E35*'1-Contractblad totaal'!$G$14</f>
        <v>#DIV/0!</v>
      </c>
      <c r="J35" s="554" t="e">
        <f t="shared" si="1"/>
        <v>#DIV/0!</v>
      </c>
      <c r="K35" s="554" t="e">
        <f>G35*'1-Contractblad totaal'!$G$16</f>
        <v>#DIV/0!</v>
      </c>
      <c r="L35" s="554" t="e">
        <f t="shared" si="2"/>
        <v>#DIV/0!</v>
      </c>
      <c r="M35" s="555">
        <f>SUMIF('9-Glasbewassing'!A$13:$A$80,A35,'9-Glasbewassing'!$I$13:$I$80)</f>
        <v>0</v>
      </c>
      <c r="N35" s="622">
        <f ca="1">SUMIF('10-Nulsituatie vloeren'!$A:$E,A35,'10-Nulsituatie vloeren'!$E:$E)</f>
        <v>0</v>
      </c>
      <c r="O35" s="555" t="e">
        <f t="shared" ca="1" si="3"/>
        <v>#DIV/0!</v>
      </c>
      <c r="P35" s="555" t="e">
        <f t="shared" ca="1" si="4"/>
        <v>#DIV/0!</v>
      </c>
    </row>
    <row r="36" spans="1:26" ht="15" customHeight="1">
      <c r="A36" s="107" t="s">
        <v>304</v>
      </c>
      <c r="B36" s="561">
        <f>SUMIF('4-Basis ruimtestaat'!$C$10:$C$531,'2-Kosten per locatie'!A36,'4-Basis ruimtestaat'!$I$10:$I$531)</f>
        <v>321.92</v>
      </c>
      <c r="C36" s="624">
        <v>255</v>
      </c>
      <c r="D36" s="462" t="e">
        <f>SUMIF('4-Basis ruimtestaat'!$C$10:$C$531,'2-Kosten per locatie'!A36,'4-Basis ruimtestaat'!$R$10:$R$531)</f>
        <v>#DIV/0!</v>
      </c>
      <c r="E36" s="494"/>
      <c r="F36" s="498"/>
      <c r="G36" s="462" t="e">
        <f t="shared" si="0"/>
        <v>#DIV/0!</v>
      </c>
      <c r="H36" s="554" t="e">
        <f>D36*'1-Contractblad totaal'!$G$14</f>
        <v>#DIV/0!</v>
      </c>
      <c r="I36" s="554" t="e">
        <f>E36*'1-Contractblad totaal'!$G$14</f>
        <v>#DIV/0!</v>
      </c>
      <c r="J36" s="554" t="e">
        <f t="shared" si="1"/>
        <v>#DIV/0!</v>
      </c>
      <c r="K36" s="554" t="e">
        <f>G36*'1-Contractblad totaal'!$G$16</f>
        <v>#DIV/0!</v>
      </c>
      <c r="L36" s="554" t="e">
        <f t="shared" si="2"/>
        <v>#DIV/0!</v>
      </c>
      <c r="M36" s="555">
        <f>SUMIF('9-Glasbewassing'!A$13:$A$80,A36,'9-Glasbewassing'!$I$13:$I$80)</f>
        <v>0</v>
      </c>
      <c r="N36" s="622">
        <f ca="1">SUMIF('10-Nulsituatie vloeren'!$A:$E,A36,'10-Nulsituatie vloeren'!$E:$E)</f>
        <v>0</v>
      </c>
      <c r="O36" s="555" t="e">
        <f t="shared" ca="1" si="3"/>
        <v>#DIV/0!</v>
      </c>
      <c r="P36" s="555" t="e">
        <f t="shared" ca="1" si="4"/>
        <v>#DIV/0!</v>
      </c>
      <c r="Q36" s="103"/>
      <c r="R36" s="103"/>
      <c r="S36" s="103"/>
      <c r="T36" s="103"/>
      <c r="U36" s="103"/>
      <c r="V36" s="103"/>
      <c r="W36" s="103"/>
      <c r="X36" s="103"/>
      <c r="Y36" s="103"/>
    </row>
    <row r="37" spans="1:26" ht="15" customHeight="1">
      <c r="A37" s="107" t="s">
        <v>307</v>
      </c>
      <c r="B37" s="561">
        <f>SUMIF('4-Basis ruimtestaat'!$C$10:$C$531,'2-Kosten per locatie'!A37,'4-Basis ruimtestaat'!$I$10:$I$531)</f>
        <v>800.21000000000015</v>
      </c>
      <c r="C37" s="624">
        <v>255</v>
      </c>
      <c r="D37" s="462" t="e">
        <f>SUMIF('4-Basis ruimtestaat'!$C$10:$C$531,'2-Kosten per locatie'!A37,'4-Basis ruimtestaat'!$R$10:$R$531)</f>
        <v>#DIV/0!</v>
      </c>
      <c r="E37" s="494"/>
      <c r="F37" s="498"/>
      <c r="G37" s="462" t="e">
        <f t="shared" si="0"/>
        <v>#DIV/0!</v>
      </c>
      <c r="H37" s="554" t="e">
        <f>D37*'1-Contractblad totaal'!$G$14</f>
        <v>#DIV/0!</v>
      </c>
      <c r="I37" s="554" t="e">
        <f>E37*'1-Contractblad totaal'!$G$14</f>
        <v>#DIV/0!</v>
      </c>
      <c r="J37" s="554" t="e">
        <f t="shared" si="1"/>
        <v>#DIV/0!</v>
      </c>
      <c r="K37" s="554" t="e">
        <f>G37*'1-Contractblad totaal'!$G$16</f>
        <v>#DIV/0!</v>
      </c>
      <c r="L37" s="554" t="e">
        <f t="shared" si="2"/>
        <v>#DIV/0!</v>
      </c>
      <c r="M37" s="555">
        <f>SUMIF('9-Glasbewassing'!A$13:$A$80,A37,'9-Glasbewassing'!$I$13:$I$80)</f>
        <v>0</v>
      </c>
      <c r="N37" s="622">
        <f ca="1">SUMIF('10-Nulsituatie vloeren'!$A:$E,A37,'10-Nulsituatie vloeren'!$E:$E)</f>
        <v>0</v>
      </c>
      <c r="O37" s="555" t="e">
        <f t="shared" ca="1" si="3"/>
        <v>#DIV/0!</v>
      </c>
      <c r="P37" s="555" t="e">
        <f t="shared" ca="1" si="4"/>
        <v>#DIV/0!</v>
      </c>
      <c r="Q37" s="103"/>
      <c r="R37" s="103"/>
      <c r="S37" s="103"/>
      <c r="T37" s="103"/>
      <c r="U37" s="103"/>
      <c r="V37" s="103"/>
      <c r="W37" s="103"/>
      <c r="X37" s="103"/>
      <c r="Y37" s="103"/>
    </row>
    <row r="38" spans="1:26" ht="15" customHeight="1">
      <c r="A38" s="107" t="s">
        <v>517</v>
      </c>
      <c r="B38" s="561">
        <f>SUMIF('4-Basis ruimtestaat'!$C$10:$C$531,'2-Kosten per locatie'!A38,'4-Basis ruimtestaat'!$I$10:$I$531)</f>
        <v>408.86</v>
      </c>
      <c r="C38" s="624">
        <v>255</v>
      </c>
      <c r="D38" s="462" t="e">
        <f>SUMIF('4-Basis ruimtestaat'!$C$10:$C$531,'2-Kosten per locatie'!A38,'4-Basis ruimtestaat'!$R$10:$R$531)</f>
        <v>#DIV/0!</v>
      </c>
      <c r="E38" s="494"/>
      <c r="F38" s="498"/>
      <c r="G38" s="462" t="e">
        <f t="shared" si="0"/>
        <v>#DIV/0!</v>
      </c>
      <c r="H38" s="554" t="e">
        <f>D38*'1-Contractblad totaal'!$G$14</f>
        <v>#DIV/0!</v>
      </c>
      <c r="I38" s="554" t="e">
        <f>E38*'1-Contractblad totaal'!$G$14</f>
        <v>#DIV/0!</v>
      </c>
      <c r="J38" s="554" t="e">
        <f t="shared" si="1"/>
        <v>#DIV/0!</v>
      </c>
      <c r="K38" s="554" t="e">
        <f>G38*'1-Contractblad totaal'!$G$16</f>
        <v>#DIV/0!</v>
      </c>
      <c r="L38" s="554" t="e">
        <f t="shared" si="2"/>
        <v>#DIV/0!</v>
      </c>
      <c r="M38" s="555">
        <f>SUMIF('9-Glasbewassing'!A$13:$A$80,A38,'9-Glasbewassing'!$I$13:$I$80)</f>
        <v>0</v>
      </c>
      <c r="N38" s="622">
        <f ca="1">SUMIF('10-Nulsituatie vloeren'!$A:$E,A38,'10-Nulsituatie vloeren'!$E:$E)</f>
        <v>0</v>
      </c>
      <c r="O38" s="555" t="e">
        <f t="shared" ca="1" si="3"/>
        <v>#DIV/0!</v>
      </c>
      <c r="P38" s="555" t="e">
        <f t="shared" ca="1" si="4"/>
        <v>#DIV/0!</v>
      </c>
      <c r="Q38" s="103"/>
      <c r="R38" s="103"/>
      <c r="S38" s="103"/>
      <c r="T38" s="103"/>
      <c r="U38" s="103"/>
      <c r="V38" s="103"/>
      <c r="W38" s="103"/>
      <c r="X38" s="103"/>
      <c r="Y38" s="103"/>
    </row>
    <row r="39" spans="1:26" ht="15" customHeight="1">
      <c r="A39" s="107" t="s">
        <v>456</v>
      </c>
      <c r="B39" s="561">
        <f>SUMIF('4-Basis ruimtestaat'!$C$10:$C$531,'2-Kosten per locatie'!A39,'4-Basis ruimtestaat'!$I$10:$I$531)</f>
        <v>310.59999999999997</v>
      </c>
      <c r="C39" s="624">
        <v>205</v>
      </c>
      <c r="D39" s="462" t="e">
        <f>SUMIF('4-Basis ruimtestaat'!$C$10:$C$531,'2-Kosten per locatie'!A39,'4-Basis ruimtestaat'!$R$10:$R$531)</f>
        <v>#DIV/0!</v>
      </c>
      <c r="E39" s="494"/>
      <c r="F39" s="498"/>
      <c r="G39" s="462" t="e">
        <f t="shared" si="0"/>
        <v>#DIV/0!</v>
      </c>
      <c r="H39" s="554" t="e">
        <f>D39*'1-Contractblad totaal'!$G$14</f>
        <v>#DIV/0!</v>
      </c>
      <c r="I39" s="554" t="e">
        <f>E39*'1-Contractblad totaal'!$G$14</f>
        <v>#DIV/0!</v>
      </c>
      <c r="J39" s="554" t="e">
        <f t="shared" si="1"/>
        <v>#DIV/0!</v>
      </c>
      <c r="K39" s="554" t="e">
        <f>G39*'1-Contractblad totaal'!$G$16</f>
        <v>#DIV/0!</v>
      </c>
      <c r="L39" s="554" t="e">
        <f t="shared" si="2"/>
        <v>#DIV/0!</v>
      </c>
      <c r="M39" s="555">
        <f>SUMIF('9-Glasbewassing'!A$13:$A$80,A39,'9-Glasbewassing'!$I$13:$I$80)</f>
        <v>0</v>
      </c>
      <c r="N39" s="622">
        <f ca="1">SUMIF('10-Nulsituatie vloeren'!$A:$E,A39,'10-Nulsituatie vloeren'!$E:$E)</f>
        <v>0</v>
      </c>
      <c r="O39" s="555" t="e">
        <f t="shared" ca="1" si="3"/>
        <v>#DIV/0!</v>
      </c>
      <c r="P39" s="555" t="e">
        <f t="shared" ca="1" si="4"/>
        <v>#DIV/0!</v>
      </c>
      <c r="Q39" s="103"/>
      <c r="R39" s="103"/>
      <c r="S39" s="103"/>
      <c r="T39" s="103"/>
      <c r="U39" s="103"/>
      <c r="V39" s="103"/>
      <c r="W39" s="103"/>
      <c r="X39" s="103"/>
      <c r="Y39" s="103"/>
    </row>
    <row r="40" spans="1:26" ht="15" customHeight="1">
      <c r="A40" s="107" t="s">
        <v>422</v>
      </c>
      <c r="B40" s="561">
        <f>SUMIF('4-Basis ruimtestaat'!$C$10:$C$531,'2-Kosten per locatie'!A40,'4-Basis ruimtestaat'!$I$10:$I$531)</f>
        <v>333.47999999999996</v>
      </c>
      <c r="C40" s="624">
        <v>255</v>
      </c>
      <c r="D40" s="462" t="e">
        <f>SUMIF('4-Basis ruimtestaat'!$C$10:$C$531,'2-Kosten per locatie'!A40,'4-Basis ruimtestaat'!$R$10:$R$531)</f>
        <v>#DIV/0!</v>
      </c>
      <c r="E40" s="494"/>
      <c r="F40" s="498"/>
      <c r="G40" s="462" t="e">
        <f t="shared" si="0"/>
        <v>#DIV/0!</v>
      </c>
      <c r="H40" s="554" t="e">
        <f>D40*'1-Contractblad totaal'!$G$14</f>
        <v>#DIV/0!</v>
      </c>
      <c r="I40" s="554" t="e">
        <f>E40*'1-Contractblad totaal'!$G$14</f>
        <v>#DIV/0!</v>
      </c>
      <c r="J40" s="554" t="e">
        <f t="shared" si="1"/>
        <v>#DIV/0!</v>
      </c>
      <c r="K40" s="554" t="e">
        <f>G40*'1-Contractblad totaal'!$G$16</f>
        <v>#DIV/0!</v>
      </c>
      <c r="L40" s="554" t="e">
        <f t="shared" si="2"/>
        <v>#DIV/0!</v>
      </c>
      <c r="M40" s="555">
        <f>SUMIF('9-Glasbewassing'!A$13:$A$80,A40,'9-Glasbewassing'!$I$13:$I$80)</f>
        <v>0</v>
      </c>
      <c r="N40" s="622">
        <f ca="1">SUMIF('10-Nulsituatie vloeren'!$A:$E,A40,'10-Nulsituatie vloeren'!$E:$E)</f>
        <v>0</v>
      </c>
      <c r="O40" s="555" t="e">
        <f t="shared" ca="1" si="3"/>
        <v>#DIV/0!</v>
      </c>
      <c r="P40" s="555" t="e">
        <f t="shared" ca="1" si="4"/>
        <v>#DIV/0!</v>
      </c>
      <c r="Q40" s="103"/>
      <c r="R40" s="103"/>
      <c r="S40" s="103"/>
      <c r="T40" s="103"/>
      <c r="U40" s="103"/>
      <c r="V40" s="103"/>
      <c r="W40" s="103"/>
      <c r="X40" s="103"/>
      <c r="Y40" s="103"/>
    </row>
    <row r="41" spans="1:26" ht="15" customHeight="1">
      <c r="A41" s="165" t="s">
        <v>626</v>
      </c>
      <c r="B41" s="561">
        <f>SUMIF('4-Basis ruimtestaat'!$C$10:$C$531,'2-Kosten per locatie'!A41,'4-Basis ruimtestaat'!$I$10:$I$531)</f>
        <v>309.04999999999995</v>
      </c>
      <c r="C41" s="624">
        <v>255</v>
      </c>
      <c r="D41" s="462" t="e">
        <f>SUMIF('4-Basis ruimtestaat'!$C$10:$C$531,'2-Kosten per locatie'!A41,'4-Basis ruimtestaat'!$R$10:$R$531)</f>
        <v>#DIV/0!</v>
      </c>
      <c r="E41" s="494"/>
      <c r="F41" s="498"/>
      <c r="G41" s="462" t="e">
        <f t="shared" si="0"/>
        <v>#DIV/0!</v>
      </c>
      <c r="H41" s="554" t="e">
        <f>D41*'1-Contractblad totaal'!$G$14</f>
        <v>#DIV/0!</v>
      </c>
      <c r="I41" s="554" t="e">
        <f>E41*'1-Contractblad totaal'!$G$14</f>
        <v>#DIV/0!</v>
      </c>
      <c r="J41" s="554" t="e">
        <f t="shared" si="1"/>
        <v>#DIV/0!</v>
      </c>
      <c r="K41" s="554" t="e">
        <f>G41*'1-Contractblad totaal'!$G$16</f>
        <v>#DIV/0!</v>
      </c>
      <c r="L41" s="554" t="e">
        <f t="shared" si="2"/>
        <v>#DIV/0!</v>
      </c>
      <c r="M41" s="555"/>
      <c r="N41" s="622"/>
      <c r="O41" s="555" t="e">
        <f t="shared" si="3"/>
        <v>#DIV/0!</v>
      </c>
      <c r="P41" s="555" t="e">
        <f t="shared" si="4"/>
        <v>#DIV/0!</v>
      </c>
      <c r="Q41" s="103"/>
      <c r="R41" s="103"/>
      <c r="S41" s="103"/>
      <c r="T41" s="103"/>
      <c r="U41" s="103"/>
      <c r="V41" s="103"/>
      <c r="W41" s="103"/>
      <c r="X41" s="103"/>
      <c r="Y41" s="103"/>
    </row>
    <row r="42" spans="1:26" s="110" customFormat="1" ht="15" customHeight="1">
      <c r="A42" s="109" t="s">
        <v>8</v>
      </c>
      <c r="B42" s="463">
        <f>SUM(B11:B41)</f>
        <v>11680.160000000003</v>
      </c>
      <c r="C42" s="544"/>
      <c r="D42" s="463" t="e">
        <f>SUM(D11:D41)</f>
        <v>#DIV/0!</v>
      </c>
      <c r="E42" s="463">
        <f>SUM(E11:E41)</f>
        <v>0</v>
      </c>
      <c r="F42" s="463"/>
      <c r="G42" s="463" t="e">
        <f t="shared" ref="G42:P42" si="9">SUM(G11:G41)</f>
        <v>#DIV/0!</v>
      </c>
      <c r="H42" s="556" t="e">
        <f t="shared" si="9"/>
        <v>#DIV/0!</v>
      </c>
      <c r="I42" s="556" t="e">
        <f t="shared" si="9"/>
        <v>#DIV/0!</v>
      </c>
      <c r="J42" s="556" t="e">
        <f t="shared" si="9"/>
        <v>#DIV/0!</v>
      </c>
      <c r="K42" s="556" t="e">
        <f t="shared" si="9"/>
        <v>#DIV/0!</v>
      </c>
      <c r="L42" s="556" t="e">
        <f t="shared" si="9"/>
        <v>#DIV/0!</v>
      </c>
      <c r="M42" s="557">
        <f t="shared" si="9"/>
        <v>0</v>
      </c>
      <c r="N42" s="623">
        <f ca="1">SUM(N11:N41)</f>
        <v>0</v>
      </c>
      <c r="O42" s="557" t="e">
        <f ca="1">SUM(O11:O41)</f>
        <v>#DIV/0!</v>
      </c>
      <c r="P42" s="557" t="e">
        <f t="shared" ca="1" si="9"/>
        <v>#DIV/0!</v>
      </c>
    </row>
    <row r="43" spans="1:26" s="111" customFormat="1" ht="14.1" customHeight="1">
      <c r="Z43" s="103"/>
    </row>
  </sheetData>
  <mergeCells count="3">
    <mergeCell ref="O9:P9"/>
    <mergeCell ref="H9:L9"/>
    <mergeCell ref="C9:G9"/>
  </mergeCells>
  <printOptions horizontalCentered="1" gridLinesSet="0"/>
  <pageMargins left="0.19685039370078741" right="0.19685039370078741" top="0.59055118110236227" bottom="0.78740157480314965" header="0.39370078740157483" footer="0.19685039370078741"/>
  <pageSetup paperSize="9" scale="45"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U34"/>
  <sheetViews>
    <sheetView showGridLines="0" zoomScale="110" zoomScaleNormal="110" workbookViewId="0">
      <pane ySplit="9" topLeftCell="A10" activePane="bottomLeft" state="frozen"/>
      <selection activeCell="D33" sqref="D33"/>
      <selection pane="bottomLeft" activeCell="A10" sqref="A10"/>
    </sheetView>
  </sheetViews>
  <sheetFormatPr defaultColWidth="9.109375" defaultRowHeight="13.2"/>
  <cols>
    <col min="1" max="1" width="33.6640625" style="4" bestFit="1" customWidth="1"/>
    <col min="2" max="2" width="9.109375" style="4" customWidth="1"/>
    <col min="3" max="8" width="9.109375" style="4"/>
    <col min="9" max="9" width="2.109375" style="4" customWidth="1"/>
    <col min="10" max="10" width="9.109375" style="116"/>
    <col min="11" max="11" width="2.33203125" style="4" customWidth="1"/>
    <col min="12" max="12" width="9.109375" style="116"/>
    <col min="13" max="13" width="10.109375" style="4" hidden="1" customWidth="1"/>
    <col min="14" max="14" width="9.88671875" style="4" hidden="1" customWidth="1"/>
    <col min="15" max="15" width="0" style="4" hidden="1" customWidth="1"/>
    <col min="16" max="16" width="9.109375" style="4"/>
    <col min="17" max="17" width="16.109375" style="4" customWidth="1"/>
    <col min="18" max="19" width="9.109375" style="4"/>
    <col min="20" max="20" width="30.44140625" style="4" customWidth="1"/>
    <col min="21" max="16384" width="9.109375" style="4"/>
  </cols>
  <sheetData>
    <row r="1" spans="1:21">
      <c r="A1" s="431" t="s">
        <v>25</v>
      </c>
    </row>
    <row r="2" spans="1:21">
      <c r="F2" s="47"/>
      <c r="G2" s="47"/>
      <c r="H2" s="582"/>
      <c r="I2" s="47"/>
      <c r="J2" s="541"/>
      <c r="K2" s="47"/>
      <c r="L2" s="541"/>
      <c r="M2" s="47"/>
      <c r="N2" s="47"/>
      <c r="O2" s="47"/>
      <c r="P2" s="47"/>
      <c r="Q2" s="47"/>
    </row>
    <row r="3" spans="1:21" ht="15">
      <c r="A3" s="140" t="s">
        <v>29</v>
      </c>
      <c r="B3" s="141" t="str">
        <f>'1-Contractblad totaal'!B3</f>
        <v>Juridisch Loket</v>
      </c>
      <c r="C3" s="430"/>
      <c r="F3" s="47"/>
      <c r="G3" s="47"/>
      <c r="H3" s="47"/>
      <c r="I3" s="47"/>
      <c r="J3" s="541"/>
      <c r="K3" s="47"/>
      <c r="L3" s="541"/>
      <c r="M3" s="47"/>
      <c r="N3" s="47"/>
      <c r="O3" s="47"/>
      <c r="P3" s="47"/>
      <c r="Q3" s="47"/>
    </row>
    <row r="4" spans="1:21" ht="15">
      <c r="A4" s="140" t="s">
        <v>14</v>
      </c>
      <c r="B4" s="141" t="str">
        <f ca="1">MID(CELL("bestandsnaam",$B$7),SEARCH("]",CELL("bestandsnaam",$B$7),1)+1,256)</f>
        <v>3-Productie normen</v>
      </c>
      <c r="C4" s="142"/>
      <c r="F4" s="47"/>
      <c r="G4" s="47"/>
      <c r="H4" s="47"/>
      <c r="I4" s="47"/>
      <c r="J4" s="541"/>
      <c r="K4" s="47"/>
      <c r="L4" s="541"/>
      <c r="M4" s="47"/>
      <c r="N4" s="47"/>
      <c r="O4" s="47"/>
      <c r="P4" s="47"/>
      <c r="Q4" s="47"/>
      <c r="R4" s="47"/>
      <c r="S4" s="47"/>
    </row>
    <row r="5" spans="1:21" ht="15">
      <c r="A5" s="140" t="s">
        <v>86</v>
      </c>
      <c r="B5" s="141" t="str">
        <f>'1-Contractblad totaal'!B5</f>
        <v>Diverse locaties</v>
      </c>
      <c r="C5" s="142"/>
      <c r="M5" s="560"/>
      <c r="N5" s="560"/>
      <c r="O5" s="560"/>
      <c r="P5" s="560"/>
      <c r="Q5" s="560"/>
      <c r="R5" s="560"/>
      <c r="S5" s="560"/>
      <c r="T5" s="560"/>
      <c r="U5" s="47"/>
    </row>
    <row r="6" spans="1:21" ht="15">
      <c r="A6" s="140" t="s">
        <v>66</v>
      </c>
      <c r="B6" s="141" t="str">
        <f>'1-Contractblad totaal'!B6</f>
        <v>EU-JL-ID.MvD-2020</v>
      </c>
      <c r="C6" s="142"/>
      <c r="E6" s="428" t="s">
        <v>196</v>
      </c>
      <c r="F6" s="429"/>
      <c r="G6" s="138" t="e">
        <f>SUM('4-Basis ruimtestaat'!AD:AD)/SUM('4-Basis ruimtestaat'!R:T)</f>
        <v>#DIV/0!</v>
      </c>
      <c r="H6" s="139" t="s">
        <v>197</v>
      </c>
    </row>
    <row r="7" spans="1:21">
      <c r="A7" s="117"/>
      <c r="B7" s="118"/>
      <c r="C7" s="118"/>
      <c r="D7" s="119"/>
      <c r="E7" s="120"/>
      <c r="F7" s="120"/>
      <c r="G7" s="547"/>
      <c r="H7" s="121"/>
      <c r="I7" s="122"/>
      <c r="J7" s="123"/>
      <c r="K7" s="122"/>
      <c r="L7" s="123"/>
      <c r="M7" s="587"/>
      <c r="N7" s="588"/>
      <c r="O7" s="127"/>
      <c r="P7" s="122"/>
      <c r="Q7" s="122"/>
      <c r="R7" s="122"/>
    </row>
    <row r="8" spans="1:21" ht="27.75" customHeight="1">
      <c r="A8" s="135" t="s">
        <v>111</v>
      </c>
      <c r="B8" s="136"/>
      <c r="C8" s="136"/>
      <c r="D8" s="136">
        <v>12</v>
      </c>
      <c r="E8" s="136">
        <v>104</v>
      </c>
      <c r="F8" s="136">
        <v>156</v>
      </c>
      <c r="G8" s="136">
        <v>205</v>
      </c>
      <c r="H8" s="136">
        <v>255</v>
      </c>
      <c r="I8" s="122"/>
      <c r="J8" s="540"/>
      <c r="K8" s="127"/>
      <c r="L8" s="541"/>
      <c r="M8" s="432">
        <v>1.25</v>
      </c>
      <c r="N8" s="432">
        <v>1.25</v>
      </c>
      <c r="O8" s="432">
        <v>1.5</v>
      </c>
      <c r="P8" s="124"/>
      <c r="Q8" s="124"/>
      <c r="R8" s="124"/>
    </row>
    <row r="9" spans="1:21" ht="30" customHeight="1">
      <c r="A9" s="421" t="s">
        <v>61</v>
      </c>
      <c r="B9" s="656" t="s">
        <v>128</v>
      </c>
      <c r="C9" s="657"/>
      <c r="D9" s="657"/>
      <c r="E9" s="657"/>
      <c r="F9" s="657"/>
      <c r="G9" s="657"/>
      <c r="H9" s="658"/>
      <c r="I9" s="122"/>
      <c r="J9" s="419" t="s">
        <v>592</v>
      </c>
      <c r="K9" s="420"/>
      <c r="L9" s="419" t="s">
        <v>201</v>
      </c>
      <c r="M9" s="137" t="s">
        <v>193</v>
      </c>
      <c r="N9" s="137" t="s">
        <v>194</v>
      </c>
      <c r="O9" s="137" t="s">
        <v>234</v>
      </c>
      <c r="P9" s="124"/>
    </row>
    <row r="10" spans="1:21" ht="13.8" thickBot="1">
      <c r="A10" s="165" t="s">
        <v>373</v>
      </c>
      <c r="B10" s="546"/>
      <c r="C10" s="546"/>
      <c r="D10" s="546"/>
      <c r="E10" s="435"/>
      <c r="F10" s="435"/>
      <c r="G10" s="435"/>
      <c r="H10" s="435"/>
      <c r="I10" s="122"/>
      <c r="J10" s="126">
        <v>1</v>
      </c>
      <c r="K10" s="122"/>
      <c r="L10" s="422">
        <f>SUMIF('4-Basis ruimtestaat'!G:G,'3-Productie normen'!A10,'4-Basis ruimtestaat'!I:I)</f>
        <v>4863.96</v>
      </c>
      <c r="O10" s="122"/>
      <c r="P10" s="411"/>
      <c r="Q10" s="411"/>
      <c r="R10" s="411"/>
      <c r="S10" s="412"/>
    </row>
    <row r="11" spans="1:21" ht="13.8" thickTop="1">
      <c r="A11" s="128" t="s">
        <v>578</v>
      </c>
      <c r="B11" s="546"/>
      <c r="C11" s="546"/>
      <c r="D11" s="435"/>
      <c r="E11" s="546"/>
      <c r="F11" s="546"/>
      <c r="G11" s="546"/>
      <c r="H11" s="546"/>
      <c r="I11" s="122"/>
      <c r="J11" s="126">
        <v>4</v>
      </c>
      <c r="K11" s="122"/>
      <c r="L11" s="422">
        <f>SUMIF('4-Basis ruimtestaat'!G:G,'3-Productie normen'!A11,'4-Basis ruimtestaat'!I:I)</f>
        <v>238.09000000000003</v>
      </c>
      <c r="O11" s="417"/>
      <c r="P11" s="410"/>
      <c r="Q11" s="410"/>
      <c r="R11" s="410"/>
      <c r="S11" s="413"/>
      <c r="T11" s="512"/>
    </row>
    <row r="12" spans="1:21">
      <c r="A12" s="167" t="s">
        <v>107</v>
      </c>
      <c r="B12" s="546"/>
      <c r="C12" s="546"/>
      <c r="D12" s="546"/>
      <c r="E12" s="435"/>
      <c r="F12" s="435"/>
      <c r="G12" s="435"/>
      <c r="H12" s="435"/>
      <c r="I12" s="122"/>
      <c r="J12" s="126">
        <v>2</v>
      </c>
      <c r="K12" s="122"/>
      <c r="L12" s="422">
        <f>SUMIF('4-Basis ruimtestaat'!G:G,'3-Productie normen'!A12,'4-Basis ruimtestaat'!I:I)</f>
        <v>1120.73</v>
      </c>
      <c r="O12" s="417"/>
      <c r="P12" s="9"/>
      <c r="Q12" s="143" t="s">
        <v>112</v>
      </c>
      <c r="R12" s="144" t="s">
        <v>191</v>
      </c>
      <c r="S12" s="414"/>
      <c r="T12" s="513" t="s">
        <v>228</v>
      </c>
    </row>
    <row r="13" spans="1:21">
      <c r="A13" s="167" t="s">
        <v>17</v>
      </c>
      <c r="B13" s="546"/>
      <c r="C13" s="546"/>
      <c r="D13" s="546"/>
      <c r="E13" s="435"/>
      <c r="F13" s="435"/>
      <c r="G13" s="435"/>
      <c r="H13" s="435"/>
      <c r="I13" s="122"/>
      <c r="J13" s="126">
        <v>3</v>
      </c>
      <c r="K13" s="122"/>
      <c r="L13" s="422">
        <f>SUMIF('4-Basis ruimtestaat'!G:G,'3-Productie normen'!A13,'4-Basis ruimtestaat'!I:I)</f>
        <v>368.85999999999984</v>
      </c>
      <c r="O13" s="417"/>
      <c r="P13" s="9"/>
      <c r="Q13" s="129"/>
      <c r="R13" s="145">
        <v>2</v>
      </c>
      <c r="S13" s="414"/>
      <c r="T13" s="514"/>
    </row>
    <row r="14" spans="1:21">
      <c r="A14" s="128" t="s">
        <v>580</v>
      </c>
      <c r="B14" s="546"/>
      <c r="C14" s="546"/>
      <c r="D14" s="546"/>
      <c r="E14" s="435"/>
      <c r="F14" s="435"/>
      <c r="G14" s="546"/>
      <c r="H14" s="435"/>
      <c r="I14" s="122"/>
      <c r="J14" s="126">
        <v>4</v>
      </c>
      <c r="K14" s="122"/>
      <c r="L14" s="422">
        <f>SUMIF('4-Basis ruimtestaat'!G:G,'3-Productie normen'!A14,'4-Basis ruimtestaat'!I:I)</f>
        <v>90.070000000000007</v>
      </c>
      <c r="O14" s="417"/>
      <c r="P14" s="9"/>
      <c r="Q14" s="129"/>
      <c r="R14" s="145">
        <v>3</v>
      </c>
      <c r="S14" s="414"/>
      <c r="T14" s="514"/>
    </row>
    <row r="15" spans="1:21">
      <c r="A15" s="173" t="s">
        <v>209</v>
      </c>
      <c r="B15" s="546"/>
      <c r="C15" s="546"/>
      <c r="D15" s="546"/>
      <c r="E15" s="546"/>
      <c r="F15" s="546"/>
      <c r="G15" s="546"/>
      <c r="H15" s="435"/>
      <c r="I15" s="122"/>
      <c r="J15" s="126">
        <v>1</v>
      </c>
      <c r="K15" s="122"/>
      <c r="L15" s="422">
        <f>SUMIF('4-Basis ruimtestaat'!G:G,'3-Productie normen'!A15,'4-Basis ruimtestaat'!I:I)</f>
        <v>325.89</v>
      </c>
      <c r="O15" s="417"/>
      <c r="P15" s="9"/>
      <c r="Q15" s="129">
        <v>12</v>
      </c>
      <c r="R15" s="145">
        <v>4</v>
      </c>
      <c r="S15" s="414"/>
      <c r="T15" s="514" t="s">
        <v>229</v>
      </c>
    </row>
    <row r="16" spans="1:21">
      <c r="A16" s="525" t="s">
        <v>583</v>
      </c>
      <c r="B16" s="546"/>
      <c r="C16" s="546"/>
      <c r="D16" s="546"/>
      <c r="E16" s="435"/>
      <c r="F16" s="435"/>
      <c r="G16" s="435"/>
      <c r="H16" s="435"/>
      <c r="I16" s="122"/>
      <c r="J16" s="126">
        <v>4</v>
      </c>
      <c r="K16" s="122"/>
      <c r="L16" s="422">
        <f>SUMIF('4-Basis ruimtestaat'!G:G,'3-Productie normen'!A16,'4-Basis ruimtestaat'!I:I)</f>
        <v>1617.94</v>
      </c>
      <c r="O16" s="417"/>
      <c r="P16" s="9"/>
      <c r="Q16" s="129">
        <v>104</v>
      </c>
      <c r="R16" s="145">
        <v>5</v>
      </c>
      <c r="S16" s="414"/>
      <c r="T16" s="514" t="s">
        <v>231</v>
      </c>
    </row>
    <row r="17" spans="1:20">
      <c r="A17" s="165" t="s">
        <v>579</v>
      </c>
      <c r="B17" s="546"/>
      <c r="C17" s="546"/>
      <c r="D17" s="546"/>
      <c r="E17" s="435"/>
      <c r="F17" s="435"/>
      <c r="G17" s="435"/>
      <c r="H17" s="435"/>
      <c r="I17" s="122"/>
      <c r="J17" s="126">
        <v>4</v>
      </c>
      <c r="K17" s="122"/>
      <c r="L17" s="422">
        <f>SUMIF('4-Basis ruimtestaat'!G:G,'3-Productie normen'!A17,'4-Basis ruimtestaat'!I:I)</f>
        <v>2898.39</v>
      </c>
      <c r="O17" s="417"/>
      <c r="P17" s="9"/>
      <c r="Q17" s="129">
        <v>156</v>
      </c>
      <c r="R17" s="145">
        <v>6</v>
      </c>
      <c r="S17" s="414"/>
      <c r="T17" s="514" t="s">
        <v>232</v>
      </c>
    </row>
    <row r="18" spans="1:20">
      <c r="A18" s="493" t="s">
        <v>199</v>
      </c>
      <c r="B18" s="546"/>
      <c r="C18" s="546"/>
      <c r="D18" s="546"/>
      <c r="E18" s="546"/>
      <c r="F18" s="546"/>
      <c r="G18" s="546"/>
      <c r="H18" s="546"/>
      <c r="I18" s="122"/>
      <c r="J18" s="126">
        <v>0</v>
      </c>
      <c r="K18" s="122"/>
      <c r="L18" s="422">
        <f>SUMIF('4-Basis ruimtestaat'!G:G,'3-Productie normen'!A18,'4-Basis ruimtestaat'!I:I)</f>
        <v>156.23000000000002</v>
      </c>
      <c r="O18" s="417"/>
      <c r="P18" s="9"/>
      <c r="Q18" s="130">
        <v>205</v>
      </c>
      <c r="R18" s="145">
        <v>7</v>
      </c>
      <c r="S18" s="414"/>
      <c r="T18" s="514" t="s">
        <v>584</v>
      </c>
    </row>
    <row r="19" spans="1:20">
      <c r="A19" s="125"/>
      <c r="B19" s="546"/>
      <c r="C19" s="546"/>
      <c r="D19" s="546"/>
      <c r="E19" s="546"/>
      <c r="F19" s="546"/>
      <c r="G19" s="546"/>
      <c r="H19" s="546"/>
      <c r="I19" s="122"/>
      <c r="J19" s="126"/>
      <c r="K19" s="122"/>
      <c r="L19" s="422"/>
      <c r="O19" s="417"/>
      <c r="P19" s="9"/>
      <c r="Q19" s="130">
        <v>255</v>
      </c>
      <c r="R19" s="145">
        <v>8</v>
      </c>
      <c r="S19" s="414"/>
      <c r="T19" s="514" t="s">
        <v>230</v>
      </c>
    </row>
    <row r="20" spans="1:20" ht="13.8" thickBot="1">
      <c r="A20" s="423" t="s">
        <v>8</v>
      </c>
      <c r="B20" s="424"/>
      <c r="C20" s="424"/>
      <c r="D20" s="424"/>
      <c r="E20" s="424"/>
      <c r="F20" s="424"/>
      <c r="G20" s="424"/>
      <c r="H20" s="132"/>
      <c r="I20" s="425"/>
      <c r="J20" s="426"/>
      <c r="K20" s="425"/>
      <c r="L20" s="427">
        <f>SUM(L10:L19)</f>
        <v>11680.16</v>
      </c>
      <c r="O20" s="417"/>
      <c r="P20" s="415"/>
      <c r="Q20" s="415"/>
      <c r="R20" s="415"/>
      <c r="S20" s="416"/>
      <c r="T20" s="515"/>
    </row>
    <row r="21" spans="1:20">
      <c r="J21" s="4"/>
      <c r="L21" s="4"/>
      <c r="O21" s="127"/>
      <c r="P21" s="127"/>
      <c r="Q21" s="127"/>
      <c r="R21" s="127"/>
    </row>
    <row r="22" spans="1:20">
      <c r="J22" s="4"/>
      <c r="L22" s="4"/>
      <c r="O22" s="127"/>
      <c r="P22" s="127"/>
      <c r="Q22" s="127"/>
      <c r="R22" s="127"/>
    </row>
    <row r="23" spans="1:20">
      <c r="A23" s="133" t="s">
        <v>195</v>
      </c>
      <c r="B23" s="134">
        <v>2</v>
      </c>
      <c r="C23" s="134">
        <v>3</v>
      </c>
      <c r="D23" s="134">
        <v>4</v>
      </c>
      <c r="E23" s="134">
        <v>5</v>
      </c>
      <c r="F23" s="134">
        <v>6</v>
      </c>
      <c r="G23" s="134">
        <v>7</v>
      </c>
      <c r="H23" s="134">
        <v>8</v>
      </c>
      <c r="I23" s="127"/>
      <c r="K23" s="127"/>
      <c r="O23" s="127"/>
      <c r="P23" s="127"/>
      <c r="Q23" s="127"/>
      <c r="R23" s="127"/>
    </row>
    <row r="24" spans="1:20">
      <c r="I24" s="127"/>
      <c r="K24" s="127"/>
      <c r="O24" s="127"/>
    </row>
    <row r="31" spans="1:20">
      <c r="N31" s="191"/>
      <c r="O31" s="191"/>
      <c r="P31" s="191"/>
      <c r="Q31" s="191"/>
    </row>
    <row r="32" spans="1:20">
      <c r="N32" s="191"/>
      <c r="O32" s="191"/>
      <c r="P32" s="191"/>
      <c r="Q32" s="191"/>
    </row>
    <row r="33" spans="14:17">
      <c r="N33" s="191"/>
      <c r="O33" s="191"/>
      <c r="P33" s="191"/>
      <c r="Q33" s="191"/>
    </row>
    <row r="34" spans="14:17">
      <c r="N34" s="191"/>
      <c r="O34" s="191"/>
      <c r="P34" s="191"/>
      <c r="Q34" s="191"/>
    </row>
  </sheetData>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D903"/>
  <sheetViews>
    <sheetView showGridLines="0" showZeros="0" zoomScale="80" zoomScaleNormal="80" zoomScalePageLayoutView="75" workbookViewId="0">
      <pane xSplit="1" ySplit="9" topLeftCell="B10" activePane="bottomRight" state="frozen"/>
      <selection activeCell="D33" sqref="D33"/>
      <selection pane="topRight" activeCell="D33" sqref="D33"/>
      <selection pane="bottomLeft" activeCell="D33" sqref="D33"/>
      <selection pane="bottomRight" activeCell="B10" sqref="B10"/>
    </sheetView>
  </sheetViews>
  <sheetFormatPr defaultColWidth="8.6640625" defaultRowHeight="14.1" customHeight="1"/>
  <cols>
    <col min="1" max="1" width="5" style="4" bestFit="1" customWidth="1"/>
    <col min="2" max="2" width="27.5546875" style="4" customWidth="1"/>
    <col min="3" max="3" width="38.77734375" style="4" bestFit="1" customWidth="1"/>
    <col min="4" max="4" width="14.6640625" style="4" customWidth="1"/>
    <col min="5" max="5" width="10.109375" style="44" customWidth="1"/>
    <col min="6" max="6" width="23.44140625" style="4" customWidth="1"/>
    <col min="7" max="7" width="19.5546875" style="4" customWidth="1"/>
    <col min="8" max="8" width="21" style="4" customWidth="1"/>
    <col min="9" max="9" width="10.44140625" style="4" customWidth="1"/>
    <col min="10" max="10" width="19" style="439" bestFit="1" customWidth="1"/>
    <col min="11" max="13" width="19" style="439" hidden="1" customWidth="1"/>
    <col min="14" max="14" width="9.109375" style="194" customWidth="1"/>
    <col min="15" max="17" width="9.109375" style="194" hidden="1" customWidth="1"/>
    <col min="18" max="18" width="12.5546875" style="4" bestFit="1" customWidth="1"/>
    <col min="19" max="19" width="12.5546875" style="4" hidden="1" customWidth="1"/>
    <col min="20" max="21" width="9.88671875" style="4" hidden="1" customWidth="1"/>
    <col min="22" max="22" width="9.88671875" style="4" customWidth="1"/>
    <col min="23" max="23" width="12" style="4" bestFit="1" customWidth="1"/>
    <col min="24" max="24" width="16.6640625" style="4" hidden="1" customWidth="1"/>
    <col min="25" max="26" width="9.33203125" style="4" hidden="1" customWidth="1"/>
    <col min="27" max="27" width="9.33203125" style="4" customWidth="1"/>
    <col min="28" max="28" width="35.109375" style="4" customWidth="1"/>
    <col min="29" max="29" width="3" style="4" customWidth="1"/>
    <col min="30" max="30" width="11.109375" style="4" customWidth="1"/>
    <col min="31" max="31" width="15.5546875" style="4" bestFit="1" customWidth="1"/>
    <col min="32" max="16384" width="8.6640625" style="4"/>
  </cols>
  <sheetData>
    <row r="1" spans="1:30" ht="13.2">
      <c r="B1" s="431" t="s">
        <v>25</v>
      </c>
      <c r="E1" s="4"/>
      <c r="I1" s="116"/>
      <c r="J1" s="116"/>
      <c r="K1" s="116"/>
      <c r="L1" s="116"/>
      <c r="M1" s="116"/>
      <c r="N1" s="4"/>
      <c r="O1" s="116"/>
      <c r="P1" s="4"/>
      <c r="Q1" s="4"/>
    </row>
    <row r="2" spans="1:30" ht="14.1" customHeight="1">
      <c r="A2" s="147">
        <v>2</v>
      </c>
      <c r="B2" s="148"/>
      <c r="C2" s="148"/>
      <c r="D2" s="149"/>
      <c r="E2" s="150"/>
      <c r="F2" s="155"/>
      <c r="G2" s="155"/>
      <c r="H2" s="153"/>
      <c r="I2" s="579"/>
      <c r="J2" s="580"/>
      <c r="K2" s="580"/>
      <c r="L2" s="580"/>
      <c r="M2" s="580"/>
      <c r="N2" s="152"/>
      <c r="O2" s="152"/>
      <c r="P2" s="152"/>
      <c r="Q2" s="152"/>
      <c r="R2" s="153"/>
      <c r="S2" s="153"/>
      <c r="T2" s="154"/>
      <c r="U2" s="154"/>
      <c r="V2" s="154"/>
      <c r="W2" s="154"/>
      <c r="X2" s="154"/>
      <c r="Y2" s="154"/>
      <c r="Z2" s="154"/>
      <c r="AA2" s="155"/>
      <c r="AB2" s="155"/>
    </row>
    <row r="3" spans="1:30" ht="14.1" customHeight="1">
      <c r="A3" s="147">
        <v>3</v>
      </c>
      <c r="B3" s="114" t="str">
        <f>'1-Contractblad totaal'!A3</f>
        <v>Naam opdrachtgever</v>
      </c>
      <c r="C3" s="141" t="str">
        <f>'1-Contractblad totaal'!B3</f>
        <v>Juridisch Loket</v>
      </c>
      <c r="E3" s="156"/>
      <c r="F3" s="47"/>
      <c r="G3" s="47"/>
      <c r="H3" s="153"/>
      <c r="I3" s="579"/>
      <c r="J3" s="580"/>
      <c r="K3" s="580"/>
      <c r="L3" s="580"/>
      <c r="M3" s="580"/>
      <c r="N3" s="152"/>
      <c r="O3" s="152"/>
      <c r="P3" s="152"/>
      <c r="Q3" s="152"/>
      <c r="R3" s="153"/>
      <c r="S3" s="153"/>
      <c r="T3" s="154"/>
      <c r="U3" s="154"/>
      <c r="V3" s="154"/>
      <c r="W3" s="154"/>
      <c r="X3" s="154"/>
      <c r="Y3" s="154"/>
      <c r="Z3" s="154"/>
      <c r="AA3" s="155"/>
      <c r="AB3" s="155"/>
    </row>
    <row r="4" spans="1:30" ht="14.1" customHeight="1">
      <c r="A4" s="147">
        <v>4</v>
      </c>
      <c r="B4" s="114" t="str">
        <f>'1-Contractblad totaal'!A4</f>
        <v>Calculatie onderdeel</v>
      </c>
      <c r="C4" s="141" t="str">
        <f ca="1">MID(CELL("bestandsnaam",$D$9),SEARCH("]",CELL("bestandsnaam",$D$9),1)+1,256)</f>
        <v>4-Basis ruimtestaat</v>
      </c>
      <c r="E4" s="157"/>
      <c r="F4" s="47"/>
      <c r="G4" s="47"/>
      <c r="H4" s="153"/>
      <c r="I4" s="579"/>
      <c r="J4" s="580"/>
      <c r="K4" s="580"/>
      <c r="L4" s="580"/>
      <c r="M4" s="580"/>
      <c r="N4" s="152"/>
      <c r="O4" s="152"/>
      <c r="P4" s="152"/>
      <c r="Q4" s="152"/>
      <c r="R4" s="153"/>
      <c r="S4" s="153"/>
      <c r="T4" s="154"/>
      <c r="U4" s="154"/>
      <c r="V4" s="154"/>
      <c r="W4" s="154"/>
      <c r="X4" s="154"/>
      <c r="Y4" s="154"/>
      <c r="Z4" s="154"/>
      <c r="AA4" s="155"/>
      <c r="AB4" s="155"/>
    </row>
    <row r="5" spans="1:30" ht="14.1" customHeight="1">
      <c r="A5" s="147">
        <v>5</v>
      </c>
      <c r="B5" s="114" t="str">
        <f>'1-Contractblad totaal'!A5</f>
        <v>Gebouw/plaats</v>
      </c>
      <c r="C5" s="141" t="str">
        <f>'1-Contractblad totaal'!B5</f>
        <v>Diverse locaties</v>
      </c>
      <c r="E5" s="156"/>
      <c r="F5" s="47"/>
      <c r="G5" s="47"/>
      <c r="H5" s="47"/>
      <c r="I5" s="579"/>
      <c r="J5" s="580"/>
      <c r="K5" s="47"/>
      <c r="L5" s="47"/>
      <c r="M5" s="47"/>
      <c r="N5" s="152"/>
      <c r="O5" s="152"/>
      <c r="P5" s="152"/>
      <c r="Q5" s="152"/>
      <c r="R5" s="153"/>
      <c r="S5" s="153"/>
      <c r="T5" s="154"/>
      <c r="U5" s="154"/>
      <c r="V5" s="154"/>
      <c r="W5" s="154"/>
      <c r="X5" s="154"/>
      <c r="Y5" s="154"/>
      <c r="Z5" s="154"/>
      <c r="AA5" s="155"/>
      <c r="AB5" s="155"/>
    </row>
    <row r="6" spans="1:30" ht="14.1" customHeight="1">
      <c r="A6" s="147">
        <v>6</v>
      </c>
      <c r="B6" s="114" t="str">
        <f>'1-Contractblad totaal'!A6</f>
        <v>Referentie nummer</v>
      </c>
      <c r="C6" s="141" t="str">
        <f>'1-Contractblad totaal'!B6</f>
        <v>EU-JL-ID.MvD-2020</v>
      </c>
      <c r="E6" s="156"/>
      <c r="F6" s="593"/>
      <c r="G6" s="47"/>
      <c r="H6" s="153"/>
      <c r="I6" s="579"/>
      <c r="J6" s="580"/>
      <c r="K6" s="436"/>
      <c r="L6" s="436"/>
      <c r="M6" s="436"/>
      <c r="N6" s="152"/>
      <c r="O6" s="152"/>
      <c r="P6" s="152"/>
      <c r="Q6" s="152"/>
      <c r="R6" s="153"/>
      <c r="S6" s="153"/>
      <c r="T6" s="154"/>
      <c r="U6" s="154"/>
      <c r="V6" s="154"/>
      <c r="W6" s="154"/>
      <c r="X6" s="659" t="s">
        <v>113</v>
      </c>
      <c r="Y6" s="660"/>
      <c r="Z6" s="661"/>
      <c r="AA6" s="155"/>
      <c r="AB6" s="155"/>
    </row>
    <row r="7" spans="1:30" ht="12.75" customHeight="1">
      <c r="A7" s="147">
        <v>7</v>
      </c>
      <c r="B7" s="114" t="str">
        <f>'1-Contractblad totaal'!A8</f>
        <v>Naam dienstverlener</v>
      </c>
      <c r="C7" s="141">
        <f>'1-Contractblad totaal'!B8</f>
        <v>0</v>
      </c>
      <c r="E7" s="156"/>
      <c r="F7" s="593"/>
      <c r="G7" s="47"/>
      <c r="H7" s="153"/>
      <c r="I7" s="579"/>
      <c r="J7" s="581"/>
      <c r="K7" s="578"/>
      <c r="L7" s="578"/>
      <c r="M7" s="578"/>
      <c r="N7" s="593"/>
      <c r="O7" s="152"/>
      <c r="P7" s="152"/>
      <c r="Q7" s="152"/>
      <c r="R7" s="153"/>
      <c r="S7" s="153"/>
      <c r="T7" s="154"/>
      <c r="U7" s="154"/>
      <c r="V7" s="154"/>
      <c r="W7" s="154"/>
      <c r="X7" s="662"/>
      <c r="Y7" s="663"/>
      <c r="Z7" s="664"/>
      <c r="AA7" s="155"/>
      <c r="AB7" s="155"/>
    </row>
    <row r="8" spans="1:30" ht="14.1" customHeight="1">
      <c r="A8" s="147">
        <v>8</v>
      </c>
      <c r="B8" s="151"/>
      <c r="C8" s="151"/>
      <c r="D8" s="149"/>
      <c r="E8" s="150"/>
      <c r="F8" s="605"/>
      <c r="G8" s="155"/>
      <c r="H8" s="153"/>
      <c r="I8" s="579"/>
      <c r="J8" s="501"/>
      <c r="K8" s="501"/>
      <c r="L8" s="501"/>
      <c r="M8" s="501"/>
      <c r="N8" s="152"/>
      <c r="O8" s="152"/>
      <c r="P8" s="152"/>
      <c r="Q8" s="152"/>
      <c r="R8" s="153"/>
      <c r="S8" s="153"/>
      <c r="T8" s="153"/>
      <c r="U8" s="153"/>
      <c r="V8" s="153"/>
      <c r="W8" s="153"/>
      <c r="X8" s="158">
        <f>'3-Productie normen'!M8</f>
        <v>1.25</v>
      </c>
      <c r="Y8" s="158">
        <f>'3-Productie normen'!N8</f>
        <v>1.25</v>
      </c>
      <c r="Z8" s="158">
        <f>'3-Productie normen'!O8</f>
        <v>1.5</v>
      </c>
      <c r="AA8" s="155"/>
      <c r="AB8" s="155"/>
    </row>
    <row r="9" spans="1:30" ht="44.1" customHeight="1">
      <c r="A9" s="147">
        <v>9</v>
      </c>
      <c r="B9" s="159" t="s">
        <v>89</v>
      </c>
      <c r="C9" s="159" t="s">
        <v>110</v>
      </c>
      <c r="D9" s="159" t="s">
        <v>90</v>
      </c>
      <c r="E9" s="160" t="s">
        <v>95</v>
      </c>
      <c r="F9" s="159" t="s">
        <v>96</v>
      </c>
      <c r="G9" s="159" t="s">
        <v>97</v>
      </c>
      <c r="H9" s="161" t="s">
        <v>98</v>
      </c>
      <c r="I9" s="162" t="s">
        <v>99</v>
      </c>
      <c r="J9" s="163" t="s">
        <v>219</v>
      </c>
      <c r="K9" s="163" t="s">
        <v>220</v>
      </c>
      <c r="L9" s="163" t="s">
        <v>221</v>
      </c>
      <c r="M9" s="163" t="s">
        <v>240</v>
      </c>
      <c r="N9" s="163" t="s">
        <v>189</v>
      </c>
      <c r="O9" s="163" t="s">
        <v>188</v>
      </c>
      <c r="P9" s="163" t="s">
        <v>236</v>
      </c>
      <c r="Q9" s="163" t="s">
        <v>237</v>
      </c>
      <c r="R9" s="164" t="s">
        <v>100</v>
      </c>
      <c r="S9" s="164" t="s">
        <v>192</v>
      </c>
      <c r="T9" s="164" t="s">
        <v>116</v>
      </c>
      <c r="U9" s="164" t="s">
        <v>235</v>
      </c>
      <c r="V9" s="518"/>
      <c r="W9" s="164" t="s">
        <v>114</v>
      </c>
      <c r="X9" s="164" t="s">
        <v>190</v>
      </c>
      <c r="Y9" s="164" t="s">
        <v>238</v>
      </c>
      <c r="Z9" s="164" t="s">
        <v>239</v>
      </c>
      <c r="AA9" s="440" t="s">
        <v>593</v>
      </c>
      <c r="AB9" s="492" t="s">
        <v>208</v>
      </c>
      <c r="AC9" s="146"/>
      <c r="AD9" s="440" t="s">
        <v>101</v>
      </c>
    </row>
    <row r="10" spans="1:30" s="172" customFormat="1" ht="14.1" customHeight="1">
      <c r="A10" s="147">
        <v>10</v>
      </c>
      <c r="B10" s="165" t="s">
        <v>245</v>
      </c>
      <c r="C10" s="165" t="s">
        <v>246</v>
      </c>
      <c r="D10" s="568" t="s">
        <v>102</v>
      </c>
      <c r="E10" s="166" t="s">
        <v>247</v>
      </c>
      <c r="F10" s="165" t="s">
        <v>103</v>
      </c>
      <c r="G10" s="525" t="s">
        <v>583</v>
      </c>
      <c r="H10" s="167" t="s">
        <v>272</v>
      </c>
      <c r="I10" s="563">
        <v>9.5</v>
      </c>
      <c r="J10" s="482">
        <v>1</v>
      </c>
      <c r="K10" s="482">
        <v>1</v>
      </c>
      <c r="L10" s="482">
        <v>1</v>
      </c>
      <c r="M10" s="482">
        <v>1</v>
      </c>
      <c r="N10" s="168">
        <v>255</v>
      </c>
      <c r="O10" s="168"/>
      <c r="P10" s="168"/>
      <c r="Q10" s="168"/>
      <c r="R10" s="169" t="e">
        <f>IF(N10="nio",0,IF(N10&gt;0,N10*I10/W10,0))*J10</f>
        <v>#DIV/0!</v>
      </c>
      <c r="S10" s="169">
        <f>IF(O10&gt;0,O10*I10/X10,0)*K10</f>
        <v>0</v>
      </c>
      <c r="T10" s="169">
        <f>IF(P10&gt;0,P10*I10/Y10,0)*L10</f>
        <v>0</v>
      </c>
      <c r="U10" s="169">
        <f>IF(Q10&gt;0,Q10*I10/Z10,0)*M10</f>
        <v>0</v>
      </c>
      <c r="V10" s="519"/>
      <c r="W10" s="170">
        <f>IF(N10="nio",0,IF(N10&gt;0,VLOOKUP(G10,'3-Productie normen'!A:N,VLOOKUP(N10,'3-Productie normen'!Q:R,2,FALSE),FALSE)))</f>
        <v>0</v>
      </c>
      <c r="X10" s="170">
        <f t="shared" ref="X10:X73" si="0">IF(O10&gt;0,W10*$X$8,0)</f>
        <v>0</v>
      </c>
      <c r="Y10" s="170">
        <f t="shared" ref="Y10:Y73" si="1">IF(P10&gt;0,W10*$Y$8,0)</f>
        <v>0</v>
      </c>
      <c r="Z10" s="170">
        <f>IF(Q10&gt;0,W10*$Z$8,0)</f>
        <v>0</v>
      </c>
      <c r="AA10" s="171">
        <f>VLOOKUP(G10,'3-Productie normen'!A:N,10,FALSE)</f>
        <v>4</v>
      </c>
      <c r="AB10" s="171"/>
      <c r="AC10" s="4"/>
      <c r="AD10" s="131">
        <f t="shared" ref="AD10:AD73" si="2">SUM(N10:P10)*I10</f>
        <v>2422.5</v>
      </c>
    </row>
    <row r="11" spans="1:30" ht="14.1" customHeight="1">
      <c r="A11" s="147">
        <v>11</v>
      </c>
      <c r="B11" s="165" t="s">
        <v>245</v>
      </c>
      <c r="C11" s="165" t="s">
        <v>246</v>
      </c>
      <c r="D11" s="568" t="s">
        <v>102</v>
      </c>
      <c r="E11" s="166" t="s">
        <v>248</v>
      </c>
      <c r="F11" s="165" t="s">
        <v>249</v>
      </c>
      <c r="G11" s="165" t="s">
        <v>579</v>
      </c>
      <c r="H11" s="167" t="s">
        <v>104</v>
      </c>
      <c r="I11" s="563">
        <v>114.76</v>
      </c>
      <c r="J11" s="482">
        <v>1</v>
      </c>
      <c r="K11" s="482">
        <v>1</v>
      </c>
      <c r="L11" s="482">
        <v>1</v>
      </c>
      <c r="M11" s="482">
        <v>1</v>
      </c>
      <c r="N11" s="168">
        <v>255</v>
      </c>
      <c r="O11" s="168"/>
      <c r="P11" s="168"/>
      <c r="Q11" s="168"/>
      <c r="R11" s="169" t="e">
        <f t="shared" ref="R11:R74" si="3">IF(N11="nio",0,IF(N11&gt;0,N11*I11/W11,0))*J11</f>
        <v>#DIV/0!</v>
      </c>
      <c r="S11" s="169">
        <f t="shared" ref="S11:S74" si="4">IF(O11&gt;0,O11*I11/X11,0)*K11</f>
        <v>0</v>
      </c>
      <c r="T11" s="169">
        <f t="shared" ref="T11:T74" si="5">IF(P11&gt;0,P11*I11/Y11,0)*L11</f>
        <v>0</v>
      </c>
      <c r="U11" s="169">
        <f t="shared" ref="U11:U74" si="6">IF(Q11&gt;0,Q11*I11/Z11,0)*M11</f>
        <v>0</v>
      </c>
      <c r="V11" s="519"/>
      <c r="W11" s="170">
        <f>IF(N11="nio",0,IF(N11&gt;0,VLOOKUP(G11,'3-Productie normen'!A:N,VLOOKUP(N11,'3-Productie normen'!Q:R,2,FALSE),FALSE)))</f>
        <v>0</v>
      </c>
      <c r="X11" s="170">
        <f t="shared" si="0"/>
        <v>0</v>
      </c>
      <c r="Y11" s="170">
        <f t="shared" si="1"/>
        <v>0</v>
      </c>
      <c r="Z11" s="170">
        <f t="shared" ref="Z11:Z74" si="7">IF(Q11&gt;0,W11*$Z$8,0)</f>
        <v>0</v>
      </c>
      <c r="AA11" s="171">
        <f>VLOOKUP(G11,'3-Productie normen'!A:N,10,FALSE)</f>
        <v>4</v>
      </c>
      <c r="AB11" s="171"/>
      <c r="AD11" s="131">
        <f t="shared" si="2"/>
        <v>29263.800000000003</v>
      </c>
    </row>
    <row r="12" spans="1:30" ht="14.1" customHeight="1">
      <c r="A12" s="147">
        <v>12</v>
      </c>
      <c r="B12" s="165" t="s">
        <v>245</v>
      </c>
      <c r="C12" s="165" t="s">
        <v>246</v>
      </c>
      <c r="D12" s="568" t="s">
        <v>102</v>
      </c>
      <c r="E12" s="166" t="s">
        <v>250</v>
      </c>
      <c r="F12" s="165" t="s">
        <v>251</v>
      </c>
      <c r="G12" s="165" t="s">
        <v>373</v>
      </c>
      <c r="H12" s="167" t="s">
        <v>104</v>
      </c>
      <c r="I12" s="563">
        <v>21.31</v>
      </c>
      <c r="J12" s="482">
        <v>1</v>
      </c>
      <c r="K12" s="482">
        <v>1</v>
      </c>
      <c r="L12" s="482">
        <v>1</v>
      </c>
      <c r="M12" s="482">
        <v>1</v>
      </c>
      <c r="N12" s="168">
        <v>255</v>
      </c>
      <c r="O12" s="168"/>
      <c r="P12" s="168"/>
      <c r="Q12" s="168"/>
      <c r="R12" s="169" t="e">
        <f t="shared" si="3"/>
        <v>#DIV/0!</v>
      </c>
      <c r="S12" s="169">
        <f t="shared" si="4"/>
        <v>0</v>
      </c>
      <c r="T12" s="169">
        <f t="shared" si="5"/>
        <v>0</v>
      </c>
      <c r="U12" s="169">
        <f t="shared" si="6"/>
        <v>0</v>
      </c>
      <c r="V12" s="519"/>
      <c r="W12" s="170">
        <f>IF(N12="nio",0,IF(N12&gt;0,VLOOKUP(G12,'3-Productie normen'!A:N,VLOOKUP(N12,'3-Productie normen'!Q:R,2,FALSE),FALSE)))</f>
        <v>0</v>
      </c>
      <c r="X12" s="170">
        <f t="shared" si="0"/>
        <v>0</v>
      </c>
      <c r="Y12" s="170">
        <f t="shared" si="1"/>
        <v>0</v>
      </c>
      <c r="Z12" s="170">
        <f t="shared" si="7"/>
        <v>0</v>
      </c>
      <c r="AA12" s="171">
        <f>VLOOKUP(G12,'3-Productie normen'!A:N,10,FALSE)</f>
        <v>1</v>
      </c>
      <c r="AB12" s="171"/>
      <c r="AD12" s="131">
        <f t="shared" si="2"/>
        <v>5434.0499999999993</v>
      </c>
    </row>
    <row r="13" spans="1:30" ht="14.1" customHeight="1">
      <c r="A13" s="147">
        <v>13</v>
      </c>
      <c r="B13" s="165" t="s">
        <v>245</v>
      </c>
      <c r="C13" s="165" t="s">
        <v>246</v>
      </c>
      <c r="D13" s="568" t="s">
        <v>102</v>
      </c>
      <c r="E13" s="166" t="s">
        <v>252</v>
      </c>
      <c r="F13" s="167" t="s">
        <v>253</v>
      </c>
      <c r="G13" s="167" t="s">
        <v>17</v>
      </c>
      <c r="H13" s="167" t="s">
        <v>105</v>
      </c>
      <c r="I13" s="563">
        <v>3.29</v>
      </c>
      <c r="J13" s="482">
        <v>1</v>
      </c>
      <c r="K13" s="482">
        <v>1</v>
      </c>
      <c r="L13" s="482">
        <v>1</v>
      </c>
      <c r="M13" s="482">
        <v>1</v>
      </c>
      <c r="N13" s="168">
        <v>255</v>
      </c>
      <c r="O13" s="168"/>
      <c r="P13" s="168"/>
      <c r="Q13" s="168"/>
      <c r="R13" s="169" t="e">
        <f t="shared" si="3"/>
        <v>#DIV/0!</v>
      </c>
      <c r="S13" s="169">
        <f t="shared" si="4"/>
        <v>0</v>
      </c>
      <c r="T13" s="169">
        <f t="shared" si="5"/>
        <v>0</v>
      </c>
      <c r="U13" s="169">
        <f t="shared" si="6"/>
        <v>0</v>
      </c>
      <c r="V13" s="519"/>
      <c r="W13" s="170">
        <f>IF(N13="nio",0,IF(N13&gt;0,VLOOKUP(G13,'3-Productie normen'!A:N,VLOOKUP(N13,'3-Productie normen'!Q:R,2,FALSE),FALSE)))</f>
        <v>0</v>
      </c>
      <c r="X13" s="170">
        <f t="shared" si="0"/>
        <v>0</v>
      </c>
      <c r="Y13" s="170">
        <f t="shared" si="1"/>
        <v>0</v>
      </c>
      <c r="Z13" s="170">
        <f t="shared" si="7"/>
        <v>0</v>
      </c>
      <c r="AA13" s="171">
        <f>VLOOKUP(G13,'3-Productie normen'!A:N,10,FALSE)</f>
        <v>3</v>
      </c>
      <c r="AB13" s="171"/>
      <c r="AD13" s="131">
        <f t="shared" si="2"/>
        <v>838.95</v>
      </c>
    </row>
    <row r="14" spans="1:30" ht="14.1" customHeight="1">
      <c r="A14" s="147">
        <v>14</v>
      </c>
      <c r="B14" s="165" t="s">
        <v>245</v>
      </c>
      <c r="C14" s="165" t="s">
        <v>246</v>
      </c>
      <c r="D14" s="568" t="s">
        <v>102</v>
      </c>
      <c r="E14" s="176" t="s">
        <v>254</v>
      </c>
      <c r="F14" s="177" t="s">
        <v>255</v>
      </c>
      <c r="G14" s="177" t="s">
        <v>17</v>
      </c>
      <c r="H14" s="167" t="s">
        <v>105</v>
      </c>
      <c r="I14" s="563">
        <v>1.31</v>
      </c>
      <c r="J14" s="482">
        <v>1</v>
      </c>
      <c r="K14" s="482">
        <v>1</v>
      </c>
      <c r="L14" s="482">
        <v>1</v>
      </c>
      <c r="M14" s="482">
        <v>1</v>
      </c>
      <c r="N14" s="168">
        <v>255</v>
      </c>
      <c r="O14" s="168"/>
      <c r="P14" s="168"/>
      <c r="Q14" s="168"/>
      <c r="R14" s="169" t="e">
        <f t="shared" si="3"/>
        <v>#DIV/0!</v>
      </c>
      <c r="S14" s="169">
        <f t="shared" si="4"/>
        <v>0</v>
      </c>
      <c r="T14" s="169">
        <f t="shared" si="5"/>
        <v>0</v>
      </c>
      <c r="U14" s="169">
        <f t="shared" si="6"/>
        <v>0</v>
      </c>
      <c r="V14" s="519"/>
      <c r="W14" s="170">
        <f>IF(N14="nio",0,IF(N14&gt;0,VLOOKUP(G14,'3-Productie normen'!A:N,VLOOKUP(N14,'3-Productie normen'!Q:R,2,FALSE),FALSE)))</f>
        <v>0</v>
      </c>
      <c r="X14" s="170">
        <f t="shared" si="0"/>
        <v>0</v>
      </c>
      <c r="Y14" s="170">
        <f t="shared" si="1"/>
        <v>0</v>
      </c>
      <c r="Z14" s="170">
        <f t="shared" si="7"/>
        <v>0</v>
      </c>
      <c r="AA14" s="171">
        <f>VLOOKUP(G14,'3-Productie normen'!A:N,10,FALSE)</f>
        <v>3</v>
      </c>
      <c r="AB14" s="171"/>
      <c r="AD14" s="131">
        <f t="shared" si="2"/>
        <v>334.05</v>
      </c>
    </row>
    <row r="15" spans="1:30" ht="14.1" customHeight="1">
      <c r="A15" s="147">
        <v>15</v>
      </c>
      <c r="B15" s="165" t="s">
        <v>245</v>
      </c>
      <c r="C15" s="165" t="s">
        <v>246</v>
      </c>
      <c r="D15" s="568" t="s">
        <v>102</v>
      </c>
      <c r="E15" s="166" t="s">
        <v>256</v>
      </c>
      <c r="F15" s="167" t="s">
        <v>257</v>
      </c>
      <c r="G15" s="167" t="s">
        <v>17</v>
      </c>
      <c r="H15" s="167" t="s">
        <v>105</v>
      </c>
      <c r="I15" s="563">
        <v>1.02</v>
      </c>
      <c r="J15" s="482">
        <v>1</v>
      </c>
      <c r="K15" s="482">
        <v>1</v>
      </c>
      <c r="L15" s="482">
        <v>1</v>
      </c>
      <c r="M15" s="482">
        <v>1</v>
      </c>
      <c r="N15" s="168">
        <v>255</v>
      </c>
      <c r="O15" s="168"/>
      <c r="P15" s="168"/>
      <c r="Q15" s="168"/>
      <c r="R15" s="169" t="e">
        <f t="shared" si="3"/>
        <v>#DIV/0!</v>
      </c>
      <c r="S15" s="169">
        <f t="shared" si="4"/>
        <v>0</v>
      </c>
      <c r="T15" s="169">
        <f t="shared" si="5"/>
        <v>0</v>
      </c>
      <c r="U15" s="169">
        <f t="shared" si="6"/>
        <v>0</v>
      </c>
      <c r="V15" s="519"/>
      <c r="W15" s="170">
        <f>IF(N15="nio",0,IF(N15&gt;0,VLOOKUP(G15,'3-Productie normen'!A:N,VLOOKUP(N15,'3-Productie normen'!Q:R,2,FALSE),FALSE)))</f>
        <v>0</v>
      </c>
      <c r="X15" s="170">
        <f t="shared" si="0"/>
        <v>0</v>
      </c>
      <c r="Y15" s="170">
        <f t="shared" si="1"/>
        <v>0</v>
      </c>
      <c r="Z15" s="170">
        <f t="shared" si="7"/>
        <v>0</v>
      </c>
      <c r="AA15" s="171">
        <f>VLOOKUP(G15,'3-Productie normen'!A:N,10,FALSE)</f>
        <v>3</v>
      </c>
      <c r="AB15" s="171"/>
      <c r="AD15" s="131">
        <f t="shared" si="2"/>
        <v>260.10000000000002</v>
      </c>
    </row>
    <row r="16" spans="1:30" ht="14.1" customHeight="1">
      <c r="A16" s="147">
        <v>16</v>
      </c>
      <c r="B16" s="165" t="s">
        <v>245</v>
      </c>
      <c r="C16" s="165" t="s">
        <v>246</v>
      </c>
      <c r="D16" s="568" t="s">
        <v>102</v>
      </c>
      <c r="E16" s="166" t="s">
        <v>258</v>
      </c>
      <c r="F16" s="128" t="s">
        <v>257</v>
      </c>
      <c r="G16" s="167" t="s">
        <v>17</v>
      </c>
      <c r="H16" s="167" t="s">
        <v>105</v>
      </c>
      <c r="I16" s="563">
        <v>1.02</v>
      </c>
      <c r="J16" s="482">
        <v>1</v>
      </c>
      <c r="K16" s="482">
        <v>1</v>
      </c>
      <c r="L16" s="482">
        <v>1</v>
      </c>
      <c r="M16" s="482">
        <v>1</v>
      </c>
      <c r="N16" s="168">
        <v>255</v>
      </c>
      <c r="O16" s="168"/>
      <c r="P16" s="168"/>
      <c r="Q16" s="168"/>
      <c r="R16" s="169" t="e">
        <f t="shared" si="3"/>
        <v>#DIV/0!</v>
      </c>
      <c r="S16" s="169">
        <f t="shared" si="4"/>
        <v>0</v>
      </c>
      <c r="T16" s="169">
        <f t="shared" si="5"/>
        <v>0</v>
      </c>
      <c r="U16" s="169">
        <f t="shared" si="6"/>
        <v>0</v>
      </c>
      <c r="V16" s="519"/>
      <c r="W16" s="170">
        <f>IF(N16="nio",0,IF(N16&gt;0,VLOOKUP(G16,'3-Productie normen'!A:N,VLOOKUP(N16,'3-Productie normen'!Q:R,2,FALSE),FALSE)))</f>
        <v>0</v>
      </c>
      <c r="X16" s="170">
        <f t="shared" si="0"/>
        <v>0</v>
      </c>
      <c r="Y16" s="170">
        <f t="shared" si="1"/>
        <v>0</v>
      </c>
      <c r="Z16" s="170">
        <f t="shared" si="7"/>
        <v>0</v>
      </c>
      <c r="AA16" s="171">
        <f>VLOOKUP(G16,'3-Productie normen'!A:N,10,FALSE)</f>
        <v>3</v>
      </c>
      <c r="AB16" s="171"/>
      <c r="AD16" s="131">
        <f t="shared" si="2"/>
        <v>260.10000000000002</v>
      </c>
    </row>
    <row r="17" spans="1:30" ht="14.1" customHeight="1">
      <c r="A17" s="147">
        <v>17</v>
      </c>
      <c r="B17" s="165" t="s">
        <v>245</v>
      </c>
      <c r="C17" s="165" t="s">
        <v>246</v>
      </c>
      <c r="D17" s="568" t="s">
        <v>102</v>
      </c>
      <c r="E17" s="166" t="s">
        <v>259</v>
      </c>
      <c r="F17" s="128" t="s">
        <v>260</v>
      </c>
      <c r="G17" s="128" t="s">
        <v>578</v>
      </c>
      <c r="H17" s="167" t="s">
        <v>104</v>
      </c>
      <c r="I17" s="563">
        <v>6.04</v>
      </c>
      <c r="J17" s="482">
        <v>1</v>
      </c>
      <c r="K17" s="482">
        <v>1</v>
      </c>
      <c r="L17" s="482">
        <v>1</v>
      </c>
      <c r="M17" s="482">
        <v>1</v>
      </c>
      <c r="N17" s="168">
        <v>12</v>
      </c>
      <c r="O17" s="168"/>
      <c r="P17" s="168"/>
      <c r="Q17" s="168"/>
      <c r="R17" s="169" t="e">
        <f t="shared" si="3"/>
        <v>#DIV/0!</v>
      </c>
      <c r="S17" s="169">
        <f t="shared" si="4"/>
        <v>0</v>
      </c>
      <c r="T17" s="169">
        <f t="shared" si="5"/>
        <v>0</v>
      </c>
      <c r="U17" s="169">
        <f t="shared" si="6"/>
        <v>0</v>
      </c>
      <c r="V17" s="519"/>
      <c r="W17" s="170">
        <f>IF(N17="nio",0,IF(N17&gt;0,VLOOKUP(G17,'3-Productie normen'!A:N,VLOOKUP(N17,'3-Productie normen'!Q:R,2,FALSE),FALSE)))</f>
        <v>0</v>
      </c>
      <c r="X17" s="170">
        <f t="shared" si="0"/>
        <v>0</v>
      </c>
      <c r="Y17" s="170">
        <f t="shared" si="1"/>
        <v>0</v>
      </c>
      <c r="Z17" s="170">
        <f t="shared" si="7"/>
        <v>0</v>
      </c>
      <c r="AA17" s="171">
        <f>VLOOKUP(G17,'3-Productie normen'!A:N,10,FALSE)</f>
        <v>4</v>
      </c>
      <c r="AB17" s="171"/>
      <c r="AD17" s="131">
        <f t="shared" si="2"/>
        <v>72.48</v>
      </c>
    </row>
    <row r="18" spans="1:30" ht="14.1" customHeight="1">
      <c r="A18" s="147">
        <v>18</v>
      </c>
      <c r="B18" s="165" t="s">
        <v>245</v>
      </c>
      <c r="C18" s="165" t="s">
        <v>246</v>
      </c>
      <c r="D18" s="568" t="s">
        <v>102</v>
      </c>
      <c r="E18" s="166" t="s">
        <v>261</v>
      </c>
      <c r="F18" s="128" t="s">
        <v>262</v>
      </c>
      <c r="G18" s="128" t="s">
        <v>373</v>
      </c>
      <c r="H18" s="167" t="s">
        <v>104</v>
      </c>
      <c r="I18" s="563">
        <v>14.53</v>
      </c>
      <c r="J18" s="482">
        <v>1</v>
      </c>
      <c r="K18" s="482">
        <v>1</v>
      </c>
      <c r="L18" s="482">
        <v>1</v>
      </c>
      <c r="M18" s="482">
        <v>1</v>
      </c>
      <c r="N18" s="168">
        <v>255</v>
      </c>
      <c r="O18" s="168"/>
      <c r="P18" s="168"/>
      <c r="Q18" s="168"/>
      <c r="R18" s="169" t="e">
        <f t="shared" si="3"/>
        <v>#DIV/0!</v>
      </c>
      <c r="S18" s="169">
        <f t="shared" si="4"/>
        <v>0</v>
      </c>
      <c r="T18" s="169">
        <f t="shared" si="5"/>
        <v>0</v>
      </c>
      <c r="U18" s="169">
        <f t="shared" si="6"/>
        <v>0</v>
      </c>
      <c r="V18" s="519"/>
      <c r="W18" s="170">
        <f>IF(N18="nio",0,IF(N18&gt;0,VLOOKUP(G18,'3-Productie normen'!A:N,VLOOKUP(N18,'3-Productie normen'!Q:R,2,FALSE),FALSE)))</f>
        <v>0</v>
      </c>
      <c r="X18" s="170">
        <f t="shared" si="0"/>
        <v>0</v>
      </c>
      <c r="Y18" s="170">
        <f t="shared" si="1"/>
        <v>0</v>
      </c>
      <c r="Z18" s="170">
        <f t="shared" si="7"/>
        <v>0</v>
      </c>
      <c r="AA18" s="171">
        <f>VLOOKUP(G18,'3-Productie normen'!A:N,10,FALSE)</f>
        <v>1</v>
      </c>
      <c r="AB18" s="171"/>
      <c r="AD18" s="131">
        <f t="shared" si="2"/>
        <v>3705.1499999999996</v>
      </c>
    </row>
    <row r="19" spans="1:30" ht="14.1" customHeight="1">
      <c r="A19" s="147">
        <v>19</v>
      </c>
      <c r="B19" s="165" t="s">
        <v>245</v>
      </c>
      <c r="C19" s="165" t="s">
        <v>246</v>
      </c>
      <c r="D19" s="568" t="s">
        <v>102</v>
      </c>
      <c r="E19" s="166" t="s">
        <v>263</v>
      </c>
      <c r="F19" s="128" t="s">
        <v>264</v>
      </c>
      <c r="G19" s="128" t="s">
        <v>373</v>
      </c>
      <c r="H19" s="167" t="s">
        <v>104</v>
      </c>
      <c r="I19" s="563">
        <v>12</v>
      </c>
      <c r="J19" s="482">
        <v>1</v>
      </c>
      <c r="K19" s="482">
        <v>1</v>
      </c>
      <c r="L19" s="482">
        <v>1</v>
      </c>
      <c r="M19" s="482">
        <v>1</v>
      </c>
      <c r="N19" s="168">
        <v>255</v>
      </c>
      <c r="O19" s="168"/>
      <c r="P19" s="168"/>
      <c r="Q19" s="168"/>
      <c r="R19" s="169" t="e">
        <f t="shared" si="3"/>
        <v>#DIV/0!</v>
      </c>
      <c r="S19" s="169">
        <f t="shared" si="4"/>
        <v>0</v>
      </c>
      <c r="T19" s="169">
        <f t="shared" si="5"/>
        <v>0</v>
      </c>
      <c r="U19" s="169">
        <f t="shared" si="6"/>
        <v>0</v>
      </c>
      <c r="V19" s="519"/>
      <c r="W19" s="170">
        <f>IF(N19="nio",0,IF(N19&gt;0,VLOOKUP(G19,'3-Productie normen'!A:N,VLOOKUP(N19,'3-Productie normen'!Q:R,2,FALSE),FALSE)))</f>
        <v>0</v>
      </c>
      <c r="X19" s="170">
        <f t="shared" si="0"/>
        <v>0</v>
      </c>
      <c r="Y19" s="170">
        <f t="shared" si="1"/>
        <v>0</v>
      </c>
      <c r="Z19" s="170">
        <f t="shared" si="7"/>
        <v>0</v>
      </c>
      <c r="AA19" s="171">
        <f>VLOOKUP(G19,'3-Productie normen'!A:N,10,FALSE)</f>
        <v>1</v>
      </c>
      <c r="AB19" s="171"/>
      <c r="AD19" s="131">
        <f t="shared" si="2"/>
        <v>3060</v>
      </c>
    </row>
    <row r="20" spans="1:30" ht="14.1" customHeight="1">
      <c r="A20" s="147">
        <v>20</v>
      </c>
      <c r="B20" s="165" t="s">
        <v>245</v>
      </c>
      <c r="C20" s="165" t="s">
        <v>246</v>
      </c>
      <c r="D20" s="568" t="s">
        <v>102</v>
      </c>
      <c r="E20" s="166" t="s">
        <v>265</v>
      </c>
      <c r="F20" s="128" t="s">
        <v>266</v>
      </c>
      <c r="G20" s="128" t="s">
        <v>373</v>
      </c>
      <c r="H20" s="167" t="s">
        <v>104</v>
      </c>
      <c r="I20" s="563">
        <v>19.62</v>
      </c>
      <c r="J20" s="482">
        <v>1</v>
      </c>
      <c r="K20" s="482">
        <v>1</v>
      </c>
      <c r="L20" s="482">
        <v>1</v>
      </c>
      <c r="M20" s="482">
        <v>1</v>
      </c>
      <c r="N20" s="168">
        <v>255</v>
      </c>
      <c r="O20" s="168"/>
      <c r="P20" s="168"/>
      <c r="Q20" s="168"/>
      <c r="R20" s="169" t="e">
        <f t="shared" si="3"/>
        <v>#DIV/0!</v>
      </c>
      <c r="S20" s="169">
        <f t="shared" si="4"/>
        <v>0</v>
      </c>
      <c r="T20" s="169">
        <f t="shared" si="5"/>
        <v>0</v>
      </c>
      <c r="U20" s="169">
        <f t="shared" si="6"/>
        <v>0</v>
      </c>
      <c r="V20" s="519"/>
      <c r="W20" s="170">
        <f>IF(N20="nio",0,IF(N20&gt;0,VLOOKUP(G20,'3-Productie normen'!A:N,VLOOKUP(N20,'3-Productie normen'!Q:R,2,FALSE),FALSE)))</f>
        <v>0</v>
      </c>
      <c r="X20" s="170">
        <f t="shared" si="0"/>
        <v>0</v>
      </c>
      <c r="Y20" s="170">
        <f t="shared" si="1"/>
        <v>0</v>
      </c>
      <c r="Z20" s="170">
        <f t="shared" si="7"/>
        <v>0</v>
      </c>
      <c r="AA20" s="171">
        <f>VLOOKUP(G20,'3-Productie normen'!A:N,10,FALSE)</f>
        <v>1</v>
      </c>
      <c r="AB20" s="171"/>
      <c r="AD20" s="131">
        <f t="shared" si="2"/>
        <v>5003.1000000000004</v>
      </c>
    </row>
    <row r="21" spans="1:30" ht="14.1" customHeight="1">
      <c r="A21" s="147">
        <v>21</v>
      </c>
      <c r="B21" s="165" t="s">
        <v>245</v>
      </c>
      <c r="C21" s="165" t="s">
        <v>246</v>
      </c>
      <c r="D21" s="568" t="s">
        <v>102</v>
      </c>
      <c r="E21" s="166" t="s">
        <v>267</v>
      </c>
      <c r="F21" s="128" t="s">
        <v>268</v>
      </c>
      <c r="G21" s="128" t="s">
        <v>580</v>
      </c>
      <c r="H21" s="167" t="s">
        <v>104</v>
      </c>
      <c r="I21" s="563">
        <v>21.3</v>
      </c>
      <c r="J21" s="482">
        <v>1</v>
      </c>
      <c r="K21" s="482">
        <v>1</v>
      </c>
      <c r="L21" s="482">
        <v>1</v>
      </c>
      <c r="M21" s="482">
        <v>1</v>
      </c>
      <c r="N21" s="168">
        <v>255</v>
      </c>
      <c r="O21" s="168"/>
      <c r="P21" s="168"/>
      <c r="Q21" s="168"/>
      <c r="R21" s="169" t="e">
        <f t="shared" si="3"/>
        <v>#DIV/0!</v>
      </c>
      <c r="S21" s="169">
        <f t="shared" si="4"/>
        <v>0</v>
      </c>
      <c r="T21" s="169">
        <f t="shared" si="5"/>
        <v>0</v>
      </c>
      <c r="U21" s="169">
        <f t="shared" si="6"/>
        <v>0</v>
      </c>
      <c r="V21" s="519"/>
      <c r="W21" s="170">
        <f>IF(N21="nio",0,IF(N21&gt;0,VLOOKUP(G21,'3-Productie normen'!A:N,VLOOKUP(N21,'3-Productie normen'!Q:R,2,FALSE),FALSE)))</f>
        <v>0</v>
      </c>
      <c r="X21" s="170">
        <f t="shared" si="0"/>
        <v>0</v>
      </c>
      <c r="Y21" s="170">
        <f t="shared" si="1"/>
        <v>0</v>
      </c>
      <c r="Z21" s="170">
        <f t="shared" si="7"/>
        <v>0</v>
      </c>
      <c r="AA21" s="171">
        <f>VLOOKUP(G21,'3-Productie normen'!A:N,10,FALSE)</f>
        <v>4</v>
      </c>
      <c r="AB21" s="171"/>
      <c r="AD21" s="131">
        <f t="shared" si="2"/>
        <v>5431.5</v>
      </c>
    </row>
    <row r="22" spans="1:30" ht="14.1" customHeight="1">
      <c r="A22" s="147">
        <v>22</v>
      </c>
      <c r="B22" s="165" t="s">
        <v>245</v>
      </c>
      <c r="C22" s="165" t="s">
        <v>246</v>
      </c>
      <c r="D22" s="568">
        <v>1</v>
      </c>
      <c r="E22" s="166" t="s">
        <v>273</v>
      </c>
      <c r="F22" s="128" t="s">
        <v>278</v>
      </c>
      <c r="G22" s="128" t="s">
        <v>580</v>
      </c>
      <c r="H22" s="167" t="s">
        <v>105</v>
      </c>
      <c r="I22" s="563">
        <v>10.24</v>
      </c>
      <c r="J22" s="482">
        <v>1</v>
      </c>
      <c r="K22" s="482">
        <v>1</v>
      </c>
      <c r="L22" s="482">
        <v>1</v>
      </c>
      <c r="M22" s="482">
        <v>1</v>
      </c>
      <c r="N22" s="168">
        <v>255</v>
      </c>
      <c r="O22" s="168"/>
      <c r="P22" s="168"/>
      <c r="Q22" s="168"/>
      <c r="R22" s="169" t="e">
        <f t="shared" si="3"/>
        <v>#DIV/0!</v>
      </c>
      <c r="S22" s="169">
        <f t="shared" si="4"/>
        <v>0</v>
      </c>
      <c r="T22" s="169">
        <f t="shared" si="5"/>
        <v>0</v>
      </c>
      <c r="U22" s="169">
        <f t="shared" si="6"/>
        <v>0</v>
      </c>
      <c r="V22" s="519"/>
      <c r="W22" s="170">
        <f>IF(N22="nio",0,IF(N22&gt;0,VLOOKUP(G22,'3-Productie normen'!A:N,VLOOKUP(N22,'3-Productie normen'!Q:R,2,FALSE),FALSE)))</f>
        <v>0</v>
      </c>
      <c r="X22" s="170">
        <f t="shared" si="0"/>
        <v>0</v>
      </c>
      <c r="Y22" s="170">
        <f t="shared" si="1"/>
        <v>0</v>
      </c>
      <c r="Z22" s="170">
        <f t="shared" si="7"/>
        <v>0</v>
      </c>
      <c r="AA22" s="171">
        <f>VLOOKUP(G22,'3-Productie normen'!A:N,10,FALSE)</f>
        <v>4</v>
      </c>
      <c r="AB22" s="171"/>
      <c r="AD22" s="131">
        <f t="shared" si="2"/>
        <v>2611.2000000000003</v>
      </c>
    </row>
    <row r="23" spans="1:30" ht="14.1" customHeight="1">
      <c r="A23" s="147">
        <v>23</v>
      </c>
      <c r="B23" s="165" t="s">
        <v>245</v>
      </c>
      <c r="C23" s="165" t="s">
        <v>246</v>
      </c>
      <c r="D23" s="568">
        <v>1</v>
      </c>
      <c r="E23" s="166" t="s">
        <v>274</v>
      </c>
      <c r="F23" s="128" t="s">
        <v>269</v>
      </c>
      <c r="G23" s="525" t="s">
        <v>583</v>
      </c>
      <c r="H23" s="167" t="s">
        <v>272</v>
      </c>
      <c r="I23" s="563">
        <v>7.19</v>
      </c>
      <c r="J23" s="482">
        <v>1</v>
      </c>
      <c r="K23" s="482">
        <v>1</v>
      </c>
      <c r="L23" s="482">
        <v>1</v>
      </c>
      <c r="M23" s="482">
        <v>1</v>
      </c>
      <c r="N23" s="168">
        <v>255</v>
      </c>
      <c r="O23" s="168"/>
      <c r="P23" s="168"/>
      <c r="Q23" s="168"/>
      <c r="R23" s="169" t="e">
        <f t="shared" si="3"/>
        <v>#DIV/0!</v>
      </c>
      <c r="S23" s="169">
        <f t="shared" si="4"/>
        <v>0</v>
      </c>
      <c r="T23" s="169">
        <f t="shared" si="5"/>
        <v>0</v>
      </c>
      <c r="U23" s="169">
        <f t="shared" si="6"/>
        <v>0</v>
      </c>
      <c r="V23" s="519"/>
      <c r="W23" s="170">
        <f>IF(N23="nio",0,IF(N23&gt;0,VLOOKUP(G23,'3-Productie normen'!A:N,VLOOKUP(N23,'3-Productie normen'!Q:R,2,FALSE),FALSE)))</f>
        <v>0</v>
      </c>
      <c r="X23" s="170">
        <f t="shared" si="0"/>
        <v>0</v>
      </c>
      <c r="Y23" s="170">
        <f t="shared" si="1"/>
        <v>0</v>
      </c>
      <c r="Z23" s="170">
        <f t="shared" si="7"/>
        <v>0</v>
      </c>
      <c r="AA23" s="171">
        <f>VLOOKUP(G23,'3-Productie normen'!A:N,10,FALSE)</f>
        <v>4</v>
      </c>
      <c r="AB23" s="171"/>
      <c r="AD23" s="131">
        <f t="shared" si="2"/>
        <v>1833.45</v>
      </c>
    </row>
    <row r="24" spans="1:30" ht="14.1" customHeight="1">
      <c r="A24" s="147">
        <v>24</v>
      </c>
      <c r="B24" s="165" t="s">
        <v>245</v>
      </c>
      <c r="C24" s="165" t="s">
        <v>246</v>
      </c>
      <c r="D24" s="568">
        <v>1</v>
      </c>
      <c r="E24" s="166" t="s">
        <v>275</v>
      </c>
      <c r="F24" s="165" t="s">
        <v>279</v>
      </c>
      <c r="G24" s="525" t="s">
        <v>583</v>
      </c>
      <c r="H24" s="167" t="s">
        <v>272</v>
      </c>
      <c r="I24" s="563">
        <v>10.67</v>
      </c>
      <c r="J24" s="482">
        <v>1</v>
      </c>
      <c r="K24" s="482">
        <v>1</v>
      </c>
      <c r="L24" s="482">
        <v>1</v>
      </c>
      <c r="M24" s="482">
        <v>1</v>
      </c>
      <c r="N24" s="168">
        <v>255</v>
      </c>
      <c r="O24" s="168"/>
      <c r="P24" s="168"/>
      <c r="Q24" s="168"/>
      <c r="R24" s="169" t="e">
        <f t="shared" si="3"/>
        <v>#DIV/0!</v>
      </c>
      <c r="S24" s="169">
        <f t="shared" si="4"/>
        <v>0</v>
      </c>
      <c r="T24" s="169">
        <f t="shared" si="5"/>
        <v>0</v>
      </c>
      <c r="U24" s="169">
        <f t="shared" si="6"/>
        <v>0</v>
      </c>
      <c r="V24" s="519"/>
      <c r="W24" s="170">
        <f>IF(N24="nio",0,IF(N24&gt;0,VLOOKUP(G24,'3-Productie normen'!A:N,VLOOKUP(N24,'3-Productie normen'!Q:R,2,FALSE),FALSE)))</f>
        <v>0</v>
      </c>
      <c r="X24" s="170">
        <f t="shared" si="0"/>
        <v>0</v>
      </c>
      <c r="Y24" s="170">
        <f t="shared" si="1"/>
        <v>0</v>
      </c>
      <c r="Z24" s="170">
        <f t="shared" si="7"/>
        <v>0</v>
      </c>
      <c r="AA24" s="171">
        <f>VLOOKUP(G24,'3-Productie normen'!A:N,10,FALSE)</f>
        <v>4</v>
      </c>
      <c r="AB24" s="171"/>
      <c r="AD24" s="131">
        <f t="shared" si="2"/>
        <v>2720.85</v>
      </c>
    </row>
    <row r="25" spans="1:30" ht="14.1" customHeight="1">
      <c r="A25" s="147">
        <v>25</v>
      </c>
      <c r="B25" s="165" t="s">
        <v>245</v>
      </c>
      <c r="C25" s="165" t="s">
        <v>246</v>
      </c>
      <c r="D25" s="568">
        <v>1</v>
      </c>
      <c r="E25" s="166" t="s">
        <v>276</v>
      </c>
      <c r="F25" s="167" t="s">
        <v>280</v>
      </c>
      <c r="G25" s="167" t="s">
        <v>107</v>
      </c>
      <c r="H25" s="167" t="s">
        <v>104</v>
      </c>
      <c r="I25" s="563">
        <v>37.22</v>
      </c>
      <c r="J25" s="482">
        <v>1</v>
      </c>
      <c r="K25" s="482">
        <v>1</v>
      </c>
      <c r="L25" s="482">
        <v>1</v>
      </c>
      <c r="M25" s="482">
        <v>1</v>
      </c>
      <c r="N25" s="168">
        <v>255</v>
      </c>
      <c r="O25" s="168"/>
      <c r="P25" s="168"/>
      <c r="Q25" s="168"/>
      <c r="R25" s="169" t="e">
        <f t="shared" si="3"/>
        <v>#DIV/0!</v>
      </c>
      <c r="S25" s="169">
        <f t="shared" si="4"/>
        <v>0</v>
      </c>
      <c r="T25" s="169">
        <f t="shared" si="5"/>
        <v>0</v>
      </c>
      <c r="U25" s="169">
        <f t="shared" si="6"/>
        <v>0</v>
      </c>
      <c r="V25" s="519"/>
      <c r="W25" s="170">
        <f>IF(N25="nio",0,IF(N25&gt;0,VLOOKUP(G25,'3-Productie normen'!A:N,VLOOKUP(N25,'3-Productie normen'!Q:R,2,FALSE),FALSE)))</f>
        <v>0</v>
      </c>
      <c r="X25" s="170">
        <f t="shared" si="0"/>
        <v>0</v>
      </c>
      <c r="Y25" s="170">
        <f t="shared" si="1"/>
        <v>0</v>
      </c>
      <c r="Z25" s="170">
        <f t="shared" si="7"/>
        <v>0</v>
      </c>
      <c r="AA25" s="171">
        <f>VLOOKUP(G25,'3-Productie normen'!A:N,10,FALSE)</f>
        <v>2</v>
      </c>
      <c r="AB25" s="171"/>
      <c r="AD25" s="131">
        <f t="shared" si="2"/>
        <v>9491.1</v>
      </c>
    </row>
    <row r="26" spans="1:30" ht="14.1" customHeight="1">
      <c r="A26" s="147">
        <v>26</v>
      </c>
      <c r="B26" s="165" t="s">
        <v>245</v>
      </c>
      <c r="C26" s="165" t="s">
        <v>246</v>
      </c>
      <c r="D26" s="568">
        <v>1</v>
      </c>
      <c r="E26" s="166" t="s">
        <v>277</v>
      </c>
      <c r="F26" s="167" t="s">
        <v>281</v>
      </c>
      <c r="G26" s="167" t="s">
        <v>373</v>
      </c>
      <c r="H26" s="167" t="s">
        <v>282</v>
      </c>
      <c r="I26" s="563">
        <v>96.68</v>
      </c>
      <c r="J26" s="482">
        <v>1</v>
      </c>
      <c r="K26" s="482">
        <v>1</v>
      </c>
      <c r="L26" s="482">
        <v>1</v>
      </c>
      <c r="M26" s="482">
        <v>1</v>
      </c>
      <c r="N26" s="168">
        <v>255</v>
      </c>
      <c r="O26" s="168"/>
      <c r="P26" s="168"/>
      <c r="Q26" s="168"/>
      <c r="R26" s="169" t="e">
        <f t="shared" si="3"/>
        <v>#DIV/0!</v>
      </c>
      <c r="S26" s="169">
        <f t="shared" si="4"/>
        <v>0</v>
      </c>
      <c r="T26" s="169">
        <f t="shared" si="5"/>
        <v>0</v>
      </c>
      <c r="U26" s="169">
        <f t="shared" si="6"/>
        <v>0</v>
      </c>
      <c r="V26" s="519"/>
      <c r="W26" s="170">
        <f>IF(N26="nio",0,IF(N26&gt;0,VLOOKUP(G26,'3-Productie normen'!A:N,VLOOKUP(N26,'3-Productie normen'!Q:R,2,FALSE),FALSE)))</f>
        <v>0</v>
      </c>
      <c r="X26" s="170">
        <f t="shared" si="0"/>
        <v>0</v>
      </c>
      <c r="Y26" s="170">
        <f t="shared" si="1"/>
        <v>0</v>
      </c>
      <c r="Z26" s="170">
        <f t="shared" si="7"/>
        <v>0</v>
      </c>
      <c r="AA26" s="171">
        <f>VLOOKUP(G26,'3-Productie normen'!A:N,10,FALSE)</f>
        <v>1</v>
      </c>
      <c r="AB26" s="171"/>
      <c r="AD26" s="131">
        <f t="shared" si="2"/>
        <v>24653.4</v>
      </c>
    </row>
    <row r="27" spans="1:30" ht="14.1" customHeight="1">
      <c r="A27" s="147">
        <v>27</v>
      </c>
      <c r="B27" s="165" t="s">
        <v>283</v>
      </c>
      <c r="C27" s="165" t="s">
        <v>284</v>
      </c>
      <c r="D27" s="568" t="s">
        <v>102</v>
      </c>
      <c r="E27" s="166" t="s">
        <v>247</v>
      </c>
      <c r="F27" s="167" t="s">
        <v>249</v>
      </c>
      <c r="G27" s="165" t="s">
        <v>579</v>
      </c>
      <c r="H27" s="167" t="s">
        <v>104</v>
      </c>
      <c r="I27" s="563">
        <v>112.93</v>
      </c>
      <c r="J27" s="482">
        <v>1</v>
      </c>
      <c r="K27" s="482">
        <v>1</v>
      </c>
      <c r="L27" s="482">
        <v>1</v>
      </c>
      <c r="M27" s="482">
        <v>1</v>
      </c>
      <c r="N27" s="168">
        <v>255</v>
      </c>
      <c r="O27" s="168"/>
      <c r="P27" s="168"/>
      <c r="Q27" s="168"/>
      <c r="R27" s="169" t="e">
        <f t="shared" si="3"/>
        <v>#DIV/0!</v>
      </c>
      <c r="S27" s="169">
        <f t="shared" si="4"/>
        <v>0</v>
      </c>
      <c r="T27" s="169">
        <f t="shared" si="5"/>
        <v>0</v>
      </c>
      <c r="U27" s="169">
        <f t="shared" si="6"/>
        <v>0</v>
      </c>
      <c r="V27" s="519"/>
      <c r="W27" s="170">
        <f>IF(N27="nio",0,IF(N27&gt;0,VLOOKUP(G27,'3-Productie normen'!A:N,VLOOKUP(N27,'3-Productie normen'!Q:R,2,FALSE),FALSE)))</f>
        <v>0</v>
      </c>
      <c r="X27" s="170">
        <f t="shared" si="0"/>
        <v>0</v>
      </c>
      <c r="Y27" s="170">
        <f t="shared" si="1"/>
        <v>0</v>
      </c>
      <c r="Z27" s="170">
        <f t="shared" si="7"/>
        <v>0</v>
      </c>
      <c r="AA27" s="171">
        <f>VLOOKUP(G27,'3-Productie normen'!A:N,10,FALSE)</f>
        <v>4</v>
      </c>
      <c r="AB27" s="171"/>
      <c r="AD27" s="131">
        <f t="shared" si="2"/>
        <v>28797.15</v>
      </c>
    </row>
    <row r="28" spans="1:30" ht="14.1" customHeight="1">
      <c r="A28" s="147">
        <v>28</v>
      </c>
      <c r="B28" s="165" t="s">
        <v>283</v>
      </c>
      <c r="C28" s="165" t="s">
        <v>284</v>
      </c>
      <c r="D28" s="568" t="s">
        <v>102</v>
      </c>
      <c r="E28" s="166" t="s">
        <v>248</v>
      </c>
      <c r="F28" s="167" t="s">
        <v>270</v>
      </c>
      <c r="G28" s="128" t="s">
        <v>373</v>
      </c>
      <c r="H28" s="167" t="s">
        <v>104</v>
      </c>
      <c r="I28" s="563">
        <v>8.48</v>
      </c>
      <c r="J28" s="482">
        <v>1</v>
      </c>
      <c r="K28" s="482">
        <v>1</v>
      </c>
      <c r="L28" s="482">
        <v>1</v>
      </c>
      <c r="M28" s="482">
        <v>1</v>
      </c>
      <c r="N28" s="168">
        <v>255</v>
      </c>
      <c r="O28" s="168"/>
      <c r="P28" s="168"/>
      <c r="Q28" s="168"/>
      <c r="R28" s="169" t="e">
        <f t="shared" si="3"/>
        <v>#DIV/0!</v>
      </c>
      <c r="S28" s="169">
        <f t="shared" si="4"/>
        <v>0</v>
      </c>
      <c r="T28" s="169">
        <f t="shared" si="5"/>
        <v>0</v>
      </c>
      <c r="U28" s="169">
        <f t="shared" si="6"/>
        <v>0</v>
      </c>
      <c r="V28" s="519"/>
      <c r="W28" s="170">
        <f>IF(N28="nio",0,IF(N28&gt;0,VLOOKUP(G28,'3-Productie normen'!A:N,VLOOKUP(N28,'3-Productie normen'!Q:R,2,FALSE),FALSE)))</f>
        <v>0</v>
      </c>
      <c r="X28" s="170">
        <f t="shared" si="0"/>
        <v>0</v>
      </c>
      <c r="Y28" s="170">
        <f t="shared" si="1"/>
        <v>0</v>
      </c>
      <c r="Z28" s="170">
        <f t="shared" si="7"/>
        <v>0</v>
      </c>
      <c r="AA28" s="171">
        <f>VLOOKUP(G28,'3-Productie normen'!A:N,10,FALSE)</f>
        <v>1</v>
      </c>
      <c r="AB28" s="171"/>
      <c r="AD28" s="131">
        <f t="shared" si="2"/>
        <v>2162.4</v>
      </c>
    </row>
    <row r="29" spans="1:30" ht="14.1" customHeight="1">
      <c r="A29" s="147">
        <v>29</v>
      </c>
      <c r="B29" s="165" t="s">
        <v>283</v>
      </c>
      <c r="C29" s="165" t="s">
        <v>284</v>
      </c>
      <c r="D29" s="568" t="s">
        <v>102</v>
      </c>
      <c r="E29" s="166" t="s">
        <v>250</v>
      </c>
      <c r="F29" s="173" t="s">
        <v>270</v>
      </c>
      <c r="G29" s="128" t="s">
        <v>373</v>
      </c>
      <c r="H29" s="167" t="s">
        <v>104</v>
      </c>
      <c r="I29" s="563">
        <v>8.48</v>
      </c>
      <c r="J29" s="482">
        <v>1</v>
      </c>
      <c r="K29" s="482">
        <v>1</v>
      </c>
      <c r="L29" s="482">
        <v>1</v>
      </c>
      <c r="M29" s="482">
        <v>1</v>
      </c>
      <c r="N29" s="168">
        <v>255</v>
      </c>
      <c r="O29" s="168"/>
      <c r="P29" s="168"/>
      <c r="Q29" s="168"/>
      <c r="R29" s="169" t="e">
        <f t="shared" si="3"/>
        <v>#DIV/0!</v>
      </c>
      <c r="S29" s="169">
        <f t="shared" si="4"/>
        <v>0</v>
      </c>
      <c r="T29" s="169">
        <f t="shared" si="5"/>
        <v>0</v>
      </c>
      <c r="U29" s="169">
        <f t="shared" si="6"/>
        <v>0</v>
      </c>
      <c r="V29" s="519"/>
      <c r="W29" s="170">
        <f>IF(N29="nio",0,IF(N29&gt;0,VLOOKUP(G29,'3-Productie normen'!A:N,VLOOKUP(N29,'3-Productie normen'!Q:R,2,FALSE),FALSE)))</f>
        <v>0</v>
      </c>
      <c r="X29" s="170">
        <f t="shared" si="0"/>
        <v>0</v>
      </c>
      <c r="Y29" s="170">
        <f t="shared" si="1"/>
        <v>0</v>
      </c>
      <c r="Z29" s="170">
        <f t="shared" si="7"/>
        <v>0</v>
      </c>
      <c r="AA29" s="171">
        <f>VLOOKUP(G29,'3-Productie normen'!A:N,10,FALSE)</f>
        <v>1</v>
      </c>
      <c r="AB29" s="171"/>
      <c r="AD29" s="131">
        <f t="shared" si="2"/>
        <v>2162.4</v>
      </c>
    </row>
    <row r="30" spans="1:30" ht="14.1" customHeight="1">
      <c r="A30" s="147">
        <v>30</v>
      </c>
      <c r="B30" s="165" t="s">
        <v>283</v>
      </c>
      <c r="C30" s="165" t="s">
        <v>284</v>
      </c>
      <c r="D30" s="568" t="s">
        <v>102</v>
      </c>
      <c r="E30" s="166" t="s">
        <v>252</v>
      </c>
      <c r="F30" s="174" t="s">
        <v>270</v>
      </c>
      <c r="G30" s="128" t="s">
        <v>373</v>
      </c>
      <c r="H30" s="175" t="s">
        <v>104</v>
      </c>
      <c r="I30" s="563">
        <v>8.48</v>
      </c>
      <c r="J30" s="482">
        <v>1</v>
      </c>
      <c r="K30" s="482">
        <v>1</v>
      </c>
      <c r="L30" s="482">
        <v>1</v>
      </c>
      <c r="M30" s="482">
        <v>1</v>
      </c>
      <c r="N30" s="168">
        <v>255</v>
      </c>
      <c r="O30" s="168"/>
      <c r="P30" s="168"/>
      <c r="Q30" s="168"/>
      <c r="R30" s="169" t="e">
        <f t="shared" si="3"/>
        <v>#DIV/0!</v>
      </c>
      <c r="S30" s="169">
        <f t="shared" si="4"/>
        <v>0</v>
      </c>
      <c r="T30" s="169">
        <f t="shared" si="5"/>
        <v>0</v>
      </c>
      <c r="U30" s="169">
        <f t="shared" si="6"/>
        <v>0</v>
      </c>
      <c r="V30" s="519"/>
      <c r="W30" s="170">
        <f>IF(N30="nio",0,IF(N30&gt;0,VLOOKUP(G30,'3-Productie normen'!A:N,VLOOKUP(N30,'3-Productie normen'!Q:R,2,FALSE),FALSE)))</f>
        <v>0</v>
      </c>
      <c r="X30" s="170">
        <f t="shared" si="0"/>
        <v>0</v>
      </c>
      <c r="Y30" s="170">
        <f t="shared" si="1"/>
        <v>0</v>
      </c>
      <c r="Z30" s="170">
        <f t="shared" si="7"/>
        <v>0</v>
      </c>
      <c r="AA30" s="171">
        <f>VLOOKUP(G30,'3-Productie normen'!A:N,10,FALSE)</f>
        <v>1</v>
      </c>
      <c r="AB30" s="171"/>
      <c r="AD30" s="131">
        <f t="shared" si="2"/>
        <v>2162.4</v>
      </c>
    </row>
    <row r="31" spans="1:30" ht="14.1" customHeight="1">
      <c r="A31" s="147">
        <v>31</v>
      </c>
      <c r="B31" s="165" t="s">
        <v>283</v>
      </c>
      <c r="C31" s="165" t="s">
        <v>284</v>
      </c>
      <c r="D31" s="568" t="s">
        <v>102</v>
      </c>
      <c r="E31" s="176" t="s">
        <v>254</v>
      </c>
      <c r="F31" s="177" t="s">
        <v>279</v>
      </c>
      <c r="G31" s="525" t="s">
        <v>583</v>
      </c>
      <c r="H31" s="167" t="s">
        <v>104</v>
      </c>
      <c r="I31" s="563">
        <v>15</v>
      </c>
      <c r="J31" s="482">
        <v>1</v>
      </c>
      <c r="K31" s="482">
        <v>1</v>
      </c>
      <c r="L31" s="482">
        <v>1</v>
      </c>
      <c r="M31" s="482">
        <v>1</v>
      </c>
      <c r="N31" s="168">
        <v>255</v>
      </c>
      <c r="O31" s="168"/>
      <c r="P31" s="168"/>
      <c r="Q31" s="168"/>
      <c r="R31" s="169" t="e">
        <f t="shared" si="3"/>
        <v>#DIV/0!</v>
      </c>
      <c r="S31" s="169">
        <f t="shared" si="4"/>
        <v>0</v>
      </c>
      <c r="T31" s="169">
        <f t="shared" si="5"/>
        <v>0</v>
      </c>
      <c r="U31" s="169">
        <f t="shared" si="6"/>
        <v>0</v>
      </c>
      <c r="V31" s="519"/>
      <c r="W31" s="170">
        <f>IF(N31="nio",0,IF(N31&gt;0,VLOOKUP(G31,'3-Productie normen'!A:N,VLOOKUP(N31,'3-Productie normen'!Q:R,2,FALSE),FALSE)))</f>
        <v>0</v>
      </c>
      <c r="X31" s="170">
        <f t="shared" si="0"/>
        <v>0</v>
      </c>
      <c r="Y31" s="170">
        <f t="shared" si="1"/>
        <v>0</v>
      </c>
      <c r="Z31" s="170">
        <f t="shared" si="7"/>
        <v>0</v>
      </c>
      <c r="AA31" s="171">
        <f>VLOOKUP(G31,'3-Productie normen'!A:N,10,FALSE)</f>
        <v>4</v>
      </c>
      <c r="AB31" s="171"/>
      <c r="AD31" s="131">
        <f t="shared" si="2"/>
        <v>3825</v>
      </c>
    </row>
    <row r="32" spans="1:30" ht="14.1" customHeight="1">
      <c r="A32" s="147">
        <v>32</v>
      </c>
      <c r="B32" s="165" t="s">
        <v>283</v>
      </c>
      <c r="C32" s="165" t="s">
        <v>284</v>
      </c>
      <c r="D32" s="568" t="s">
        <v>102</v>
      </c>
      <c r="E32" s="166" t="s">
        <v>256</v>
      </c>
      <c r="F32" s="167" t="s">
        <v>291</v>
      </c>
      <c r="G32" s="167" t="s">
        <v>373</v>
      </c>
      <c r="H32" s="167" t="s">
        <v>272</v>
      </c>
      <c r="I32" s="563">
        <v>37.29</v>
      </c>
      <c r="J32" s="482">
        <v>1</v>
      </c>
      <c r="K32" s="482">
        <v>1</v>
      </c>
      <c r="L32" s="482">
        <v>1</v>
      </c>
      <c r="M32" s="482">
        <v>1</v>
      </c>
      <c r="N32" s="168">
        <v>255</v>
      </c>
      <c r="O32" s="168"/>
      <c r="P32" s="168"/>
      <c r="Q32" s="168"/>
      <c r="R32" s="169" t="e">
        <f t="shared" si="3"/>
        <v>#DIV/0!</v>
      </c>
      <c r="S32" s="169">
        <f t="shared" si="4"/>
        <v>0</v>
      </c>
      <c r="T32" s="169">
        <f t="shared" si="5"/>
        <v>0</v>
      </c>
      <c r="U32" s="169">
        <f t="shared" si="6"/>
        <v>0</v>
      </c>
      <c r="V32" s="519"/>
      <c r="W32" s="170">
        <f>IF(N32="nio",0,IF(N32&gt;0,VLOOKUP(G32,'3-Productie normen'!A:N,VLOOKUP(N32,'3-Productie normen'!Q:R,2,FALSE),FALSE)))</f>
        <v>0</v>
      </c>
      <c r="X32" s="170">
        <f t="shared" si="0"/>
        <v>0</v>
      </c>
      <c r="Y32" s="170">
        <f t="shared" si="1"/>
        <v>0</v>
      </c>
      <c r="Z32" s="170">
        <f t="shared" si="7"/>
        <v>0</v>
      </c>
      <c r="AA32" s="171">
        <f>VLOOKUP(G32,'3-Productie normen'!A:N,10,FALSE)</f>
        <v>1</v>
      </c>
      <c r="AB32" s="171"/>
      <c r="AD32" s="131">
        <f t="shared" si="2"/>
        <v>9508.9499999999989</v>
      </c>
    </row>
    <row r="33" spans="1:30" ht="14.1" customHeight="1">
      <c r="A33" s="147">
        <v>33</v>
      </c>
      <c r="B33" s="165" t="s">
        <v>283</v>
      </c>
      <c r="C33" s="165" t="s">
        <v>284</v>
      </c>
      <c r="D33" s="568" t="s">
        <v>102</v>
      </c>
      <c r="E33" s="166" t="s">
        <v>258</v>
      </c>
      <c r="F33" s="128" t="s">
        <v>292</v>
      </c>
      <c r="G33" s="128" t="s">
        <v>199</v>
      </c>
      <c r="H33" s="167" t="s">
        <v>290</v>
      </c>
      <c r="I33" s="563">
        <v>0</v>
      </c>
      <c r="J33" s="482">
        <v>1</v>
      </c>
      <c r="K33" s="482">
        <v>1</v>
      </c>
      <c r="L33" s="482">
        <v>1</v>
      </c>
      <c r="M33" s="482">
        <v>1</v>
      </c>
      <c r="N33" s="168" t="s">
        <v>199</v>
      </c>
      <c r="O33" s="168"/>
      <c r="P33" s="168"/>
      <c r="Q33" s="168"/>
      <c r="R33" s="169">
        <f t="shared" si="3"/>
        <v>0</v>
      </c>
      <c r="S33" s="169">
        <f t="shared" si="4"/>
        <v>0</v>
      </c>
      <c r="T33" s="169">
        <f t="shared" si="5"/>
        <v>0</v>
      </c>
      <c r="U33" s="169">
        <f t="shared" si="6"/>
        <v>0</v>
      </c>
      <c r="V33" s="519"/>
      <c r="W33" s="170">
        <f>IF(N33="nio",0,IF(N33&gt;0,VLOOKUP(G33,'3-Productie normen'!A:N,VLOOKUP(N33,'3-Productie normen'!Q:R,2,FALSE),FALSE)))</f>
        <v>0</v>
      </c>
      <c r="X33" s="170">
        <f t="shared" si="0"/>
        <v>0</v>
      </c>
      <c r="Y33" s="170">
        <f t="shared" si="1"/>
        <v>0</v>
      </c>
      <c r="Z33" s="170">
        <f t="shared" si="7"/>
        <v>0</v>
      </c>
      <c r="AA33" s="171">
        <f>VLOOKUP(G33,'3-Productie normen'!A:N,10,FALSE)</f>
        <v>0</v>
      </c>
      <c r="AB33" s="171"/>
      <c r="AD33" s="131">
        <f t="shared" si="2"/>
        <v>0</v>
      </c>
    </row>
    <row r="34" spans="1:30" ht="14.1" customHeight="1">
      <c r="A34" s="147">
        <v>34</v>
      </c>
      <c r="B34" s="165" t="s">
        <v>283</v>
      </c>
      <c r="C34" s="165" t="s">
        <v>284</v>
      </c>
      <c r="D34" s="568" t="s">
        <v>102</v>
      </c>
      <c r="E34" s="166" t="s">
        <v>259</v>
      </c>
      <c r="F34" s="128" t="s">
        <v>293</v>
      </c>
      <c r="G34" s="128" t="s">
        <v>578</v>
      </c>
      <c r="H34" s="167" t="s">
        <v>104</v>
      </c>
      <c r="I34" s="563">
        <v>1.99</v>
      </c>
      <c r="J34" s="482">
        <v>1</v>
      </c>
      <c r="K34" s="482">
        <v>1</v>
      </c>
      <c r="L34" s="482">
        <v>1</v>
      </c>
      <c r="M34" s="482">
        <v>1</v>
      </c>
      <c r="N34" s="168">
        <v>12</v>
      </c>
      <c r="O34" s="168"/>
      <c r="P34" s="168"/>
      <c r="Q34" s="168"/>
      <c r="R34" s="169" t="e">
        <f t="shared" si="3"/>
        <v>#DIV/0!</v>
      </c>
      <c r="S34" s="169">
        <f t="shared" si="4"/>
        <v>0</v>
      </c>
      <c r="T34" s="169">
        <f t="shared" si="5"/>
        <v>0</v>
      </c>
      <c r="U34" s="169">
        <f t="shared" si="6"/>
        <v>0</v>
      </c>
      <c r="V34" s="519"/>
      <c r="W34" s="170">
        <f>IF(N34="nio",0,IF(N34&gt;0,VLOOKUP(G34,'3-Productie normen'!A:N,VLOOKUP(N34,'3-Productie normen'!Q:R,2,FALSE),FALSE)))</f>
        <v>0</v>
      </c>
      <c r="X34" s="170">
        <f t="shared" si="0"/>
        <v>0</v>
      </c>
      <c r="Y34" s="170">
        <f t="shared" si="1"/>
        <v>0</v>
      </c>
      <c r="Z34" s="170">
        <f t="shared" si="7"/>
        <v>0</v>
      </c>
      <c r="AA34" s="171">
        <f>VLOOKUP(G34,'3-Productie normen'!A:N,10,FALSE)</f>
        <v>4</v>
      </c>
      <c r="AB34" s="171"/>
      <c r="AD34" s="131">
        <f t="shared" si="2"/>
        <v>23.88</v>
      </c>
    </row>
    <row r="35" spans="1:30" ht="14.1" customHeight="1">
      <c r="A35" s="147">
        <v>35</v>
      </c>
      <c r="B35" s="165" t="s">
        <v>283</v>
      </c>
      <c r="C35" s="165" t="s">
        <v>284</v>
      </c>
      <c r="D35" s="568" t="s">
        <v>102</v>
      </c>
      <c r="E35" s="166" t="s">
        <v>261</v>
      </c>
      <c r="F35" s="128" t="s">
        <v>285</v>
      </c>
      <c r="G35" s="128" t="s">
        <v>199</v>
      </c>
      <c r="H35" s="167" t="s">
        <v>104</v>
      </c>
      <c r="I35" s="563">
        <v>3.88</v>
      </c>
      <c r="J35" s="482">
        <v>1</v>
      </c>
      <c r="K35" s="482">
        <v>1</v>
      </c>
      <c r="L35" s="482">
        <v>1</v>
      </c>
      <c r="M35" s="482">
        <v>1</v>
      </c>
      <c r="N35" s="168" t="s">
        <v>199</v>
      </c>
      <c r="O35" s="168"/>
      <c r="P35" s="168"/>
      <c r="Q35" s="168"/>
      <c r="R35" s="169">
        <f t="shared" si="3"/>
        <v>0</v>
      </c>
      <c r="S35" s="169">
        <f t="shared" si="4"/>
        <v>0</v>
      </c>
      <c r="T35" s="169">
        <f t="shared" si="5"/>
        <v>0</v>
      </c>
      <c r="U35" s="169">
        <f t="shared" si="6"/>
        <v>0</v>
      </c>
      <c r="V35" s="519"/>
      <c r="W35" s="170">
        <f>IF(N35="nio",0,IF(N35&gt;0,VLOOKUP(G35,'3-Productie normen'!A:N,VLOOKUP(N35,'3-Productie normen'!Q:R,2,FALSE),FALSE)))</f>
        <v>0</v>
      </c>
      <c r="X35" s="170">
        <f t="shared" si="0"/>
        <v>0</v>
      </c>
      <c r="Y35" s="170">
        <f t="shared" si="1"/>
        <v>0</v>
      </c>
      <c r="Z35" s="170">
        <f t="shared" si="7"/>
        <v>0</v>
      </c>
      <c r="AA35" s="171">
        <f>VLOOKUP(G35,'3-Productie normen'!A:N,10,FALSE)</f>
        <v>0</v>
      </c>
      <c r="AB35" s="171"/>
      <c r="AD35" s="131">
        <f t="shared" si="2"/>
        <v>0</v>
      </c>
    </row>
    <row r="36" spans="1:30" ht="14.1" customHeight="1">
      <c r="A36" s="147">
        <v>36</v>
      </c>
      <c r="B36" s="165" t="s">
        <v>283</v>
      </c>
      <c r="C36" s="165" t="s">
        <v>284</v>
      </c>
      <c r="D36" s="568" t="s">
        <v>102</v>
      </c>
      <c r="E36" s="166" t="s">
        <v>263</v>
      </c>
      <c r="F36" s="128" t="s">
        <v>294</v>
      </c>
      <c r="G36" s="177" t="s">
        <v>17</v>
      </c>
      <c r="H36" s="167" t="s">
        <v>105</v>
      </c>
      <c r="I36" s="563">
        <v>3.99</v>
      </c>
      <c r="J36" s="482">
        <v>1</v>
      </c>
      <c r="K36" s="482">
        <v>1</v>
      </c>
      <c r="L36" s="482">
        <v>1</v>
      </c>
      <c r="M36" s="482">
        <v>1</v>
      </c>
      <c r="N36" s="168">
        <v>255</v>
      </c>
      <c r="O36" s="168"/>
      <c r="P36" s="168"/>
      <c r="Q36" s="168"/>
      <c r="R36" s="169" t="e">
        <f t="shared" si="3"/>
        <v>#DIV/0!</v>
      </c>
      <c r="S36" s="169">
        <f t="shared" si="4"/>
        <v>0</v>
      </c>
      <c r="T36" s="169">
        <f t="shared" si="5"/>
        <v>0</v>
      </c>
      <c r="U36" s="169">
        <f t="shared" si="6"/>
        <v>0</v>
      </c>
      <c r="V36" s="519"/>
      <c r="W36" s="170">
        <f>IF(N36="nio",0,IF(N36&gt;0,VLOOKUP(G36,'3-Productie normen'!A:N,VLOOKUP(N36,'3-Productie normen'!Q:R,2,FALSE),FALSE)))</f>
        <v>0</v>
      </c>
      <c r="X36" s="170">
        <f t="shared" si="0"/>
        <v>0</v>
      </c>
      <c r="Y36" s="170">
        <f t="shared" si="1"/>
        <v>0</v>
      </c>
      <c r="Z36" s="170">
        <f t="shared" si="7"/>
        <v>0</v>
      </c>
      <c r="AA36" s="171">
        <f>VLOOKUP(G36,'3-Productie normen'!A:N,10,FALSE)</f>
        <v>3</v>
      </c>
      <c r="AB36" s="171"/>
      <c r="AD36" s="131">
        <f t="shared" si="2"/>
        <v>1017.45</v>
      </c>
    </row>
    <row r="37" spans="1:30" ht="14.1" customHeight="1">
      <c r="A37" s="147">
        <v>37</v>
      </c>
      <c r="B37" s="165" t="s">
        <v>283</v>
      </c>
      <c r="C37" s="165" t="s">
        <v>284</v>
      </c>
      <c r="D37" s="568" t="s">
        <v>102</v>
      </c>
      <c r="E37" s="166" t="s">
        <v>265</v>
      </c>
      <c r="F37" s="128" t="s">
        <v>257</v>
      </c>
      <c r="G37" s="167" t="s">
        <v>17</v>
      </c>
      <c r="H37" s="167" t="s">
        <v>105</v>
      </c>
      <c r="I37" s="563">
        <v>1.3</v>
      </c>
      <c r="J37" s="482">
        <v>1</v>
      </c>
      <c r="K37" s="482">
        <v>1</v>
      </c>
      <c r="L37" s="482">
        <v>1</v>
      </c>
      <c r="M37" s="482">
        <v>1</v>
      </c>
      <c r="N37" s="168">
        <v>255</v>
      </c>
      <c r="O37" s="168"/>
      <c r="P37" s="168"/>
      <c r="Q37" s="168"/>
      <c r="R37" s="169" t="e">
        <f t="shared" si="3"/>
        <v>#DIV/0!</v>
      </c>
      <c r="S37" s="169">
        <f t="shared" si="4"/>
        <v>0</v>
      </c>
      <c r="T37" s="169">
        <f t="shared" si="5"/>
        <v>0</v>
      </c>
      <c r="U37" s="169">
        <f t="shared" si="6"/>
        <v>0</v>
      </c>
      <c r="V37" s="519"/>
      <c r="W37" s="170">
        <f>IF(N37="nio",0,IF(N37&gt;0,VLOOKUP(G37,'3-Productie normen'!A:N,VLOOKUP(N37,'3-Productie normen'!Q:R,2,FALSE),FALSE)))</f>
        <v>0</v>
      </c>
      <c r="X37" s="170">
        <f t="shared" si="0"/>
        <v>0</v>
      </c>
      <c r="Y37" s="170">
        <f t="shared" si="1"/>
        <v>0</v>
      </c>
      <c r="Z37" s="170">
        <f t="shared" si="7"/>
        <v>0</v>
      </c>
      <c r="AA37" s="171">
        <f>VLOOKUP(G37,'3-Productie normen'!A:N,10,FALSE)</f>
        <v>3</v>
      </c>
      <c r="AB37" s="171"/>
      <c r="AD37" s="131">
        <f t="shared" si="2"/>
        <v>331.5</v>
      </c>
    </row>
    <row r="38" spans="1:30" ht="14.1" customHeight="1">
      <c r="A38" s="147">
        <v>38</v>
      </c>
      <c r="B38" s="165" t="s">
        <v>283</v>
      </c>
      <c r="C38" s="165" t="s">
        <v>284</v>
      </c>
      <c r="D38" s="568" t="s">
        <v>102</v>
      </c>
      <c r="E38" s="166" t="s">
        <v>267</v>
      </c>
      <c r="F38" s="128" t="s">
        <v>257</v>
      </c>
      <c r="G38" s="167" t="s">
        <v>17</v>
      </c>
      <c r="H38" s="167" t="s">
        <v>105</v>
      </c>
      <c r="I38" s="563">
        <v>1.3</v>
      </c>
      <c r="J38" s="482">
        <v>1</v>
      </c>
      <c r="K38" s="482">
        <v>1</v>
      </c>
      <c r="L38" s="482">
        <v>1</v>
      </c>
      <c r="M38" s="482">
        <v>1</v>
      </c>
      <c r="N38" s="168">
        <v>255</v>
      </c>
      <c r="O38" s="168"/>
      <c r="P38" s="168"/>
      <c r="Q38" s="168"/>
      <c r="R38" s="169" t="e">
        <f t="shared" si="3"/>
        <v>#DIV/0!</v>
      </c>
      <c r="S38" s="169">
        <f t="shared" si="4"/>
        <v>0</v>
      </c>
      <c r="T38" s="169">
        <f t="shared" si="5"/>
        <v>0</v>
      </c>
      <c r="U38" s="169">
        <f t="shared" si="6"/>
        <v>0</v>
      </c>
      <c r="V38" s="519"/>
      <c r="W38" s="170">
        <f>IF(N38="nio",0,IF(N38&gt;0,VLOOKUP(G38,'3-Productie normen'!A:N,VLOOKUP(N38,'3-Productie normen'!Q:R,2,FALSE),FALSE)))</f>
        <v>0</v>
      </c>
      <c r="X38" s="170">
        <f t="shared" si="0"/>
        <v>0</v>
      </c>
      <c r="Y38" s="170">
        <f t="shared" si="1"/>
        <v>0</v>
      </c>
      <c r="Z38" s="170">
        <f t="shared" si="7"/>
        <v>0</v>
      </c>
      <c r="AA38" s="171">
        <f>VLOOKUP(G38,'3-Productie normen'!A:N,10,FALSE)</f>
        <v>3</v>
      </c>
      <c r="AB38" s="171"/>
      <c r="AD38" s="131">
        <f t="shared" si="2"/>
        <v>331.5</v>
      </c>
    </row>
    <row r="39" spans="1:30" ht="14.1" customHeight="1">
      <c r="A39" s="147">
        <v>39</v>
      </c>
      <c r="B39" s="165" t="s">
        <v>283</v>
      </c>
      <c r="C39" s="165" t="s">
        <v>284</v>
      </c>
      <c r="D39" s="568" t="s">
        <v>102</v>
      </c>
      <c r="E39" s="166" t="s">
        <v>286</v>
      </c>
      <c r="F39" s="128" t="s">
        <v>287</v>
      </c>
      <c r="G39" s="167" t="s">
        <v>17</v>
      </c>
      <c r="H39" s="167" t="s">
        <v>105</v>
      </c>
      <c r="I39" s="563">
        <v>4.6100000000000003</v>
      </c>
      <c r="J39" s="482">
        <v>1</v>
      </c>
      <c r="K39" s="482">
        <v>1</v>
      </c>
      <c r="L39" s="482">
        <v>1</v>
      </c>
      <c r="M39" s="482">
        <v>1</v>
      </c>
      <c r="N39" s="168">
        <v>255</v>
      </c>
      <c r="O39" s="168"/>
      <c r="P39" s="168"/>
      <c r="Q39" s="168"/>
      <c r="R39" s="169" t="e">
        <f t="shared" si="3"/>
        <v>#DIV/0!</v>
      </c>
      <c r="S39" s="169">
        <f t="shared" si="4"/>
        <v>0</v>
      </c>
      <c r="T39" s="169">
        <f t="shared" si="5"/>
        <v>0</v>
      </c>
      <c r="U39" s="169">
        <f t="shared" si="6"/>
        <v>0</v>
      </c>
      <c r="V39" s="519"/>
      <c r="W39" s="170">
        <f>IF(N39="nio",0,IF(N39&gt;0,VLOOKUP(G39,'3-Productie normen'!A:N,VLOOKUP(N39,'3-Productie normen'!Q:R,2,FALSE),FALSE)))</f>
        <v>0</v>
      </c>
      <c r="X39" s="170">
        <f t="shared" si="0"/>
        <v>0</v>
      </c>
      <c r="Y39" s="170">
        <f t="shared" si="1"/>
        <v>0</v>
      </c>
      <c r="Z39" s="170">
        <f t="shared" si="7"/>
        <v>0</v>
      </c>
      <c r="AA39" s="171">
        <f>VLOOKUP(G39,'3-Productie normen'!A:N,10,FALSE)</f>
        <v>3</v>
      </c>
      <c r="AB39" s="171"/>
      <c r="AD39" s="131">
        <f t="shared" si="2"/>
        <v>1175.5500000000002</v>
      </c>
    </row>
    <row r="40" spans="1:30" ht="14.1" customHeight="1">
      <c r="A40" s="147">
        <v>40</v>
      </c>
      <c r="B40" s="165" t="s">
        <v>283</v>
      </c>
      <c r="C40" s="165" t="s">
        <v>284</v>
      </c>
      <c r="D40" s="568" t="s">
        <v>102</v>
      </c>
      <c r="E40" s="166" t="s">
        <v>288</v>
      </c>
      <c r="F40" s="128" t="s">
        <v>280</v>
      </c>
      <c r="G40" s="167" t="s">
        <v>107</v>
      </c>
      <c r="H40" s="167" t="s">
        <v>104</v>
      </c>
      <c r="I40" s="563">
        <v>34.200000000000003</v>
      </c>
      <c r="J40" s="482">
        <v>1</v>
      </c>
      <c r="K40" s="482">
        <v>1</v>
      </c>
      <c r="L40" s="482">
        <v>1</v>
      </c>
      <c r="M40" s="482">
        <v>1</v>
      </c>
      <c r="N40" s="168">
        <v>255</v>
      </c>
      <c r="O40" s="168"/>
      <c r="P40" s="168"/>
      <c r="Q40" s="168"/>
      <c r="R40" s="169" t="e">
        <f t="shared" si="3"/>
        <v>#DIV/0!</v>
      </c>
      <c r="S40" s="169">
        <f t="shared" si="4"/>
        <v>0</v>
      </c>
      <c r="T40" s="169">
        <f t="shared" si="5"/>
        <v>0</v>
      </c>
      <c r="U40" s="169">
        <f t="shared" si="6"/>
        <v>0</v>
      </c>
      <c r="V40" s="519"/>
      <c r="W40" s="170">
        <f>IF(N40="nio",0,IF(N40&gt;0,VLOOKUP(G40,'3-Productie normen'!A:N,VLOOKUP(N40,'3-Productie normen'!Q:R,2,FALSE),FALSE)))</f>
        <v>0</v>
      </c>
      <c r="X40" s="170">
        <f t="shared" si="0"/>
        <v>0</v>
      </c>
      <c r="Y40" s="170">
        <f t="shared" si="1"/>
        <v>0</v>
      </c>
      <c r="Z40" s="170">
        <f t="shared" si="7"/>
        <v>0</v>
      </c>
      <c r="AA40" s="171">
        <f>VLOOKUP(G40,'3-Productie normen'!A:N,10,FALSE)</f>
        <v>2</v>
      </c>
      <c r="AB40" s="171"/>
      <c r="AD40" s="131">
        <f t="shared" si="2"/>
        <v>8721</v>
      </c>
    </row>
    <row r="41" spans="1:30" ht="14.1" customHeight="1">
      <c r="A41" s="147">
        <v>41</v>
      </c>
      <c r="B41" s="165" t="s">
        <v>283</v>
      </c>
      <c r="C41" s="165" t="s">
        <v>284</v>
      </c>
      <c r="D41" s="568" t="s">
        <v>102</v>
      </c>
      <c r="E41" s="166" t="s">
        <v>289</v>
      </c>
      <c r="F41" s="128" t="s">
        <v>251</v>
      </c>
      <c r="G41" s="165" t="s">
        <v>373</v>
      </c>
      <c r="H41" s="167" t="s">
        <v>104</v>
      </c>
      <c r="I41" s="563">
        <v>26.28</v>
      </c>
      <c r="J41" s="482">
        <v>1</v>
      </c>
      <c r="K41" s="482">
        <v>1</v>
      </c>
      <c r="L41" s="482">
        <v>1</v>
      </c>
      <c r="M41" s="482">
        <v>1</v>
      </c>
      <c r="N41" s="168">
        <v>255</v>
      </c>
      <c r="O41" s="168"/>
      <c r="P41" s="168"/>
      <c r="Q41" s="168"/>
      <c r="R41" s="169" t="e">
        <f t="shared" si="3"/>
        <v>#DIV/0!</v>
      </c>
      <c r="S41" s="169">
        <f t="shared" si="4"/>
        <v>0</v>
      </c>
      <c r="T41" s="169">
        <f t="shared" si="5"/>
        <v>0</v>
      </c>
      <c r="U41" s="169">
        <f t="shared" si="6"/>
        <v>0</v>
      </c>
      <c r="V41" s="519"/>
      <c r="W41" s="170">
        <f>IF(N41="nio",0,IF(N41&gt;0,VLOOKUP(G41,'3-Productie normen'!A:N,VLOOKUP(N41,'3-Productie normen'!Q:R,2,FALSE),FALSE)))</f>
        <v>0</v>
      </c>
      <c r="X41" s="170">
        <f t="shared" si="0"/>
        <v>0</v>
      </c>
      <c r="Y41" s="170">
        <f t="shared" si="1"/>
        <v>0</v>
      </c>
      <c r="Z41" s="170">
        <f t="shared" si="7"/>
        <v>0</v>
      </c>
      <c r="AA41" s="171">
        <f>VLOOKUP(G41,'3-Productie normen'!A:N,10,FALSE)</f>
        <v>1</v>
      </c>
      <c r="AB41" s="171"/>
      <c r="AD41" s="131">
        <f t="shared" si="2"/>
        <v>6701.4000000000005</v>
      </c>
    </row>
    <row r="42" spans="1:30" ht="14.1" customHeight="1">
      <c r="A42" s="147">
        <v>42</v>
      </c>
      <c r="B42" s="165" t="s">
        <v>295</v>
      </c>
      <c r="C42" s="165" t="s">
        <v>296</v>
      </c>
      <c r="D42" s="568" t="s">
        <v>102</v>
      </c>
      <c r="E42" s="166" t="s">
        <v>247</v>
      </c>
      <c r="F42" s="128" t="s">
        <v>249</v>
      </c>
      <c r="G42" s="165" t="s">
        <v>579</v>
      </c>
      <c r="H42" s="167" t="s">
        <v>104</v>
      </c>
      <c r="I42" s="563">
        <v>33.020000000000003</v>
      </c>
      <c r="J42" s="482">
        <v>1</v>
      </c>
      <c r="K42" s="482">
        <v>1</v>
      </c>
      <c r="L42" s="482">
        <v>1</v>
      </c>
      <c r="M42" s="482">
        <v>1</v>
      </c>
      <c r="N42" s="168">
        <v>255</v>
      </c>
      <c r="O42" s="168"/>
      <c r="P42" s="168"/>
      <c r="Q42" s="168"/>
      <c r="R42" s="169" t="e">
        <f t="shared" si="3"/>
        <v>#DIV/0!</v>
      </c>
      <c r="S42" s="169">
        <f t="shared" si="4"/>
        <v>0</v>
      </c>
      <c r="T42" s="169">
        <f t="shared" si="5"/>
        <v>0</v>
      </c>
      <c r="U42" s="169">
        <f t="shared" si="6"/>
        <v>0</v>
      </c>
      <c r="V42" s="519"/>
      <c r="W42" s="170">
        <f>IF(N42="nio",0,IF(N42&gt;0,VLOOKUP(G42,'3-Productie normen'!A:N,VLOOKUP(N42,'3-Productie normen'!Q:R,2,FALSE),FALSE)))</f>
        <v>0</v>
      </c>
      <c r="X42" s="170">
        <f t="shared" si="0"/>
        <v>0</v>
      </c>
      <c r="Y42" s="170">
        <f t="shared" si="1"/>
        <v>0</v>
      </c>
      <c r="Z42" s="170">
        <f t="shared" si="7"/>
        <v>0</v>
      </c>
      <c r="AA42" s="171">
        <f>VLOOKUP(G42,'3-Productie normen'!A:N,10,FALSE)</f>
        <v>4</v>
      </c>
      <c r="AB42" s="171"/>
      <c r="AD42" s="131">
        <f t="shared" si="2"/>
        <v>8420.1</v>
      </c>
    </row>
    <row r="43" spans="1:30" ht="14.1" customHeight="1">
      <c r="A43" s="147">
        <v>43</v>
      </c>
      <c r="B43" s="165" t="s">
        <v>295</v>
      </c>
      <c r="C43" s="165" t="s">
        <v>296</v>
      </c>
      <c r="D43" s="568" t="s">
        <v>102</v>
      </c>
      <c r="E43" s="166" t="s">
        <v>297</v>
      </c>
      <c r="F43" s="128" t="s">
        <v>294</v>
      </c>
      <c r="G43" s="177" t="s">
        <v>17</v>
      </c>
      <c r="H43" s="167" t="s">
        <v>105</v>
      </c>
      <c r="I43" s="563">
        <v>3.28</v>
      </c>
      <c r="J43" s="482">
        <v>1</v>
      </c>
      <c r="K43" s="482">
        <v>1</v>
      </c>
      <c r="L43" s="482">
        <v>1</v>
      </c>
      <c r="M43" s="482">
        <v>1</v>
      </c>
      <c r="N43" s="168">
        <v>255</v>
      </c>
      <c r="O43" s="168"/>
      <c r="P43" s="168"/>
      <c r="Q43" s="168"/>
      <c r="R43" s="169" t="e">
        <f t="shared" si="3"/>
        <v>#DIV/0!</v>
      </c>
      <c r="S43" s="169">
        <f t="shared" si="4"/>
        <v>0</v>
      </c>
      <c r="T43" s="169">
        <f t="shared" si="5"/>
        <v>0</v>
      </c>
      <c r="U43" s="169">
        <f t="shared" si="6"/>
        <v>0</v>
      </c>
      <c r="V43" s="519"/>
      <c r="W43" s="170">
        <f>IF(N43="nio",0,IF(N43&gt;0,VLOOKUP(G43,'3-Productie normen'!A:N,VLOOKUP(N43,'3-Productie normen'!Q:R,2,FALSE),FALSE)))</f>
        <v>0</v>
      </c>
      <c r="X43" s="170">
        <f t="shared" si="0"/>
        <v>0</v>
      </c>
      <c r="Y43" s="170">
        <f t="shared" si="1"/>
        <v>0</v>
      </c>
      <c r="Z43" s="170">
        <f t="shared" si="7"/>
        <v>0</v>
      </c>
      <c r="AA43" s="171">
        <f>VLOOKUP(G43,'3-Productie normen'!A:N,10,FALSE)</f>
        <v>3</v>
      </c>
      <c r="AB43" s="171"/>
      <c r="AD43" s="131">
        <f t="shared" si="2"/>
        <v>836.4</v>
      </c>
    </row>
    <row r="44" spans="1:30" ht="14.1" customHeight="1">
      <c r="A44" s="147">
        <v>44</v>
      </c>
      <c r="B44" s="165" t="s">
        <v>295</v>
      </c>
      <c r="C44" s="165" t="s">
        <v>296</v>
      </c>
      <c r="D44" s="568" t="s">
        <v>102</v>
      </c>
      <c r="E44" s="166" t="s">
        <v>298</v>
      </c>
      <c r="F44" s="128" t="s">
        <v>257</v>
      </c>
      <c r="G44" s="167" t="s">
        <v>17</v>
      </c>
      <c r="H44" s="167" t="s">
        <v>105</v>
      </c>
      <c r="I44" s="563">
        <v>1.27</v>
      </c>
      <c r="J44" s="482">
        <v>1</v>
      </c>
      <c r="K44" s="482">
        <v>1</v>
      </c>
      <c r="L44" s="482">
        <v>1</v>
      </c>
      <c r="M44" s="482">
        <v>1</v>
      </c>
      <c r="N44" s="168">
        <v>255</v>
      </c>
      <c r="O44" s="168"/>
      <c r="P44" s="168"/>
      <c r="Q44" s="168"/>
      <c r="R44" s="169" t="e">
        <f t="shared" si="3"/>
        <v>#DIV/0!</v>
      </c>
      <c r="S44" s="169">
        <f t="shared" si="4"/>
        <v>0</v>
      </c>
      <c r="T44" s="169">
        <f t="shared" si="5"/>
        <v>0</v>
      </c>
      <c r="U44" s="169">
        <f t="shared" si="6"/>
        <v>0</v>
      </c>
      <c r="V44" s="519"/>
      <c r="W44" s="170">
        <f>IF(N44="nio",0,IF(N44&gt;0,VLOOKUP(G44,'3-Productie normen'!A:N,VLOOKUP(N44,'3-Productie normen'!Q:R,2,FALSE),FALSE)))</f>
        <v>0</v>
      </c>
      <c r="X44" s="170">
        <f t="shared" si="0"/>
        <v>0</v>
      </c>
      <c r="Y44" s="170">
        <f t="shared" si="1"/>
        <v>0</v>
      </c>
      <c r="Z44" s="170">
        <f t="shared" si="7"/>
        <v>0</v>
      </c>
      <c r="AA44" s="171">
        <f>VLOOKUP(G44,'3-Productie normen'!A:N,10,FALSE)</f>
        <v>3</v>
      </c>
      <c r="AB44" s="171"/>
      <c r="AD44" s="131">
        <f t="shared" si="2"/>
        <v>323.85000000000002</v>
      </c>
    </row>
    <row r="45" spans="1:30" ht="14.1" customHeight="1">
      <c r="A45" s="147">
        <v>45</v>
      </c>
      <c r="B45" s="165" t="s">
        <v>295</v>
      </c>
      <c r="C45" s="165" t="s">
        <v>296</v>
      </c>
      <c r="D45" s="568" t="s">
        <v>102</v>
      </c>
      <c r="E45" s="166" t="s">
        <v>299</v>
      </c>
      <c r="F45" s="165" t="s">
        <v>257</v>
      </c>
      <c r="G45" s="167" t="s">
        <v>17</v>
      </c>
      <c r="H45" s="167" t="s">
        <v>105</v>
      </c>
      <c r="I45" s="563">
        <v>1.27</v>
      </c>
      <c r="J45" s="482">
        <v>1</v>
      </c>
      <c r="K45" s="482">
        <v>1</v>
      </c>
      <c r="L45" s="482">
        <v>1</v>
      </c>
      <c r="M45" s="482">
        <v>1</v>
      </c>
      <c r="N45" s="168">
        <v>255</v>
      </c>
      <c r="O45" s="168"/>
      <c r="P45" s="168"/>
      <c r="Q45" s="168"/>
      <c r="R45" s="169" t="e">
        <f t="shared" si="3"/>
        <v>#DIV/0!</v>
      </c>
      <c r="S45" s="169">
        <f t="shared" si="4"/>
        <v>0</v>
      </c>
      <c r="T45" s="169">
        <f t="shared" si="5"/>
        <v>0</v>
      </c>
      <c r="U45" s="169">
        <f t="shared" si="6"/>
        <v>0</v>
      </c>
      <c r="V45" s="519"/>
      <c r="W45" s="170">
        <f>IF(N45="nio",0,IF(N45&gt;0,VLOOKUP(G45,'3-Productie normen'!A:N,VLOOKUP(N45,'3-Productie normen'!Q:R,2,FALSE),FALSE)))</f>
        <v>0</v>
      </c>
      <c r="X45" s="170">
        <f t="shared" si="0"/>
        <v>0</v>
      </c>
      <c r="Y45" s="170">
        <f t="shared" si="1"/>
        <v>0</v>
      </c>
      <c r="Z45" s="170">
        <f t="shared" si="7"/>
        <v>0</v>
      </c>
      <c r="AA45" s="171">
        <f>VLOOKUP(G45,'3-Productie normen'!A:N,10,FALSE)</f>
        <v>3</v>
      </c>
      <c r="AB45" s="171"/>
      <c r="AD45" s="131">
        <f t="shared" si="2"/>
        <v>323.85000000000002</v>
      </c>
    </row>
    <row r="46" spans="1:30" ht="14.1" customHeight="1">
      <c r="A46" s="147">
        <v>46</v>
      </c>
      <c r="B46" s="165" t="s">
        <v>295</v>
      </c>
      <c r="C46" s="165" t="s">
        <v>296</v>
      </c>
      <c r="D46" s="568" t="s">
        <v>102</v>
      </c>
      <c r="E46" s="166" t="s">
        <v>300</v>
      </c>
      <c r="F46" s="165" t="s">
        <v>253</v>
      </c>
      <c r="G46" s="167" t="s">
        <v>17</v>
      </c>
      <c r="H46" s="167" t="s">
        <v>105</v>
      </c>
      <c r="I46" s="563">
        <v>4.6900000000000004</v>
      </c>
      <c r="J46" s="482">
        <v>1</v>
      </c>
      <c r="K46" s="482">
        <v>1</v>
      </c>
      <c r="L46" s="482">
        <v>1</v>
      </c>
      <c r="M46" s="482">
        <v>1</v>
      </c>
      <c r="N46" s="168">
        <v>255</v>
      </c>
      <c r="O46" s="168"/>
      <c r="P46" s="168"/>
      <c r="Q46" s="168"/>
      <c r="R46" s="169" t="e">
        <f t="shared" si="3"/>
        <v>#DIV/0!</v>
      </c>
      <c r="S46" s="169">
        <f t="shared" si="4"/>
        <v>0</v>
      </c>
      <c r="T46" s="169">
        <f t="shared" si="5"/>
        <v>0</v>
      </c>
      <c r="U46" s="169">
        <f t="shared" si="6"/>
        <v>0</v>
      </c>
      <c r="V46" s="519"/>
      <c r="W46" s="170">
        <f>IF(N46="nio",0,IF(N46&gt;0,VLOOKUP(G46,'3-Productie normen'!A:N,VLOOKUP(N46,'3-Productie normen'!Q:R,2,FALSE),FALSE)))</f>
        <v>0</v>
      </c>
      <c r="X46" s="170">
        <f t="shared" si="0"/>
        <v>0</v>
      </c>
      <c r="Y46" s="170">
        <f t="shared" si="1"/>
        <v>0</v>
      </c>
      <c r="Z46" s="170">
        <f t="shared" si="7"/>
        <v>0</v>
      </c>
      <c r="AA46" s="171">
        <f>VLOOKUP(G46,'3-Productie normen'!A:N,10,FALSE)</f>
        <v>3</v>
      </c>
      <c r="AB46" s="171"/>
      <c r="AD46" s="131">
        <f t="shared" si="2"/>
        <v>1195.95</v>
      </c>
    </row>
    <row r="47" spans="1:30" ht="14.1" customHeight="1">
      <c r="A47" s="147">
        <v>47</v>
      </c>
      <c r="B47" s="165" t="s">
        <v>295</v>
      </c>
      <c r="C47" s="165" t="s">
        <v>296</v>
      </c>
      <c r="D47" s="568" t="s">
        <v>102</v>
      </c>
      <c r="E47" s="166" t="s">
        <v>301</v>
      </c>
      <c r="F47" s="165" t="s">
        <v>302</v>
      </c>
      <c r="G47" s="165" t="s">
        <v>199</v>
      </c>
      <c r="H47" s="167" t="s">
        <v>104</v>
      </c>
      <c r="I47" s="563">
        <v>3.2</v>
      </c>
      <c r="J47" s="482">
        <v>1</v>
      </c>
      <c r="K47" s="482">
        <v>1</v>
      </c>
      <c r="L47" s="482">
        <v>1</v>
      </c>
      <c r="M47" s="482">
        <v>1</v>
      </c>
      <c r="N47" s="168" t="s">
        <v>199</v>
      </c>
      <c r="O47" s="168"/>
      <c r="P47" s="168"/>
      <c r="Q47" s="168"/>
      <c r="R47" s="169">
        <f t="shared" si="3"/>
        <v>0</v>
      </c>
      <c r="S47" s="169">
        <f t="shared" si="4"/>
        <v>0</v>
      </c>
      <c r="T47" s="169">
        <f t="shared" si="5"/>
        <v>0</v>
      </c>
      <c r="U47" s="169">
        <f t="shared" si="6"/>
        <v>0</v>
      </c>
      <c r="V47" s="519"/>
      <c r="W47" s="170">
        <f>IF(N47="nio",0,IF(N47&gt;0,VLOOKUP(G47,'3-Productie normen'!A:N,VLOOKUP(N47,'3-Productie normen'!Q:R,2,FALSE),FALSE)))</f>
        <v>0</v>
      </c>
      <c r="X47" s="170">
        <f t="shared" si="0"/>
        <v>0</v>
      </c>
      <c r="Y47" s="170">
        <f t="shared" si="1"/>
        <v>0</v>
      </c>
      <c r="Z47" s="170">
        <f t="shared" si="7"/>
        <v>0</v>
      </c>
      <c r="AA47" s="171">
        <f>VLOOKUP(G47,'3-Productie normen'!A:N,10,FALSE)</f>
        <v>0</v>
      </c>
      <c r="AB47" s="171"/>
      <c r="AD47" s="131">
        <f t="shared" si="2"/>
        <v>0</v>
      </c>
    </row>
    <row r="48" spans="1:30" ht="14.1" customHeight="1">
      <c r="A48" s="147">
        <v>48</v>
      </c>
      <c r="B48" s="165" t="s">
        <v>295</v>
      </c>
      <c r="C48" s="165" t="s">
        <v>296</v>
      </c>
      <c r="D48" s="568" t="s">
        <v>102</v>
      </c>
      <c r="E48" s="166" t="s">
        <v>248</v>
      </c>
      <c r="F48" s="167" t="s">
        <v>251</v>
      </c>
      <c r="G48" s="167" t="s">
        <v>373</v>
      </c>
      <c r="H48" s="167" t="s">
        <v>104</v>
      </c>
      <c r="I48" s="563">
        <v>22.43</v>
      </c>
      <c r="J48" s="482">
        <v>1</v>
      </c>
      <c r="K48" s="482">
        <v>1</v>
      </c>
      <c r="L48" s="482">
        <v>1</v>
      </c>
      <c r="M48" s="482">
        <v>1</v>
      </c>
      <c r="N48" s="168">
        <v>255</v>
      </c>
      <c r="O48" s="168"/>
      <c r="P48" s="168"/>
      <c r="Q48" s="168"/>
      <c r="R48" s="169" t="e">
        <f t="shared" si="3"/>
        <v>#DIV/0!</v>
      </c>
      <c r="S48" s="169">
        <f t="shared" si="4"/>
        <v>0</v>
      </c>
      <c r="T48" s="169">
        <f t="shared" si="5"/>
        <v>0</v>
      </c>
      <c r="U48" s="169">
        <f t="shared" si="6"/>
        <v>0</v>
      </c>
      <c r="V48" s="519"/>
      <c r="W48" s="170">
        <f>IF(N48="nio",0,IF(N48&gt;0,VLOOKUP(G48,'3-Productie normen'!A:N,VLOOKUP(N48,'3-Productie normen'!Q:R,2,FALSE),FALSE)))</f>
        <v>0</v>
      </c>
      <c r="X48" s="170">
        <f t="shared" si="0"/>
        <v>0</v>
      </c>
      <c r="Y48" s="170">
        <f t="shared" si="1"/>
        <v>0</v>
      </c>
      <c r="Z48" s="170">
        <f t="shared" si="7"/>
        <v>0</v>
      </c>
      <c r="AA48" s="171">
        <f>VLOOKUP(G48,'3-Productie normen'!A:N,10,FALSE)</f>
        <v>1</v>
      </c>
      <c r="AB48" s="171"/>
      <c r="AD48" s="131">
        <f t="shared" si="2"/>
        <v>5719.65</v>
      </c>
    </row>
    <row r="49" spans="1:30" ht="14.1" customHeight="1">
      <c r="A49" s="147">
        <v>49</v>
      </c>
      <c r="B49" s="165" t="s">
        <v>295</v>
      </c>
      <c r="C49" s="165" t="s">
        <v>296</v>
      </c>
      <c r="D49" s="568" t="s">
        <v>102</v>
      </c>
      <c r="E49" s="166" t="s">
        <v>250</v>
      </c>
      <c r="F49" s="167" t="s">
        <v>279</v>
      </c>
      <c r="G49" s="525" t="s">
        <v>583</v>
      </c>
      <c r="H49" s="167" t="s">
        <v>104</v>
      </c>
      <c r="I49" s="563">
        <v>67.39</v>
      </c>
      <c r="J49" s="482">
        <v>1</v>
      </c>
      <c r="K49" s="482">
        <v>1</v>
      </c>
      <c r="L49" s="482">
        <v>1</v>
      </c>
      <c r="M49" s="482">
        <v>1</v>
      </c>
      <c r="N49" s="168">
        <v>255</v>
      </c>
      <c r="O49" s="168"/>
      <c r="P49" s="168"/>
      <c r="Q49" s="168"/>
      <c r="R49" s="169" t="e">
        <f t="shared" si="3"/>
        <v>#DIV/0!</v>
      </c>
      <c r="S49" s="169">
        <f t="shared" si="4"/>
        <v>0</v>
      </c>
      <c r="T49" s="169">
        <f t="shared" si="5"/>
        <v>0</v>
      </c>
      <c r="U49" s="169">
        <f t="shared" si="6"/>
        <v>0</v>
      </c>
      <c r="V49" s="519"/>
      <c r="W49" s="170">
        <f>IF(N49="nio",0,IF(N49&gt;0,VLOOKUP(G49,'3-Productie normen'!A:N,VLOOKUP(N49,'3-Productie normen'!Q:R,2,FALSE),FALSE)))</f>
        <v>0</v>
      </c>
      <c r="X49" s="170">
        <f t="shared" si="0"/>
        <v>0</v>
      </c>
      <c r="Y49" s="170">
        <f t="shared" si="1"/>
        <v>0</v>
      </c>
      <c r="Z49" s="170">
        <f t="shared" si="7"/>
        <v>0</v>
      </c>
      <c r="AA49" s="171">
        <f>VLOOKUP(G49,'3-Productie normen'!A:N,10,FALSE)</f>
        <v>4</v>
      </c>
      <c r="AB49" s="171"/>
      <c r="AD49" s="131">
        <f t="shared" si="2"/>
        <v>17184.45</v>
      </c>
    </row>
    <row r="50" spans="1:30" ht="14.1" customHeight="1">
      <c r="A50" s="147">
        <v>50</v>
      </c>
      <c r="B50" s="165" t="s">
        <v>295</v>
      </c>
      <c r="C50" s="165" t="s">
        <v>296</v>
      </c>
      <c r="D50" s="568" t="s">
        <v>102</v>
      </c>
      <c r="E50" s="166" t="s">
        <v>252</v>
      </c>
      <c r="F50" s="167" t="s">
        <v>270</v>
      </c>
      <c r="G50" s="128" t="s">
        <v>373</v>
      </c>
      <c r="H50" s="167" t="s">
        <v>104</v>
      </c>
      <c r="I50" s="563">
        <v>11.31</v>
      </c>
      <c r="J50" s="482">
        <v>1</v>
      </c>
      <c r="K50" s="482">
        <v>1</v>
      </c>
      <c r="L50" s="482">
        <v>1</v>
      </c>
      <c r="M50" s="482">
        <v>1</v>
      </c>
      <c r="N50" s="168">
        <v>255</v>
      </c>
      <c r="O50" s="168"/>
      <c r="P50" s="168"/>
      <c r="Q50" s="168"/>
      <c r="R50" s="169" t="e">
        <f t="shared" si="3"/>
        <v>#DIV/0!</v>
      </c>
      <c r="S50" s="169">
        <f t="shared" si="4"/>
        <v>0</v>
      </c>
      <c r="T50" s="169">
        <f t="shared" si="5"/>
        <v>0</v>
      </c>
      <c r="U50" s="169">
        <f t="shared" si="6"/>
        <v>0</v>
      </c>
      <c r="V50" s="519"/>
      <c r="W50" s="170">
        <f>IF(N50="nio",0,IF(N50&gt;0,VLOOKUP(G50,'3-Productie normen'!A:N,VLOOKUP(N50,'3-Productie normen'!Q:R,2,FALSE),FALSE)))</f>
        <v>0</v>
      </c>
      <c r="X50" s="170">
        <f t="shared" si="0"/>
        <v>0</v>
      </c>
      <c r="Y50" s="170">
        <f t="shared" si="1"/>
        <v>0</v>
      </c>
      <c r="Z50" s="170">
        <f t="shared" si="7"/>
        <v>0</v>
      </c>
      <c r="AA50" s="171">
        <f>VLOOKUP(G50,'3-Productie normen'!A:N,10,FALSE)</f>
        <v>1</v>
      </c>
      <c r="AB50" s="171"/>
      <c r="AD50" s="131">
        <f t="shared" si="2"/>
        <v>2884.05</v>
      </c>
    </row>
    <row r="51" spans="1:30" ht="14.1" customHeight="1">
      <c r="A51" s="147">
        <v>51</v>
      </c>
      <c r="B51" s="165" t="s">
        <v>295</v>
      </c>
      <c r="C51" s="165" t="s">
        <v>296</v>
      </c>
      <c r="D51" s="568" t="s">
        <v>102</v>
      </c>
      <c r="E51" s="166" t="s">
        <v>254</v>
      </c>
      <c r="F51" s="167" t="s">
        <v>270</v>
      </c>
      <c r="G51" s="128" t="s">
        <v>373</v>
      </c>
      <c r="H51" s="167" t="s">
        <v>104</v>
      </c>
      <c r="I51" s="563">
        <v>22.4</v>
      </c>
      <c r="J51" s="482">
        <v>1</v>
      </c>
      <c r="K51" s="482">
        <v>1</v>
      </c>
      <c r="L51" s="482">
        <v>1</v>
      </c>
      <c r="M51" s="482">
        <v>1</v>
      </c>
      <c r="N51" s="168">
        <v>255</v>
      </c>
      <c r="O51" s="168"/>
      <c r="P51" s="168"/>
      <c r="Q51" s="168"/>
      <c r="R51" s="169" t="e">
        <f t="shared" si="3"/>
        <v>#DIV/0!</v>
      </c>
      <c r="S51" s="169">
        <f t="shared" si="4"/>
        <v>0</v>
      </c>
      <c r="T51" s="169">
        <f t="shared" si="5"/>
        <v>0</v>
      </c>
      <c r="U51" s="169">
        <f t="shared" si="6"/>
        <v>0</v>
      </c>
      <c r="V51" s="519"/>
      <c r="W51" s="170">
        <f>IF(N51="nio",0,IF(N51&gt;0,VLOOKUP(G51,'3-Productie normen'!A:N,VLOOKUP(N51,'3-Productie normen'!Q:R,2,FALSE),FALSE)))</f>
        <v>0</v>
      </c>
      <c r="X51" s="170">
        <f t="shared" si="0"/>
        <v>0</v>
      </c>
      <c r="Y51" s="170">
        <f t="shared" si="1"/>
        <v>0</v>
      </c>
      <c r="Z51" s="170">
        <f t="shared" si="7"/>
        <v>0</v>
      </c>
      <c r="AA51" s="171">
        <f>VLOOKUP(G51,'3-Productie normen'!A:N,10,FALSE)</f>
        <v>1</v>
      </c>
      <c r="AB51" s="171"/>
      <c r="AD51" s="131">
        <f t="shared" si="2"/>
        <v>5712</v>
      </c>
    </row>
    <row r="52" spans="1:30" ht="14.1" customHeight="1">
      <c r="A52" s="147">
        <v>52</v>
      </c>
      <c r="B52" s="165" t="s">
        <v>295</v>
      </c>
      <c r="C52" s="165" t="s">
        <v>296</v>
      </c>
      <c r="D52" s="568" t="s">
        <v>102</v>
      </c>
      <c r="E52" s="166" t="s">
        <v>256</v>
      </c>
      <c r="F52" s="173" t="s">
        <v>270</v>
      </c>
      <c r="G52" s="128" t="s">
        <v>373</v>
      </c>
      <c r="H52" s="167" t="s">
        <v>104</v>
      </c>
      <c r="I52" s="563">
        <v>18.239999999999998</v>
      </c>
      <c r="J52" s="482">
        <v>1</v>
      </c>
      <c r="K52" s="482">
        <v>1</v>
      </c>
      <c r="L52" s="482">
        <v>1</v>
      </c>
      <c r="M52" s="482">
        <v>1</v>
      </c>
      <c r="N52" s="168">
        <v>255</v>
      </c>
      <c r="O52" s="168"/>
      <c r="P52" s="168"/>
      <c r="Q52" s="168"/>
      <c r="R52" s="169" t="e">
        <f t="shared" si="3"/>
        <v>#DIV/0!</v>
      </c>
      <c r="S52" s="169">
        <f t="shared" si="4"/>
        <v>0</v>
      </c>
      <c r="T52" s="169">
        <f t="shared" si="5"/>
        <v>0</v>
      </c>
      <c r="U52" s="169">
        <f t="shared" si="6"/>
        <v>0</v>
      </c>
      <c r="V52" s="519"/>
      <c r="W52" s="170">
        <f>IF(N52="nio",0,IF(N52&gt;0,VLOOKUP(G52,'3-Productie normen'!A:N,VLOOKUP(N52,'3-Productie normen'!Q:R,2,FALSE),FALSE)))</f>
        <v>0</v>
      </c>
      <c r="X52" s="170">
        <f t="shared" si="0"/>
        <v>0</v>
      </c>
      <c r="Y52" s="170">
        <f t="shared" si="1"/>
        <v>0</v>
      </c>
      <c r="Z52" s="170">
        <f t="shared" si="7"/>
        <v>0</v>
      </c>
      <c r="AA52" s="171">
        <f>VLOOKUP(G52,'3-Productie normen'!A:N,10,FALSE)</f>
        <v>1</v>
      </c>
      <c r="AB52" s="171"/>
      <c r="AD52" s="131">
        <f t="shared" si="2"/>
        <v>4651.2</v>
      </c>
    </row>
    <row r="53" spans="1:30" ht="14.1" customHeight="1">
      <c r="A53" s="147">
        <v>53</v>
      </c>
      <c r="B53" s="165" t="s">
        <v>295</v>
      </c>
      <c r="C53" s="165" t="s">
        <v>296</v>
      </c>
      <c r="D53" s="568" t="s">
        <v>102</v>
      </c>
      <c r="E53" s="166" t="s">
        <v>258</v>
      </c>
      <c r="F53" s="174" t="s">
        <v>280</v>
      </c>
      <c r="G53" s="167" t="s">
        <v>107</v>
      </c>
      <c r="H53" s="175" t="s">
        <v>104</v>
      </c>
      <c r="I53" s="563">
        <v>29.61</v>
      </c>
      <c r="J53" s="482">
        <v>1</v>
      </c>
      <c r="K53" s="482">
        <v>1</v>
      </c>
      <c r="L53" s="482">
        <v>1</v>
      </c>
      <c r="M53" s="482">
        <v>1</v>
      </c>
      <c r="N53" s="168">
        <v>255</v>
      </c>
      <c r="O53" s="168"/>
      <c r="P53" s="168"/>
      <c r="Q53" s="168"/>
      <c r="R53" s="169" t="e">
        <f t="shared" si="3"/>
        <v>#DIV/0!</v>
      </c>
      <c r="S53" s="169">
        <f t="shared" si="4"/>
        <v>0</v>
      </c>
      <c r="T53" s="169">
        <f t="shared" si="5"/>
        <v>0</v>
      </c>
      <c r="U53" s="169">
        <f t="shared" si="6"/>
        <v>0</v>
      </c>
      <c r="V53" s="519"/>
      <c r="W53" s="170">
        <f>IF(N53="nio",0,IF(N53&gt;0,VLOOKUP(G53,'3-Productie normen'!A:N,VLOOKUP(N53,'3-Productie normen'!Q:R,2,FALSE),FALSE)))</f>
        <v>0</v>
      </c>
      <c r="X53" s="170">
        <f t="shared" si="0"/>
        <v>0</v>
      </c>
      <c r="Y53" s="170">
        <f t="shared" si="1"/>
        <v>0</v>
      </c>
      <c r="Z53" s="170">
        <f t="shared" si="7"/>
        <v>0</v>
      </c>
      <c r="AA53" s="171">
        <f>VLOOKUP(G53,'3-Productie normen'!A:N,10,FALSE)</f>
        <v>2</v>
      </c>
      <c r="AB53" s="171"/>
      <c r="AD53" s="131">
        <f t="shared" si="2"/>
        <v>7550.55</v>
      </c>
    </row>
    <row r="54" spans="1:30" ht="14.1" customHeight="1">
      <c r="A54" s="147">
        <v>54</v>
      </c>
      <c r="B54" s="165" t="s">
        <v>295</v>
      </c>
      <c r="C54" s="165" t="s">
        <v>296</v>
      </c>
      <c r="D54" s="568" t="s">
        <v>102</v>
      </c>
      <c r="E54" s="176" t="s">
        <v>259</v>
      </c>
      <c r="F54" s="177" t="s">
        <v>281</v>
      </c>
      <c r="G54" s="167" t="s">
        <v>373</v>
      </c>
      <c r="H54" s="167" t="s">
        <v>272</v>
      </c>
      <c r="I54" s="563">
        <v>64.72</v>
      </c>
      <c r="J54" s="482">
        <v>1</v>
      </c>
      <c r="K54" s="482">
        <v>1</v>
      </c>
      <c r="L54" s="482">
        <v>1</v>
      </c>
      <c r="M54" s="482">
        <v>1</v>
      </c>
      <c r="N54" s="168">
        <v>255</v>
      </c>
      <c r="O54" s="168"/>
      <c r="P54" s="168"/>
      <c r="Q54" s="168"/>
      <c r="R54" s="169" t="e">
        <f t="shared" si="3"/>
        <v>#DIV/0!</v>
      </c>
      <c r="S54" s="169">
        <f t="shared" si="4"/>
        <v>0</v>
      </c>
      <c r="T54" s="169">
        <f t="shared" si="5"/>
        <v>0</v>
      </c>
      <c r="U54" s="169">
        <f t="shared" si="6"/>
        <v>0</v>
      </c>
      <c r="V54" s="519"/>
      <c r="W54" s="170">
        <f>IF(N54="nio",0,IF(N54&gt;0,VLOOKUP(G54,'3-Productie normen'!A:N,VLOOKUP(N54,'3-Productie normen'!Q:R,2,FALSE),FALSE)))</f>
        <v>0</v>
      </c>
      <c r="X54" s="170">
        <f t="shared" si="0"/>
        <v>0</v>
      </c>
      <c r="Y54" s="170">
        <f t="shared" si="1"/>
        <v>0</v>
      </c>
      <c r="Z54" s="170">
        <f t="shared" si="7"/>
        <v>0</v>
      </c>
      <c r="AA54" s="171">
        <f>VLOOKUP(G54,'3-Productie normen'!A:N,10,FALSE)</f>
        <v>1</v>
      </c>
      <c r="AB54" s="171"/>
      <c r="AD54" s="131">
        <f t="shared" si="2"/>
        <v>16503.599999999999</v>
      </c>
    </row>
    <row r="55" spans="1:30" ht="14.1" customHeight="1">
      <c r="A55" s="147">
        <v>55</v>
      </c>
      <c r="B55" s="165" t="s">
        <v>295</v>
      </c>
      <c r="C55" s="165" t="s">
        <v>296</v>
      </c>
      <c r="D55" s="568" t="s">
        <v>102</v>
      </c>
      <c r="E55" s="166" t="s">
        <v>261</v>
      </c>
      <c r="F55" s="167" t="s">
        <v>260</v>
      </c>
      <c r="G55" s="128" t="s">
        <v>578</v>
      </c>
      <c r="H55" s="167" t="s">
        <v>104</v>
      </c>
      <c r="I55" s="563">
        <v>21.5</v>
      </c>
      <c r="J55" s="482">
        <v>1</v>
      </c>
      <c r="K55" s="482">
        <v>1</v>
      </c>
      <c r="L55" s="482">
        <v>1</v>
      </c>
      <c r="M55" s="482">
        <v>1</v>
      </c>
      <c r="N55" s="168">
        <v>12</v>
      </c>
      <c r="O55" s="168"/>
      <c r="P55" s="168"/>
      <c r="Q55" s="168"/>
      <c r="R55" s="169" t="e">
        <f t="shared" si="3"/>
        <v>#DIV/0!</v>
      </c>
      <c r="S55" s="169">
        <f t="shared" si="4"/>
        <v>0</v>
      </c>
      <c r="T55" s="169">
        <f t="shared" si="5"/>
        <v>0</v>
      </c>
      <c r="U55" s="169">
        <f t="shared" si="6"/>
        <v>0</v>
      </c>
      <c r="V55" s="519"/>
      <c r="W55" s="170">
        <f>IF(N55="nio",0,IF(N55&gt;0,VLOOKUP(G55,'3-Productie normen'!A:N,VLOOKUP(N55,'3-Productie normen'!Q:R,2,FALSE),FALSE)))</f>
        <v>0</v>
      </c>
      <c r="X55" s="170">
        <f t="shared" si="0"/>
        <v>0</v>
      </c>
      <c r="Y55" s="170">
        <f t="shared" si="1"/>
        <v>0</v>
      </c>
      <c r="Z55" s="170">
        <f t="shared" si="7"/>
        <v>0</v>
      </c>
      <c r="AA55" s="171">
        <f>VLOOKUP(G55,'3-Productie normen'!A:N,10,FALSE)</f>
        <v>4</v>
      </c>
      <c r="AB55" s="171"/>
      <c r="AD55" s="131">
        <f t="shared" si="2"/>
        <v>258</v>
      </c>
    </row>
    <row r="56" spans="1:30" ht="14.1" customHeight="1">
      <c r="A56" s="147">
        <v>56</v>
      </c>
      <c r="B56" s="165" t="s">
        <v>303</v>
      </c>
      <c r="C56" s="165" t="s">
        <v>304</v>
      </c>
      <c r="D56" s="568" t="s">
        <v>102</v>
      </c>
      <c r="E56" s="166" t="s">
        <v>247</v>
      </c>
      <c r="F56" s="128" t="s">
        <v>249</v>
      </c>
      <c r="G56" s="165" t="s">
        <v>579</v>
      </c>
      <c r="H56" s="167" t="s">
        <v>104</v>
      </c>
      <c r="I56" s="563">
        <v>157.6</v>
      </c>
      <c r="J56" s="482">
        <v>1</v>
      </c>
      <c r="K56" s="482">
        <v>1</v>
      </c>
      <c r="L56" s="482">
        <v>1</v>
      </c>
      <c r="M56" s="482">
        <v>1</v>
      </c>
      <c r="N56" s="168">
        <v>255</v>
      </c>
      <c r="O56" s="168"/>
      <c r="P56" s="168"/>
      <c r="Q56" s="168"/>
      <c r="R56" s="169" t="e">
        <f t="shared" si="3"/>
        <v>#DIV/0!</v>
      </c>
      <c r="S56" s="169">
        <f t="shared" si="4"/>
        <v>0</v>
      </c>
      <c r="T56" s="169">
        <f t="shared" si="5"/>
        <v>0</v>
      </c>
      <c r="U56" s="169">
        <f t="shared" si="6"/>
        <v>0</v>
      </c>
      <c r="V56" s="519"/>
      <c r="W56" s="170">
        <f>IF(N56="nio",0,IF(N56&gt;0,VLOOKUP(G56,'3-Productie normen'!A:N,VLOOKUP(N56,'3-Productie normen'!Q:R,2,FALSE),FALSE)))</f>
        <v>0</v>
      </c>
      <c r="X56" s="170">
        <f t="shared" si="0"/>
        <v>0</v>
      </c>
      <c r="Y56" s="170">
        <f t="shared" si="1"/>
        <v>0</v>
      </c>
      <c r="Z56" s="170">
        <f t="shared" si="7"/>
        <v>0</v>
      </c>
      <c r="AA56" s="171">
        <f>VLOOKUP(G56,'3-Productie normen'!A:N,10,FALSE)</f>
        <v>4</v>
      </c>
      <c r="AB56" s="171"/>
      <c r="AD56" s="131">
        <f t="shared" si="2"/>
        <v>40188</v>
      </c>
    </row>
    <row r="57" spans="1:30" ht="14.1" customHeight="1">
      <c r="A57" s="147">
        <v>57</v>
      </c>
      <c r="B57" s="165" t="s">
        <v>303</v>
      </c>
      <c r="C57" s="165" t="s">
        <v>304</v>
      </c>
      <c r="D57" s="568" t="s">
        <v>102</v>
      </c>
      <c r="E57" s="166" t="s">
        <v>248</v>
      </c>
      <c r="F57" s="128" t="s">
        <v>251</v>
      </c>
      <c r="G57" s="165" t="s">
        <v>373</v>
      </c>
      <c r="H57" s="167" t="s">
        <v>104</v>
      </c>
      <c r="I57" s="563">
        <v>20.72</v>
      </c>
      <c r="J57" s="482">
        <v>1</v>
      </c>
      <c r="K57" s="482">
        <v>1</v>
      </c>
      <c r="L57" s="482">
        <v>1</v>
      </c>
      <c r="M57" s="482">
        <v>1</v>
      </c>
      <c r="N57" s="168">
        <v>255</v>
      </c>
      <c r="O57" s="168"/>
      <c r="P57" s="168"/>
      <c r="Q57" s="168"/>
      <c r="R57" s="169" t="e">
        <f t="shared" si="3"/>
        <v>#DIV/0!</v>
      </c>
      <c r="S57" s="169">
        <f t="shared" si="4"/>
        <v>0</v>
      </c>
      <c r="T57" s="169">
        <f t="shared" si="5"/>
        <v>0</v>
      </c>
      <c r="U57" s="169">
        <f t="shared" si="6"/>
        <v>0</v>
      </c>
      <c r="V57" s="519"/>
      <c r="W57" s="170">
        <f>IF(N57="nio",0,IF(N57&gt;0,VLOOKUP(G57,'3-Productie normen'!A:N,VLOOKUP(N57,'3-Productie normen'!Q:R,2,FALSE),FALSE)))</f>
        <v>0</v>
      </c>
      <c r="X57" s="170">
        <f t="shared" si="0"/>
        <v>0</v>
      </c>
      <c r="Y57" s="170">
        <f t="shared" si="1"/>
        <v>0</v>
      </c>
      <c r="Z57" s="170">
        <f t="shared" si="7"/>
        <v>0</v>
      </c>
      <c r="AA57" s="171">
        <f>VLOOKUP(G57,'3-Productie normen'!A:N,10,FALSE)</f>
        <v>1</v>
      </c>
      <c r="AB57" s="171"/>
      <c r="AD57" s="131">
        <f t="shared" si="2"/>
        <v>5283.5999999999995</v>
      </c>
    </row>
    <row r="58" spans="1:30" ht="14.1" customHeight="1">
      <c r="A58" s="147">
        <v>58</v>
      </c>
      <c r="B58" s="165" t="s">
        <v>303</v>
      </c>
      <c r="C58" s="165" t="s">
        <v>304</v>
      </c>
      <c r="D58" s="568" t="s">
        <v>102</v>
      </c>
      <c r="E58" s="166" t="s">
        <v>250</v>
      </c>
      <c r="F58" s="128" t="s">
        <v>270</v>
      </c>
      <c r="G58" s="128" t="s">
        <v>373</v>
      </c>
      <c r="H58" s="167" t="s">
        <v>104</v>
      </c>
      <c r="I58" s="563">
        <v>14.03</v>
      </c>
      <c r="J58" s="482">
        <v>1</v>
      </c>
      <c r="K58" s="482">
        <v>1</v>
      </c>
      <c r="L58" s="482">
        <v>1</v>
      </c>
      <c r="M58" s="482">
        <v>1</v>
      </c>
      <c r="N58" s="168">
        <v>255</v>
      </c>
      <c r="O58" s="168"/>
      <c r="P58" s="168"/>
      <c r="Q58" s="168"/>
      <c r="R58" s="169" t="e">
        <f t="shared" si="3"/>
        <v>#DIV/0!</v>
      </c>
      <c r="S58" s="169">
        <f t="shared" si="4"/>
        <v>0</v>
      </c>
      <c r="T58" s="169">
        <f t="shared" si="5"/>
        <v>0</v>
      </c>
      <c r="U58" s="169">
        <f t="shared" si="6"/>
        <v>0</v>
      </c>
      <c r="V58" s="519"/>
      <c r="W58" s="170">
        <f>IF(N58="nio",0,IF(N58&gt;0,VLOOKUP(G58,'3-Productie normen'!A:N,VLOOKUP(N58,'3-Productie normen'!Q:R,2,FALSE),FALSE)))</f>
        <v>0</v>
      </c>
      <c r="X58" s="170">
        <f t="shared" si="0"/>
        <v>0</v>
      </c>
      <c r="Y58" s="170">
        <f t="shared" si="1"/>
        <v>0</v>
      </c>
      <c r="Z58" s="170">
        <f t="shared" si="7"/>
        <v>0</v>
      </c>
      <c r="AA58" s="171">
        <f>VLOOKUP(G58,'3-Productie normen'!A:N,10,FALSE)</f>
        <v>1</v>
      </c>
      <c r="AB58" s="171"/>
      <c r="AD58" s="131">
        <f t="shared" si="2"/>
        <v>3577.6499999999996</v>
      </c>
    </row>
    <row r="59" spans="1:30" ht="14.1" customHeight="1">
      <c r="A59" s="147">
        <v>59</v>
      </c>
      <c r="B59" s="165" t="s">
        <v>303</v>
      </c>
      <c r="C59" s="165" t="s">
        <v>304</v>
      </c>
      <c r="D59" s="568" t="s">
        <v>102</v>
      </c>
      <c r="E59" s="166" t="s">
        <v>252</v>
      </c>
      <c r="F59" s="128" t="s">
        <v>270</v>
      </c>
      <c r="G59" s="128" t="s">
        <v>373</v>
      </c>
      <c r="H59" s="167" t="s">
        <v>104</v>
      </c>
      <c r="I59" s="563">
        <v>14.09</v>
      </c>
      <c r="J59" s="482">
        <v>1</v>
      </c>
      <c r="K59" s="482">
        <v>1</v>
      </c>
      <c r="L59" s="482">
        <v>1</v>
      </c>
      <c r="M59" s="482">
        <v>1</v>
      </c>
      <c r="N59" s="168">
        <v>255</v>
      </c>
      <c r="O59" s="168"/>
      <c r="P59" s="168"/>
      <c r="Q59" s="168"/>
      <c r="R59" s="169" t="e">
        <f t="shared" si="3"/>
        <v>#DIV/0!</v>
      </c>
      <c r="S59" s="169">
        <f t="shared" si="4"/>
        <v>0</v>
      </c>
      <c r="T59" s="169">
        <f t="shared" si="5"/>
        <v>0</v>
      </c>
      <c r="U59" s="169">
        <f t="shared" si="6"/>
        <v>0</v>
      </c>
      <c r="V59" s="519"/>
      <c r="W59" s="170">
        <f>IF(N59="nio",0,IF(N59&gt;0,VLOOKUP(G59,'3-Productie normen'!A:N,VLOOKUP(N59,'3-Productie normen'!Q:R,2,FALSE),FALSE)))</f>
        <v>0</v>
      </c>
      <c r="X59" s="170">
        <f t="shared" si="0"/>
        <v>0</v>
      </c>
      <c r="Y59" s="170">
        <f t="shared" si="1"/>
        <v>0</v>
      </c>
      <c r="Z59" s="170">
        <f t="shared" si="7"/>
        <v>0</v>
      </c>
      <c r="AA59" s="171">
        <f>VLOOKUP(G59,'3-Productie normen'!A:N,10,FALSE)</f>
        <v>1</v>
      </c>
      <c r="AB59" s="171"/>
      <c r="AD59" s="131">
        <f t="shared" si="2"/>
        <v>3592.95</v>
      </c>
    </row>
    <row r="60" spans="1:30" ht="14.1" customHeight="1">
      <c r="A60" s="147">
        <v>60</v>
      </c>
      <c r="B60" s="165" t="s">
        <v>303</v>
      </c>
      <c r="C60" s="165" t="s">
        <v>304</v>
      </c>
      <c r="D60" s="568" t="s">
        <v>102</v>
      </c>
      <c r="E60" s="166" t="s">
        <v>254</v>
      </c>
      <c r="F60" s="128" t="s">
        <v>280</v>
      </c>
      <c r="G60" s="167" t="s">
        <v>107</v>
      </c>
      <c r="H60" s="167" t="s">
        <v>104</v>
      </c>
      <c r="I60" s="563">
        <v>41.35</v>
      </c>
      <c r="J60" s="482">
        <v>1</v>
      </c>
      <c r="K60" s="482">
        <v>1</v>
      </c>
      <c r="L60" s="482">
        <v>1</v>
      </c>
      <c r="M60" s="482">
        <v>1</v>
      </c>
      <c r="N60" s="168">
        <v>255</v>
      </c>
      <c r="O60" s="168"/>
      <c r="P60" s="168"/>
      <c r="Q60" s="168"/>
      <c r="R60" s="169" t="e">
        <f t="shared" si="3"/>
        <v>#DIV/0!</v>
      </c>
      <c r="S60" s="169">
        <f t="shared" si="4"/>
        <v>0</v>
      </c>
      <c r="T60" s="169">
        <f t="shared" si="5"/>
        <v>0</v>
      </c>
      <c r="U60" s="169">
        <f t="shared" si="6"/>
        <v>0</v>
      </c>
      <c r="V60" s="519"/>
      <c r="W60" s="170">
        <f>IF(N60="nio",0,IF(N60&gt;0,VLOOKUP(G60,'3-Productie normen'!A:N,VLOOKUP(N60,'3-Productie normen'!Q:R,2,FALSE),FALSE)))</f>
        <v>0</v>
      </c>
      <c r="X60" s="170">
        <f t="shared" si="0"/>
        <v>0</v>
      </c>
      <c r="Y60" s="170">
        <f t="shared" si="1"/>
        <v>0</v>
      </c>
      <c r="Z60" s="170">
        <f t="shared" si="7"/>
        <v>0</v>
      </c>
      <c r="AA60" s="171">
        <f>VLOOKUP(G60,'3-Productie normen'!A:N,10,FALSE)</f>
        <v>2</v>
      </c>
      <c r="AB60" s="171"/>
      <c r="AD60" s="131">
        <f t="shared" si="2"/>
        <v>10544.25</v>
      </c>
    </row>
    <row r="61" spans="1:30" ht="14.1" customHeight="1">
      <c r="A61" s="147">
        <v>61</v>
      </c>
      <c r="B61" s="165" t="s">
        <v>303</v>
      </c>
      <c r="C61" s="165" t="s">
        <v>304</v>
      </c>
      <c r="D61" s="568" t="s">
        <v>102</v>
      </c>
      <c r="E61" s="166" t="s">
        <v>256</v>
      </c>
      <c r="F61" s="128" t="s">
        <v>281</v>
      </c>
      <c r="G61" s="167" t="s">
        <v>373</v>
      </c>
      <c r="H61" s="167" t="s">
        <v>272</v>
      </c>
      <c r="I61" s="563">
        <v>39.340000000000003</v>
      </c>
      <c r="J61" s="482">
        <v>1</v>
      </c>
      <c r="K61" s="482">
        <v>1</v>
      </c>
      <c r="L61" s="482">
        <v>1</v>
      </c>
      <c r="M61" s="482">
        <v>1</v>
      </c>
      <c r="N61" s="168">
        <v>255</v>
      </c>
      <c r="O61" s="168"/>
      <c r="P61" s="168"/>
      <c r="Q61" s="168"/>
      <c r="R61" s="169" t="e">
        <f t="shared" si="3"/>
        <v>#DIV/0!</v>
      </c>
      <c r="S61" s="169">
        <f t="shared" si="4"/>
        <v>0</v>
      </c>
      <c r="T61" s="169">
        <f t="shared" si="5"/>
        <v>0</v>
      </c>
      <c r="U61" s="169">
        <f t="shared" si="6"/>
        <v>0</v>
      </c>
      <c r="V61" s="519"/>
      <c r="W61" s="170">
        <f>IF(N61="nio",0,IF(N61&gt;0,VLOOKUP(G61,'3-Productie normen'!A:N,VLOOKUP(N61,'3-Productie normen'!Q:R,2,FALSE),FALSE)))</f>
        <v>0</v>
      </c>
      <c r="X61" s="170">
        <f t="shared" si="0"/>
        <v>0</v>
      </c>
      <c r="Y61" s="170">
        <f t="shared" si="1"/>
        <v>0</v>
      </c>
      <c r="Z61" s="170">
        <f t="shared" si="7"/>
        <v>0</v>
      </c>
      <c r="AA61" s="171">
        <f>VLOOKUP(G61,'3-Productie normen'!A:N,10,FALSE)</f>
        <v>1</v>
      </c>
      <c r="AB61" s="171"/>
      <c r="AD61" s="131">
        <f t="shared" si="2"/>
        <v>10031.700000000001</v>
      </c>
    </row>
    <row r="62" spans="1:30" ht="14.1" customHeight="1">
      <c r="A62" s="147">
        <v>62</v>
      </c>
      <c r="B62" s="165" t="s">
        <v>303</v>
      </c>
      <c r="C62" s="165" t="s">
        <v>304</v>
      </c>
      <c r="D62" s="568" t="s">
        <v>102</v>
      </c>
      <c r="E62" s="166" t="s">
        <v>258</v>
      </c>
      <c r="F62" s="128" t="s">
        <v>270</v>
      </c>
      <c r="G62" s="128" t="s">
        <v>373</v>
      </c>
      <c r="H62" s="167" t="s">
        <v>104</v>
      </c>
      <c r="I62" s="563">
        <v>13.43</v>
      </c>
      <c r="J62" s="482">
        <v>1</v>
      </c>
      <c r="K62" s="482">
        <v>1</v>
      </c>
      <c r="L62" s="482">
        <v>1</v>
      </c>
      <c r="M62" s="482">
        <v>1</v>
      </c>
      <c r="N62" s="168">
        <v>255</v>
      </c>
      <c r="O62" s="168"/>
      <c r="P62" s="168"/>
      <c r="Q62" s="168"/>
      <c r="R62" s="169" t="e">
        <f t="shared" si="3"/>
        <v>#DIV/0!</v>
      </c>
      <c r="S62" s="169">
        <f t="shared" si="4"/>
        <v>0</v>
      </c>
      <c r="T62" s="169">
        <f t="shared" si="5"/>
        <v>0</v>
      </c>
      <c r="U62" s="169">
        <f t="shared" si="6"/>
        <v>0</v>
      </c>
      <c r="V62" s="519"/>
      <c r="W62" s="170">
        <f>IF(N62="nio",0,IF(N62&gt;0,VLOOKUP(G62,'3-Productie normen'!A:N,VLOOKUP(N62,'3-Productie normen'!Q:R,2,FALSE),FALSE)))</f>
        <v>0</v>
      </c>
      <c r="X62" s="170">
        <f t="shared" si="0"/>
        <v>0</v>
      </c>
      <c r="Y62" s="170">
        <f t="shared" si="1"/>
        <v>0</v>
      </c>
      <c r="Z62" s="170">
        <f t="shared" si="7"/>
        <v>0</v>
      </c>
      <c r="AA62" s="171">
        <f>VLOOKUP(G62,'3-Productie normen'!A:N,10,FALSE)</f>
        <v>1</v>
      </c>
      <c r="AB62" s="171"/>
      <c r="AD62" s="131">
        <f t="shared" si="2"/>
        <v>3424.65</v>
      </c>
    </row>
    <row r="63" spans="1:30" ht="14.1" customHeight="1">
      <c r="A63" s="147">
        <v>63</v>
      </c>
      <c r="B63" s="165" t="s">
        <v>303</v>
      </c>
      <c r="C63" s="165" t="s">
        <v>304</v>
      </c>
      <c r="D63" s="568" t="s">
        <v>102</v>
      </c>
      <c r="E63" s="166" t="s">
        <v>259</v>
      </c>
      <c r="F63" s="128" t="s">
        <v>260</v>
      </c>
      <c r="G63" s="128" t="s">
        <v>578</v>
      </c>
      <c r="H63" s="167" t="s">
        <v>272</v>
      </c>
      <c r="I63" s="563">
        <v>18.73</v>
      </c>
      <c r="J63" s="482">
        <v>1</v>
      </c>
      <c r="K63" s="482">
        <v>1</v>
      </c>
      <c r="L63" s="482">
        <v>1</v>
      </c>
      <c r="M63" s="482">
        <v>1</v>
      </c>
      <c r="N63" s="168">
        <v>12</v>
      </c>
      <c r="O63" s="168"/>
      <c r="P63" s="168"/>
      <c r="Q63" s="168"/>
      <c r="R63" s="169" t="e">
        <f t="shared" si="3"/>
        <v>#DIV/0!</v>
      </c>
      <c r="S63" s="169">
        <f t="shared" si="4"/>
        <v>0</v>
      </c>
      <c r="T63" s="169">
        <f t="shared" si="5"/>
        <v>0</v>
      </c>
      <c r="U63" s="169">
        <f t="shared" si="6"/>
        <v>0</v>
      </c>
      <c r="V63" s="519"/>
      <c r="W63" s="170">
        <f>IF(N63="nio",0,IF(N63&gt;0,VLOOKUP(G63,'3-Productie normen'!A:N,VLOOKUP(N63,'3-Productie normen'!Q:R,2,FALSE),FALSE)))</f>
        <v>0</v>
      </c>
      <c r="X63" s="170">
        <f t="shared" si="0"/>
        <v>0</v>
      </c>
      <c r="Y63" s="170">
        <f t="shared" si="1"/>
        <v>0</v>
      </c>
      <c r="Z63" s="170">
        <f t="shared" si="7"/>
        <v>0</v>
      </c>
      <c r="AA63" s="171">
        <f>VLOOKUP(G63,'3-Productie normen'!A:N,10,FALSE)</f>
        <v>4</v>
      </c>
      <c r="AB63" s="171"/>
      <c r="AD63" s="131">
        <f t="shared" si="2"/>
        <v>224.76</v>
      </c>
    </row>
    <row r="64" spans="1:30" ht="14.1" customHeight="1">
      <c r="A64" s="147">
        <v>64</v>
      </c>
      <c r="B64" s="165" t="s">
        <v>303</v>
      </c>
      <c r="C64" s="165" t="s">
        <v>304</v>
      </c>
      <c r="D64" s="568" t="s">
        <v>102</v>
      </c>
      <c r="E64" s="166" t="s">
        <v>261</v>
      </c>
      <c r="F64" s="128" t="s">
        <v>103</v>
      </c>
      <c r="G64" s="525" t="s">
        <v>583</v>
      </c>
      <c r="H64" s="167" t="s">
        <v>305</v>
      </c>
      <c r="I64" s="563">
        <v>2.63</v>
      </c>
      <c r="J64" s="482">
        <v>1</v>
      </c>
      <c r="K64" s="482">
        <v>1</v>
      </c>
      <c r="L64" s="482">
        <v>1</v>
      </c>
      <c r="M64" s="482">
        <v>1</v>
      </c>
      <c r="N64" s="168">
        <v>255</v>
      </c>
      <c r="O64" s="168"/>
      <c r="P64" s="168"/>
      <c r="Q64" s="168"/>
      <c r="R64" s="169" t="e">
        <f t="shared" si="3"/>
        <v>#DIV/0!</v>
      </c>
      <c r="S64" s="169">
        <f t="shared" si="4"/>
        <v>0</v>
      </c>
      <c r="T64" s="169">
        <f t="shared" si="5"/>
        <v>0</v>
      </c>
      <c r="U64" s="169">
        <f t="shared" si="6"/>
        <v>0</v>
      </c>
      <c r="V64" s="519"/>
      <c r="W64" s="170">
        <f>IF(N64="nio",0,IF(N64&gt;0,VLOOKUP(G64,'3-Productie normen'!A:N,VLOOKUP(N64,'3-Productie normen'!Q:R,2,FALSE),FALSE)))</f>
        <v>0</v>
      </c>
      <c r="X64" s="170">
        <f t="shared" si="0"/>
        <v>0</v>
      </c>
      <c r="Y64" s="170">
        <f t="shared" si="1"/>
        <v>0</v>
      </c>
      <c r="Z64" s="170">
        <f t="shared" si="7"/>
        <v>0</v>
      </c>
      <c r="AA64" s="171">
        <f>VLOOKUP(G64,'3-Productie normen'!A:N,10,FALSE)</f>
        <v>4</v>
      </c>
      <c r="AB64" s="171"/>
      <c r="AD64" s="131">
        <f t="shared" si="2"/>
        <v>670.65</v>
      </c>
    </row>
    <row r="65" spans="1:30" ht="14.1" customHeight="1">
      <c r="A65" s="147">
        <v>65</v>
      </c>
      <c r="B65" s="165" t="s">
        <v>306</v>
      </c>
      <c r="C65" s="165" t="s">
        <v>307</v>
      </c>
      <c r="D65" s="568" t="s">
        <v>102</v>
      </c>
      <c r="E65" s="166" t="s">
        <v>247</v>
      </c>
      <c r="F65" s="128" t="s">
        <v>103</v>
      </c>
      <c r="G65" s="525" t="s">
        <v>583</v>
      </c>
      <c r="H65" s="167" t="s">
        <v>272</v>
      </c>
      <c r="I65" s="563">
        <v>5.49</v>
      </c>
      <c r="J65" s="482">
        <v>1</v>
      </c>
      <c r="K65" s="482">
        <v>1</v>
      </c>
      <c r="L65" s="482">
        <v>1</v>
      </c>
      <c r="M65" s="482">
        <v>1</v>
      </c>
      <c r="N65" s="168">
        <v>255</v>
      </c>
      <c r="O65" s="168"/>
      <c r="P65" s="168"/>
      <c r="Q65" s="168"/>
      <c r="R65" s="169" t="e">
        <f t="shared" si="3"/>
        <v>#DIV/0!</v>
      </c>
      <c r="S65" s="169">
        <f t="shared" si="4"/>
        <v>0</v>
      </c>
      <c r="T65" s="169">
        <f t="shared" si="5"/>
        <v>0</v>
      </c>
      <c r="U65" s="169">
        <f t="shared" si="6"/>
        <v>0</v>
      </c>
      <c r="V65" s="519"/>
      <c r="W65" s="170">
        <f>IF(N65="nio",0,IF(N65&gt;0,VLOOKUP(G65,'3-Productie normen'!A:N,VLOOKUP(N65,'3-Productie normen'!Q:R,2,FALSE),FALSE)))</f>
        <v>0</v>
      </c>
      <c r="X65" s="170">
        <f t="shared" si="0"/>
        <v>0</v>
      </c>
      <c r="Y65" s="170">
        <f t="shared" si="1"/>
        <v>0</v>
      </c>
      <c r="Z65" s="170">
        <f t="shared" si="7"/>
        <v>0</v>
      </c>
      <c r="AA65" s="171">
        <f>VLOOKUP(G65,'3-Productie normen'!A:N,10,FALSE)</f>
        <v>4</v>
      </c>
      <c r="AB65" s="171"/>
      <c r="AD65" s="131">
        <f t="shared" si="2"/>
        <v>1399.95</v>
      </c>
    </row>
    <row r="66" spans="1:30" ht="14.1" customHeight="1">
      <c r="A66" s="147">
        <v>66</v>
      </c>
      <c r="B66" s="165" t="s">
        <v>306</v>
      </c>
      <c r="C66" s="165" t="s">
        <v>307</v>
      </c>
      <c r="D66" s="568" t="s">
        <v>102</v>
      </c>
      <c r="E66" s="166" t="s">
        <v>248</v>
      </c>
      <c r="F66" s="128" t="s">
        <v>308</v>
      </c>
      <c r="G66" s="165" t="s">
        <v>579</v>
      </c>
      <c r="H66" s="167" t="s">
        <v>104</v>
      </c>
      <c r="I66" s="563">
        <v>240.55</v>
      </c>
      <c r="J66" s="482">
        <v>1</v>
      </c>
      <c r="K66" s="482">
        <v>1</v>
      </c>
      <c r="L66" s="482">
        <v>1</v>
      </c>
      <c r="M66" s="482">
        <v>1</v>
      </c>
      <c r="N66" s="168">
        <v>255</v>
      </c>
      <c r="O66" s="168"/>
      <c r="P66" s="168"/>
      <c r="Q66" s="168"/>
      <c r="R66" s="169" t="e">
        <f t="shared" si="3"/>
        <v>#DIV/0!</v>
      </c>
      <c r="S66" s="169">
        <f t="shared" si="4"/>
        <v>0</v>
      </c>
      <c r="T66" s="169">
        <f t="shared" si="5"/>
        <v>0</v>
      </c>
      <c r="U66" s="169">
        <f t="shared" si="6"/>
        <v>0</v>
      </c>
      <c r="V66" s="519"/>
      <c r="W66" s="170">
        <f>IF(N66="nio",0,IF(N66&gt;0,VLOOKUP(G66,'3-Productie normen'!A:N,VLOOKUP(N66,'3-Productie normen'!Q:R,2,FALSE),FALSE)))</f>
        <v>0</v>
      </c>
      <c r="X66" s="170">
        <f t="shared" si="0"/>
        <v>0</v>
      </c>
      <c r="Y66" s="170">
        <f t="shared" si="1"/>
        <v>0</v>
      </c>
      <c r="Z66" s="170">
        <f t="shared" si="7"/>
        <v>0</v>
      </c>
      <c r="AA66" s="171">
        <f>VLOOKUP(G66,'3-Productie normen'!A:N,10,FALSE)</f>
        <v>4</v>
      </c>
      <c r="AB66" s="171"/>
      <c r="AD66" s="131">
        <f t="shared" si="2"/>
        <v>61340.25</v>
      </c>
    </row>
    <row r="67" spans="1:30" ht="14.1" customHeight="1">
      <c r="A67" s="147">
        <v>67</v>
      </c>
      <c r="B67" s="165" t="s">
        <v>306</v>
      </c>
      <c r="C67" s="165" t="s">
        <v>307</v>
      </c>
      <c r="D67" s="568" t="s">
        <v>102</v>
      </c>
      <c r="E67" s="166" t="s">
        <v>250</v>
      </c>
      <c r="F67" s="128" t="s">
        <v>309</v>
      </c>
      <c r="G67" s="165" t="s">
        <v>373</v>
      </c>
      <c r="H67" s="167" t="s">
        <v>104</v>
      </c>
      <c r="I67" s="563">
        <v>14.49</v>
      </c>
      <c r="J67" s="482">
        <v>1</v>
      </c>
      <c r="K67" s="482">
        <v>1</v>
      </c>
      <c r="L67" s="482">
        <v>1</v>
      </c>
      <c r="M67" s="482">
        <v>1</v>
      </c>
      <c r="N67" s="168">
        <v>255</v>
      </c>
      <c r="O67" s="168"/>
      <c r="P67" s="168"/>
      <c r="Q67" s="168"/>
      <c r="R67" s="169" t="e">
        <f t="shared" si="3"/>
        <v>#DIV/0!</v>
      </c>
      <c r="S67" s="169">
        <f t="shared" si="4"/>
        <v>0</v>
      </c>
      <c r="T67" s="169">
        <f t="shared" si="5"/>
        <v>0</v>
      </c>
      <c r="U67" s="169">
        <f t="shared" si="6"/>
        <v>0</v>
      </c>
      <c r="V67" s="519"/>
      <c r="W67" s="170">
        <f>IF(N67="nio",0,IF(N67&gt;0,VLOOKUP(G67,'3-Productie normen'!A:N,VLOOKUP(N67,'3-Productie normen'!Q:R,2,FALSE),FALSE)))</f>
        <v>0</v>
      </c>
      <c r="X67" s="170">
        <f t="shared" si="0"/>
        <v>0</v>
      </c>
      <c r="Y67" s="170">
        <f t="shared" si="1"/>
        <v>0</v>
      </c>
      <c r="Z67" s="170">
        <f t="shared" si="7"/>
        <v>0</v>
      </c>
      <c r="AA67" s="171">
        <f>VLOOKUP(G67,'3-Productie normen'!A:N,10,FALSE)</f>
        <v>1</v>
      </c>
      <c r="AB67" s="171"/>
      <c r="AD67" s="131">
        <f t="shared" si="2"/>
        <v>3694.9500000000003</v>
      </c>
    </row>
    <row r="68" spans="1:30" ht="14.1" customHeight="1">
      <c r="A68" s="147">
        <v>68</v>
      </c>
      <c r="B68" s="165" t="s">
        <v>306</v>
      </c>
      <c r="C68" s="165" t="s">
        <v>307</v>
      </c>
      <c r="D68" s="568" t="s">
        <v>102</v>
      </c>
      <c r="E68" s="166" t="s">
        <v>252</v>
      </c>
      <c r="F68" s="128" t="s">
        <v>262</v>
      </c>
      <c r="G68" s="128" t="s">
        <v>373</v>
      </c>
      <c r="H68" s="167" t="s">
        <v>104</v>
      </c>
      <c r="I68" s="563">
        <v>13.74</v>
      </c>
      <c r="J68" s="482">
        <v>1</v>
      </c>
      <c r="K68" s="482">
        <v>1</v>
      </c>
      <c r="L68" s="482">
        <v>1</v>
      </c>
      <c r="M68" s="482">
        <v>1</v>
      </c>
      <c r="N68" s="168">
        <v>255</v>
      </c>
      <c r="O68" s="168"/>
      <c r="P68" s="168"/>
      <c r="Q68" s="168"/>
      <c r="R68" s="169" t="e">
        <f t="shared" si="3"/>
        <v>#DIV/0!</v>
      </c>
      <c r="S68" s="169">
        <f t="shared" si="4"/>
        <v>0</v>
      </c>
      <c r="T68" s="169">
        <f t="shared" si="5"/>
        <v>0</v>
      </c>
      <c r="U68" s="169">
        <f t="shared" si="6"/>
        <v>0</v>
      </c>
      <c r="V68" s="519"/>
      <c r="W68" s="170">
        <f>IF(N68="nio",0,IF(N68&gt;0,VLOOKUP(G68,'3-Productie normen'!A:N,VLOOKUP(N68,'3-Productie normen'!Q:R,2,FALSE),FALSE)))</f>
        <v>0</v>
      </c>
      <c r="X68" s="170">
        <f t="shared" si="0"/>
        <v>0</v>
      </c>
      <c r="Y68" s="170">
        <f t="shared" si="1"/>
        <v>0</v>
      </c>
      <c r="Z68" s="170">
        <f t="shared" si="7"/>
        <v>0</v>
      </c>
      <c r="AA68" s="171">
        <f>VLOOKUP(G68,'3-Productie normen'!A:N,10,FALSE)</f>
        <v>1</v>
      </c>
      <c r="AB68" s="171"/>
      <c r="AD68" s="131">
        <f t="shared" si="2"/>
        <v>3503.7000000000003</v>
      </c>
    </row>
    <row r="69" spans="1:30" ht="14.1" customHeight="1">
      <c r="A69" s="147">
        <v>69</v>
      </c>
      <c r="B69" s="165" t="s">
        <v>306</v>
      </c>
      <c r="C69" s="165" t="s">
        <v>307</v>
      </c>
      <c r="D69" s="568" t="s">
        <v>102</v>
      </c>
      <c r="E69" s="166" t="s">
        <v>254</v>
      </c>
      <c r="F69" s="128" t="s">
        <v>264</v>
      </c>
      <c r="G69" s="128" t="s">
        <v>373</v>
      </c>
      <c r="H69" s="167" t="s">
        <v>104</v>
      </c>
      <c r="I69" s="563">
        <v>15.48</v>
      </c>
      <c r="J69" s="482">
        <v>1</v>
      </c>
      <c r="K69" s="482">
        <v>1</v>
      </c>
      <c r="L69" s="482">
        <v>1</v>
      </c>
      <c r="M69" s="482">
        <v>1</v>
      </c>
      <c r="N69" s="168">
        <v>255</v>
      </c>
      <c r="O69" s="168"/>
      <c r="P69" s="168"/>
      <c r="Q69" s="168"/>
      <c r="R69" s="169" t="e">
        <f t="shared" si="3"/>
        <v>#DIV/0!</v>
      </c>
      <c r="S69" s="169">
        <f t="shared" si="4"/>
        <v>0</v>
      </c>
      <c r="T69" s="169">
        <f t="shared" si="5"/>
        <v>0</v>
      </c>
      <c r="U69" s="169">
        <f t="shared" si="6"/>
        <v>0</v>
      </c>
      <c r="V69" s="519"/>
      <c r="W69" s="170">
        <f>IF(N69="nio",0,IF(N69&gt;0,VLOOKUP(G69,'3-Productie normen'!A:N,VLOOKUP(N69,'3-Productie normen'!Q:R,2,FALSE),FALSE)))</f>
        <v>0</v>
      </c>
      <c r="X69" s="170">
        <f t="shared" si="0"/>
        <v>0</v>
      </c>
      <c r="Y69" s="170">
        <f t="shared" si="1"/>
        <v>0</v>
      </c>
      <c r="Z69" s="170">
        <f t="shared" si="7"/>
        <v>0</v>
      </c>
      <c r="AA69" s="171">
        <f>VLOOKUP(G69,'3-Productie normen'!A:N,10,FALSE)</f>
        <v>1</v>
      </c>
      <c r="AB69" s="171"/>
      <c r="AD69" s="131">
        <f t="shared" si="2"/>
        <v>3947.4</v>
      </c>
    </row>
    <row r="70" spans="1:30" ht="14.1" customHeight="1">
      <c r="A70" s="147">
        <v>70</v>
      </c>
      <c r="B70" s="165" t="s">
        <v>306</v>
      </c>
      <c r="C70" s="165" t="s">
        <v>307</v>
      </c>
      <c r="D70" s="568" t="s">
        <v>102</v>
      </c>
      <c r="E70" s="166" t="s">
        <v>256</v>
      </c>
      <c r="F70" s="128" t="s">
        <v>266</v>
      </c>
      <c r="G70" s="128" t="s">
        <v>373</v>
      </c>
      <c r="H70" s="167" t="s">
        <v>104</v>
      </c>
      <c r="I70" s="563">
        <v>16.350000000000001</v>
      </c>
      <c r="J70" s="482">
        <v>1</v>
      </c>
      <c r="K70" s="482">
        <v>1</v>
      </c>
      <c r="L70" s="482">
        <v>1</v>
      </c>
      <c r="M70" s="482">
        <v>1</v>
      </c>
      <c r="N70" s="168">
        <v>255</v>
      </c>
      <c r="O70" s="168"/>
      <c r="P70" s="168"/>
      <c r="Q70" s="168"/>
      <c r="R70" s="169" t="e">
        <f t="shared" si="3"/>
        <v>#DIV/0!</v>
      </c>
      <c r="S70" s="169">
        <f t="shared" si="4"/>
        <v>0</v>
      </c>
      <c r="T70" s="169">
        <f t="shared" si="5"/>
        <v>0</v>
      </c>
      <c r="U70" s="169">
        <f t="shared" si="6"/>
        <v>0</v>
      </c>
      <c r="V70" s="519"/>
      <c r="W70" s="170">
        <f>IF(N70="nio",0,IF(N70&gt;0,VLOOKUP(G70,'3-Productie normen'!A:N,VLOOKUP(N70,'3-Productie normen'!Q:R,2,FALSE),FALSE)))</f>
        <v>0</v>
      </c>
      <c r="X70" s="170">
        <f t="shared" si="0"/>
        <v>0</v>
      </c>
      <c r="Y70" s="170">
        <f t="shared" si="1"/>
        <v>0</v>
      </c>
      <c r="Z70" s="170">
        <f t="shared" si="7"/>
        <v>0</v>
      </c>
      <c r="AA70" s="171">
        <f>VLOOKUP(G70,'3-Productie normen'!A:N,10,FALSE)</f>
        <v>1</v>
      </c>
      <c r="AB70" s="171"/>
      <c r="AD70" s="131">
        <f t="shared" si="2"/>
        <v>4169.25</v>
      </c>
    </row>
    <row r="71" spans="1:30" ht="14.1" customHeight="1">
      <c r="A71" s="147">
        <v>71</v>
      </c>
      <c r="B71" s="165" t="s">
        <v>306</v>
      </c>
      <c r="C71" s="165" t="s">
        <v>307</v>
      </c>
      <c r="D71" s="568" t="s">
        <v>102</v>
      </c>
      <c r="E71" s="166" t="s">
        <v>258</v>
      </c>
      <c r="F71" s="128" t="s">
        <v>260</v>
      </c>
      <c r="G71" s="128" t="s">
        <v>578</v>
      </c>
      <c r="H71" s="167" t="s">
        <v>344</v>
      </c>
      <c r="I71" s="563">
        <v>8.24</v>
      </c>
      <c r="J71" s="482">
        <v>1</v>
      </c>
      <c r="K71" s="482">
        <v>1</v>
      </c>
      <c r="L71" s="482">
        <v>1</v>
      </c>
      <c r="M71" s="482">
        <v>1</v>
      </c>
      <c r="N71" s="168">
        <v>12</v>
      </c>
      <c r="O71" s="168"/>
      <c r="P71" s="168"/>
      <c r="Q71" s="168"/>
      <c r="R71" s="169" t="e">
        <f t="shared" si="3"/>
        <v>#DIV/0!</v>
      </c>
      <c r="S71" s="169">
        <f t="shared" si="4"/>
        <v>0</v>
      </c>
      <c r="T71" s="169">
        <f t="shared" si="5"/>
        <v>0</v>
      </c>
      <c r="U71" s="169">
        <f t="shared" si="6"/>
        <v>0</v>
      </c>
      <c r="V71" s="519"/>
      <c r="W71" s="170">
        <f>IF(N71="nio",0,IF(N71&gt;0,VLOOKUP(G71,'3-Productie normen'!A:N,VLOOKUP(N71,'3-Productie normen'!Q:R,2,FALSE),FALSE)))</f>
        <v>0</v>
      </c>
      <c r="X71" s="170">
        <f t="shared" si="0"/>
        <v>0</v>
      </c>
      <c r="Y71" s="170">
        <f t="shared" si="1"/>
        <v>0</v>
      </c>
      <c r="Z71" s="170">
        <f t="shared" si="7"/>
        <v>0</v>
      </c>
      <c r="AA71" s="171">
        <f>VLOOKUP(G71,'3-Productie normen'!A:N,10,FALSE)</f>
        <v>4</v>
      </c>
      <c r="AB71" s="171"/>
      <c r="AD71" s="131">
        <f t="shared" si="2"/>
        <v>98.88</v>
      </c>
    </row>
    <row r="72" spans="1:30" ht="14.1" customHeight="1">
      <c r="A72" s="147">
        <v>72</v>
      </c>
      <c r="B72" s="165" t="s">
        <v>306</v>
      </c>
      <c r="C72" s="165" t="s">
        <v>307</v>
      </c>
      <c r="D72" s="568" t="s">
        <v>102</v>
      </c>
      <c r="E72" s="166" t="s">
        <v>259</v>
      </c>
      <c r="F72" s="128" t="s">
        <v>310</v>
      </c>
      <c r="G72" s="165" t="s">
        <v>373</v>
      </c>
      <c r="H72" s="167" t="s">
        <v>104</v>
      </c>
      <c r="I72" s="563">
        <v>28.49</v>
      </c>
      <c r="J72" s="482">
        <v>1</v>
      </c>
      <c r="K72" s="482">
        <v>1</v>
      </c>
      <c r="L72" s="482">
        <v>1</v>
      </c>
      <c r="M72" s="482">
        <v>1</v>
      </c>
      <c r="N72" s="168">
        <v>255</v>
      </c>
      <c r="O72" s="168"/>
      <c r="P72" s="168"/>
      <c r="Q72" s="168"/>
      <c r="R72" s="169" t="e">
        <f t="shared" si="3"/>
        <v>#DIV/0!</v>
      </c>
      <c r="S72" s="169">
        <f t="shared" si="4"/>
        <v>0</v>
      </c>
      <c r="T72" s="169">
        <f t="shared" si="5"/>
        <v>0</v>
      </c>
      <c r="U72" s="169">
        <f t="shared" si="6"/>
        <v>0</v>
      </c>
      <c r="V72" s="519"/>
      <c r="W72" s="170">
        <f>IF(N72="nio",0,IF(N72&gt;0,VLOOKUP(G72,'3-Productie normen'!A:N,VLOOKUP(N72,'3-Productie normen'!Q:R,2,FALSE),FALSE)))</f>
        <v>0</v>
      </c>
      <c r="X72" s="170">
        <f t="shared" si="0"/>
        <v>0</v>
      </c>
      <c r="Y72" s="170">
        <f t="shared" si="1"/>
        <v>0</v>
      </c>
      <c r="Z72" s="170">
        <f t="shared" si="7"/>
        <v>0</v>
      </c>
      <c r="AA72" s="171">
        <f>VLOOKUP(G72,'3-Productie normen'!A:N,10,FALSE)</f>
        <v>1</v>
      </c>
      <c r="AB72" s="171"/>
      <c r="AD72" s="131">
        <f t="shared" si="2"/>
        <v>7264.95</v>
      </c>
    </row>
    <row r="73" spans="1:30" ht="14.1" customHeight="1">
      <c r="A73" s="147">
        <v>73</v>
      </c>
      <c r="B73" s="165" t="s">
        <v>306</v>
      </c>
      <c r="C73" s="165" t="s">
        <v>307</v>
      </c>
      <c r="D73" s="568" t="s">
        <v>102</v>
      </c>
      <c r="E73" s="166" t="s">
        <v>261</v>
      </c>
      <c r="F73" s="128" t="s">
        <v>311</v>
      </c>
      <c r="G73" s="525" t="s">
        <v>583</v>
      </c>
      <c r="H73" s="167" t="s">
        <v>345</v>
      </c>
      <c r="I73" s="563">
        <v>12.67</v>
      </c>
      <c r="J73" s="482">
        <v>1</v>
      </c>
      <c r="K73" s="482">
        <v>1</v>
      </c>
      <c r="L73" s="482">
        <v>1</v>
      </c>
      <c r="M73" s="482">
        <v>1</v>
      </c>
      <c r="N73" s="168">
        <v>255</v>
      </c>
      <c r="O73" s="168"/>
      <c r="P73" s="168"/>
      <c r="Q73" s="168"/>
      <c r="R73" s="169" t="e">
        <f t="shared" si="3"/>
        <v>#DIV/0!</v>
      </c>
      <c r="S73" s="169">
        <f t="shared" si="4"/>
        <v>0</v>
      </c>
      <c r="T73" s="169">
        <f t="shared" si="5"/>
        <v>0</v>
      </c>
      <c r="U73" s="169">
        <f t="shared" si="6"/>
        <v>0</v>
      </c>
      <c r="V73" s="519"/>
      <c r="W73" s="170">
        <f>IF(N73="nio",0,IF(N73&gt;0,VLOOKUP(G73,'3-Productie normen'!A:N,VLOOKUP(N73,'3-Productie normen'!Q:R,2,FALSE),FALSE)))</f>
        <v>0</v>
      </c>
      <c r="X73" s="170">
        <f t="shared" si="0"/>
        <v>0</v>
      </c>
      <c r="Y73" s="170">
        <f t="shared" si="1"/>
        <v>0</v>
      </c>
      <c r="Z73" s="170">
        <f t="shared" si="7"/>
        <v>0</v>
      </c>
      <c r="AA73" s="171">
        <f>VLOOKUP(G73,'3-Productie normen'!A:N,10,FALSE)</f>
        <v>4</v>
      </c>
      <c r="AB73" s="171"/>
      <c r="AD73" s="131">
        <f t="shared" si="2"/>
        <v>3230.85</v>
      </c>
    </row>
    <row r="74" spans="1:30" ht="14.1" customHeight="1">
      <c r="A74" s="147">
        <v>74</v>
      </c>
      <c r="B74" s="165" t="s">
        <v>306</v>
      </c>
      <c r="C74" s="165" t="s">
        <v>307</v>
      </c>
      <c r="D74" s="568" t="s">
        <v>102</v>
      </c>
      <c r="E74" s="166" t="s">
        <v>263</v>
      </c>
      <c r="F74" s="128" t="s">
        <v>279</v>
      </c>
      <c r="G74" s="525" t="s">
        <v>583</v>
      </c>
      <c r="H74" s="167" t="s">
        <v>104</v>
      </c>
      <c r="I74" s="563">
        <v>56.26</v>
      </c>
      <c r="J74" s="482">
        <v>1</v>
      </c>
      <c r="K74" s="482">
        <v>1</v>
      </c>
      <c r="L74" s="482">
        <v>1</v>
      </c>
      <c r="M74" s="482">
        <v>1</v>
      </c>
      <c r="N74" s="168">
        <v>255</v>
      </c>
      <c r="O74" s="168"/>
      <c r="P74" s="168"/>
      <c r="Q74" s="168"/>
      <c r="R74" s="169" t="e">
        <f t="shared" si="3"/>
        <v>#DIV/0!</v>
      </c>
      <c r="S74" s="169">
        <f t="shared" si="4"/>
        <v>0</v>
      </c>
      <c r="T74" s="169">
        <f t="shared" si="5"/>
        <v>0</v>
      </c>
      <c r="U74" s="169">
        <f t="shared" si="6"/>
        <v>0</v>
      </c>
      <c r="V74" s="519"/>
      <c r="W74" s="170">
        <f>IF(N74="nio",0,IF(N74&gt;0,VLOOKUP(G74,'3-Productie normen'!A:N,VLOOKUP(N74,'3-Productie normen'!Q:R,2,FALSE),FALSE)))</f>
        <v>0</v>
      </c>
      <c r="X74" s="170">
        <f t="shared" ref="X74:X137" si="8">IF(O74&gt;0,W74*$X$8,0)</f>
        <v>0</v>
      </c>
      <c r="Y74" s="170">
        <f t="shared" ref="Y74:Y137" si="9">IF(P74&gt;0,W74*$Y$8,0)</f>
        <v>0</v>
      </c>
      <c r="Z74" s="170">
        <f t="shared" si="7"/>
        <v>0</v>
      </c>
      <c r="AA74" s="171">
        <f>VLOOKUP(G74,'3-Productie normen'!A:N,10,FALSE)</f>
        <v>4</v>
      </c>
      <c r="AB74" s="171"/>
      <c r="AD74" s="131">
        <f t="shared" ref="AD74:AD137" si="10">SUM(N74:P74)*I74</f>
        <v>14346.3</v>
      </c>
    </row>
    <row r="75" spans="1:30" ht="14.1" customHeight="1">
      <c r="A75" s="147">
        <v>75</v>
      </c>
      <c r="B75" s="165" t="s">
        <v>306</v>
      </c>
      <c r="C75" s="165" t="s">
        <v>307</v>
      </c>
      <c r="D75" s="568" t="s">
        <v>102</v>
      </c>
      <c r="E75" s="166" t="s">
        <v>265</v>
      </c>
      <c r="F75" s="128" t="s">
        <v>257</v>
      </c>
      <c r="G75" s="167" t="s">
        <v>17</v>
      </c>
      <c r="H75" s="167" t="s">
        <v>105</v>
      </c>
      <c r="I75" s="563">
        <v>4.34</v>
      </c>
      <c r="J75" s="482">
        <v>1</v>
      </c>
      <c r="K75" s="482">
        <v>1</v>
      </c>
      <c r="L75" s="482">
        <v>1</v>
      </c>
      <c r="M75" s="482">
        <v>1</v>
      </c>
      <c r="N75" s="168">
        <v>255</v>
      </c>
      <c r="O75" s="168"/>
      <c r="P75" s="168"/>
      <c r="Q75" s="168"/>
      <c r="R75" s="169" t="e">
        <f t="shared" ref="R75:R138" si="11">IF(N75="nio",0,IF(N75&gt;0,N75*I75/W75,0))*J75</f>
        <v>#DIV/0!</v>
      </c>
      <c r="S75" s="169">
        <f t="shared" ref="S75:S138" si="12">IF(O75&gt;0,O75*I75/X75,0)*K75</f>
        <v>0</v>
      </c>
      <c r="T75" s="169">
        <f t="shared" ref="T75:T138" si="13">IF(P75&gt;0,P75*I75/Y75,0)*L75</f>
        <v>0</v>
      </c>
      <c r="U75" s="169">
        <f t="shared" ref="U75:U138" si="14">IF(Q75&gt;0,Q75*I75/Z75,0)*M75</f>
        <v>0</v>
      </c>
      <c r="V75" s="519"/>
      <c r="W75" s="170">
        <f>IF(N75="nio",0,IF(N75&gt;0,VLOOKUP(G75,'3-Productie normen'!A:N,VLOOKUP(N75,'3-Productie normen'!Q:R,2,FALSE),FALSE)))</f>
        <v>0</v>
      </c>
      <c r="X75" s="170">
        <f t="shared" si="8"/>
        <v>0</v>
      </c>
      <c r="Y75" s="170">
        <f t="shared" si="9"/>
        <v>0</v>
      </c>
      <c r="Z75" s="170">
        <f t="shared" ref="Z75:Z138" si="15">IF(Q75&gt;0,W75*$Z$8,0)</f>
        <v>0</v>
      </c>
      <c r="AA75" s="171">
        <f>VLOOKUP(G75,'3-Productie normen'!A:N,10,FALSE)</f>
        <v>3</v>
      </c>
      <c r="AB75" s="171"/>
      <c r="AD75" s="131">
        <f t="shared" si="10"/>
        <v>1106.7</v>
      </c>
    </row>
    <row r="76" spans="1:30" ht="14.1" customHeight="1">
      <c r="A76" s="147">
        <v>76</v>
      </c>
      <c r="B76" s="165" t="s">
        <v>306</v>
      </c>
      <c r="C76" s="165" t="s">
        <v>307</v>
      </c>
      <c r="D76" s="568" t="s">
        <v>102</v>
      </c>
      <c r="E76" s="166" t="s">
        <v>267</v>
      </c>
      <c r="F76" s="128" t="s">
        <v>257</v>
      </c>
      <c r="G76" s="167" t="s">
        <v>17</v>
      </c>
      <c r="H76" s="167" t="s">
        <v>105</v>
      </c>
      <c r="I76" s="563">
        <v>4.3</v>
      </c>
      <c r="J76" s="482">
        <v>1</v>
      </c>
      <c r="K76" s="482">
        <v>1</v>
      </c>
      <c r="L76" s="482">
        <v>1</v>
      </c>
      <c r="M76" s="482">
        <v>1</v>
      </c>
      <c r="N76" s="168">
        <v>255</v>
      </c>
      <c r="O76" s="168"/>
      <c r="P76" s="168"/>
      <c r="Q76" s="168"/>
      <c r="R76" s="169" t="e">
        <f t="shared" si="11"/>
        <v>#DIV/0!</v>
      </c>
      <c r="S76" s="169">
        <f t="shared" si="12"/>
        <v>0</v>
      </c>
      <c r="T76" s="169">
        <f t="shared" si="13"/>
        <v>0</v>
      </c>
      <c r="U76" s="169">
        <f t="shared" si="14"/>
        <v>0</v>
      </c>
      <c r="V76" s="519"/>
      <c r="W76" s="170">
        <f>IF(N76="nio",0,IF(N76&gt;0,VLOOKUP(G76,'3-Productie normen'!A:N,VLOOKUP(N76,'3-Productie normen'!Q:R,2,FALSE),FALSE)))</f>
        <v>0</v>
      </c>
      <c r="X76" s="170">
        <f t="shared" si="8"/>
        <v>0</v>
      </c>
      <c r="Y76" s="170">
        <f t="shared" si="9"/>
        <v>0</v>
      </c>
      <c r="Z76" s="170">
        <f t="shared" si="15"/>
        <v>0</v>
      </c>
      <c r="AA76" s="171">
        <f>VLOOKUP(G76,'3-Productie normen'!A:N,10,FALSE)</f>
        <v>3</v>
      </c>
      <c r="AB76" s="171"/>
      <c r="AD76" s="131">
        <f t="shared" si="10"/>
        <v>1096.5</v>
      </c>
    </row>
    <row r="77" spans="1:30" ht="14.1" customHeight="1">
      <c r="A77" s="147">
        <v>77</v>
      </c>
      <c r="B77" s="165" t="s">
        <v>306</v>
      </c>
      <c r="C77" s="165" t="s">
        <v>307</v>
      </c>
      <c r="D77" s="568" t="s">
        <v>102</v>
      </c>
      <c r="E77" s="166" t="s">
        <v>286</v>
      </c>
      <c r="F77" s="128" t="s">
        <v>302</v>
      </c>
      <c r="G77" s="165" t="s">
        <v>199</v>
      </c>
      <c r="H77" s="167" t="s">
        <v>104</v>
      </c>
      <c r="I77" s="563">
        <v>1.32</v>
      </c>
      <c r="J77" s="482">
        <v>1</v>
      </c>
      <c r="K77" s="482">
        <v>1</v>
      </c>
      <c r="L77" s="482">
        <v>1</v>
      </c>
      <c r="M77" s="482">
        <v>1</v>
      </c>
      <c r="N77" s="168" t="s">
        <v>199</v>
      </c>
      <c r="O77" s="168"/>
      <c r="P77" s="168"/>
      <c r="Q77" s="168"/>
      <c r="R77" s="169">
        <f t="shared" si="11"/>
        <v>0</v>
      </c>
      <c r="S77" s="169">
        <f t="shared" si="12"/>
        <v>0</v>
      </c>
      <c r="T77" s="169">
        <f t="shared" si="13"/>
        <v>0</v>
      </c>
      <c r="U77" s="169">
        <f t="shared" si="14"/>
        <v>0</v>
      </c>
      <c r="V77" s="519"/>
      <c r="W77" s="170">
        <f>IF(N77="nio",0,IF(N77&gt;0,VLOOKUP(G77,'3-Productie normen'!A:N,VLOOKUP(N77,'3-Productie normen'!Q:R,2,FALSE),FALSE)))</f>
        <v>0</v>
      </c>
      <c r="X77" s="170">
        <f t="shared" si="8"/>
        <v>0</v>
      </c>
      <c r="Y77" s="170">
        <f t="shared" si="9"/>
        <v>0</v>
      </c>
      <c r="Z77" s="170">
        <f t="shared" si="15"/>
        <v>0</v>
      </c>
      <c r="AA77" s="171">
        <f>VLOOKUP(G77,'3-Productie normen'!A:N,10,FALSE)</f>
        <v>0</v>
      </c>
      <c r="AB77" s="171"/>
      <c r="AD77" s="131">
        <f t="shared" si="10"/>
        <v>0</v>
      </c>
    </row>
    <row r="78" spans="1:30" ht="14.1" customHeight="1">
      <c r="A78" s="147">
        <v>78</v>
      </c>
      <c r="B78" s="165" t="s">
        <v>306</v>
      </c>
      <c r="C78" s="165" t="s">
        <v>307</v>
      </c>
      <c r="D78" s="568" t="s">
        <v>102</v>
      </c>
      <c r="E78" s="166" t="s">
        <v>288</v>
      </c>
      <c r="F78" s="128" t="s">
        <v>312</v>
      </c>
      <c r="G78" s="128" t="s">
        <v>373</v>
      </c>
      <c r="H78" s="167" t="s">
        <v>104</v>
      </c>
      <c r="I78" s="563">
        <v>17.190000000000001</v>
      </c>
      <c r="J78" s="482">
        <v>1</v>
      </c>
      <c r="K78" s="482">
        <v>1</v>
      </c>
      <c r="L78" s="482">
        <v>1</v>
      </c>
      <c r="M78" s="482">
        <v>1</v>
      </c>
      <c r="N78" s="168">
        <v>255</v>
      </c>
      <c r="O78" s="168"/>
      <c r="P78" s="168"/>
      <c r="Q78" s="168"/>
      <c r="R78" s="169" t="e">
        <f t="shared" si="11"/>
        <v>#DIV/0!</v>
      </c>
      <c r="S78" s="169">
        <f t="shared" si="12"/>
        <v>0</v>
      </c>
      <c r="T78" s="169">
        <f t="shared" si="13"/>
        <v>0</v>
      </c>
      <c r="U78" s="169">
        <f t="shared" si="14"/>
        <v>0</v>
      </c>
      <c r="V78" s="519"/>
      <c r="W78" s="170">
        <f>IF(N78="nio",0,IF(N78&gt;0,VLOOKUP(G78,'3-Productie normen'!A:N,VLOOKUP(N78,'3-Productie normen'!Q:R,2,FALSE),FALSE)))</f>
        <v>0</v>
      </c>
      <c r="X78" s="170">
        <f t="shared" si="8"/>
        <v>0</v>
      </c>
      <c r="Y78" s="170">
        <f t="shared" si="9"/>
        <v>0</v>
      </c>
      <c r="Z78" s="170">
        <f t="shared" si="15"/>
        <v>0</v>
      </c>
      <c r="AA78" s="171">
        <f>VLOOKUP(G78,'3-Productie normen'!A:N,10,FALSE)</f>
        <v>1</v>
      </c>
      <c r="AB78" s="171"/>
      <c r="AD78" s="131">
        <f t="shared" si="10"/>
        <v>4383.4500000000007</v>
      </c>
    </row>
    <row r="79" spans="1:30" ht="14.1" customHeight="1">
      <c r="A79" s="147">
        <v>79</v>
      </c>
      <c r="B79" s="165" t="s">
        <v>306</v>
      </c>
      <c r="C79" s="165" t="s">
        <v>307</v>
      </c>
      <c r="D79" s="568" t="s">
        <v>102</v>
      </c>
      <c r="E79" s="166" t="s">
        <v>289</v>
      </c>
      <c r="F79" s="128" t="s">
        <v>313</v>
      </c>
      <c r="G79" s="128" t="s">
        <v>373</v>
      </c>
      <c r="H79" s="167" t="s">
        <v>104</v>
      </c>
      <c r="I79" s="563">
        <v>15.95</v>
      </c>
      <c r="J79" s="482">
        <v>1</v>
      </c>
      <c r="K79" s="482">
        <v>1</v>
      </c>
      <c r="L79" s="482">
        <v>1</v>
      </c>
      <c r="M79" s="482">
        <v>1</v>
      </c>
      <c r="N79" s="168">
        <v>255</v>
      </c>
      <c r="O79" s="168"/>
      <c r="P79" s="168"/>
      <c r="Q79" s="168"/>
      <c r="R79" s="169" t="e">
        <f t="shared" si="11"/>
        <v>#DIV/0!</v>
      </c>
      <c r="S79" s="169">
        <f t="shared" si="12"/>
        <v>0</v>
      </c>
      <c r="T79" s="169">
        <f t="shared" si="13"/>
        <v>0</v>
      </c>
      <c r="U79" s="169">
        <f t="shared" si="14"/>
        <v>0</v>
      </c>
      <c r="V79" s="519"/>
      <c r="W79" s="170">
        <f>IF(N79="nio",0,IF(N79&gt;0,VLOOKUP(G79,'3-Productie normen'!A:N,VLOOKUP(N79,'3-Productie normen'!Q:R,2,FALSE),FALSE)))</f>
        <v>0</v>
      </c>
      <c r="X79" s="170">
        <f t="shared" si="8"/>
        <v>0</v>
      </c>
      <c r="Y79" s="170">
        <f t="shared" si="9"/>
        <v>0</v>
      </c>
      <c r="Z79" s="170">
        <f t="shared" si="15"/>
        <v>0</v>
      </c>
      <c r="AA79" s="171">
        <f>VLOOKUP(G79,'3-Productie normen'!A:N,10,FALSE)</f>
        <v>1</v>
      </c>
      <c r="AB79" s="171"/>
      <c r="AD79" s="131">
        <f t="shared" si="10"/>
        <v>4067.25</v>
      </c>
    </row>
    <row r="80" spans="1:30" ht="14.1" customHeight="1">
      <c r="A80" s="147">
        <v>80</v>
      </c>
      <c r="B80" s="165" t="s">
        <v>306</v>
      </c>
      <c r="C80" s="165" t="s">
        <v>307</v>
      </c>
      <c r="D80" s="568" t="s">
        <v>102</v>
      </c>
      <c r="E80" s="166" t="s">
        <v>314</v>
      </c>
      <c r="F80" s="128" t="s">
        <v>260</v>
      </c>
      <c r="G80" s="128" t="s">
        <v>578</v>
      </c>
      <c r="H80" s="167" t="s">
        <v>104</v>
      </c>
      <c r="I80" s="563">
        <v>3.11</v>
      </c>
      <c r="J80" s="482">
        <v>1</v>
      </c>
      <c r="K80" s="482">
        <v>1</v>
      </c>
      <c r="L80" s="482">
        <v>1</v>
      </c>
      <c r="M80" s="482">
        <v>1</v>
      </c>
      <c r="N80" s="168">
        <v>12</v>
      </c>
      <c r="O80" s="168"/>
      <c r="P80" s="168"/>
      <c r="Q80" s="168"/>
      <c r="R80" s="169" t="e">
        <f t="shared" si="11"/>
        <v>#DIV/0!</v>
      </c>
      <c r="S80" s="169">
        <f t="shared" si="12"/>
        <v>0</v>
      </c>
      <c r="T80" s="169">
        <f t="shared" si="13"/>
        <v>0</v>
      </c>
      <c r="U80" s="169">
        <f t="shared" si="14"/>
        <v>0</v>
      </c>
      <c r="V80" s="519"/>
      <c r="W80" s="170">
        <f>IF(N80="nio",0,IF(N80&gt;0,VLOOKUP(G80,'3-Productie normen'!A:N,VLOOKUP(N80,'3-Productie normen'!Q:R,2,FALSE),FALSE)))</f>
        <v>0</v>
      </c>
      <c r="X80" s="170">
        <f t="shared" si="8"/>
        <v>0</v>
      </c>
      <c r="Y80" s="170">
        <f t="shared" si="9"/>
        <v>0</v>
      </c>
      <c r="Z80" s="170">
        <f t="shared" si="15"/>
        <v>0</v>
      </c>
      <c r="AA80" s="171">
        <f>VLOOKUP(G80,'3-Productie normen'!A:N,10,FALSE)</f>
        <v>4</v>
      </c>
      <c r="AB80" s="171"/>
      <c r="AD80" s="131">
        <f t="shared" si="10"/>
        <v>37.32</v>
      </c>
    </row>
    <row r="81" spans="1:30" ht="14.1" customHeight="1">
      <c r="A81" s="147">
        <v>81</v>
      </c>
      <c r="B81" s="165" t="s">
        <v>306</v>
      </c>
      <c r="C81" s="165" t="s">
        <v>307</v>
      </c>
      <c r="D81" s="568" t="s">
        <v>102</v>
      </c>
      <c r="E81" s="166" t="s">
        <v>315</v>
      </c>
      <c r="F81" s="128" t="s">
        <v>316</v>
      </c>
      <c r="G81" s="128" t="s">
        <v>373</v>
      </c>
      <c r="H81" s="167" t="s">
        <v>104</v>
      </c>
      <c r="I81" s="563">
        <v>12.72</v>
      </c>
      <c r="J81" s="482">
        <v>1</v>
      </c>
      <c r="K81" s="482">
        <v>1</v>
      </c>
      <c r="L81" s="482">
        <v>1</v>
      </c>
      <c r="M81" s="482">
        <v>1</v>
      </c>
      <c r="N81" s="168">
        <v>255</v>
      </c>
      <c r="O81" s="168"/>
      <c r="P81" s="168"/>
      <c r="Q81" s="168"/>
      <c r="R81" s="169" t="e">
        <f t="shared" si="11"/>
        <v>#DIV/0!</v>
      </c>
      <c r="S81" s="169">
        <f t="shared" si="12"/>
        <v>0</v>
      </c>
      <c r="T81" s="169">
        <f t="shared" si="13"/>
        <v>0</v>
      </c>
      <c r="U81" s="169">
        <f t="shared" si="14"/>
        <v>0</v>
      </c>
      <c r="V81" s="519"/>
      <c r="W81" s="170">
        <f>IF(N81="nio",0,IF(N81&gt;0,VLOOKUP(G81,'3-Productie normen'!A:N,VLOOKUP(N81,'3-Productie normen'!Q:R,2,FALSE),FALSE)))</f>
        <v>0</v>
      </c>
      <c r="X81" s="170">
        <f t="shared" si="8"/>
        <v>0</v>
      </c>
      <c r="Y81" s="170">
        <f t="shared" si="9"/>
        <v>0</v>
      </c>
      <c r="Z81" s="170">
        <f t="shared" si="15"/>
        <v>0</v>
      </c>
      <c r="AA81" s="171">
        <f>VLOOKUP(G81,'3-Productie normen'!A:N,10,FALSE)</f>
        <v>1</v>
      </c>
      <c r="AB81" s="171"/>
      <c r="AD81" s="131">
        <f t="shared" si="10"/>
        <v>3243.6000000000004</v>
      </c>
    </row>
    <row r="82" spans="1:30" ht="14.1" customHeight="1">
      <c r="A82" s="147">
        <v>82</v>
      </c>
      <c r="B82" s="165" t="s">
        <v>306</v>
      </c>
      <c r="C82" s="165" t="s">
        <v>307</v>
      </c>
      <c r="D82" s="568" t="s">
        <v>102</v>
      </c>
      <c r="E82" s="166" t="s">
        <v>317</v>
      </c>
      <c r="F82" s="128" t="s">
        <v>318</v>
      </c>
      <c r="G82" s="128" t="s">
        <v>373</v>
      </c>
      <c r="H82" s="167" t="s">
        <v>104</v>
      </c>
      <c r="I82" s="563">
        <v>12</v>
      </c>
      <c r="J82" s="482">
        <v>1</v>
      </c>
      <c r="K82" s="482">
        <v>1</v>
      </c>
      <c r="L82" s="482">
        <v>1</v>
      </c>
      <c r="M82" s="482">
        <v>1</v>
      </c>
      <c r="N82" s="168">
        <v>255</v>
      </c>
      <c r="O82" s="168"/>
      <c r="P82" s="168"/>
      <c r="Q82" s="168"/>
      <c r="R82" s="169" t="e">
        <f t="shared" si="11"/>
        <v>#DIV/0!</v>
      </c>
      <c r="S82" s="169">
        <f t="shared" si="12"/>
        <v>0</v>
      </c>
      <c r="T82" s="169">
        <f t="shared" si="13"/>
        <v>0</v>
      </c>
      <c r="U82" s="169">
        <f t="shared" si="14"/>
        <v>0</v>
      </c>
      <c r="V82" s="519"/>
      <c r="W82" s="170">
        <f>IF(N82="nio",0,IF(N82&gt;0,VLOOKUP(G82,'3-Productie normen'!A:N,VLOOKUP(N82,'3-Productie normen'!Q:R,2,FALSE),FALSE)))</f>
        <v>0</v>
      </c>
      <c r="X82" s="170">
        <f t="shared" si="8"/>
        <v>0</v>
      </c>
      <c r="Y82" s="170">
        <f t="shared" si="9"/>
        <v>0</v>
      </c>
      <c r="Z82" s="170">
        <f t="shared" si="15"/>
        <v>0</v>
      </c>
      <c r="AA82" s="171">
        <f>VLOOKUP(G82,'3-Productie normen'!A:N,10,FALSE)</f>
        <v>1</v>
      </c>
      <c r="AB82" s="171"/>
      <c r="AD82" s="131">
        <f t="shared" si="10"/>
        <v>3060</v>
      </c>
    </row>
    <row r="83" spans="1:30" ht="14.1" customHeight="1">
      <c r="A83" s="147">
        <v>83</v>
      </c>
      <c r="B83" s="165" t="s">
        <v>306</v>
      </c>
      <c r="C83" s="165" t="s">
        <v>307</v>
      </c>
      <c r="D83" s="568">
        <v>1</v>
      </c>
      <c r="E83" s="166" t="s">
        <v>319</v>
      </c>
      <c r="F83" s="128" t="s">
        <v>320</v>
      </c>
      <c r="G83" s="525" t="s">
        <v>583</v>
      </c>
      <c r="H83" s="167" t="s">
        <v>104</v>
      </c>
      <c r="I83" s="563">
        <v>15.39</v>
      </c>
      <c r="J83" s="482">
        <v>1</v>
      </c>
      <c r="K83" s="482">
        <v>1</v>
      </c>
      <c r="L83" s="482">
        <v>1</v>
      </c>
      <c r="M83" s="482">
        <v>1</v>
      </c>
      <c r="N83" s="168">
        <v>255</v>
      </c>
      <c r="O83" s="168"/>
      <c r="P83" s="168"/>
      <c r="Q83" s="168"/>
      <c r="R83" s="169" t="e">
        <f t="shared" si="11"/>
        <v>#DIV/0!</v>
      </c>
      <c r="S83" s="169">
        <f t="shared" si="12"/>
        <v>0</v>
      </c>
      <c r="T83" s="169">
        <f t="shared" si="13"/>
        <v>0</v>
      </c>
      <c r="U83" s="169">
        <f t="shared" si="14"/>
        <v>0</v>
      </c>
      <c r="V83" s="519"/>
      <c r="W83" s="170">
        <f>IF(N83="nio",0,IF(N83&gt;0,VLOOKUP(G83,'3-Productie normen'!A:N,VLOOKUP(N83,'3-Productie normen'!Q:R,2,FALSE),FALSE)))</f>
        <v>0</v>
      </c>
      <c r="X83" s="170">
        <f t="shared" si="8"/>
        <v>0</v>
      </c>
      <c r="Y83" s="170">
        <f t="shared" si="9"/>
        <v>0</v>
      </c>
      <c r="Z83" s="170">
        <f t="shared" si="15"/>
        <v>0</v>
      </c>
      <c r="AA83" s="171">
        <f>VLOOKUP(G83,'3-Productie normen'!A:N,10,FALSE)</f>
        <v>4</v>
      </c>
      <c r="AB83" s="171"/>
      <c r="AD83" s="131">
        <f t="shared" si="10"/>
        <v>3924.4500000000003</v>
      </c>
    </row>
    <row r="84" spans="1:30" ht="14.1" customHeight="1">
      <c r="A84" s="147">
        <v>84</v>
      </c>
      <c r="B84" s="165" t="s">
        <v>306</v>
      </c>
      <c r="C84" s="165" t="s">
        <v>307</v>
      </c>
      <c r="D84" s="568">
        <v>1</v>
      </c>
      <c r="E84" s="166" t="s">
        <v>321</v>
      </c>
      <c r="F84" s="128" t="s">
        <v>322</v>
      </c>
      <c r="G84" s="177" t="s">
        <v>17</v>
      </c>
      <c r="H84" s="167" t="s">
        <v>105</v>
      </c>
      <c r="I84" s="563">
        <v>5.27</v>
      </c>
      <c r="J84" s="482">
        <v>1</v>
      </c>
      <c r="K84" s="482">
        <v>1</v>
      </c>
      <c r="L84" s="482">
        <v>1</v>
      </c>
      <c r="M84" s="482">
        <v>1</v>
      </c>
      <c r="N84" s="168">
        <v>255</v>
      </c>
      <c r="O84" s="168"/>
      <c r="P84" s="168"/>
      <c r="Q84" s="168"/>
      <c r="R84" s="169" t="e">
        <f t="shared" si="11"/>
        <v>#DIV/0!</v>
      </c>
      <c r="S84" s="169">
        <f t="shared" si="12"/>
        <v>0</v>
      </c>
      <c r="T84" s="169">
        <f t="shared" si="13"/>
        <v>0</v>
      </c>
      <c r="U84" s="169">
        <f t="shared" si="14"/>
        <v>0</v>
      </c>
      <c r="V84" s="519"/>
      <c r="W84" s="170">
        <f>IF(N84="nio",0,IF(N84&gt;0,VLOOKUP(G84,'3-Productie normen'!A:N,VLOOKUP(N84,'3-Productie normen'!Q:R,2,FALSE),FALSE)))</f>
        <v>0</v>
      </c>
      <c r="X84" s="170">
        <f t="shared" si="8"/>
        <v>0</v>
      </c>
      <c r="Y84" s="170">
        <f t="shared" si="9"/>
        <v>0</v>
      </c>
      <c r="Z84" s="170">
        <f t="shared" si="15"/>
        <v>0</v>
      </c>
      <c r="AA84" s="171">
        <f>VLOOKUP(G84,'3-Productie normen'!A:N,10,FALSE)</f>
        <v>3</v>
      </c>
      <c r="AB84" s="171"/>
      <c r="AD84" s="131">
        <f t="shared" si="10"/>
        <v>1343.85</v>
      </c>
    </row>
    <row r="85" spans="1:30" ht="14.1" customHeight="1">
      <c r="A85" s="147">
        <v>85</v>
      </c>
      <c r="B85" s="165" t="s">
        <v>306</v>
      </c>
      <c r="C85" s="165" t="s">
        <v>307</v>
      </c>
      <c r="D85" s="568">
        <v>1</v>
      </c>
      <c r="E85" s="166" t="s">
        <v>323</v>
      </c>
      <c r="F85" s="128" t="s">
        <v>324</v>
      </c>
      <c r="G85" s="167" t="s">
        <v>17</v>
      </c>
      <c r="H85" s="167" t="s">
        <v>105</v>
      </c>
      <c r="I85" s="563">
        <v>1.1599999999999999</v>
      </c>
      <c r="J85" s="482">
        <v>1</v>
      </c>
      <c r="K85" s="482">
        <v>1</v>
      </c>
      <c r="L85" s="482">
        <v>1</v>
      </c>
      <c r="M85" s="482">
        <v>1</v>
      </c>
      <c r="N85" s="168">
        <v>255</v>
      </c>
      <c r="O85" s="168"/>
      <c r="P85" s="168"/>
      <c r="Q85" s="168"/>
      <c r="R85" s="169" t="e">
        <f t="shared" si="11"/>
        <v>#DIV/0!</v>
      </c>
      <c r="S85" s="169">
        <f t="shared" si="12"/>
        <v>0</v>
      </c>
      <c r="T85" s="169">
        <f t="shared" si="13"/>
        <v>0</v>
      </c>
      <c r="U85" s="169">
        <f t="shared" si="14"/>
        <v>0</v>
      </c>
      <c r="V85" s="519"/>
      <c r="W85" s="170">
        <f>IF(N85="nio",0,IF(N85&gt;0,VLOOKUP(G85,'3-Productie normen'!A:N,VLOOKUP(N85,'3-Productie normen'!Q:R,2,FALSE),FALSE)))</f>
        <v>0</v>
      </c>
      <c r="X85" s="170">
        <f t="shared" si="8"/>
        <v>0</v>
      </c>
      <c r="Y85" s="170">
        <f t="shared" si="9"/>
        <v>0</v>
      </c>
      <c r="Z85" s="170">
        <f t="shared" si="15"/>
        <v>0</v>
      </c>
      <c r="AA85" s="171">
        <f>VLOOKUP(G85,'3-Productie normen'!A:N,10,FALSE)</f>
        <v>3</v>
      </c>
      <c r="AB85" s="171"/>
      <c r="AD85" s="131">
        <f t="shared" si="10"/>
        <v>295.79999999999995</v>
      </c>
    </row>
    <row r="86" spans="1:30" ht="14.1" customHeight="1">
      <c r="A86" s="147">
        <v>86</v>
      </c>
      <c r="B86" s="165" t="s">
        <v>306</v>
      </c>
      <c r="C86" s="165" t="s">
        <v>307</v>
      </c>
      <c r="D86" s="568">
        <v>1</v>
      </c>
      <c r="E86" s="166" t="s">
        <v>325</v>
      </c>
      <c r="F86" s="128" t="s">
        <v>324</v>
      </c>
      <c r="G86" s="167" t="s">
        <v>17</v>
      </c>
      <c r="H86" s="167" t="s">
        <v>105</v>
      </c>
      <c r="I86" s="563">
        <v>1.1599999999999999</v>
      </c>
      <c r="J86" s="482">
        <v>1</v>
      </c>
      <c r="K86" s="482">
        <v>1</v>
      </c>
      <c r="L86" s="482">
        <v>1</v>
      </c>
      <c r="M86" s="482">
        <v>1</v>
      </c>
      <c r="N86" s="168">
        <v>255</v>
      </c>
      <c r="O86" s="168"/>
      <c r="P86" s="168"/>
      <c r="Q86" s="168"/>
      <c r="R86" s="169" t="e">
        <f t="shared" si="11"/>
        <v>#DIV/0!</v>
      </c>
      <c r="S86" s="169">
        <f t="shared" si="12"/>
        <v>0</v>
      </c>
      <c r="T86" s="169">
        <f t="shared" si="13"/>
        <v>0</v>
      </c>
      <c r="U86" s="169">
        <f t="shared" si="14"/>
        <v>0</v>
      </c>
      <c r="V86" s="519"/>
      <c r="W86" s="170">
        <f>IF(N86="nio",0,IF(N86&gt;0,VLOOKUP(G86,'3-Productie normen'!A:N,VLOOKUP(N86,'3-Productie normen'!Q:R,2,FALSE),FALSE)))</f>
        <v>0</v>
      </c>
      <c r="X86" s="170">
        <f t="shared" si="8"/>
        <v>0</v>
      </c>
      <c r="Y86" s="170">
        <f t="shared" si="9"/>
        <v>0</v>
      </c>
      <c r="Z86" s="170">
        <f t="shared" si="15"/>
        <v>0</v>
      </c>
      <c r="AA86" s="171">
        <f>VLOOKUP(G86,'3-Productie normen'!A:N,10,FALSE)</f>
        <v>3</v>
      </c>
      <c r="AB86" s="171"/>
      <c r="AD86" s="131">
        <f t="shared" si="10"/>
        <v>295.79999999999995</v>
      </c>
    </row>
    <row r="87" spans="1:30" ht="14.1" customHeight="1">
      <c r="A87" s="147">
        <v>87</v>
      </c>
      <c r="B87" s="165" t="s">
        <v>306</v>
      </c>
      <c r="C87" s="165" t="s">
        <v>307</v>
      </c>
      <c r="D87" s="568">
        <v>1</v>
      </c>
      <c r="E87" s="166" t="s">
        <v>326</v>
      </c>
      <c r="F87" s="128" t="s">
        <v>302</v>
      </c>
      <c r="G87" s="165" t="s">
        <v>199</v>
      </c>
      <c r="H87" s="167" t="s">
        <v>105</v>
      </c>
      <c r="I87" s="563">
        <v>1.25</v>
      </c>
      <c r="J87" s="482">
        <v>1</v>
      </c>
      <c r="K87" s="482">
        <v>1</v>
      </c>
      <c r="L87" s="482">
        <v>1</v>
      </c>
      <c r="M87" s="482">
        <v>1</v>
      </c>
      <c r="N87" s="168" t="s">
        <v>199</v>
      </c>
      <c r="O87" s="168"/>
      <c r="P87" s="168"/>
      <c r="Q87" s="168"/>
      <c r="R87" s="169">
        <f t="shared" si="11"/>
        <v>0</v>
      </c>
      <c r="S87" s="169">
        <f t="shared" si="12"/>
        <v>0</v>
      </c>
      <c r="T87" s="169">
        <f t="shared" si="13"/>
        <v>0</v>
      </c>
      <c r="U87" s="169">
        <f t="shared" si="14"/>
        <v>0</v>
      </c>
      <c r="V87" s="519"/>
      <c r="W87" s="170">
        <f>IF(N87="nio",0,IF(N87&gt;0,VLOOKUP(G87,'3-Productie normen'!A:N,VLOOKUP(N87,'3-Productie normen'!Q:R,2,FALSE),FALSE)))</f>
        <v>0</v>
      </c>
      <c r="X87" s="170">
        <f t="shared" si="8"/>
        <v>0</v>
      </c>
      <c r="Y87" s="170">
        <f t="shared" si="9"/>
        <v>0</v>
      </c>
      <c r="Z87" s="170">
        <f t="shared" si="15"/>
        <v>0</v>
      </c>
      <c r="AA87" s="171">
        <f>VLOOKUP(G87,'3-Productie normen'!A:N,10,FALSE)</f>
        <v>0</v>
      </c>
      <c r="AB87" s="171"/>
      <c r="AD87" s="131">
        <f t="shared" si="10"/>
        <v>0</v>
      </c>
    </row>
    <row r="88" spans="1:30" ht="14.1" customHeight="1">
      <c r="A88" s="147">
        <v>88</v>
      </c>
      <c r="B88" s="165" t="s">
        <v>306</v>
      </c>
      <c r="C88" s="165" t="s">
        <v>307</v>
      </c>
      <c r="D88" s="568">
        <v>1</v>
      </c>
      <c r="E88" s="166" t="s">
        <v>327</v>
      </c>
      <c r="F88" s="128" t="s">
        <v>322</v>
      </c>
      <c r="G88" s="177" t="s">
        <v>17</v>
      </c>
      <c r="H88" s="167" t="s">
        <v>105</v>
      </c>
      <c r="I88" s="563">
        <v>2.09</v>
      </c>
      <c r="J88" s="482">
        <v>1</v>
      </c>
      <c r="K88" s="482">
        <v>1</v>
      </c>
      <c r="L88" s="482">
        <v>1</v>
      </c>
      <c r="M88" s="482">
        <v>1</v>
      </c>
      <c r="N88" s="168">
        <v>255</v>
      </c>
      <c r="O88" s="168"/>
      <c r="P88" s="168"/>
      <c r="Q88" s="168"/>
      <c r="R88" s="169" t="e">
        <f t="shared" si="11"/>
        <v>#DIV/0!</v>
      </c>
      <c r="S88" s="169">
        <f t="shared" si="12"/>
        <v>0</v>
      </c>
      <c r="T88" s="169">
        <f t="shared" si="13"/>
        <v>0</v>
      </c>
      <c r="U88" s="169">
        <f t="shared" si="14"/>
        <v>0</v>
      </c>
      <c r="V88" s="519"/>
      <c r="W88" s="170">
        <f>IF(N88="nio",0,IF(N88&gt;0,VLOOKUP(G88,'3-Productie normen'!A:N,VLOOKUP(N88,'3-Productie normen'!Q:R,2,FALSE),FALSE)))</f>
        <v>0</v>
      </c>
      <c r="X88" s="170">
        <f t="shared" si="8"/>
        <v>0</v>
      </c>
      <c r="Y88" s="170">
        <f t="shared" si="9"/>
        <v>0</v>
      </c>
      <c r="Z88" s="170">
        <f t="shared" si="15"/>
        <v>0</v>
      </c>
      <c r="AA88" s="171">
        <f>VLOOKUP(G88,'3-Productie normen'!A:N,10,FALSE)</f>
        <v>3</v>
      </c>
      <c r="AB88" s="171"/>
      <c r="AD88" s="131">
        <f t="shared" si="10"/>
        <v>532.94999999999993</v>
      </c>
    </row>
    <row r="89" spans="1:30" ht="14.1" customHeight="1">
      <c r="A89" s="147">
        <v>89</v>
      </c>
      <c r="B89" s="165" t="s">
        <v>306</v>
      </c>
      <c r="C89" s="165" t="s">
        <v>307</v>
      </c>
      <c r="D89" s="568">
        <v>1</v>
      </c>
      <c r="E89" s="166" t="s">
        <v>328</v>
      </c>
      <c r="F89" s="128" t="s">
        <v>324</v>
      </c>
      <c r="G89" s="167" t="s">
        <v>17</v>
      </c>
      <c r="H89" s="167" t="s">
        <v>105</v>
      </c>
      <c r="I89" s="563">
        <v>1.17</v>
      </c>
      <c r="J89" s="482">
        <v>1</v>
      </c>
      <c r="K89" s="482">
        <v>1</v>
      </c>
      <c r="L89" s="482">
        <v>1</v>
      </c>
      <c r="M89" s="482">
        <v>1</v>
      </c>
      <c r="N89" s="168">
        <v>255</v>
      </c>
      <c r="O89" s="168"/>
      <c r="P89" s="168"/>
      <c r="Q89" s="168"/>
      <c r="R89" s="169" t="e">
        <f t="shared" si="11"/>
        <v>#DIV/0!</v>
      </c>
      <c r="S89" s="169">
        <f t="shared" si="12"/>
        <v>0</v>
      </c>
      <c r="T89" s="169">
        <f t="shared" si="13"/>
        <v>0</v>
      </c>
      <c r="U89" s="169">
        <f t="shared" si="14"/>
        <v>0</v>
      </c>
      <c r="V89" s="519"/>
      <c r="W89" s="170">
        <f>IF(N89="nio",0,IF(N89&gt;0,VLOOKUP(G89,'3-Productie normen'!A:N,VLOOKUP(N89,'3-Productie normen'!Q:R,2,FALSE),FALSE)))</f>
        <v>0</v>
      </c>
      <c r="X89" s="170">
        <f t="shared" si="8"/>
        <v>0</v>
      </c>
      <c r="Y89" s="170">
        <f t="shared" si="9"/>
        <v>0</v>
      </c>
      <c r="Z89" s="170">
        <f t="shared" si="15"/>
        <v>0</v>
      </c>
      <c r="AA89" s="171">
        <f>VLOOKUP(G89,'3-Productie normen'!A:N,10,FALSE)</f>
        <v>3</v>
      </c>
      <c r="AB89" s="171"/>
      <c r="AD89" s="131">
        <f t="shared" si="10"/>
        <v>298.34999999999997</v>
      </c>
    </row>
    <row r="90" spans="1:30" ht="14.1" customHeight="1">
      <c r="A90" s="147">
        <v>90</v>
      </c>
      <c r="B90" s="165" t="s">
        <v>306</v>
      </c>
      <c r="C90" s="165" t="s">
        <v>307</v>
      </c>
      <c r="D90" s="568">
        <v>1</v>
      </c>
      <c r="E90" s="166" t="s">
        <v>329</v>
      </c>
      <c r="F90" s="128" t="s">
        <v>324</v>
      </c>
      <c r="G90" s="167" t="s">
        <v>17</v>
      </c>
      <c r="H90" s="167" t="s">
        <v>105</v>
      </c>
      <c r="I90" s="563">
        <v>1.17</v>
      </c>
      <c r="J90" s="482">
        <v>1</v>
      </c>
      <c r="K90" s="482">
        <v>1</v>
      </c>
      <c r="L90" s="482">
        <v>1</v>
      </c>
      <c r="M90" s="482">
        <v>1</v>
      </c>
      <c r="N90" s="168">
        <v>255</v>
      </c>
      <c r="O90" s="168"/>
      <c r="P90" s="168"/>
      <c r="Q90" s="168"/>
      <c r="R90" s="169" t="e">
        <f t="shared" si="11"/>
        <v>#DIV/0!</v>
      </c>
      <c r="S90" s="169">
        <f t="shared" si="12"/>
        <v>0</v>
      </c>
      <c r="T90" s="169">
        <f t="shared" si="13"/>
        <v>0</v>
      </c>
      <c r="U90" s="169">
        <f t="shared" si="14"/>
        <v>0</v>
      </c>
      <c r="V90" s="519"/>
      <c r="W90" s="170">
        <f>IF(N90="nio",0,IF(N90&gt;0,VLOOKUP(G90,'3-Productie normen'!A:N,VLOOKUP(N90,'3-Productie normen'!Q:R,2,FALSE),FALSE)))</f>
        <v>0</v>
      </c>
      <c r="X90" s="170">
        <f t="shared" si="8"/>
        <v>0</v>
      </c>
      <c r="Y90" s="170">
        <f t="shared" si="9"/>
        <v>0</v>
      </c>
      <c r="Z90" s="170">
        <f t="shared" si="15"/>
        <v>0</v>
      </c>
      <c r="AA90" s="171">
        <f>VLOOKUP(G90,'3-Productie normen'!A:N,10,FALSE)</f>
        <v>3</v>
      </c>
      <c r="AB90" s="171"/>
      <c r="AD90" s="131">
        <f t="shared" si="10"/>
        <v>298.34999999999997</v>
      </c>
    </row>
    <row r="91" spans="1:30" ht="14.1" customHeight="1">
      <c r="A91" s="147">
        <v>91</v>
      </c>
      <c r="B91" s="165" t="s">
        <v>306</v>
      </c>
      <c r="C91" s="165" t="s">
        <v>307</v>
      </c>
      <c r="D91" s="568">
        <v>1</v>
      </c>
      <c r="E91" s="166" t="s">
        <v>330</v>
      </c>
      <c r="F91" s="128" t="s">
        <v>279</v>
      </c>
      <c r="G91" s="525" t="s">
        <v>583</v>
      </c>
      <c r="H91" s="167" t="s">
        <v>272</v>
      </c>
      <c r="I91" s="563">
        <v>47.38</v>
      </c>
      <c r="J91" s="482">
        <v>1</v>
      </c>
      <c r="K91" s="482">
        <v>1</v>
      </c>
      <c r="L91" s="482">
        <v>1</v>
      </c>
      <c r="M91" s="482">
        <v>1</v>
      </c>
      <c r="N91" s="168">
        <v>255</v>
      </c>
      <c r="O91" s="168"/>
      <c r="P91" s="168"/>
      <c r="Q91" s="168"/>
      <c r="R91" s="169" t="e">
        <f t="shared" si="11"/>
        <v>#DIV/0!</v>
      </c>
      <c r="S91" s="169">
        <f t="shared" si="12"/>
        <v>0</v>
      </c>
      <c r="T91" s="169">
        <f t="shared" si="13"/>
        <v>0</v>
      </c>
      <c r="U91" s="169">
        <f t="shared" si="14"/>
        <v>0</v>
      </c>
      <c r="V91" s="519"/>
      <c r="W91" s="170">
        <f>IF(N91="nio",0,IF(N91&gt;0,VLOOKUP(G91,'3-Productie normen'!A:N,VLOOKUP(N91,'3-Productie normen'!Q:R,2,FALSE),FALSE)))</f>
        <v>0</v>
      </c>
      <c r="X91" s="170">
        <f t="shared" si="8"/>
        <v>0</v>
      </c>
      <c r="Y91" s="170">
        <f t="shared" si="9"/>
        <v>0</v>
      </c>
      <c r="Z91" s="170">
        <f t="shared" si="15"/>
        <v>0</v>
      </c>
      <c r="AA91" s="171">
        <f>VLOOKUP(G91,'3-Productie normen'!A:N,10,FALSE)</f>
        <v>4</v>
      </c>
      <c r="AB91" s="171"/>
      <c r="AD91" s="131">
        <f t="shared" si="10"/>
        <v>12081.900000000001</v>
      </c>
    </row>
    <row r="92" spans="1:30" ht="14.1" customHeight="1">
      <c r="A92" s="147">
        <v>92</v>
      </c>
      <c r="B92" s="165" t="s">
        <v>306</v>
      </c>
      <c r="C92" s="165" t="s">
        <v>307</v>
      </c>
      <c r="D92" s="568">
        <v>1</v>
      </c>
      <c r="E92" s="166" t="s">
        <v>331</v>
      </c>
      <c r="F92" s="128" t="s">
        <v>332</v>
      </c>
      <c r="G92" s="167" t="s">
        <v>107</v>
      </c>
      <c r="H92" s="167" t="s">
        <v>104</v>
      </c>
      <c r="I92" s="563">
        <v>26.16</v>
      </c>
      <c r="J92" s="482">
        <v>1</v>
      </c>
      <c r="K92" s="482">
        <v>1</v>
      </c>
      <c r="L92" s="482">
        <v>1</v>
      </c>
      <c r="M92" s="482">
        <v>1</v>
      </c>
      <c r="N92" s="168">
        <v>255</v>
      </c>
      <c r="O92" s="168"/>
      <c r="P92" s="168"/>
      <c r="Q92" s="168"/>
      <c r="R92" s="169" t="e">
        <f t="shared" si="11"/>
        <v>#DIV/0!</v>
      </c>
      <c r="S92" s="169">
        <f t="shared" si="12"/>
        <v>0</v>
      </c>
      <c r="T92" s="169">
        <f t="shared" si="13"/>
        <v>0</v>
      </c>
      <c r="U92" s="169">
        <f t="shared" si="14"/>
        <v>0</v>
      </c>
      <c r="V92" s="519"/>
      <c r="W92" s="170">
        <f>IF(N92="nio",0,IF(N92&gt;0,VLOOKUP(G92,'3-Productie normen'!A:N,VLOOKUP(N92,'3-Productie normen'!Q:R,2,FALSE),FALSE)))</f>
        <v>0</v>
      </c>
      <c r="X92" s="170">
        <f t="shared" si="8"/>
        <v>0</v>
      </c>
      <c r="Y92" s="170">
        <f t="shared" si="9"/>
        <v>0</v>
      </c>
      <c r="Z92" s="170">
        <f t="shared" si="15"/>
        <v>0</v>
      </c>
      <c r="AA92" s="171">
        <f>VLOOKUP(G92,'3-Productie normen'!A:N,10,FALSE)</f>
        <v>2</v>
      </c>
      <c r="AB92" s="171"/>
      <c r="AD92" s="131">
        <f t="shared" si="10"/>
        <v>6670.8</v>
      </c>
    </row>
    <row r="93" spans="1:30" ht="14.1" customHeight="1">
      <c r="A93" s="147">
        <v>93</v>
      </c>
      <c r="B93" s="165" t="s">
        <v>306</v>
      </c>
      <c r="C93" s="165" t="s">
        <v>307</v>
      </c>
      <c r="D93" s="568">
        <v>1</v>
      </c>
      <c r="E93" s="166" t="s">
        <v>333</v>
      </c>
      <c r="F93" s="128" t="s">
        <v>291</v>
      </c>
      <c r="G93" s="167" t="s">
        <v>373</v>
      </c>
      <c r="H93" s="167" t="s">
        <v>272</v>
      </c>
      <c r="I93" s="563">
        <v>22.23</v>
      </c>
      <c r="J93" s="482">
        <v>1</v>
      </c>
      <c r="K93" s="482">
        <v>1</v>
      </c>
      <c r="L93" s="482">
        <v>1</v>
      </c>
      <c r="M93" s="482">
        <v>1</v>
      </c>
      <c r="N93" s="168">
        <v>255</v>
      </c>
      <c r="O93" s="168"/>
      <c r="P93" s="168"/>
      <c r="Q93" s="168"/>
      <c r="R93" s="169" t="e">
        <f t="shared" si="11"/>
        <v>#DIV/0!</v>
      </c>
      <c r="S93" s="169">
        <f t="shared" si="12"/>
        <v>0</v>
      </c>
      <c r="T93" s="169">
        <f t="shared" si="13"/>
        <v>0</v>
      </c>
      <c r="U93" s="169">
        <f t="shared" si="14"/>
        <v>0</v>
      </c>
      <c r="V93" s="519"/>
      <c r="W93" s="170">
        <f>IF(N93="nio",0,IF(N93&gt;0,VLOOKUP(G93,'3-Productie normen'!A:N,VLOOKUP(N93,'3-Productie normen'!Q:R,2,FALSE),FALSE)))</f>
        <v>0</v>
      </c>
      <c r="X93" s="170">
        <f t="shared" si="8"/>
        <v>0</v>
      </c>
      <c r="Y93" s="170">
        <f t="shared" si="9"/>
        <v>0</v>
      </c>
      <c r="Z93" s="170">
        <f t="shared" si="15"/>
        <v>0</v>
      </c>
      <c r="AA93" s="171">
        <f>VLOOKUP(G93,'3-Productie normen'!A:N,10,FALSE)</f>
        <v>1</v>
      </c>
      <c r="AB93" s="171"/>
      <c r="AD93" s="131">
        <f t="shared" si="10"/>
        <v>5668.6500000000005</v>
      </c>
    </row>
    <row r="94" spans="1:30" ht="14.1" customHeight="1">
      <c r="A94" s="147">
        <v>94</v>
      </c>
      <c r="B94" s="165" t="s">
        <v>306</v>
      </c>
      <c r="C94" s="165" t="s">
        <v>307</v>
      </c>
      <c r="D94" s="568">
        <v>1</v>
      </c>
      <c r="E94" s="166" t="s">
        <v>334</v>
      </c>
      <c r="F94" s="128" t="s">
        <v>291</v>
      </c>
      <c r="G94" s="167" t="s">
        <v>373</v>
      </c>
      <c r="H94" s="167" t="s">
        <v>272</v>
      </c>
      <c r="I94" s="563">
        <v>28.9</v>
      </c>
      <c r="J94" s="482">
        <v>1</v>
      </c>
      <c r="K94" s="482">
        <v>1</v>
      </c>
      <c r="L94" s="482">
        <v>1</v>
      </c>
      <c r="M94" s="482">
        <v>1</v>
      </c>
      <c r="N94" s="168">
        <v>255</v>
      </c>
      <c r="O94" s="168"/>
      <c r="P94" s="168"/>
      <c r="Q94" s="168"/>
      <c r="R94" s="169" t="e">
        <f t="shared" si="11"/>
        <v>#DIV/0!</v>
      </c>
      <c r="S94" s="169">
        <f t="shared" si="12"/>
        <v>0</v>
      </c>
      <c r="T94" s="169">
        <f t="shared" si="13"/>
        <v>0</v>
      </c>
      <c r="U94" s="169">
        <f t="shared" si="14"/>
        <v>0</v>
      </c>
      <c r="V94" s="519"/>
      <c r="W94" s="170">
        <f>IF(N94="nio",0,IF(N94&gt;0,VLOOKUP(G94,'3-Productie normen'!A:N,VLOOKUP(N94,'3-Productie normen'!Q:R,2,FALSE),FALSE)))</f>
        <v>0</v>
      </c>
      <c r="X94" s="170">
        <f t="shared" si="8"/>
        <v>0</v>
      </c>
      <c r="Y94" s="170">
        <f t="shared" si="9"/>
        <v>0</v>
      </c>
      <c r="Z94" s="170">
        <f t="shared" si="15"/>
        <v>0</v>
      </c>
      <c r="AA94" s="171">
        <f>VLOOKUP(G94,'3-Productie normen'!A:N,10,FALSE)</f>
        <v>1</v>
      </c>
      <c r="AB94" s="171"/>
      <c r="AD94" s="131">
        <f t="shared" si="10"/>
        <v>7369.5</v>
      </c>
    </row>
    <row r="95" spans="1:30" ht="14.1" customHeight="1">
      <c r="A95" s="147">
        <v>95</v>
      </c>
      <c r="B95" s="165" t="s">
        <v>306</v>
      </c>
      <c r="C95" s="165" t="s">
        <v>307</v>
      </c>
      <c r="D95" s="568">
        <v>1</v>
      </c>
      <c r="E95" s="166" t="s">
        <v>335</v>
      </c>
      <c r="F95" s="128" t="s">
        <v>291</v>
      </c>
      <c r="G95" s="167" t="s">
        <v>373</v>
      </c>
      <c r="H95" s="167" t="s">
        <v>272</v>
      </c>
      <c r="I95" s="563">
        <v>18.7</v>
      </c>
      <c r="J95" s="482">
        <v>1</v>
      </c>
      <c r="K95" s="482">
        <v>1</v>
      </c>
      <c r="L95" s="482">
        <v>1</v>
      </c>
      <c r="M95" s="482">
        <v>1</v>
      </c>
      <c r="N95" s="168">
        <v>255</v>
      </c>
      <c r="O95" s="168"/>
      <c r="P95" s="168"/>
      <c r="Q95" s="168"/>
      <c r="R95" s="169" t="e">
        <f t="shared" si="11"/>
        <v>#DIV/0!</v>
      </c>
      <c r="S95" s="169">
        <f t="shared" si="12"/>
        <v>0</v>
      </c>
      <c r="T95" s="169">
        <f t="shared" si="13"/>
        <v>0</v>
      </c>
      <c r="U95" s="169">
        <f t="shared" si="14"/>
        <v>0</v>
      </c>
      <c r="V95" s="519"/>
      <c r="W95" s="170">
        <f>IF(N95="nio",0,IF(N95&gt;0,VLOOKUP(G95,'3-Productie normen'!A:N,VLOOKUP(N95,'3-Productie normen'!Q:R,2,FALSE),FALSE)))</f>
        <v>0</v>
      </c>
      <c r="X95" s="170">
        <f t="shared" si="8"/>
        <v>0</v>
      </c>
      <c r="Y95" s="170">
        <f t="shared" si="9"/>
        <v>0</v>
      </c>
      <c r="Z95" s="170">
        <f t="shared" si="15"/>
        <v>0</v>
      </c>
      <c r="AA95" s="171">
        <f>VLOOKUP(G95,'3-Productie normen'!A:N,10,FALSE)</f>
        <v>1</v>
      </c>
      <c r="AB95" s="171"/>
      <c r="AD95" s="131">
        <f t="shared" si="10"/>
        <v>4768.5</v>
      </c>
    </row>
    <row r="96" spans="1:30" ht="14.1" customHeight="1">
      <c r="A96" s="147">
        <v>96</v>
      </c>
      <c r="B96" s="165" t="s">
        <v>306</v>
      </c>
      <c r="C96" s="165" t="s">
        <v>307</v>
      </c>
      <c r="D96" s="568">
        <v>1</v>
      </c>
      <c r="E96" s="166" t="s">
        <v>336</v>
      </c>
      <c r="F96" s="128" t="s">
        <v>291</v>
      </c>
      <c r="G96" s="167" t="s">
        <v>373</v>
      </c>
      <c r="H96" s="167" t="s">
        <v>272</v>
      </c>
      <c r="I96" s="563">
        <v>18.66</v>
      </c>
      <c r="J96" s="482">
        <v>1</v>
      </c>
      <c r="K96" s="482">
        <v>1</v>
      </c>
      <c r="L96" s="482">
        <v>1</v>
      </c>
      <c r="M96" s="482">
        <v>1</v>
      </c>
      <c r="N96" s="168">
        <v>255</v>
      </c>
      <c r="O96" s="168"/>
      <c r="P96" s="168"/>
      <c r="Q96" s="168"/>
      <c r="R96" s="169" t="e">
        <f t="shared" si="11"/>
        <v>#DIV/0!</v>
      </c>
      <c r="S96" s="169">
        <f t="shared" si="12"/>
        <v>0</v>
      </c>
      <c r="T96" s="169">
        <f t="shared" si="13"/>
        <v>0</v>
      </c>
      <c r="U96" s="169">
        <f t="shared" si="14"/>
        <v>0</v>
      </c>
      <c r="V96" s="519"/>
      <c r="W96" s="170">
        <f>IF(N96="nio",0,IF(N96&gt;0,VLOOKUP(G96,'3-Productie normen'!A:N,VLOOKUP(N96,'3-Productie normen'!Q:R,2,FALSE),FALSE)))</f>
        <v>0</v>
      </c>
      <c r="X96" s="170">
        <f t="shared" si="8"/>
        <v>0</v>
      </c>
      <c r="Y96" s="170">
        <f t="shared" si="9"/>
        <v>0</v>
      </c>
      <c r="Z96" s="170">
        <f t="shared" si="15"/>
        <v>0</v>
      </c>
      <c r="AA96" s="171">
        <f>VLOOKUP(G96,'3-Productie normen'!A:N,10,FALSE)</f>
        <v>1</v>
      </c>
      <c r="AB96" s="171"/>
      <c r="AD96" s="131">
        <f t="shared" si="10"/>
        <v>4758.3</v>
      </c>
    </row>
    <row r="97" spans="1:30" ht="14.1" customHeight="1">
      <c r="A97" s="147">
        <v>97</v>
      </c>
      <c r="B97" s="165" t="s">
        <v>306</v>
      </c>
      <c r="C97" s="165" t="s">
        <v>307</v>
      </c>
      <c r="D97" s="568">
        <v>1</v>
      </c>
      <c r="E97" s="166" t="s">
        <v>337</v>
      </c>
      <c r="F97" s="128" t="s">
        <v>291</v>
      </c>
      <c r="G97" s="167" t="s">
        <v>373</v>
      </c>
      <c r="H97" s="167" t="s">
        <v>272</v>
      </c>
      <c r="I97" s="563">
        <v>18.75</v>
      </c>
      <c r="J97" s="482">
        <v>1</v>
      </c>
      <c r="K97" s="482">
        <v>1</v>
      </c>
      <c r="L97" s="482">
        <v>1</v>
      </c>
      <c r="M97" s="482">
        <v>1</v>
      </c>
      <c r="N97" s="168">
        <v>255</v>
      </c>
      <c r="O97" s="168"/>
      <c r="P97" s="168"/>
      <c r="Q97" s="168"/>
      <c r="R97" s="169" t="e">
        <f t="shared" si="11"/>
        <v>#DIV/0!</v>
      </c>
      <c r="S97" s="169">
        <f t="shared" si="12"/>
        <v>0</v>
      </c>
      <c r="T97" s="169">
        <f t="shared" si="13"/>
        <v>0</v>
      </c>
      <c r="U97" s="169">
        <f t="shared" si="14"/>
        <v>0</v>
      </c>
      <c r="V97" s="519"/>
      <c r="W97" s="170">
        <f>IF(N97="nio",0,IF(N97&gt;0,VLOOKUP(G97,'3-Productie normen'!A:N,VLOOKUP(N97,'3-Productie normen'!Q:R,2,FALSE),FALSE)))</f>
        <v>0</v>
      </c>
      <c r="X97" s="170">
        <f t="shared" si="8"/>
        <v>0</v>
      </c>
      <c r="Y97" s="170">
        <f t="shared" si="9"/>
        <v>0</v>
      </c>
      <c r="Z97" s="170">
        <f t="shared" si="15"/>
        <v>0</v>
      </c>
      <c r="AA97" s="171">
        <f>VLOOKUP(G97,'3-Productie normen'!A:N,10,FALSE)</f>
        <v>1</v>
      </c>
      <c r="AB97" s="171"/>
      <c r="AD97" s="131">
        <f t="shared" si="10"/>
        <v>4781.25</v>
      </c>
    </row>
    <row r="98" spans="1:30" ht="14.1" customHeight="1">
      <c r="A98" s="147">
        <v>98</v>
      </c>
      <c r="B98" s="165" t="s">
        <v>306</v>
      </c>
      <c r="C98" s="165" t="s">
        <v>307</v>
      </c>
      <c r="D98" s="568">
        <v>1</v>
      </c>
      <c r="E98" s="166" t="s">
        <v>338</v>
      </c>
      <c r="F98" s="128" t="s">
        <v>291</v>
      </c>
      <c r="G98" s="167" t="s">
        <v>373</v>
      </c>
      <c r="H98" s="167" t="s">
        <v>272</v>
      </c>
      <c r="I98" s="563">
        <v>17.75</v>
      </c>
      <c r="J98" s="482">
        <v>1</v>
      </c>
      <c r="K98" s="482">
        <v>1</v>
      </c>
      <c r="L98" s="482">
        <v>1</v>
      </c>
      <c r="M98" s="482">
        <v>1</v>
      </c>
      <c r="N98" s="168">
        <v>255</v>
      </c>
      <c r="O98" s="168"/>
      <c r="P98" s="168"/>
      <c r="Q98" s="168"/>
      <c r="R98" s="169" t="e">
        <f t="shared" si="11"/>
        <v>#DIV/0!</v>
      </c>
      <c r="S98" s="169">
        <f t="shared" si="12"/>
        <v>0</v>
      </c>
      <c r="T98" s="169">
        <f t="shared" si="13"/>
        <v>0</v>
      </c>
      <c r="U98" s="169">
        <f t="shared" si="14"/>
        <v>0</v>
      </c>
      <c r="V98" s="519"/>
      <c r="W98" s="170">
        <f>IF(N98="nio",0,IF(N98&gt;0,VLOOKUP(G98,'3-Productie normen'!A:N,VLOOKUP(N98,'3-Productie normen'!Q:R,2,FALSE),FALSE)))</f>
        <v>0</v>
      </c>
      <c r="X98" s="170">
        <f t="shared" si="8"/>
        <v>0</v>
      </c>
      <c r="Y98" s="170">
        <f t="shared" si="9"/>
        <v>0</v>
      </c>
      <c r="Z98" s="170">
        <f t="shared" si="15"/>
        <v>0</v>
      </c>
      <c r="AA98" s="171">
        <f>VLOOKUP(G98,'3-Productie normen'!A:N,10,FALSE)</f>
        <v>1</v>
      </c>
      <c r="AB98" s="171"/>
      <c r="AD98" s="131">
        <f t="shared" si="10"/>
        <v>4526.25</v>
      </c>
    </row>
    <row r="99" spans="1:30" ht="14.1" customHeight="1">
      <c r="A99" s="147">
        <v>99</v>
      </c>
      <c r="B99" s="165" t="s">
        <v>306</v>
      </c>
      <c r="C99" s="165" t="s">
        <v>307</v>
      </c>
      <c r="D99" s="568">
        <v>1</v>
      </c>
      <c r="E99" s="166" t="s">
        <v>339</v>
      </c>
      <c r="F99" s="128" t="s">
        <v>340</v>
      </c>
      <c r="G99" s="173" t="s">
        <v>209</v>
      </c>
      <c r="H99" s="167" t="s">
        <v>272</v>
      </c>
      <c r="I99" s="563">
        <v>31.71</v>
      </c>
      <c r="J99" s="482">
        <v>1</v>
      </c>
      <c r="K99" s="482">
        <v>1</v>
      </c>
      <c r="L99" s="482">
        <v>1</v>
      </c>
      <c r="M99" s="482">
        <v>1</v>
      </c>
      <c r="N99" s="168">
        <v>255</v>
      </c>
      <c r="O99" s="168"/>
      <c r="P99" s="168"/>
      <c r="Q99" s="168"/>
      <c r="R99" s="169" t="e">
        <f t="shared" si="11"/>
        <v>#DIV/0!</v>
      </c>
      <c r="S99" s="169">
        <f t="shared" si="12"/>
        <v>0</v>
      </c>
      <c r="T99" s="169">
        <f t="shared" si="13"/>
        <v>0</v>
      </c>
      <c r="U99" s="169">
        <f t="shared" si="14"/>
        <v>0</v>
      </c>
      <c r="V99" s="519"/>
      <c r="W99" s="170">
        <f>IF(N99="nio",0,IF(N99&gt;0,VLOOKUP(G99,'3-Productie normen'!A:N,VLOOKUP(N99,'3-Productie normen'!Q:R,2,FALSE),FALSE)))</f>
        <v>0</v>
      </c>
      <c r="X99" s="170">
        <f t="shared" si="8"/>
        <v>0</v>
      </c>
      <c r="Y99" s="170">
        <f t="shared" si="9"/>
        <v>0</v>
      </c>
      <c r="Z99" s="170">
        <f t="shared" si="15"/>
        <v>0</v>
      </c>
      <c r="AA99" s="171">
        <f>VLOOKUP(G99,'3-Productie normen'!A:N,10,FALSE)</f>
        <v>1</v>
      </c>
      <c r="AB99" s="171"/>
      <c r="AD99" s="131">
        <f t="shared" si="10"/>
        <v>8086.05</v>
      </c>
    </row>
    <row r="100" spans="1:30" ht="14.1" customHeight="1">
      <c r="A100" s="147">
        <v>100</v>
      </c>
      <c r="B100" s="165" t="s">
        <v>306</v>
      </c>
      <c r="C100" s="165" t="s">
        <v>307</v>
      </c>
      <c r="D100" s="568">
        <v>1</v>
      </c>
      <c r="E100" s="166" t="s">
        <v>341</v>
      </c>
      <c r="F100" s="128" t="s">
        <v>281</v>
      </c>
      <c r="G100" s="167" t="s">
        <v>373</v>
      </c>
      <c r="H100" s="167" t="s">
        <v>272</v>
      </c>
      <c r="I100" s="563">
        <v>57.94</v>
      </c>
      <c r="J100" s="482">
        <v>1</v>
      </c>
      <c r="K100" s="482">
        <v>1</v>
      </c>
      <c r="L100" s="482">
        <v>1</v>
      </c>
      <c r="M100" s="482">
        <v>1</v>
      </c>
      <c r="N100" s="168">
        <v>255</v>
      </c>
      <c r="O100" s="168"/>
      <c r="P100" s="168"/>
      <c r="Q100" s="168"/>
      <c r="R100" s="169" t="e">
        <f t="shared" si="11"/>
        <v>#DIV/0!</v>
      </c>
      <c r="S100" s="169">
        <f t="shared" si="12"/>
        <v>0</v>
      </c>
      <c r="T100" s="169">
        <f t="shared" si="13"/>
        <v>0</v>
      </c>
      <c r="U100" s="169">
        <f t="shared" si="14"/>
        <v>0</v>
      </c>
      <c r="V100" s="519"/>
      <c r="W100" s="170">
        <f>IF(N100="nio",0,IF(N100&gt;0,VLOOKUP(G100,'3-Productie normen'!A:N,VLOOKUP(N100,'3-Productie normen'!Q:R,2,FALSE),FALSE)))</f>
        <v>0</v>
      </c>
      <c r="X100" s="170">
        <f t="shared" si="8"/>
        <v>0</v>
      </c>
      <c r="Y100" s="170">
        <f t="shared" si="9"/>
        <v>0</v>
      </c>
      <c r="Z100" s="170">
        <f t="shared" si="15"/>
        <v>0</v>
      </c>
      <c r="AA100" s="171">
        <f>VLOOKUP(G100,'3-Productie normen'!A:N,10,FALSE)</f>
        <v>1</v>
      </c>
      <c r="AB100" s="171"/>
      <c r="AD100" s="131">
        <f t="shared" si="10"/>
        <v>14774.699999999999</v>
      </c>
    </row>
    <row r="101" spans="1:30" ht="14.1" customHeight="1">
      <c r="A101" s="147">
        <v>101</v>
      </c>
      <c r="B101" s="165" t="s">
        <v>306</v>
      </c>
      <c r="C101" s="165" t="s">
        <v>307</v>
      </c>
      <c r="D101" s="568">
        <v>1</v>
      </c>
      <c r="E101" s="166" t="s">
        <v>342</v>
      </c>
      <c r="F101" s="128" t="s">
        <v>343</v>
      </c>
      <c r="G101" s="128" t="s">
        <v>578</v>
      </c>
      <c r="H101" s="167" t="s">
        <v>106</v>
      </c>
      <c r="I101" s="563">
        <v>0.68</v>
      </c>
      <c r="J101" s="482">
        <v>1</v>
      </c>
      <c r="K101" s="482">
        <v>1</v>
      </c>
      <c r="L101" s="482">
        <v>1</v>
      </c>
      <c r="M101" s="482">
        <v>1</v>
      </c>
      <c r="N101" s="168">
        <v>12</v>
      </c>
      <c r="O101" s="168"/>
      <c r="P101" s="168"/>
      <c r="Q101" s="168"/>
      <c r="R101" s="169" t="e">
        <f t="shared" si="11"/>
        <v>#DIV/0!</v>
      </c>
      <c r="S101" s="169">
        <f t="shared" si="12"/>
        <v>0</v>
      </c>
      <c r="T101" s="169">
        <f t="shared" si="13"/>
        <v>0</v>
      </c>
      <c r="U101" s="169">
        <f t="shared" si="14"/>
        <v>0</v>
      </c>
      <c r="V101" s="519"/>
      <c r="W101" s="170">
        <f>IF(N101="nio",0,IF(N101&gt;0,VLOOKUP(G101,'3-Productie normen'!A:N,VLOOKUP(N101,'3-Productie normen'!Q:R,2,FALSE),FALSE)))</f>
        <v>0</v>
      </c>
      <c r="X101" s="170">
        <f t="shared" si="8"/>
        <v>0</v>
      </c>
      <c r="Y101" s="170">
        <f t="shared" si="9"/>
        <v>0</v>
      </c>
      <c r="Z101" s="170">
        <f t="shared" si="15"/>
        <v>0</v>
      </c>
      <c r="AA101" s="171">
        <f>VLOOKUP(G101,'3-Productie normen'!A:N,10,FALSE)</f>
        <v>4</v>
      </c>
      <c r="AB101" s="171"/>
      <c r="AD101" s="131">
        <f t="shared" si="10"/>
        <v>8.16</v>
      </c>
    </row>
    <row r="102" spans="1:30" ht="14.1" customHeight="1">
      <c r="A102" s="147">
        <v>102</v>
      </c>
      <c r="B102" s="165" t="s">
        <v>346</v>
      </c>
      <c r="C102" s="165" t="s">
        <v>347</v>
      </c>
      <c r="D102" s="568" t="s">
        <v>102</v>
      </c>
      <c r="E102" s="166" t="s">
        <v>247</v>
      </c>
      <c r="F102" s="128" t="s">
        <v>103</v>
      </c>
      <c r="G102" s="525" t="s">
        <v>583</v>
      </c>
      <c r="H102" s="167" t="s">
        <v>272</v>
      </c>
      <c r="I102" s="563">
        <v>6.61</v>
      </c>
      <c r="J102" s="482">
        <v>1</v>
      </c>
      <c r="K102" s="482">
        <v>1</v>
      </c>
      <c r="L102" s="482">
        <v>1</v>
      </c>
      <c r="M102" s="482">
        <v>1</v>
      </c>
      <c r="N102" s="168">
        <v>255</v>
      </c>
      <c r="O102" s="168"/>
      <c r="P102" s="168"/>
      <c r="Q102" s="168"/>
      <c r="R102" s="169" t="e">
        <f t="shared" si="11"/>
        <v>#DIV/0!</v>
      </c>
      <c r="S102" s="169">
        <f t="shared" si="12"/>
        <v>0</v>
      </c>
      <c r="T102" s="169">
        <f t="shared" si="13"/>
        <v>0</v>
      </c>
      <c r="U102" s="169">
        <f t="shared" si="14"/>
        <v>0</v>
      </c>
      <c r="V102" s="519"/>
      <c r="W102" s="170">
        <f>IF(N102="nio",0,IF(N102&gt;0,VLOOKUP(G102,'3-Productie normen'!A:N,VLOOKUP(N102,'3-Productie normen'!Q:R,2,FALSE),FALSE)))</f>
        <v>0</v>
      </c>
      <c r="X102" s="170">
        <f t="shared" si="8"/>
        <v>0</v>
      </c>
      <c r="Y102" s="170">
        <f t="shared" si="9"/>
        <v>0</v>
      </c>
      <c r="Z102" s="170">
        <f t="shared" si="15"/>
        <v>0</v>
      </c>
      <c r="AA102" s="171">
        <f>VLOOKUP(G102,'3-Productie normen'!A:N,10,FALSE)</f>
        <v>4</v>
      </c>
      <c r="AB102" s="171"/>
      <c r="AD102" s="131">
        <f t="shared" si="10"/>
        <v>1685.5500000000002</v>
      </c>
    </row>
    <row r="103" spans="1:30" ht="14.1" customHeight="1">
      <c r="A103" s="147">
        <v>103</v>
      </c>
      <c r="B103" s="165" t="s">
        <v>346</v>
      </c>
      <c r="C103" s="165" t="s">
        <v>347</v>
      </c>
      <c r="D103" s="568" t="s">
        <v>102</v>
      </c>
      <c r="E103" s="166" t="s">
        <v>248</v>
      </c>
      <c r="F103" s="128" t="s">
        <v>249</v>
      </c>
      <c r="G103" s="165" t="s">
        <v>579</v>
      </c>
      <c r="H103" s="167" t="s">
        <v>104</v>
      </c>
      <c r="I103" s="563">
        <v>75.48</v>
      </c>
      <c r="J103" s="482">
        <v>1</v>
      </c>
      <c r="K103" s="482">
        <v>1</v>
      </c>
      <c r="L103" s="482">
        <v>1</v>
      </c>
      <c r="M103" s="482">
        <v>1</v>
      </c>
      <c r="N103" s="168">
        <v>255</v>
      </c>
      <c r="O103" s="168"/>
      <c r="P103" s="168"/>
      <c r="Q103" s="168"/>
      <c r="R103" s="169" t="e">
        <f t="shared" si="11"/>
        <v>#DIV/0!</v>
      </c>
      <c r="S103" s="169">
        <f t="shared" si="12"/>
        <v>0</v>
      </c>
      <c r="T103" s="169">
        <f t="shared" si="13"/>
        <v>0</v>
      </c>
      <c r="U103" s="169">
        <f t="shared" si="14"/>
        <v>0</v>
      </c>
      <c r="V103" s="519"/>
      <c r="W103" s="170">
        <f>IF(N103="nio",0,IF(N103&gt;0,VLOOKUP(G103,'3-Productie normen'!A:N,VLOOKUP(N103,'3-Productie normen'!Q:R,2,FALSE),FALSE)))</f>
        <v>0</v>
      </c>
      <c r="X103" s="170">
        <f t="shared" si="8"/>
        <v>0</v>
      </c>
      <c r="Y103" s="170">
        <f t="shared" si="9"/>
        <v>0</v>
      </c>
      <c r="Z103" s="170">
        <f t="shared" si="15"/>
        <v>0</v>
      </c>
      <c r="AA103" s="171">
        <f>VLOOKUP(G103,'3-Productie normen'!A:N,10,FALSE)</f>
        <v>4</v>
      </c>
      <c r="AB103" s="171"/>
      <c r="AD103" s="131">
        <f t="shared" si="10"/>
        <v>19247.400000000001</v>
      </c>
    </row>
    <row r="104" spans="1:30" ht="14.1" customHeight="1">
      <c r="A104" s="147">
        <v>104</v>
      </c>
      <c r="B104" s="165" t="s">
        <v>346</v>
      </c>
      <c r="C104" s="165" t="s">
        <v>347</v>
      </c>
      <c r="D104" s="568" t="s">
        <v>102</v>
      </c>
      <c r="E104" s="166" t="s">
        <v>250</v>
      </c>
      <c r="F104" s="128" t="s">
        <v>281</v>
      </c>
      <c r="G104" s="167" t="s">
        <v>373</v>
      </c>
      <c r="H104" s="167" t="s">
        <v>272</v>
      </c>
      <c r="I104" s="563">
        <v>33.76</v>
      </c>
      <c r="J104" s="482">
        <v>1</v>
      </c>
      <c r="K104" s="482">
        <v>1</v>
      </c>
      <c r="L104" s="482">
        <v>1</v>
      </c>
      <c r="M104" s="482">
        <v>1</v>
      </c>
      <c r="N104" s="168">
        <v>255</v>
      </c>
      <c r="O104" s="168"/>
      <c r="P104" s="168"/>
      <c r="Q104" s="168"/>
      <c r="R104" s="169" t="e">
        <f t="shared" si="11"/>
        <v>#DIV/0!</v>
      </c>
      <c r="S104" s="169">
        <f t="shared" si="12"/>
        <v>0</v>
      </c>
      <c r="T104" s="169">
        <f t="shared" si="13"/>
        <v>0</v>
      </c>
      <c r="U104" s="169">
        <f t="shared" si="14"/>
        <v>0</v>
      </c>
      <c r="V104" s="519"/>
      <c r="W104" s="170">
        <f>IF(N104="nio",0,IF(N104&gt;0,VLOOKUP(G104,'3-Productie normen'!A:N,VLOOKUP(N104,'3-Productie normen'!Q:R,2,FALSE),FALSE)))</f>
        <v>0</v>
      </c>
      <c r="X104" s="170">
        <f t="shared" si="8"/>
        <v>0</v>
      </c>
      <c r="Y104" s="170">
        <f t="shared" si="9"/>
        <v>0</v>
      </c>
      <c r="Z104" s="170">
        <f t="shared" si="15"/>
        <v>0</v>
      </c>
      <c r="AA104" s="171">
        <f>VLOOKUP(G104,'3-Productie normen'!A:N,10,FALSE)</f>
        <v>1</v>
      </c>
      <c r="AB104" s="171"/>
      <c r="AD104" s="131">
        <f t="shared" si="10"/>
        <v>8608.7999999999993</v>
      </c>
    </row>
    <row r="105" spans="1:30" ht="14.1" customHeight="1">
      <c r="A105" s="147">
        <v>105</v>
      </c>
      <c r="B105" s="165" t="s">
        <v>346</v>
      </c>
      <c r="C105" s="165" t="s">
        <v>347</v>
      </c>
      <c r="D105" s="568" t="s">
        <v>102</v>
      </c>
      <c r="E105" s="166" t="s">
        <v>252</v>
      </c>
      <c r="F105" s="128" t="s">
        <v>302</v>
      </c>
      <c r="G105" s="165" t="s">
        <v>199</v>
      </c>
      <c r="H105" s="167" t="s">
        <v>104</v>
      </c>
      <c r="I105" s="563">
        <v>2.79</v>
      </c>
      <c r="J105" s="482">
        <v>1</v>
      </c>
      <c r="K105" s="482">
        <v>1</v>
      </c>
      <c r="L105" s="482">
        <v>1</v>
      </c>
      <c r="M105" s="482">
        <v>1</v>
      </c>
      <c r="N105" s="168" t="s">
        <v>199</v>
      </c>
      <c r="O105" s="168"/>
      <c r="P105" s="168"/>
      <c r="Q105" s="168"/>
      <c r="R105" s="169">
        <f t="shared" si="11"/>
        <v>0</v>
      </c>
      <c r="S105" s="169">
        <f t="shared" si="12"/>
        <v>0</v>
      </c>
      <c r="T105" s="169">
        <f t="shared" si="13"/>
        <v>0</v>
      </c>
      <c r="U105" s="169">
        <f t="shared" si="14"/>
        <v>0</v>
      </c>
      <c r="V105" s="519"/>
      <c r="W105" s="170">
        <f>IF(N105="nio",0,IF(N105&gt;0,VLOOKUP(G105,'3-Productie normen'!A:N,VLOOKUP(N105,'3-Productie normen'!Q:R,2,FALSE),FALSE)))</f>
        <v>0</v>
      </c>
      <c r="X105" s="170">
        <f t="shared" si="8"/>
        <v>0</v>
      </c>
      <c r="Y105" s="170">
        <f t="shared" si="9"/>
        <v>0</v>
      </c>
      <c r="Z105" s="170">
        <f t="shared" si="15"/>
        <v>0</v>
      </c>
      <c r="AA105" s="171">
        <f>VLOOKUP(G105,'3-Productie normen'!A:N,10,FALSE)</f>
        <v>0</v>
      </c>
      <c r="AB105" s="171"/>
      <c r="AD105" s="131">
        <f t="shared" si="10"/>
        <v>0</v>
      </c>
    </row>
    <row r="106" spans="1:30" ht="14.1" customHeight="1">
      <c r="A106" s="147">
        <v>106</v>
      </c>
      <c r="B106" s="165" t="s">
        <v>346</v>
      </c>
      <c r="C106" s="165" t="s">
        <v>347</v>
      </c>
      <c r="D106" s="568" t="s">
        <v>102</v>
      </c>
      <c r="E106" s="166" t="s">
        <v>254</v>
      </c>
      <c r="F106" s="128" t="s">
        <v>270</v>
      </c>
      <c r="G106" s="128" t="s">
        <v>373</v>
      </c>
      <c r="H106" s="167" t="s">
        <v>104</v>
      </c>
      <c r="I106" s="563">
        <v>12.05</v>
      </c>
      <c r="J106" s="482">
        <v>1</v>
      </c>
      <c r="K106" s="482">
        <v>1</v>
      </c>
      <c r="L106" s="482">
        <v>1</v>
      </c>
      <c r="M106" s="482">
        <v>1</v>
      </c>
      <c r="N106" s="168">
        <v>255</v>
      </c>
      <c r="O106" s="168"/>
      <c r="P106" s="168"/>
      <c r="Q106" s="168"/>
      <c r="R106" s="169" t="e">
        <f t="shared" si="11"/>
        <v>#DIV/0!</v>
      </c>
      <c r="S106" s="169">
        <f t="shared" si="12"/>
        <v>0</v>
      </c>
      <c r="T106" s="169">
        <f t="shared" si="13"/>
        <v>0</v>
      </c>
      <c r="U106" s="169">
        <f t="shared" si="14"/>
        <v>0</v>
      </c>
      <c r="V106" s="519"/>
      <c r="W106" s="170">
        <f>IF(N106="nio",0,IF(N106&gt;0,VLOOKUP(G106,'3-Productie normen'!A:N,VLOOKUP(N106,'3-Productie normen'!Q:R,2,FALSE),FALSE)))</f>
        <v>0</v>
      </c>
      <c r="X106" s="170">
        <f t="shared" si="8"/>
        <v>0</v>
      </c>
      <c r="Y106" s="170">
        <f t="shared" si="9"/>
        <v>0</v>
      </c>
      <c r="Z106" s="170">
        <f t="shared" si="15"/>
        <v>0</v>
      </c>
      <c r="AA106" s="171">
        <f>VLOOKUP(G106,'3-Productie normen'!A:N,10,FALSE)</f>
        <v>1</v>
      </c>
      <c r="AB106" s="171"/>
      <c r="AD106" s="131">
        <f t="shared" si="10"/>
        <v>3072.75</v>
      </c>
    </row>
    <row r="107" spans="1:30" ht="14.1" customHeight="1">
      <c r="A107" s="147">
        <v>107</v>
      </c>
      <c r="B107" s="165" t="s">
        <v>346</v>
      </c>
      <c r="C107" s="165" t="s">
        <v>347</v>
      </c>
      <c r="D107" s="568" t="s">
        <v>102</v>
      </c>
      <c r="E107" s="166" t="s">
        <v>256</v>
      </c>
      <c r="F107" s="128" t="s">
        <v>270</v>
      </c>
      <c r="G107" s="128" t="s">
        <v>373</v>
      </c>
      <c r="H107" s="167" t="s">
        <v>104</v>
      </c>
      <c r="I107" s="563">
        <v>11.03</v>
      </c>
      <c r="J107" s="482">
        <v>1</v>
      </c>
      <c r="K107" s="482">
        <v>1</v>
      </c>
      <c r="L107" s="482">
        <v>1</v>
      </c>
      <c r="M107" s="482">
        <v>1</v>
      </c>
      <c r="N107" s="168">
        <v>255</v>
      </c>
      <c r="O107" s="168"/>
      <c r="P107" s="168"/>
      <c r="Q107" s="168"/>
      <c r="R107" s="169" t="e">
        <f t="shared" si="11"/>
        <v>#DIV/0!</v>
      </c>
      <c r="S107" s="169">
        <f t="shared" si="12"/>
        <v>0</v>
      </c>
      <c r="T107" s="169">
        <f t="shared" si="13"/>
        <v>0</v>
      </c>
      <c r="U107" s="169">
        <f t="shared" si="14"/>
        <v>0</v>
      </c>
      <c r="V107" s="519"/>
      <c r="W107" s="170">
        <f>IF(N107="nio",0,IF(N107&gt;0,VLOOKUP(G107,'3-Productie normen'!A:N,VLOOKUP(N107,'3-Productie normen'!Q:R,2,FALSE),FALSE)))</f>
        <v>0</v>
      </c>
      <c r="X107" s="170">
        <f t="shared" si="8"/>
        <v>0</v>
      </c>
      <c r="Y107" s="170">
        <f t="shared" si="9"/>
        <v>0</v>
      </c>
      <c r="Z107" s="170">
        <f t="shared" si="15"/>
        <v>0</v>
      </c>
      <c r="AA107" s="171">
        <f>VLOOKUP(G107,'3-Productie normen'!A:N,10,FALSE)</f>
        <v>1</v>
      </c>
      <c r="AB107" s="171"/>
      <c r="AD107" s="131">
        <f t="shared" si="10"/>
        <v>2812.6499999999996</v>
      </c>
    </row>
    <row r="108" spans="1:30" ht="14.1" customHeight="1">
      <c r="A108" s="147">
        <v>108</v>
      </c>
      <c r="B108" s="165" t="s">
        <v>346</v>
      </c>
      <c r="C108" s="165" t="s">
        <v>347</v>
      </c>
      <c r="D108" s="568" t="s">
        <v>102</v>
      </c>
      <c r="E108" s="166" t="s">
        <v>258</v>
      </c>
      <c r="F108" s="128" t="s">
        <v>270</v>
      </c>
      <c r="G108" s="128" t="s">
        <v>373</v>
      </c>
      <c r="H108" s="167" t="s">
        <v>104</v>
      </c>
      <c r="I108" s="563">
        <v>11.5</v>
      </c>
      <c r="J108" s="482">
        <v>1</v>
      </c>
      <c r="K108" s="482">
        <v>1</v>
      </c>
      <c r="L108" s="482">
        <v>1</v>
      </c>
      <c r="M108" s="482">
        <v>1</v>
      </c>
      <c r="N108" s="168">
        <v>255</v>
      </c>
      <c r="O108" s="168"/>
      <c r="P108" s="168"/>
      <c r="Q108" s="168"/>
      <c r="R108" s="169" t="e">
        <f t="shared" si="11"/>
        <v>#DIV/0!</v>
      </c>
      <c r="S108" s="169">
        <f t="shared" si="12"/>
        <v>0</v>
      </c>
      <c r="T108" s="169">
        <f t="shared" si="13"/>
        <v>0</v>
      </c>
      <c r="U108" s="169">
        <f t="shared" si="14"/>
        <v>0</v>
      </c>
      <c r="V108" s="519"/>
      <c r="W108" s="170">
        <f>IF(N108="nio",0,IF(N108&gt;0,VLOOKUP(G108,'3-Productie normen'!A:N,VLOOKUP(N108,'3-Productie normen'!Q:R,2,FALSE),FALSE)))</f>
        <v>0</v>
      </c>
      <c r="X108" s="170">
        <f t="shared" si="8"/>
        <v>0</v>
      </c>
      <c r="Y108" s="170">
        <f t="shared" si="9"/>
        <v>0</v>
      </c>
      <c r="Z108" s="170">
        <f t="shared" si="15"/>
        <v>0</v>
      </c>
      <c r="AA108" s="171">
        <f>VLOOKUP(G108,'3-Productie normen'!A:N,10,FALSE)</f>
        <v>1</v>
      </c>
      <c r="AB108" s="171"/>
      <c r="AD108" s="131">
        <f t="shared" si="10"/>
        <v>2932.5</v>
      </c>
    </row>
    <row r="109" spans="1:30" ht="14.1" customHeight="1">
      <c r="A109" s="147">
        <v>109</v>
      </c>
      <c r="B109" s="165" t="s">
        <v>346</v>
      </c>
      <c r="C109" s="165" t="s">
        <v>347</v>
      </c>
      <c r="D109" s="568" t="s">
        <v>102</v>
      </c>
      <c r="E109" s="166" t="s">
        <v>259</v>
      </c>
      <c r="F109" s="128" t="s">
        <v>280</v>
      </c>
      <c r="G109" s="167" t="s">
        <v>107</v>
      </c>
      <c r="H109" s="167" t="s">
        <v>104</v>
      </c>
      <c r="I109" s="563">
        <v>32.29</v>
      </c>
      <c r="J109" s="482">
        <v>1</v>
      </c>
      <c r="K109" s="482">
        <v>1</v>
      </c>
      <c r="L109" s="482">
        <v>1</v>
      </c>
      <c r="M109" s="482">
        <v>1</v>
      </c>
      <c r="N109" s="168">
        <v>255</v>
      </c>
      <c r="O109" s="168"/>
      <c r="P109" s="168"/>
      <c r="Q109" s="168"/>
      <c r="R109" s="169" t="e">
        <f t="shared" si="11"/>
        <v>#DIV/0!</v>
      </c>
      <c r="S109" s="169">
        <f t="shared" si="12"/>
        <v>0</v>
      </c>
      <c r="T109" s="169">
        <f t="shared" si="13"/>
        <v>0</v>
      </c>
      <c r="U109" s="169">
        <f t="shared" si="14"/>
        <v>0</v>
      </c>
      <c r="V109" s="519"/>
      <c r="W109" s="170">
        <f>IF(N109="nio",0,IF(N109&gt;0,VLOOKUP(G109,'3-Productie normen'!A:N,VLOOKUP(N109,'3-Productie normen'!Q:R,2,FALSE),FALSE)))</f>
        <v>0</v>
      </c>
      <c r="X109" s="170">
        <f t="shared" si="8"/>
        <v>0</v>
      </c>
      <c r="Y109" s="170">
        <f t="shared" si="9"/>
        <v>0</v>
      </c>
      <c r="Z109" s="170">
        <f t="shared" si="15"/>
        <v>0</v>
      </c>
      <c r="AA109" s="171">
        <f>VLOOKUP(G109,'3-Productie normen'!A:N,10,FALSE)</f>
        <v>2</v>
      </c>
      <c r="AB109" s="171"/>
      <c r="AD109" s="131">
        <f t="shared" si="10"/>
        <v>8233.9499999999989</v>
      </c>
    </row>
    <row r="110" spans="1:30" ht="14.1" customHeight="1">
      <c r="A110" s="147">
        <v>110</v>
      </c>
      <c r="B110" s="165" t="s">
        <v>346</v>
      </c>
      <c r="C110" s="165" t="s">
        <v>347</v>
      </c>
      <c r="D110" s="568" t="s">
        <v>102</v>
      </c>
      <c r="E110" s="166" t="s">
        <v>261</v>
      </c>
      <c r="F110" s="128" t="s">
        <v>251</v>
      </c>
      <c r="G110" s="165" t="s">
        <v>373</v>
      </c>
      <c r="H110" s="167" t="s">
        <v>104</v>
      </c>
      <c r="I110" s="563">
        <v>20.55</v>
      </c>
      <c r="J110" s="482">
        <v>1</v>
      </c>
      <c r="K110" s="482">
        <v>1</v>
      </c>
      <c r="L110" s="482">
        <v>1</v>
      </c>
      <c r="M110" s="482">
        <v>1</v>
      </c>
      <c r="N110" s="168">
        <v>255</v>
      </c>
      <c r="O110" s="168"/>
      <c r="P110" s="168"/>
      <c r="Q110" s="168"/>
      <c r="R110" s="169" t="e">
        <f t="shared" si="11"/>
        <v>#DIV/0!</v>
      </c>
      <c r="S110" s="169">
        <f t="shared" si="12"/>
        <v>0</v>
      </c>
      <c r="T110" s="169">
        <f t="shared" si="13"/>
        <v>0</v>
      </c>
      <c r="U110" s="169">
        <f t="shared" si="14"/>
        <v>0</v>
      </c>
      <c r="V110" s="519"/>
      <c r="W110" s="170">
        <f>IF(N110="nio",0,IF(N110&gt;0,VLOOKUP(G110,'3-Productie normen'!A:N,VLOOKUP(N110,'3-Productie normen'!Q:R,2,FALSE),FALSE)))</f>
        <v>0</v>
      </c>
      <c r="X110" s="170">
        <f t="shared" si="8"/>
        <v>0</v>
      </c>
      <c r="Y110" s="170">
        <f t="shared" si="9"/>
        <v>0</v>
      </c>
      <c r="Z110" s="170">
        <f t="shared" si="15"/>
        <v>0</v>
      </c>
      <c r="AA110" s="171">
        <f>VLOOKUP(G110,'3-Productie normen'!A:N,10,FALSE)</f>
        <v>1</v>
      </c>
      <c r="AB110" s="171"/>
      <c r="AD110" s="131">
        <f t="shared" si="10"/>
        <v>5240.25</v>
      </c>
    </row>
    <row r="111" spans="1:30" ht="14.1" customHeight="1">
      <c r="A111" s="147">
        <v>111</v>
      </c>
      <c r="B111" s="165" t="s">
        <v>346</v>
      </c>
      <c r="C111" s="165" t="s">
        <v>347</v>
      </c>
      <c r="D111" s="568" t="s">
        <v>102</v>
      </c>
      <c r="E111" s="166" t="s">
        <v>263</v>
      </c>
      <c r="F111" s="128" t="s">
        <v>348</v>
      </c>
      <c r="G111" s="167" t="s">
        <v>17</v>
      </c>
      <c r="H111" s="167" t="s">
        <v>105</v>
      </c>
      <c r="I111" s="563">
        <v>4.05</v>
      </c>
      <c r="J111" s="482">
        <v>1</v>
      </c>
      <c r="K111" s="482">
        <v>1</v>
      </c>
      <c r="L111" s="482">
        <v>1</v>
      </c>
      <c r="M111" s="482">
        <v>1</v>
      </c>
      <c r="N111" s="168">
        <v>255</v>
      </c>
      <c r="O111" s="168"/>
      <c r="P111" s="168"/>
      <c r="Q111" s="168"/>
      <c r="R111" s="169" t="e">
        <f t="shared" si="11"/>
        <v>#DIV/0!</v>
      </c>
      <c r="S111" s="169">
        <f t="shared" si="12"/>
        <v>0</v>
      </c>
      <c r="T111" s="169">
        <f t="shared" si="13"/>
        <v>0</v>
      </c>
      <c r="U111" s="169">
        <f t="shared" si="14"/>
        <v>0</v>
      </c>
      <c r="V111" s="519"/>
      <c r="W111" s="170">
        <f>IF(N111="nio",0,IF(N111&gt;0,VLOOKUP(G111,'3-Productie normen'!A:N,VLOOKUP(N111,'3-Productie normen'!Q:R,2,FALSE),FALSE)))</f>
        <v>0</v>
      </c>
      <c r="X111" s="170">
        <f t="shared" si="8"/>
        <v>0</v>
      </c>
      <c r="Y111" s="170">
        <f t="shared" si="9"/>
        <v>0</v>
      </c>
      <c r="Z111" s="170">
        <f t="shared" si="15"/>
        <v>0</v>
      </c>
      <c r="AA111" s="171">
        <f>VLOOKUP(G111,'3-Productie normen'!A:N,10,FALSE)</f>
        <v>3</v>
      </c>
      <c r="AB111" s="171"/>
      <c r="AD111" s="131">
        <f t="shared" si="10"/>
        <v>1032.75</v>
      </c>
    </row>
    <row r="112" spans="1:30" ht="14.1" customHeight="1">
      <c r="A112" s="147">
        <v>112</v>
      </c>
      <c r="B112" s="165" t="s">
        <v>346</v>
      </c>
      <c r="C112" s="165" t="s">
        <v>347</v>
      </c>
      <c r="D112" s="568" t="s">
        <v>102</v>
      </c>
      <c r="E112" s="166" t="s">
        <v>265</v>
      </c>
      <c r="F112" s="128" t="s">
        <v>294</v>
      </c>
      <c r="G112" s="177" t="s">
        <v>17</v>
      </c>
      <c r="H112" s="167" t="s">
        <v>105</v>
      </c>
      <c r="I112" s="563">
        <v>3.87</v>
      </c>
      <c r="J112" s="482">
        <v>1</v>
      </c>
      <c r="K112" s="482">
        <v>1</v>
      </c>
      <c r="L112" s="482">
        <v>1</v>
      </c>
      <c r="M112" s="482">
        <v>1</v>
      </c>
      <c r="N112" s="168">
        <v>255</v>
      </c>
      <c r="O112" s="168"/>
      <c r="P112" s="168"/>
      <c r="Q112" s="168"/>
      <c r="R112" s="169" t="e">
        <f t="shared" si="11"/>
        <v>#DIV/0!</v>
      </c>
      <c r="S112" s="169">
        <f t="shared" si="12"/>
        <v>0</v>
      </c>
      <c r="T112" s="169">
        <f t="shared" si="13"/>
        <v>0</v>
      </c>
      <c r="U112" s="169">
        <f t="shared" si="14"/>
        <v>0</v>
      </c>
      <c r="V112" s="519"/>
      <c r="W112" s="170">
        <f>IF(N112="nio",0,IF(N112&gt;0,VLOOKUP(G112,'3-Productie normen'!A:N,VLOOKUP(N112,'3-Productie normen'!Q:R,2,FALSE),FALSE)))</f>
        <v>0</v>
      </c>
      <c r="X112" s="170">
        <f t="shared" si="8"/>
        <v>0</v>
      </c>
      <c r="Y112" s="170">
        <f t="shared" si="9"/>
        <v>0</v>
      </c>
      <c r="Z112" s="170">
        <f t="shared" si="15"/>
        <v>0</v>
      </c>
      <c r="AA112" s="171">
        <f>VLOOKUP(G112,'3-Productie normen'!A:N,10,FALSE)</f>
        <v>3</v>
      </c>
      <c r="AB112" s="171"/>
      <c r="AD112" s="131">
        <f t="shared" si="10"/>
        <v>986.85</v>
      </c>
    </row>
    <row r="113" spans="1:30" ht="14.1" customHeight="1">
      <c r="A113" s="147">
        <v>113</v>
      </c>
      <c r="B113" s="165" t="s">
        <v>346</v>
      </c>
      <c r="C113" s="165" t="s">
        <v>347</v>
      </c>
      <c r="D113" s="568" t="s">
        <v>102</v>
      </c>
      <c r="E113" s="166" t="s">
        <v>267</v>
      </c>
      <c r="F113" s="128" t="s">
        <v>257</v>
      </c>
      <c r="G113" s="167" t="s">
        <v>17</v>
      </c>
      <c r="H113" s="167" t="s">
        <v>105</v>
      </c>
      <c r="I113" s="563">
        <v>1.19</v>
      </c>
      <c r="J113" s="482">
        <v>1</v>
      </c>
      <c r="K113" s="482">
        <v>1</v>
      </c>
      <c r="L113" s="482">
        <v>1</v>
      </c>
      <c r="M113" s="482">
        <v>1</v>
      </c>
      <c r="N113" s="168">
        <v>255</v>
      </c>
      <c r="O113" s="168"/>
      <c r="P113" s="168"/>
      <c r="Q113" s="168"/>
      <c r="R113" s="169" t="e">
        <f t="shared" si="11"/>
        <v>#DIV/0!</v>
      </c>
      <c r="S113" s="169">
        <f t="shared" si="12"/>
        <v>0</v>
      </c>
      <c r="T113" s="169">
        <f t="shared" si="13"/>
        <v>0</v>
      </c>
      <c r="U113" s="169">
        <f t="shared" si="14"/>
        <v>0</v>
      </c>
      <c r="V113" s="519"/>
      <c r="W113" s="170">
        <f>IF(N113="nio",0,IF(N113&gt;0,VLOOKUP(G113,'3-Productie normen'!A:N,VLOOKUP(N113,'3-Productie normen'!Q:R,2,FALSE),FALSE)))</f>
        <v>0</v>
      </c>
      <c r="X113" s="170">
        <f t="shared" si="8"/>
        <v>0</v>
      </c>
      <c r="Y113" s="170">
        <f t="shared" si="9"/>
        <v>0</v>
      </c>
      <c r="Z113" s="170">
        <f t="shared" si="15"/>
        <v>0</v>
      </c>
      <c r="AA113" s="171">
        <f>VLOOKUP(G113,'3-Productie normen'!A:N,10,FALSE)</f>
        <v>3</v>
      </c>
      <c r="AB113" s="171"/>
      <c r="AD113" s="131">
        <f t="shared" si="10"/>
        <v>303.45</v>
      </c>
    </row>
    <row r="114" spans="1:30" ht="14.1" customHeight="1">
      <c r="A114" s="147">
        <v>114</v>
      </c>
      <c r="B114" s="165" t="s">
        <v>346</v>
      </c>
      <c r="C114" s="165" t="s">
        <v>347</v>
      </c>
      <c r="D114" s="568" t="s">
        <v>102</v>
      </c>
      <c r="E114" s="166" t="s">
        <v>286</v>
      </c>
      <c r="F114" s="128" t="s">
        <v>257</v>
      </c>
      <c r="G114" s="167" t="s">
        <v>17</v>
      </c>
      <c r="H114" s="167" t="s">
        <v>105</v>
      </c>
      <c r="I114" s="563">
        <v>1.19</v>
      </c>
      <c r="J114" s="482">
        <v>1</v>
      </c>
      <c r="K114" s="482">
        <v>1</v>
      </c>
      <c r="L114" s="482">
        <v>1</v>
      </c>
      <c r="M114" s="482">
        <v>1</v>
      </c>
      <c r="N114" s="168">
        <v>255</v>
      </c>
      <c r="O114" s="168"/>
      <c r="P114" s="168"/>
      <c r="Q114" s="168"/>
      <c r="R114" s="169" t="e">
        <f t="shared" si="11"/>
        <v>#DIV/0!</v>
      </c>
      <c r="S114" s="169">
        <f t="shared" si="12"/>
        <v>0</v>
      </c>
      <c r="T114" s="169">
        <f t="shared" si="13"/>
        <v>0</v>
      </c>
      <c r="U114" s="169">
        <f t="shared" si="14"/>
        <v>0</v>
      </c>
      <c r="V114" s="519"/>
      <c r="W114" s="170">
        <f>IF(N114="nio",0,IF(N114&gt;0,VLOOKUP(G114,'3-Productie normen'!A:N,VLOOKUP(N114,'3-Productie normen'!Q:R,2,FALSE),FALSE)))</f>
        <v>0</v>
      </c>
      <c r="X114" s="170">
        <f t="shared" si="8"/>
        <v>0</v>
      </c>
      <c r="Y114" s="170">
        <f t="shared" si="9"/>
        <v>0</v>
      </c>
      <c r="Z114" s="170">
        <f t="shared" si="15"/>
        <v>0</v>
      </c>
      <c r="AA114" s="171">
        <f>VLOOKUP(G114,'3-Productie normen'!A:N,10,FALSE)</f>
        <v>3</v>
      </c>
      <c r="AB114" s="171"/>
      <c r="AD114" s="131">
        <f t="shared" si="10"/>
        <v>303.45</v>
      </c>
    </row>
    <row r="115" spans="1:30" ht="14.1" customHeight="1">
      <c r="A115" s="147">
        <v>115</v>
      </c>
      <c r="B115" s="165" t="s">
        <v>346</v>
      </c>
      <c r="C115" s="165" t="s">
        <v>347</v>
      </c>
      <c r="D115" s="568" t="s">
        <v>102</v>
      </c>
      <c r="E115" s="166" t="s">
        <v>288</v>
      </c>
      <c r="F115" s="128" t="s">
        <v>260</v>
      </c>
      <c r="G115" s="128" t="s">
        <v>578</v>
      </c>
      <c r="H115" s="167" t="s">
        <v>104</v>
      </c>
      <c r="I115" s="563">
        <v>5.36</v>
      </c>
      <c r="J115" s="482">
        <v>1</v>
      </c>
      <c r="K115" s="482">
        <v>1</v>
      </c>
      <c r="L115" s="482">
        <v>1</v>
      </c>
      <c r="M115" s="482">
        <v>1</v>
      </c>
      <c r="N115" s="168">
        <v>12</v>
      </c>
      <c r="O115" s="168"/>
      <c r="P115" s="168"/>
      <c r="Q115" s="168"/>
      <c r="R115" s="169" t="e">
        <f t="shared" si="11"/>
        <v>#DIV/0!</v>
      </c>
      <c r="S115" s="169">
        <f t="shared" si="12"/>
        <v>0</v>
      </c>
      <c r="T115" s="169">
        <f t="shared" si="13"/>
        <v>0</v>
      </c>
      <c r="U115" s="169">
        <f t="shared" si="14"/>
        <v>0</v>
      </c>
      <c r="V115" s="519"/>
      <c r="W115" s="170">
        <f>IF(N115="nio",0,IF(N115&gt;0,VLOOKUP(G115,'3-Productie normen'!A:N,VLOOKUP(N115,'3-Productie normen'!Q:R,2,FALSE),FALSE)))</f>
        <v>0</v>
      </c>
      <c r="X115" s="170">
        <f t="shared" si="8"/>
        <v>0</v>
      </c>
      <c r="Y115" s="170">
        <f t="shared" si="9"/>
        <v>0</v>
      </c>
      <c r="Z115" s="170">
        <f t="shared" si="15"/>
        <v>0</v>
      </c>
      <c r="AA115" s="171">
        <f>VLOOKUP(G115,'3-Productie normen'!A:N,10,FALSE)</f>
        <v>4</v>
      </c>
      <c r="AB115" s="171"/>
      <c r="AD115" s="131">
        <f t="shared" si="10"/>
        <v>64.320000000000007</v>
      </c>
    </row>
    <row r="116" spans="1:30" ht="14.1" customHeight="1">
      <c r="A116" s="147">
        <v>116</v>
      </c>
      <c r="B116" s="165" t="s">
        <v>349</v>
      </c>
      <c r="C116" s="165" t="s">
        <v>350</v>
      </c>
      <c r="D116" s="568" t="s">
        <v>102</v>
      </c>
      <c r="E116" s="166" t="s">
        <v>247</v>
      </c>
      <c r="F116" s="128" t="s">
        <v>351</v>
      </c>
      <c r="G116" s="165" t="s">
        <v>579</v>
      </c>
      <c r="H116" s="167" t="s">
        <v>104</v>
      </c>
      <c r="I116" s="563">
        <v>111.22</v>
      </c>
      <c r="J116" s="482">
        <v>1</v>
      </c>
      <c r="K116" s="482">
        <v>1</v>
      </c>
      <c r="L116" s="482">
        <v>1</v>
      </c>
      <c r="M116" s="482">
        <v>1</v>
      </c>
      <c r="N116" s="168">
        <v>156</v>
      </c>
      <c r="O116" s="168"/>
      <c r="P116" s="168"/>
      <c r="Q116" s="168"/>
      <c r="R116" s="169" t="e">
        <f t="shared" si="11"/>
        <v>#DIV/0!</v>
      </c>
      <c r="S116" s="169">
        <f t="shared" si="12"/>
        <v>0</v>
      </c>
      <c r="T116" s="169">
        <f t="shared" si="13"/>
        <v>0</v>
      </c>
      <c r="U116" s="169">
        <f t="shared" si="14"/>
        <v>0</v>
      </c>
      <c r="V116" s="519"/>
      <c r="W116" s="170">
        <f>IF(N116="nio",0,IF(N116&gt;0,VLOOKUP(G116,'3-Productie normen'!A:N,VLOOKUP(N116,'3-Productie normen'!Q:R,2,FALSE),FALSE)))</f>
        <v>0</v>
      </c>
      <c r="X116" s="170">
        <f t="shared" si="8"/>
        <v>0</v>
      </c>
      <c r="Y116" s="170">
        <f t="shared" si="9"/>
        <v>0</v>
      </c>
      <c r="Z116" s="170">
        <f t="shared" si="15"/>
        <v>0</v>
      </c>
      <c r="AA116" s="171">
        <f>VLOOKUP(G116,'3-Productie normen'!A:N,10,FALSE)</f>
        <v>4</v>
      </c>
      <c r="AB116" s="171"/>
      <c r="AD116" s="131">
        <f t="shared" si="10"/>
        <v>17350.32</v>
      </c>
    </row>
    <row r="117" spans="1:30" ht="14.1" customHeight="1">
      <c r="A117" s="147">
        <v>117</v>
      </c>
      <c r="B117" s="165" t="s">
        <v>349</v>
      </c>
      <c r="C117" s="165" t="s">
        <v>350</v>
      </c>
      <c r="D117" s="568" t="s">
        <v>102</v>
      </c>
      <c r="E117" s="166" t="s">
        <v>248</v>
      </c>
      <c r="F117" s="128" t="s">
        <v>251</v>
      </c>
      <c r="G117" s="165" t="s">
        <v>373</v>
      </c>
      <c r="H117" s="167" t="s">
        <v>104</v>
      </c>
      <c r="I117" s="563">
        <v>19.46</v>
      </c>
      <c r="J117" s="482">
        <v>1</v>
      </c>
      <c r="K117" s="482">
        <v>1</v>
      </c>
      <c r="L117" s="482">
        <v>1</v>
      </c>
      <c r="M117" s="482">
        <v>1</v>
      </c>
      <c r="N117" s="168">
        <v>156</v>
      </c>
      <c r="O117" s="168"/>
      <c r="P117" s="168"/>
      <c r="Q117" s="168"/>
      <c r="R117" s="169" t="e">
        <f t="shared" si="11"/>
        <v>#DIV/0!</v>
      </c>
      <c r="S117" s="169">
        <f t="shared" si="12"/>
        <v>0</v>
      </c>
      <c r="T117" s="169">
        <f t="shared" si="13"/>
        <v>0</v>
      </c>
      <c r="U117" s="169">
        <f t="shared" si="14"/>
        <v>0</v>
      </c>
      <c r="V117" s="519"/>
      <c r="W117" s="170">
        <f>IF(N117="nio",0,IF(N117&gt;0,VLOOKUP(G117,'3-Productie normen'!A:N,VLOOKUP(N117,'3-Productie normen'!Q:R,2,FALSE),FALSE)))</f>
        <v>0</v>
      </c>
      <c r="X117" s="170">
        <f t="shared" si="8"/>
        <v>0</v>
      </c>
      <c r="Y117" s="170">
        <f t="shared" si="9"/>
        <v>0</v>
      </c>
      <c r="Z117" s="170">
        <f t="shared" si="15"/>
        <v>0</v>
      </c>
      <c r="AA117" s="171">
        <f>VLOOKUP(G117,'3-Productie normen'!A:N,10,FALSE)</f>
        <v>1</v>
      </c>
      <c r="AB117" s="171"/>
      <c r="AD117" s="131">
        <f t="shared" si="10"/>
        <v>3035.76</v>
      </c>
    </row>
    <row r="118" spans="1:30" ht="14.1" customHeight="1">
      <c r="A118" s="147">
        <v>118</v>
      </c>
      <c r="B118" s="165" t="s">
        <v>349</v>
      </c>
      <c r="C118" s="165" t="s">
        <v>350</v>
      </c>
      <c r="D118" s="568" t="s">
        <v>102</v>
      </c>
      <c r="E118" s="166" t="s">
        <v>250</v>
      </c>
      <c r="F118" s="128" t="s">
        <v>280</v>
      </c>
      <c r="G118" s="167" t="s">
        <v>107</v>
      </c>
      <c r="H118" s="128" t="s">
        <v>104</v>
      </c>
      <c r="I118" s="564">
        <v>28.9</v>
      </c>
      <c r="J118" s="482">
        <v>1</v>
      </c>
      <c r="K118" s="482">
        <v>1</v>
      </c>
      <c r="L118" s="482">
        <v>1</v>
      </c>
      <c r="M118" s="482">
        <v>1</v>
      </c>
      <c r="N118" s="168">
        <v>156</v>
      </c>
      <c r="O118" s="168"/>
      <c r="P118" s="168"/>
      <c r="Q118" s="168"/>
      <c r="R118" s="169" t="e">
        <f t="shared" si="11"/>
        <v>#DIV/0!</v>
      </c>
      <c r="S118" s="169">
        <f t="shared" si="12"/>
        <v>0</v>
      </c>
      <c r="T118" s="169">
        <f t="shared" si="13"/>
        <v>0</v>
      </c>
      <c r="U118" s="169">
        <f t="shared" si="14"/>
        <v>0</v>
      </c>
      <c r="V118" s="519"/>
      <c r="W118" s="170">
        <f>IF(N118="nio",0,IF(N118&gt;0,VLOOKUP(G118,'3-Productie normen'!A:N,VLOOKUP(N118,'3-Productie normen'!Q:R,2,FALSE),FALSE)))</f>
        <v>0</v>
      </c>
      <c r="X118" s="170">
        <f t="shared" si="8"/>
        <v>0</v>
      </c>
      <c r="Y118" s="170">
        <f t="shared" si="9"/>
        <v>0</v>
      </c>
      <c r="Z118" s="170">
        <f t="shared" si="15"/>
        <v>0</v>
      </c>
      <c r="AA118" s="171">
        <f>VLOOKUP(G118,'3-Productie normen'!A:N,10,FALSE)</f>
        <v>2</v>
      </c>
      <c r="AB118" s="171"/>
      <c r="AD118" s="131">
        <f t="shared" si="10"/>
        <v>4508.3999999999996</v>
      </c>
    </row>
    <row r="119" spans="1:30" ht="14.1" customHeight="1">
      <c r="A119" s="147">
        <v>119</v>
      </c>
      <c r="B119" s="165" t="s">
        <v>349</v>
      </c>
      <c r="C119" s="165" t="s">
        <v>350</v>
      </c>
      <c r="D119" s="568" t="s">
        <v>102</v>
      </c>
      <c r="E119" s="176" t="s">
        <v>252</v>
      </c>
      <c r="F119" s="177" t="s">
        <v>279</v>
      </c>
      <c r="G119" s="525" t="s">
        <v>583</v>
      </c>
      <c r="H119" s="177" t="s">
        <v>104</v>
      </c>
      <c r="I119" s="563">
        <v>10</v>
      </c>
      <c r="J119" s="482">
        <v>1</v>
      </c>
      <c r="K119" s="482">
        <v>1</v>
      </c>
      <c r="L119" s="482">
        <v>1</v>
      </c>
      <c r="M119" s="482">
        <v>1</v>
      </c>
      <c r="N119" s="168">
        <v>156</v>
      </c>
      <c r="O119" s="168"/>
      <c r="P119" s="168"/>
      <c r="Q119" s="168"/>
      <c r="R119" s="169" t="e">
        <f t="shared" si="11"/>
        <v>#DIV/0!</v>
      </c>
      <c r="S119" s="169">
        <f t="shared" si="12"/>
        <v>0</v>
      </c>
      <c r="T119" s="169">
        <f t="shared" si="13"/>
        <v>0</v>
      </c>
      <c r="U119" s="169">
        <f t="shared" si="14"/>
        <v>0</v>
      </c>
      <c r="V119" s="519"/>
      <c r="W119" s="170">
        <f>IF(N119="nio",0,IF(N119&gt;0,VLOOKUP(G119,'3-Productie normen'!A:N,VLOOKUP(N119,'3-Productie normen'!Q:R,2,FALSE),FALSE)))</f>
        <v>0</v>
      </c>
      <c r="X119" s="170">
        <f t="shared" si="8"/>
        <v>0</v>
      </c>
      <c r="Y119" s="170">
        <f t="shared" si="9"/>
        <v>0</v>
      </c>
      <c r="Z119" s="170">
        <f t="shared" si="15"/>
        <v>0</v>
      </c>
      <c r="AA119" s="171">
        <f>VLOOKUP(G119,'3-Productie normen'!A:N,10,FALSE)</f>
        <v>4</v>
      </c>
      <c r="AB119" s="171"/>
      <c r="AD119" s="131">
        <f t="shared" si="10"/>
        <v>1560</v>
      </c>
    </row>
    <row r="120" spans="1:30" ht="14.1" customHeight="1">
      <c r="A120" s="147">
        <v>120</v>
      </c>
      <c r="B120" s="165" t="s">
        <v>349</v>
      </c>
      <c r="C120" s="165" t="s">
        <v>350</v>
      </c>
      <c r="D120" s="568" t="s">
        <v>102</v>
      </c>
      <c r="E120" s="166" t="s">
        <v>254</v>
      </c>
      <c r="F120" s="167" t="s">
        <v>302</v>
      </c>
      <c r="G120" s="165" t="s">
        <v>199</v>
      </c>
      <c r="H120" s="167" t="s">
        <v>104</v>
      </c>
      <c r="I120" s="563">
        <v>4</v>
      </c>
      <c r="J120" s="482">
        <v>1</v>
      </c>
      <c r="K120" s="482">
        <v>1</v>
      </c>
      <c r="L120" s="482">
        <v>1</v>
      </c>
      <c r="M120" s="482">
        <v>1</v>
      </c>
      <c r="N120" s="168" t="s">
        <v>199</v>
      </c>
      <c r="O120" s="168"/>
      <c r="P120" s="168"/>
      <c r="Q120" s="168"/>
      <c r="R120" s="169">
        <f t="shared" si="11"/>
        <v>0</v>
      </c>
      <c r="S120" s="169">
        <f t="shared" si="12"/>
        <v>0</v>
      </c>
      <c r="T120" s="169">
        <f t="shared" si="13"/>
        <v>0</v>
      </c>
      <c r="U120" s="169">
        <f t="shared" si="14"/>
        <v>0</v>
      </c>
      <c r="V120" s="519"/>
      <c r="W120" s="170">
        <f>IF(N120="nio",0,IF(N120&gt;0,VLOOKUP(G120,'3-Productie normen'!A:N,VLOOKUP(N120,'3-Productie normen'!Q:R,2,FALSE),FALSE)))</f>
        <v>0</v>
      </c>
      <c r="X120" s="170">
        <f t="shared" si="8"/>
        <v>0</v>
      </c>
      <c r="Y120" s="170">
        <f t="shared" si="9"/>
        <v>0</v>
      </c>
      <c r="Z120" s="170">
        <f t="shared" si="15"/>
        <v>0</v>
      </c>
      <c r="AA120" s="171">
        <f>VLOOKUP(G120,'3-Productie normen'!A:N,10,FALSE)</f>
        <v>0</v>
      </c>
      <c r="AB120" s="171"/>
      <c r="AD120" s="131">
        <f t="shared" si="10"/>
        <v>0</v>
      </c>
    </row>
    <row r="121" spans="1:30" ht="14.1" customHeight="1">
      <c r="A121" s="147">
        <v>121</v>
      </c>
      <c r="B121" s="165" t="s">
        <v>349</v>
      </c>
      <c r="C121" s="165" t="s">
        <v>350</v>
      </c>
      <c r="D121" s="568" t="s">
        <v>102</v>
      </c>
      <c r="E121" s="166" t="s">
        <v>256</v>
      </c>
      <c r="F121" s="167" t="s">
        <v>352</v>
      </c>
      <c r="G121" s="128" t="s">
        <v>578</v>
      </c>
      <c r="H121" s="167" t="s">
        <v>104</v>
      </c>
      <c r="I121" s="563">
        <v>4</v>
      </c>
      <c r="J121" s="482">
        <v>1</v>
      </c>
      <c r="K121" s="482">
        <v>1</v>
      </c>
      <c r="L121" s="482">
        <v>1</v>
      </c>
      <c r="M121" s="482">
        <v>1</v>
      </c>
      <c r="N121" s="168">
        <v>12</v>
      </c>
      <c r="O121" s="168"/>
      <c r="P121" s="168"/>
      <c r="Q121" s="168"/>
      <c r="R121" s="169" t="e">
        <f t="shared" si="11"/>
        <v>#DIV/0!</v>
      </c>
      <c r="S121" s="169">
        <f t="shared" si="12"/>
        <v>0</v>
      </c>
      <c r="T121" s="169">
        <f t="shared" si="13"/>
        <v>0</v>
      </c>
      <c r="U121" s="169">
        <f t="shared" si="14"/>
        <v>0</v>
      </c>
      <c r="V121" s="519"/>
      <c r="W121" s="170">
        <f>IF(N121="nio",0,IF(N121&gt;0,VLOOKUP(G121,'3-Productie normen'!A:N,VLOOKUP(N121,'3-Productie normen'!Q:R,2,FALSE),FALSE)))</f>
        <v>0</v>
      </c>
      <c r="X121" s="170">
        <f t="shared" si="8"/>
        <v>0</v>
      </c>
      <c r="Y121" s="170">
        <f t="shared" si="9"/>
        <v>0</v>
      </c>
      <c r="Z121" s="170">
        <f t="shared" si="15"/>
        <v>0</v>
      </c>
      <c r="AA121" s="171">
        <f>VLOOKUP(G121,'3-Productie normen'!A:N,10,FALSE)</f>
        <v>4</v>
      </c>
      <c r="AB121" s="171"/>
      <c r="AD121" s="131">
        <f t="shared" si="10"/>
        <v>48</v>
      </c>
    </row>
    <row r="122" spans="1:30" ht="14.1" customHeight="1">
      <c r="A122" s="147">
        <v>122</v>
      </c>
      <c r="B122" s="165" t="s">
        <v>349</v>
      </c>
      <c r="C122" s="165" t="s">
        <v>350</v>
      </c>
      <c r="D122" s="568" t="s">
        <v>102</v>
      </c>
      <c r="E122" s="166" t="s">
        <v>258</v>
      </c>
      <c r="F122" s="167" t="s">
        <v>281</v>
      </c>
      <c r="G122" s="167" t="s">
        <v>373</v>
      </c>
      <c r="H122" s="167" t="s">
        <v>272</v>
      </c>
      <c r="I122" s="563">
        <v>34.9</v>
      </c>
      <c r="J122" s="482">
        <v>1</v>
      </c>
      <c r="K122" s="482">
        <v>1</v>
      </c>
      <c r="L122" s="482">
        <v>1</v>
      </c>
      <c r="M122" s="482">
        <v>1</v>
      </c>
      <c r="N122" s="168">
        <v>156</v>
      </c>
      <c r="O122" s="168"/>
      <c r="P122" s="168"/>
      <c r="Q122" s="168"/>
      <c r="R122" s="169" t="e">
        <f t="shared" si="11"/>
        <v>#DIV/0!</v>
      </c>
      <c r="S122" s="169">
        <f t="shared" si="12"/>
        <v>0</v>
      </c>
      <c r="T122" s="169">
        <f t="shared" si="13"/>
        <v>0</v>
      </c>
      <c r="U122" s="169">
        <f t="shared" si="14"/>
        <v>0</v>
      </c>
      <c r="V122" s="519"/>
      <c r="W122" s="170">
        <f>IF(N122="nio",0,IF(N122&gt;0,VLOOKUP(G122,'3-Productie normen'!A:N,VLOOKUP(N122,'3-Productie normen'!Q:R,2,FALSE),FALSE)))</f>
        <v>0</v>
      </c>
      <c r="X122" s="170">
        <f t="shared" si="8"/>
        <v>0</v>
      </c>
      <c r="Y122" s="170">
        <f t="shared" si="9"/>
        <v>0</v>
      </c>
      <c r="Z122" s="170">
        <f t="shared" si="15"/>
        <v>0</v>
      </c>
      <c r="AA122" s="171">
        <f>VLOOKUP(G122,'3-Productie normen'!A:N,10,FALSE)</f>
        <v>1</v>
      </c>
      <c r="AB122" s="171"/>
      <c r="AD122" s="131">
        <f t="shared" si="10"/>
        <v>5444.4</v>
      </c>
    </row>
    <row r="123" spans="1:30" ht="14.1" customHeight="1">
      <c r="A123" s="147">
        <v>123</v>
      </c>
      <c r="B123" s="165" t="s">
        <v>349</v>
      </c>
      <c r="C123" s="165" t="s">
        <v>350</v>
      </c>
      <c r="D123" s="568" t="s">
        <v>102</v>
      </c>
      <c r="E123" s="166" t="s">
        <v>259</v>
      </c>
      <c r="F123" s="167" t="s">
        <v>270</v>
      </c>
      <c r="G123" s="128" t="s">
        <v>373</v>
      </c>
      <c r="H123" s="167" t="s">
        <v>104</v>
      </c>
      <c r="I123" s="563">
        <v>13.08</v>
      </c>
      <c r="J123" s="482">
        <v>1</v>
      </c>
      <c r="K123" s="482">
        <v>1</v>
      </c>
      <c r="L123" s="482">
        <v>1</v>
      </c>
      <c r="M123" s="482">
        <v>1</v>
      </c>
      <c r="N123" s="168">
        <v>156</v>
      </c>
      <c r="O123" s="168"/>
      <c r="P123" s="168"/>
      <c r="Q123" s="168"/>
      <c r="R123" s="169" t="e">
        <f t="shared" si="11"/>
        <v>#DIV/0!</v>
      </c>
      <c r="S123" s="169">
        <f t="shared" si="12"/>
        <v>0</v>
      </c>
      <c r="T123" s="169">
        <f t="shared" si="13"/>
        <v>0</v>
      </c>
      <c r="U123" s="169">
        <f t="shared" si="14"/>
        <v>0</v>
      </c>
      <c r="V123" s="519"/>
      <c r="W123" s="170">
        <f>IF(N123="nio",0,IF(N123&gt;0,VLOOKUP(G123,'3-Productie normen'!A:N,VLOOKUP(N123,'3-Productie normen'!Q:R,2,FALSE),FALSE)))</f>
        <v>0</v>
      </c>
      <c r="X123" s="170">
        <f t="shared" si="8"/>
        <v>0</v>
      </c>
      <c r="Y123" s="170">
        <f t="shared" si="9"/>
        <v>0</v>
      </c>
      <c r="Z123" s="170">
        <f t="shared" si="15"/>
        <v>0</v>
      </c>
      <c r="AA123" s="171">
        <f>VLOOKUP(G123,'3-Productie normen'!A:N,10,FALSE)</f>
        <v>1</v>
      </c>
      <c r="AB123" s="171"/>
      <c r="AD123" s="131">
        <f t="shared" si="10"/>
        <v>2040.48</v>
      </c>
    </row>
    <row r="124" spans="1:30" ht="14.1" customHeight="1">
      <c r="A124" s="147">
        <v>124</v>
      </c>
      <c r="B124" s="165" t="s">
        <v>349</v>
      </c>
      <c r="C124" s="165" t="s">
        <v>350</v>
      </c>
      <c r="D124" s="568" t="s">
        <v>102</v>
      </c>
      <c r="E124" s="166" t="s">
        <v>261</v>
      </c>
      <c r="F124" s="167" t="s">
        <v>270</v>
      </c>
      <c r="G124" s="128" t="s">
        <v>373</v>
      </c>
      <c r="H124" s="167" t="s">
        <v>104</v>
      </c>
      <c r="I124" s="563">
        <v>13.08</v>
      </c>
      <c r="J124" s="482">
        <v>1</v>
      </c>
      <c r="K124" s="482">
        <v>1</v>
      </c>
      <c r="L124" s="482">
        <v>1</v>
      </c>
      <c r="M124" s="482">
        <v>1</v>
      </c>
      <c r="N124" s="168">
        <v>156</v>
      </c>
      <c r="O124" s="168"/>
      <c r="P124" s="168"/>
      <c r="Q124" s="168"/>
      <c r="R124" s="169" t="e">
        <f t="shared" si="11"/>
        <v>#DIV/0!</v>
      </c>
      <c r="S124" s="169">
        <f t="shared" si="12"/>
        <v>0</v>
      </c>
      <c r="T124" s="169">
        <f t="shared" si="13"/>
        <v>0</v>
      </c>
      <c r="U124" s="169">
        <f t="shared" si="14"/>
        <v>0</v>
      </c>
      <c r="V124" s="519"/>
      <c r="W124" s="170">
        <f>IF(N124="nio",0,IF(N124&gt;0,VLOOKUP(G124,'3-Productie normen'!A:N,VLOOKUP(N124,'3-Productie normen'!Q:R,2,FALSE),FALSE)))</f>
        <v>0</v>
      </c>
      <c r="X124" s="170">
        <f t="shared" si="8"/>
        <v>0</v>
      </c>
      <c r="Y124" s="170">
        <f t="shared" si="9"/>
        <v>0</v>
      </c>
      <c r="Z124" s="170">
        <f t="shared" si="15"/>
        <v>0</v>
      </c>
      <c r="AA124" s="171">
        <f>VLOOKUP(G124,'3-Productie normen'!A:N,10,FALSE)</f>
        <v>1</v>
      </c>
      <c r="AB124" s="171"/>
      <c r="AD124" s="131">
        <f t="shared" si="10"/>
        <v>2040.48</v>
      </c>
    </row>
    <row r="125" spans="1:30" ht="14.1" customHeight="1">
      <c r="A125" s="147">
        <v>125</v>
      </c>
      <c r="B125" s="165" t="s">
        <v>349</v>
      </c>
      <c r="C125" s="165" t="s">
        <v>350</v>
      </c>
      <c r="D125" s="568" t="s">
        <v>102</v>
      </c>
      <c r="E125" s="166" t="s">
        <v>263</v>
      </c>
      <c r="F125" s="167" t="s">
        <v>270</v>
      </c>
      <c r="G125" s="128" t="s">
        <v>373</v>
      </c>
      <c r="H125" s="167" t="s">
        <v>104</v>
      </c>
      <c r="I125" s="563">
        <v>13.08</v>
      </c>
      <c r="J125" s="482">
        <v>1</v>
      </c>
      <c r="K125" s="482">
        <v>1</v>
      </c>
      <c r="L125" s="482">
        <v>1</v>
      </c>
      <c r="M125" s="482">
        <v>1</v>
      </c>
      <c r="N125" s="168">
        <v>156</v>
      </c>
      <c r="O125" s="168"/>
      <c r="P125" s="168"/>
      <c r="Q125" s="168"/>
      <c r="R125" s="169" t="e">
        <f t="shared" si="11"/>
        <v>#DIV/0!</v>
      </c>
      <c r="S125" s="169">
        <f t="shared" si="12"/>
        <v>0</v>
      </c>
      <c r="T125" s="169">
        <f t="shared" si="13"/>
        <v>0</v>
      </c>
      <c r="U125" s="169">
        <f t="shared" si="14"/>
        <v>0</v>
      </c>
      <c r="V125" s="519"/>
      <c r="W125" s="170">
        <f>IF(N125="nio",0,IF(N125&gt;0,VLOOKUP(G125,'3-Productie normen'!A:N,VLOOKUP(N125,'3-Productie normen'!Q:R,2,FALSE),FALSE)))</f>
        <v>0</v>
      </c>
      <c r="X125" s="170">
        <f t="shared" si="8"/>
        <v>0</v>
      </c>
      <c r="Y125" s="170">
        <f t="shared" si="9"/>
        <v>0</v>
      </c>
      <c r="Z125" s="170">
        <f t="shared" si="15"/>
        <v>0</v>
      </c>
      <c r="AA125" s="171">
        <f>VLOOKUP(G125,'3-Productie normen'!A:N,10,FALSE)</f>
        <v>1</v>
      </c>
      <c r="AB125" s="171"/>
      <c r="AD125" s="131">
        <f t="shared" si="10"/>
        <v>2040.48</v>
      </c>
    </row>
    <row r="126" spans="1:30" ht="14.1" customHeight="1">
      <c r="A126" s="147">
        <v>126</v>
      </c>
      <c r="B126" s="165" t="s">
        <v>349</v>
      </c>
      <c r="C126" s="165" t="s">
        <v>350</v>
      </c>
      <c r="D126" s="568" t="s">
        <v>102</v>
      </c>
      <c r="E126" s="166" t="s">
        <v>265</v>
      </c>
      <c r="F126" s="167" t="s">
        <v>253</v>
      </c>
      <c r="G126" s="167" t="s">
        <v>17</v>
      </c>
      <c r="H126" s="167" t="s">
        <v>105</v>
      </c>
      <c r="I126" s="563">
        <v>5.16</v>
      </c>
      <c r="J126" s="482">
        <v>1</v>
      </c>
      <c r="K126" s="482">
        <v>1</v>
      </c>
      <c r="L126" s="482">
        <v>1</v>
      </c>
      <c r="M126" s="482">
        <v>1</v>
      </c>
      <c r="N126" s="168">
        <v>156</v>
      </c>
      <c r="O126" s="168"/>
      <c r="P126" s="168"/>
      <c r="Q126" s="168"/>
      <c r="R126" s="169" t="e">
        <f t="shared" si="11"/>
        <v>#DIV/0!</v>
      </c>
      <c r="S126" s="169">
        <f t="shared" si="12"/>
        <v>0</v>
      </c>
      <c r="T126" s="169">
        <f t="shared" si="13"/>
        <v>0</v>
      </c>
      <c r="U126" s="169">
        <f t="shared" si="14"/>
        <v>0</v>
      </c>
      <c r="V126" s="519"/>
      <c r="W126" s="170">
        <f>IF(N126="nio",0,IF(N126&gt;0,VLOOKUP(G126,'3-Productie normen'!A:N,VLOOKUP(N126,'3-Productie normen'!Q:R,2,FALSE),FALSE)))</f>
        <v>0</v>
      </c>
      <c r="X126" s="170">
        <f t="shared" si="8"/>
        <v>0</v>
      </c>
      <c r="Y126" s="170">
        <f t="shared" si="9"/>
        <v>0</v>
      </c>
      <c r="Z126" s="170">
        <f t="shared" si="15"/>
        <v>0</v>
      </c>
      <c r="AA126" s="171">
        <f>VLOOKUP(G126,'3-Productie normen'!A:N,10,FALSE)</f>
        <v>3</v>
      </c>
      <c r="AB126" s="171"/>
      <c r="AD126" s="131">
        <f t="shared" si="10"/>
        <v>804.96</v>
      </c>
    </row>
    <row r="127" spans="1:30" ht="14.1" customHeight="1">
      <c r="A127" s="147">
        <v>127</v>
      </c>
      <c r="B127" s="165" t="s">
        <v>349</v>
      </c>
      <c r="C127" s="165" t="s">
        <v>350</v>
      </c>
      <c r="D127" s="568" t="s">
        <v>102</v>
      </c>
      <c r="E127" s="166" t="s">
        <v>267</v>
      </c>
      <c r="F127" s="167" t="s">
        <v>353</v>
      </c>
      <c r="G127" s="177" t="s">
        <v>17</v>
      </c>
      <c r="H127" s="167" t="s">
        <v>105</v>
      </c>
      <c r="I127" s="563">
        <v>4.68</v>
      </c>
      <c r="J127" s="482">
        <v>1</v>
      </c>
      <c r="K127" s="482">
        <v>1</v>
      </c>
      <c r="L127" s="482">
        <v>1</v>
      </c>
      <c r="M127" s="482">
        <v>1</v>
      </c>
      <c r="N127" s="168">
        <v>156</v>
      </c>
      <c r="O127" s="168"/>
      <c r="P127" s="168"/>
      <c r="Q127" s="168"/>
      <c r="R127" s="169" t="e">
        <f t="shared" si="11"/>
        <v>#DIV/0!</v>
      </c>
      <c r="S127" s="169">
        <f t="shared" si="12"/>
        <v>0</v>
      </c>
      <c r="T127" s="169">
        <f t="shared" si="13"/>
        <v>0</v>
      </c>
      <c r="U127" s="169">
        <f t="shared" si="14"/>
        <v>0</v>
      </c>
      <c r="V127" s="519"/>
      <c r="W127" s="170">
        <f>IF(N127="nio",0,IF(N127&gt;0,VLOOKUP(G127,'3-Productie normen'!A:N,VLOOKUP(N127,'3-Productie normen'!Q:R,2,FALSE),FALSE)))</f>
        <v>0</v>
      </c>
      <c r="X127" s="170">
        <f t="shared" si="8"/>
        <v>0</v>
      </c>
      <c r="Y127" s="170">
        <f t="shared" si="9"/>
        <v>0</v>
      </c>
      <c r="Z127" s="170">
        <f t="shared" si="15"/>
        <v>0</v>
      </c>
      <c r="AA127" s="171">
        <f>VLOOKUP(G127,'3-Productie normen'!A:N,10,FALSE)</f>
        <v>3</v>
      </c>
      <c r="AB127" s="171"/>
      <c r="AD127" s="131">
        <f t="shared" si="10"/>
        <v>730.07999999999993</v>
      </c>
    </row>
    <row r="128" spans="1:30" ht="14.1" customHeight="1">
      <c r="A128" s="147">
        <v>128</v>
      </c>
      <c r="B128" s="165" t="s">
        <v>349</v>
      </c>
      <c r="C128" s="165" t="s">
        <v>350</v>
      </c>
      <c r="D128" s="568" t="s">
        <v>102</v>
      </c>
      <c r="E128" s="166" t="s">
        <v>286</v>
      </c>
      <c r="F128" s="167" t="s">
        <v>257</v>
      </c>
      <c r="G128" s="167" t="s">
        <v>17</v>
      </c>
      <c r="H128" s="167" t="s">
        <v>105</v>
      </c>
      <c r="I128" s="563">
        <v>1.19</v>
      </c>
      <c r="J128" s="482">
        <v>1</v>
      </c>
      <c r="K128" s="482">
        <v>1</v>
      </c>
      <c r="L128" s="482">
        <v>1</v>
      </c>
      <c r="M128" s="482">
        <v>1</v>
      </c>
      <c r="N128" s="168">
        <v>156</v>
      </c>
      <c r="O128" s="168"/>
      <c r="P128" s="168"/>
      <c r="Q128" s="168"/>
      <c r="R128" s="169" t="e">
        <f t="shared" si="11"/>
        <v>#DIV/0!</v>
      </c>
      <c r="S128" s="169">
        <f t="shared" si="12"/>
        <v>0</v>
      </c>
      <c r="T128" s="169">
        <f t="shared" si="13"/>
        <v>0</v>
      </c>
      <c r="U128" s="169">
        <f t="shared" si="14"/>
        <v>0</v>
      </c>
      <c r="V128" s="519"/>
      <c r="W128" s="170">
        <f>IF(N128="nio",0,IF(N128&gt;0,VLOOKUP(G128,'3-Productie normen'!A:N,VLOOKUP(N128,'3-Productie normen'!Q:R,2,FALSE),FALSE)))</f>
        <v>0</v>
      </c>
      <c r="X128" s="170">
        <f t="shared" si="8"/>
        <v>0</v>
      </c>
      <c r="Y128" s="170">
        <f t="shared" si="9"/>
        <v>0</v>
      </c>
      <c r="Z128" s="170">
        <f t="shared" si="15"/>
        <v>0</v>
      </c>
      <c r="AA128" s="171">
        <f>VLOOKUP(G128,'3-Productie normen'!A:N,10,FALSE)</f>
        <v>3</v>
      </c>
      <c r="AB128" s="171"/>
      <c r="AD128" s="131">
        <f t="shared" si="10"/>
        <v>185.64</v>
      </c>
    </row>
    <row r="129" spans="1:30" ht="14.1" customHeight="1">
      <c r="A129" s="147">
        <v>129</v>
      </c>
      <c r="B129" s="165" t="s">
        <v>349</v>
      </c>
      <c r="C129" s="165" t="s">
        <v>350</v>
      </c>
      <c r="D129" s="568" t="s">
        <v>102</v>
      </c>
      <c r="E129" s="166" t="s">
        <v>288</v>
      </c>
      <c r="F129" s="167" t="s">
        <v>257</v>
      </c>
      <c r="G129" s="167" t="s">
        <v>17</v>
      </c>
      <c r="H129" s="167" t="s">
        <v>105</v>
      </c>
      <c r="I129" s="563">
        <v>1.19</v>
      </c>
      <c r="J129" s="482">
        <v>1</v>
      </c>
      <c r="K129" s="482">
        <v>1</v>
      </c>
      <c r="L129" s="482">
        <v>1</v>
      </c>
      <c r="M129" s="482">
        <v>1</v>
      </c>
      <c r="N129" s="168">
        <v>156</v>
      </c>
      <c r="O129" s="168"/>
      <c r="P129" s="168"/>
      <c r="Q129" s="168"/>
      <c r="R129" s="169" t="e">
        <f t="shared" si="11"/>
        <v>#DIV/0!</v>
      </c>
      <c r="S129" s="169">
        <f t="shared" si="12"/>
        <v>0</v>
      </c>
      <c r="T129" s="169">
        <f t="shared" si="13"/>
        <v>0</v>
      </c>
      <c r="U129" s="169">
        <f t="shared" si="14"/>
        <v>0</v>
      </c>
      <c r="V129" s="519"/>
      <c r="W129" s="170">
        <f>IF(N129="nio",0,IF(N129&gt;0,VLOOKUP(G129,'3-Productie normen'!A:N,VLOOKUP(N129,'3-Productie normen'!Q:R,2,FALSE),FALSE)))</f>
        <v>0</v>
      </c>
      <c r="X129" s="170">
        <f t="shared" si="8"/>
        <v>0</v>
      </c>
      <c r="Y129" s="170">
        <f t="shared" si="9"/>
        <v>0</v>
      </c>
      <c r="Z129" s="170">
        <f t="shared" si="15"/>
        <v>0</v>
      </c>
      <c r="AA129" s="171">
        <f>VLOOKUP(G129,'3-Productie normen'!A:N,10,FALSE)</f>
        <v>3</v>
      </c>
      <c r="AB129" s="171"/>
      <c r="AD129" s="131">
        <f t="shared" si="10"/>
        <v>185.64</v>
      </c>
    </row>
    <row r="130" spans="1:30" ht="14.1" customHeight="1">
      <c r="A130" s="147">
        <v>130</v>
      </c>
      <c r="B130" s="165" t="s">
        <v>349</v>
      </c>
      <c r="C130" s="165" t="s">
        <v>350</v>
      </c>
      <c r="D130" s="568" t="s">
        <v>102</v>
      </c>
      <c r="E130" s="166" t="s">
        <v>289</v>
      </c>
      <c r="F130" s="167" t="s">
        <v>353</v>
      </c>
      <c r="G130" s="177" t="s">
        <v>17</v>
      </c>
      <c r="H130" s="167" t="s">
        <v>105</v>
      </c>
      <c r="I130" s="563">
        <v>4.4000000000000004</v>
      </c>
      <c r="J130" s="482">
        <v>1</v>
      </c>
      <c r="K130" s="482">
        <v>1</v>
      </c>
      <c r="L130" s="482">
        <v>1</v>
      </c>
      <c r="M130" s="482">
        <v>1</v>
      </c>
      <c r="N130" s="168">
        <v>156</v>
      </c>
      <c r="O130" s="168"/>
      <c r="P130" s="168"/>
      <c r="Q130" s="168"/>
      <c r="R130" s="169" t="e">
        <f t="shared" si="11"/>
        <v>#DIV/0!</v>
      </c>
      <c r="S130" s="169">
        <f t="shared" si="12"/>
        <v>0</v>
      </c>
      <c r="T130" s="169">
        <f t="shared" si="13"/>
        <v>0</v>
      </c>
      <c r="U130" s="169">
        <f t="shared" si="14"/>
        <v>0</v>
      </c>
      <c r="V130" s="519"/>
      <c r="W130" s="170">
        <f>IF(N130="nio",0,IF(N130&gt;0,VLOOKUP(G130,'3-Productie normen'!A:N,VLOOKUP(N130,'3-Productie normen'!Q:R,2,FALSE),FALSE)))</f>
        <v>0</v>
      </c>
      <c r="X130" s="170">
        <f t="shared" si="8"/>
        <v>0</v>
      </c>
      <c r="Y130" s="170">
        <f t="shared" si="9"/>
        <v>0</v>
      </c>
      <c r="Z130" s="170">
        <f t="shared" si="15"/>
        <v>0</v>
      </c>
      <c r="AA130" s="171">
        <f>VLOOKUP(G130,'3-Productie normen'!A:N,10,FALSE)</f>
        <v>3</v>
      </c>
      <c r="AB130" s="171"/>
      <c r="AD130" s="131">
        <f t="shared" si="10"/>
        <v>686.40000000000009</v>
      </c>
    </row>
    <row r="131" spans="1:30" ht="14.1" customHeight="1">
      <c r="A131" s="147">
        <v>131</v>
      </c>
      <c r="B131" s="165" t="s">
        <v>349</v>
      </c>
      <c r="C131" s="165" t="s">
        <v>350</v>
      </c>
      <c r="D131" s="568" t="s">
        <v>102</v>
      </c>
      <c r="E131" s="166" t="s">
        <v>314</v>
      </c>
      <c r="F131" s="167" t="s">
        <v>257</v>
      </c>
      <c r="G131" s="167" t="s">
        <v>17</v>
      </c>
      <c r="H131" s="167" t="s">
        <v>105</v>
      </c>
      <c r="I131" s="563">
        <v>1.26</v>
      </c>
      <c r="J131" s="482">
        <v>1</v>
      </c>
      <c r="K131" s="482">
        <v>1</v>
      </c>
      <c r="L131" s="482">
        <v>1</v>
      </c>
      <c r="M131" s="482">
        <v>1</v>
      </c>
      <c r="N131" s="168">
        <v>156</v>
      </c>
      <c r="O131" s="168"/>
      <c r="P131" s="168"/>
      <c r="Q131" s="168"/>
      <c r="R131" s="169" t="e">
        <f t="shared" si="11"/>
        <v>#DIV/0!</v>
      </c>
      <c r="S131" s="169">
        <f t="shared" si="12"/>
        <v>0</v>
      </c>
      <c r="T131" s="169">
        <f t="shared" si="13"/>
        <v>0</v>
      </c>
      <c r="U131" s="169">
        <f t="shared" si="14"/>
        <v>0</v>
      </c>
      <c r="V131" s="519"/>
      <c r="W131" s="170">
        <f>IF(N131="nio",0,IF(N131&gt;0,VLOOKUP(G131,'3-Productie normen'!A:N,VLOOKUP(N131,'3-Productie normen'!Q:R,2,FALSE),FALSE)))</f>
        <v>0</v>
      </c>
      <c r="X131" s="170">
        <f t="shared" si="8"/>
        <v>0</v>
      </c>
      <c r="Y131" s="170">
        <f t="shared" si="9"/>
        <v>0</v>
      </c>
      <c r="Z131" s="170">
        <f t="shared" si="15"/>
        <v>0</v>
      </c>
      <c r="AA131" s="171">
        <f>VLOOKUP(G131,'3-Productie normen'!A:N,10,FALSE)</f>
        <v>3</v>
      </c>
      <c r="AB131" s="171"/>
      <c r="AD131" s="131">
        <f t="shared" si="10"/>
        <v>196.56</v>
      </c>
    </row>
    <row r="132" spans="1:30" ht="14.1" customHeight="1">
      <c r="A132" s="147">
        <v>132</v>
      </c>
      <c r="B132" s="165" t="s">
        <v>349</v>
      </c>
      <c r="C132" s="165" t="s">
        <v>350</v>
      </c>
      <c r="D132" s="568" t="s">
        <v>102</v>
      </c>
      <c r="E132" s="166" t="s">
        <v>315</v>
      </c>
      <c r="F132" s="167" t="s">
        <v>257</v>
      </c>
      <c r="G132" s="167" t="s">
        <v>17</v>
      </c>
      <c r="H132" s="167" t="s">
        <v>105</v>
      </c>
      <c r="I132" s="563">
        <v>1.26</v>
      </c>
      <c r="J132" s="482">
        <v>1</v>
      </c>
      <c r="K132" s="482">
        <v>1</v>
      </c>
      <c r="L132" s="482">
        <v>1</v>
      </c>
      <c r="M132" s="482">
        <v>1</v>
      </c>
      <c r="N132" s="168">
        <v>156</v>
      </c>
      <c r="O132" s="168"/>
      <c r="P132" s="168"/>
      <c r="Q132" s="168"/>
      <c r="R132" s="169" t="e">
        <f t="shared" si="11"/>
        <v>#DIV/0!</v>
      </c>
      <c r="S132" s="169">
        <f t="shared" si="12"/>
        <v>0</v>
      </c>
      <c r="T132" s="169">
        <f t="shared" si="13"/>
        <v>0</v>
      </c>
      <c r="U132" s="169">
        <f t="shared" si="14"/>
        <v>0</v>
      </c>
      <c r="V132" s="519"/>
      <c r="W132" s="170">
        <f>IF(N132="nio",0,IF(N132&gt;0,VLOOKUP(G132,'3-Productie normen'!A:N,VLOOKUP(N132,'3-Productie normen'!Q:R,2,FALSE),FALSE)))</f>
        <v>0</v>
      </c>
      <c r="X132" s="170">
        <f t="shared" si="8"/>
        <v>0</v>
      </c>
      <c r="Y132" s="170">
        <f t="shared" si="9"/>
        <v>0</v>
      </c>
      <c r="Z132" s="170">
        <f t="shared" si="15"/>
        <v>0</v>
      </c>
      <c r="AA132" s="171">
        <f>VLOOKUP(G132,'3-Productie normen'!A:N,10,FALSE)</f>
        <v>3</v>
      </c>
      <c r="AB132" s="171"/>
      <c r="AD132" s="131">
        <f t="shared" si="10"/>
        <v>196.56</v>
      </c>
    </row>
    <row r="133" spans="1:30" ht="14.1" customHeight="1">
      <c r="A133" s="147">
        <v>133</v>
      </c>
      <c r="B133" s="165" t="s">
        <v>354</v>
      </c>
      <c r="C133" s="165" t="s">
        <v>355</v>
      </c>
      <c r="D133" s="568" t="s">
        <v>102</v>
      </c>
      <c r="E133" s="166" t="s">
        <v>247</v>
      </c>
      <c r="F133" s="167" t="s">
        <v>249</v>
      </c>
      <c r="G133" s="165" t="s">
        <v>579</v>
      </c>
      <c r="H133" s="167" t="s">
        <v>361</v>
      </c>
      <c r="I133" s="563">
        <v>98.04</v>
      </c>
      <c r="J133" s="482">
        <v>1</v>
      </c>
      <c r="K133" s="482">
        <v>1</v>
      </c>
      <c r="L133" s="482">
        <v>1</v>
      </c>
      <c r="M133" s="482">
        <v>1</v>
      </c>
      <c r="N133" s="168">
        <v>255</v>
      </c>
      <c r="O133" s="168"/>
      <c r="P133" s="168"/>
      <c r="Q133" s="168"/>
      <c r="R133" s="169" t="e">
        <f t="shared" si="11"/>
        <v>#DIV/0!</v>
      </c>
      <c r="S133" s="169">
        <f t="shared" si="12"/>
        <v>0</v>
      </c>
      <c r="T133" s="169">
        <f t="shared" si="13"/>
        <v>0</v>
      </c>
      <c r="U133" s="169">
        <f t="shared" si="14"/>
        <v>0</v>
      </c>
      <c r="V133" s="519"/>
      <c r="W133" s="170">
        <f>IF(N133="nio",0,IF(N133&gt;0,VLOOKUP(G133,'3-Productie normen'!A:N,VLOOKUP(N133,'3-Productie normen'!Q:R,2,FALSE),FALSE)))</f>
        <v>0</v>
      </c>
      <c r="X133" s="170">
        <f t="shared" si="8"/>
        <v>0</v>
      </c>
      <c r="Y133" s="170">
        <f t="shared" si="9"/>
        <v>0</v>
      </c>
      <c r="Z133" s="170">
        <f t="shared" si="15"/>
        <v>0</v>
      </c>
      <c r="AA133" s="171">
        <f>VLOOKUP(G133,'3-Productie normen'!A:N,10,FALSE)</f>
        <v>4</v>
      </c>
      <c r="AB133" s="171"/>
      <c r="AD133" s="131">
        <f t="shared" si="10"/>
        <v>25000.2</v>
      </c>
    </row>
    <row r="134" spans="1:30" ht="14.1" customHeight="1">
      <c r="A134" s="147">
        <v>134</v>
      </c>
      <c r="B134" s="165" t="s">
        <v>354</v>
      </c>
      <c r="C134" s="165" t="s">
        <v>355</v>
      </c>
      <c r="D134" s="568" t="s">
        <v>102</v>
      </c>
      <c r="E134" s="166" t="s">
        <v>248</v>
      </c>
      <c r="F134" s="167" t="s">
        <v>262</v>
      </c>
      <c r="G134" s="128" t="s">
        <v>373</v>
      </c>
      <c r="H134" s="167" t="s">
        <v>361</v>
      </c>
      <c r="I134" s="563">
        <v>15.33</v>
      </c>
      <c r="J134" s="482">
        <v>1</v>
      </c>
      <c r="K134" s="482">
        <v>1</v>
      </c>
      <c r="L134" s="482">
        <v>1</v>
      </c>
      <c r="M134" s="482">
        <v>1</v>
      </c>
      <c r="N134" s="168">
        <v>255</v>
      </c>
      <c r="O134" s="168"/>
      <c r="P134" s="168"/>
      <c r="Q134" s="168"/>
      <c r="R134" s="169" t="e">
        <f t="shared" si="11"/>
        <v>#DIV/0!</v>
      </c>
      <c r="S134" s="169">
        <f t="shared" si="12"/>
        <v>0</v>
      </c>
      <c r="T134" s="169">
        <f t="shared" si="13"/>
        <v>0</v>
      </c>
      <c r="U134" s="169">
        <f t="shared" si="14"/>
        <v>0</v>
      </c>
      <c r="V134" s="519"/>
      <c r="W134" s="170">
        <f>IF(N134="nio",0,IF(N134&gt;0,VLOOKUP(G134,'3-Productie normen'!A:N,VLOOKUP(N134,'3-Productie normen'!Q:R,2,FALSE),FALSE)))</f>
        <v>0</v>
      </c>
      <c r="X134" s="170">
        <f t="shared" si="8"/>
        <v>0</v>
      </c>
      <c r="Y134" s="170">
        <f t="shared" si="9"/>
        <v>0</v>
      </c>
      <c r="Z134" s="170">
        <f t="shared" si="15"/>
        <v>0</v>
      </c>
      <c r="AA134" s="171">
        <f>VLOOKUP(G134,'3-Productie normen'!A:N,10,FALSE)</f>
        <v>1</v>
      </c>
      <c r="AB134" s="171"/>
      <c r="AD134" s="131">
        <f t="shared" si="10"/>
        <v>3909.15</v>
      </c>
    </row>
    <row r="135" spans="1:30" ht="14.1" customHeight="1">
      <c r="A135" s="147">
        <v>135</v>
      </c>
      <c r="B135" s="165" t="s">
        <v>354</v>
      </c>
      <c r="C135" s="165" t="s">
        <v>355</v>
      </c>
      <c r="D135" s="568" t="s">
        <v>102</v>
      </c>
      <c r="E135" s="166" t="s">
        <v>250</v>
      </c>
      <c r="F135" s="167" t="s">
        <v>264</v>
      </c>
      <c r="G135" s="128" t="s">
        <v>373</v>
      </c>
      <c r="H135" s="167" t="s">
        <v>361</v>
      </c>
      <c r="I135" s="563">
        <v>10.28</v>
      </c>
      <c r="J135" s="482">
        <v>1</v>
      </c>
      <c r="K135" s="482">
        <v>1</v>
      </c>
      <c r="L135" s="482">
        <v>1</v>
      </c>
      <c r="M135" s="482">
        <v>1</v>
      </c>
      <c r="N135" s="168">
        <v>255</v>
      </c>
      <c r="O135" s="168"/>
      <c r="P135" s="168"/>
      <c r="Q135" s="168"/>
      <c r="R135" s="169" t="e">
        <f t="shared" si="11"/>
        <v>#DIV/0!</v>
      </c>
      <c r="S135" s="169">
        <f t="shared" si="12"/>
        <v>0</v>
      </c>
      <c r="T135" s="169">
        <f t="shared" si="13"/>
        <v>0</v>
      </c>
      <c r="U135" s="169">
        <f t="shared" si="14"/>
        <v>0</v>
      </c>
      <c r="V135" s="519"/>
      <c r="W135" s="170">
        <f>IF(N135="nio",0,IF(N135&gt;0,VLOOKUP(G135,'3-Productie normen'!A:N,VLOOKUP(N135,'3-Productie normen'!Q:R,2,FALSE),FALSE)))</f>
        <v>0</v>
      </c>
      <c r="X135" s="170">
        <f t="shared" si="8"/>
        <v>0</v>
      </c>
      <c r="Y135" s="170">
        <f t="shared" si="9"/>
        <v>0</v>
      </c>
      <c r="Z135" s="170">
        <f t="shared" si="15"/>
        <v>0</v>
      </c>
      <c r="AA135" s="171">
        <f>VLOOKUP(G135,'3-Productie normen'!A:N,10,FALSE)</f>
        <v>1</v>
      </c>
      <c r="AB135" s="171"/>
      <c r="AD135" s="131">
        <f t="shared" si="10"/>
        <v>2621.3999999999996</v>
      </c>
    </row>
    <row r="136" spans="1:30" ht="14.1" customHeight="1">
      <c r="A136" s="147">
        <v>136</v>
      </c>
      <c r="B136" s="165" t="s">
        <v>354</v>
      </c>
      <c r="C136" s="165" t="s">
        <v>355</v>
      </c>
      <c r="D136" s="568" t="s">
        <v>102</v>
      </c>
      <c r="E136" s="166" t="s">
        <v>252</v>
      </c>
      <c r="F136" s="167" t="s">
        <v>266</v>
      </c>
      <c r="G136" s="128" t="s">
        <v>373</v>
      </c>
      <c r="H136" s="167" t="s">
        <v>361</v>
      </c>
      <c r="I136" s="563">
        <v>20.5</v>
      </c>
      <c r="J136" s="482">
        <v>1</v>
      </c>
      <c r="K136" s="482">
        <v>1</v>
      </c>
      <c r="L136" s="482">
        <v>1</v>
      </c>
      <c r="M136" s="482">
        <v>1</v>
      </c>
      <c r="N136" s="168">
        <v>255</v>
      </c>
      <c r="O136" s="168"/>
      <c r="P136" s="168"/>
      <c r="Q136" s="168"/>
      <c r="R136" s="169" t="e">
        <f t="shared" si="11"/>
        <v>#DIV/0!</v>
      </c>
      <c r="S136" s="169">
        <f t="shared" si="12"/>
        <v>0</v>
      </c>
      <c r="T136" s="169">
        <f t="shared" si="13"/>
        <v>0</v>
      </c>
      <c r="U136" s="169">
        <f t="shared" si="14"/>
        <v>0</v>
      </c>
      <c r="V136" s="519"/>
      <c r="W136" s="170">
        <f>IF(N136="nio",0,IF(N136&gt;0,VLOOKUP(G136,'3-Productie normen'!A:N,VLOOKUP(N136,'3-Productie normen'!Q:R,2,FALSE),FALSE)))</f>
        <v>0</v>
      </c>
      <c r="X136" s="170">
        <f t="shared" si="8"/>
        <v>0</v>
      </c>
      <c r="Y136" s="170">
        <f t="shared" si="9"/>
        <v>0</v>
      </c>
      <c r="Z136" s="170">
        <f t="shared" si="15"/>
        <v>0</v>
      </c>
      <c r="AA136" s="171">
        <f>VLOOKUP(G136,'3-Productie normen'!A:N,10,FALSE)</f>
        <v>1</v>
      </c>
      <c r="AB136" s="171"/>
      <c r="AD136" s="131">
        <f t="shared" si="10"/>
        <v>5227.5</v>
      </c>
    </row>
    <row r="137" spans="1:30" ht="14.1" customHeight="1">
      <c r="A137" s="147">
        <v>137</v>
      </c>
      <c r="B137" s="165" t="s">
        <v>354</v>
      </c>
      <c r="C137" s="165" t="s">
        <v>355</v>
      </c>
      <c r="D137" s="568" t="s">
        <v>102</v>
      </c>
      <c r="E137" s="166" t="s">
        <v>254</v>
      </c>
      <c r="F137" s="167" t="s">
        <v>356</v>
      </c>
      <c r="G137" s="525" t="s">
        <v>583</v>
      </c>
      <c r="H137" s="167" t="s">
        <v>361</v>
      </c>
      <c r="I137" s="563">
        <v>13.97</v>
      </c>
      <c r="J137" s="482">
        <v>1</v>
      </c>
      <c r="K137" s="482">
        <v>1</v>
      </c>
      <c r="L137" s="482">
        <v>1</v>
      </c>
      <c r="M137" s="482">
        <v>1</v>
      </c>
      <c r="N137" s="168">
        <v>255</v>
      </c>
      <c r="O137" s="168"/>
      <c r="P137" s="168"/>
      <c r="Q137" s="168"/>
      <c r="R137" s="169" t="e">
        <f t="shared" si="11"/>
        <v>#DIV/0!</v>
      </c>
      <c r="S137" s="169">
        <f t="shared" si="12"/>
        <v>0</v>
      </c>
      <c r="T137" s="169">
        <f t="shared" si="13"/>
        <v>0</v>
      </c>
      <c r="U137" s="169">
        <f t="shared" si="14"/>
        <v>0</v>
      </c>
      <c r="V137" s="519"/>
      <c r="W137" s="170">
        <f>IF(N137="nio",0,IF(N137&gt;0,VLOOKUP(G137,'3-Productie normen'!A:N,VLOOKUP(N137,'3-Productie normen'!Q:R,2,FALSE),FALSE)))</f>
        <v>0</v>
      </c>
      <c r="X137" s="170">
        <f t="shared" si="8"/>
        <v>0</v>
      </c>
      <c r="Y137" s="170">
        <f t="shared" si="9"/>
        <v>0</v>
      </c>
      <c r="Z137" s="170">
        <f t="shared" si="15"/>
        <v>0</v>
      </c>
      <c r="AA137" s="171">
        <f>VLOOKUP(G137,'3-Productie normen'!A:N,10,FALSE)</f>
        <v>4</v>
      </c>
      <c r="AB137" s="171"/>
      <c r="AD137" s="131">
        <f t="shared" si="10"/>
        <v>3562.3500000000004</v>
      </c>
    </row>
    <row r="138" spans="1:30" ht="14.1" customHeight="1">
      <c r="A138" s="147">
        <v>138</v>
      </c>
      <c r="B138" s="165" t="s">
        <v>354</v>
      </c>
      <c r="C138" s="165" t="s">
        <v>355</v>
      </c>
      <c r="D138" s="568" t="s">
        <v>102</v>
      </c>
      <c r="E138" s="166" t="s">
        <v>256</v>
      </c>
      <c r="F138" s="167" t="s">
        <v>357</v>
      </c>
      <c r="G138" s="167" t="s">
        <v>373</v>
      </c>
      <c r="H138" s="167" t="s">
        <v>361</v>
      </c>
      <c r="I138" s="563">
        <v>13.69</v>
      </c>
      <c r="J138" s="482">
        <v>1</v>
      </c>
      <c r="K138" s="482">
        <v>1</v>
      </c>
      <c r="L138" s="482">
        <v>1</v>
      </c>
      <c r="M138" s="482">
        <v>1</v>
      </c>
      <c r="N138" s="168">
        <v>255</v>
      </c>
      <c r="O138" s="168"/>
      <c r="P138" s="168"/>
      <c r="Q138" s="168"/>
      <c r="R138" s="169" t="e">
        <f t="shared" si="11"/>
        <v>#DIV/0!</v>
      </c>
      <c r="S138" s="169">
        <f t="shared" si="12"/>
        <v>0</v>
      </c>
      <c r="T138" s="169">
        <f t="shared" si="13"/>
        <v>0</v>
      </c>
      <c r="U138" s="169">
        <f t="shared" si="14"/>
        <v>0</v>
      </c>
      <c r="V138" s="519"/>
      <c r="W138" s="170">
        <f>IF(N138="nio",0,IF(N138&gt;0,VLOOKUP(G138,'3-Productie normen'!A:N,VLOOKUP(N138,'3-Productie normen'!Q:R,2,FALSE),FALSE)))</f>
        <v>0</v>
      </c>
      <c r="X138" s="170">
        <f t="shared" ref="X138:X200" si="16">IF(O138&gt;0,W138*$X$8,0)</f>
        <v>0</v>
      </c>
      <c r="Y138" s="170">
        <f t="shared" ref="Y138:Y200" si="17">IF(P138&gt;0,W138*$Y$8,0)</f>
        <v>0</v>
      </c>
      <c r="Z138" s="170">
        <f t="shared" si="15"/>
        <v>0</v>
      </c>
      <c r="AA138" s="171">
        <f>VLOOKUP(G138,'3-Productie normen'!A:N,10,FALSE)</f>
        <v>1</v>
      </c>
      <c r="AB138" s="171"/>
      <c r="AD138" s="131">
        <f t="shared" ref="AD138:AD200" si="18">SUM(N138:P138)*I138</f>
        <v>3490.95</v>
      </c>
    </row>
    <row r="139" spans="1:30" ht="14.1" customHeight="1">
      <c r="A139" s="147">
        <v>139</v>
      </c>
      <c r="B139" s="165" t="s">
        <v>354</v>
      </c>
      <c r="C139" s="165" t="s">
        <v>355</v>
      </c>
      <c r="D139" s="568" t="s">
        <v>102</v>
      </c>
      <c r="E139" s="166" t="s">
        <v>258</v>
      </c>
      <c r="F139" s="167" t="s">
        <v>358</v>
      </c>
      <c r="G139" s="167" t="s">
        <v>199</v>
      </c>
      <c r="H139" s="167" t="s">
        <v>361</v>
      </c>
      <c r="I139" s="563">
        <v>4.97</v>
      </c>
      <c r="J139" s="482">
        <v>1</v>
      </c>
      <c r="K139" s="482">
        <v>1</v>
      </c>
      <c r="L139" s="482">
        <v>1</v>
      </c>
      <c r="M139" s="482">
        <v>1</v>
      </c>
      <c r="N139" s="168" t="s">
        <v>199</v>
      </c>
      <c r="O139" s="168"/>
      <c r="P139" s="168"/>
      <c r="Q139" s="168"/>
      <c r="R139" s="169">
        <f t="shared" ref="R139:R201" si="19">IF(N139="nio",0,IF(N139&gt;0,N139*I139/W139,0))*J139</f>
        <v>0</v>
      </c>
      <c r="S139" s="169">
        <f t="shared" ref="S139:S201" si="20">IF(O139&gt;0,O139*I139/X139,0)*K139</f>
        <v>0</v>
      </c>
      <c r="T139" s="169">
        <f t="shared" ref="T139:T201" si="21">IF(P139&gt;0,P139*I139/Y139,0)*L139</f>
        <v>0</v>
      </c>
      <c r="U139" s="169">
        <f t="shared" ref="U139:U201" si="22">IF(Q139&gt;0,Q139*I139/Z139,0)*M139</f>
        <v>0</v>
      </c>
      <c r="V139" s="519"/>
      <c r="W139" s="170">
        <f>IF(N139="nio",0,IF(N139&gt;0,VLOOKUP(G139,'3-Productie normen'!A:N,VLOOKUP(N139,'3-Productie normen'!Q:R,2,FALSE),FALSE)))</f>
        <v>0</v>
      </c>
      <c r="X139" s="170">
        <f t="shared" si="16"/>
        <v>0</v>
      </c>
      <c r="Y139" s="170">
        <f t="shared" si="17"/>
        <v>0</v>
      </c>
      <c r="Z139" s="170">
        <f t="shared" ref="Z139:Z201" si="23">IF(Q139&gt;0,W139*$Z$8,0)</f>
        <v>0</v>
      </c>
      <c r="AA139" s="171">
        <f>VLOOKUP(G139,'3-Productie normen'!A:N,10,FALSE)</f>
        <v>0</v>
      </c>
      <c r="AB139" s="171"/>
      <c r="AD139" s="131">
        <f t="shared" si="18"/>
        <v>0</v>
      </c>
    </row>
    <row r="140" spans="1:30" ht="14.1" customHeight="1">
      <c r="A140" s="147">
        <v>140</v>
      </c>
      <c r="B140" s="165" t="s">
        <v>354</v>
      </c>
      <c r="C140" s="165" t="s">
        <v>355</v>
      </c>
      <c r="D140" s="568" t="s">
        <v>102</v>
      </c>
      <c r="E140" s="166" t="s">
        <v>259</v>
      </c>
      <c r="F140" s="167" t="s">
        <v>253</v>
      </c>
      <c r="G140" s="167" t="s">
        <v>17</v>
      </c>
      <c r="H140" s="167" t="s">
        <v>105</v>
      </c>
      <c r="I140" s="563">
        <v>4.87</v>
      </c>
      <c r="J140" s="482">
        <v>1</v>
      </c>
      <c r="K140" s="482">
        <v>1</v>
      </c>
      <c r="L140" s="482">
        <v>1</v>
      </c>
      <c r="M140" s="482">
        <v>1</v>
      </c>
      <c r="N140" s="168">
        <v>255</v>
      </c>
      <c r="O140" s="168"/>
      <c r="P140" s="168"/>
      <c r="Q140" s="168"/>
      <c r="R140" s="169" t="e">
        <f t="shared" si="19"/>
        <v>#DIV/0!</v>
      </c>
      <c r="S140" s="169">
        <f t="shared" si="20"/>
        <v>0</v>
      </c>
      <c r="T140" s="169">
        <f t="shared" si="21"/>
        <v>0</v>
      </c>
      <c r="U140" s="169">
        <f t="shared" si="22"/>
        <v>0</v>
      </c>
      <c r="V140" s="519"/>
      <c r="W140" s="170">
        <f>IF(N140="nio",0,IF(N140&gt;0,VLOOKUP(G140,'3-Productie normen'!A:N,VLOOKUP(N140,'3-Productie normen'!Q:R,2,FALSE),FALSE)))</f>
        <v>0</v>
      </c>
      <c r="X140" s="170">
        <f t="shared" si="16"/>
        <v>0</v>
      </c>
      <c r="Y140" s="170">
        <f t="shared" si="17"/>
        <v>0</v>
      </c>
      <c r="Z140" s="170">
        <f t="shared" si="23"/>
        <v>0</v>
      </c>
      <c r="AA140" s="171">
        <f>VLOOKUP(G140,'3-Productie normen'!A:N,10,FALSE)</f>
        <v>3</v>
      </c>
      <c r="AB140" s="171"/>
      <c r="AD140" s="131">
        <f t="shared" si="18"/>
        <v>1241.8500000000001</v>
      </c>
    </row>
    <row r="141" spans="1:30" ht="14.1" customHeight="1">
      <c r="A141" s="147">
        <v>141</v>
      </c>
      <c r="B141" s="165" t="s">
        <v>354</v>
      </c>
      <c r="C141" s="165" t="s">
        <v>355</v>
      </c>
      <c r="D141" s="568" t="s">
        <v>102</v>
      </c>
      <c r="E141" s="166" t="s">
        <v>261</v>
      </c>
      <c r="F141" s="167" t="s">
        <v>251</v>
      </c>
      <c r="G141" s="165" t="s">
        <v>373</v>
      </c>
      <c r="H141" s="167" t="s">
        <v>361</v>
      </c>
      <c r="I141" s="563">
        <v>13.97</v>
      </c>
      <c r="J141" s="482">
        <v>1</v>
      </c>
      <c r="K141" s="482">
        <v>1</v>
      </c>
      <c r="L141" s="482">
        <v>1</v>
      </c>
      <c r="M141" s="482">
        <v>1</v>
      </c>
      <c r="N141" s="168">
        <v>255</v>
      </c>
      <c r="O141" s="168"/>
      <c r="P141" s="168"/>
      <c r="Q141" s="168"/>
      <c r="R141" s="169" t="e">
        <f t="shared" si="19"/>
        <v>#DIV/0!</v>
      </c>
      <c r="S141" s="169">
        <f t="shared" si="20"/>
        <v>0</v>
      </c>
      <c r="T141" s="169">
        <f t="shared" si="21"/>
        <v>0</v>
      </c>
      <c r="U141" s="169">
        <f t="shared" si="22"/>
        <v>0</v>
      </c>
      <c r="V141" s="519"/>
      <c r="W141" s="170">
        <f>IF(N141="nio",0,IF(N141&gt;0,VLOOKUP(G141,'3-Productie normen'!A:N,VLOOKUP(N141,'3-Productie normen'!Q:R,2,FALSE),FALSE)))</f>
        <v>0</v>
      </c>
      <c r="X141" s="170">
        <f t="shared" si="16"/>
        <v>0</v>
      </c>
      <c r="Y141" s="170">
        <f t="shared" si="17"/>
        <v>0</v>
      </c>
      <c r="Z141" s="170">
        <f t="shared" si="23"/>
        <v>0</v>
      </c>
      <c r="AA141" s="171">
        <f>VLOOKUP(G141,'3-Productie normen'!A:N,10,FALSE)</f>
        <v>1</v>
      </c>
      <c r="AB141" s="171"/>
      <c r="AD141" s="131">
        <f t="shared" si="18"/>
        <v>3562.3500000000004</v>
      </c>
    </row>
    <row r="142" spans="1:30" ht="14.1" customHeight="1">
      <c r="A142" s="147">
        <v>142</v>
      </c>
      <c r="B142" s="165" t="s">
        <v>354</v>
      </c>
      <c r="C142" s="165" t="s">
        <v>355</v>
      </c>
      <c r="D142" s="568" t="s">
        <v>102</v>
      </c>
      <c r="E142" s="166" t="s">
        <v>263</v>
      </c>
      <c r="F142" s="167" t="s">
        <v>359</v>
      </c>
      <c r="G142" s="167" t="s">
        <v>17</v>
      </c>
      <c r="H142" s="167" t="s">
        <v>105</v>
      </c>
      <c r="I142" s="563">
        <v>8.19</v>
      </c>
      <c r="J142" s="482">
        <v>1</v>
      </c>
      <c r="K142" s="482">
        <v>1</v>
      </c>
      <c r="L142" s="482">
        <v>1</v>
      </c>
      <c r="M142" s="482">
        <v>1</v>
      </c>
      <c r="N142" s="168">
        <v>255</v>
      </c>
      <c r="O142" s="168"/>
      <c r="P142" s="168"/>
      <c r="Q142" s="168"/>
      <c r="R142" s="169" t="e">
        <f t="shared" si="19"/>
        <v>#DIV/0!</v>
      </c>
      <c r="S142" s="169">
        <f t="shared" si="20"/>
        <v>0</v>
      </c>
      <c r="T142" s="169">
        <f t="shared" si="21"/>
        <v>0</v>
      </c>
      <c r="U142" s="169">
        <f t="shared" si="22"/>
        <v>0</v>
      </c>
      <c r="V142" s="519"/>
      <c r="W142" s="170">
        <f>IF(N142="nio",0,IF(N142&gt;0,VLOOKUP(G142,'3-Productie normen'!A:N,VLOOKUP(N142,'3-Productie normen'!Q:R,2,FALSE),FALSE)))</f>
        <v>0</v>
      </c>
      <c r="X142" s="170">
        <f t="shared" si="16"/>
        <v>0</v>
      </c>
      <c r="Y142" s="170">
        <f t="shared" si="17"/>
        <v>0</v>
      </c>
      <c r="Z142" s="170">
        <f t="shared" si="23"/>
        <v>0</v>
      </c>
      <c r="AA142" s="171">
        <f>VLOOKUP(G142,'3-Productie normen'!A:N,10,FALSE)</f>
        <v>3</v>
      </c>
      <c r="AB142" s="171"/>
      <c r="AD142" s="131">
        <f t="shared" si="18"/>
        <v>2088.4499999999998</v>
      </c>
    </row>
    <row r="143" spans="1:30" ht="14.1" customHeight="1">
      <c r="A143" s="147">
        <v>143</v>
      </c>
      <c r="B143" s="165" t="s">
        <v>354</v>
      </c>
      <c r="C143" s="165" t="s">
        <v>355</v>
      </c>
      <c r="D143" s="568" t="s">
        <v>102</v>
      </c>
      <c r="E143" s="166" t="s">
        <v>265</v>
      </c>
      <c r="F143" s="165" t="s">
        <v>360</v>
      </c>
      <c r="G143" s="525" t="s">
        <v>583</v>
      </c>
      <c r="H143" s="167" t="s">
        <v>361</v>
      </c>
      <c r="I143" s="563">
        <v>6.59</v>
      </c>
      <c r="J143" s="482">
        <v>1</v>
      </c>
      <c r="K143" s="482">
        <v>1</v>
      </c>
      <c r="L143" s="482">
        <v>1</v>
      </c>
      <c r="M143" s="482">
        <v>1</v>
      </c>
      <c r="N143" s="168">
        <v>255</v>
      </c>
      <c r="O143" s="168"/>
      <c r="P143" s="168"/>
      <c r="Q143" s="168"/>
      <c r="R143" s="169" t="e">
        <f t="shared" si="19"/>
        <v>#DIV/0!</v>
      </c>
      <c r="S143" s="169">
        <f t="shared" si="20"/>
        <v>0</v>
      </c>
      <c r="T143" s="169">
        <f t="shared" si="21"/>
        <v>0</v>
      </c>
      <c r="U143" s="169">
        <f t="shared" si="22"/>
        <v>0</v>
      </c>
      <c r="V143" s="519"/>
      <c r="W143" s="170">
        <f>IF(N143="nio",0,IF(N143&gt;0,VLOOKUP(G143,'3-Productie normen'!A:N,VLOOKUP(N143,'3-Productie normen'!Q:R,2,FALSE),FALSE)))</f>
        <v>0</v>
      </c>
      <c r="X143" s="170">
        <f t="shared" si="16"/>
        <v>0</v>
      </c>
      <c r="Y143" s="170">
        <f t="shared" si="17"/>
        <v>0</v>
      </c>
      <c r="Z143" s="170">
        <f t="shared" si="23"/>
        <v>0</v>
      </c>
      <c r="AA143" s="171">
        <f>VLOOKUP(G143,'3-Productie normen'!A:N,10,FALSE)</f>
        <v>4</v>
      </c>
      <c r="AB143" s="171"/>
      <c r="AD143" s="131">
        <f t="shared" si="18"/>
        <v>1680.45</v>
      </c>
    </row>
    <row r="144" spans="1:30" ht="14.1" customHeight="1">
      <c r="A144" s="147">
        <v>144</v>
      </c>
      <c r="B144" s="165" t="s">
        <v>354</v>
      </c>
      <c r="C144" s="165" t="s">
        <v>355</v>
      </c>
      <c r="D144" s="568" t="s">
        <v>102</v>
      </c>
      <c r="E144" s="166" t="s">
        <v>267</v>
      </c>
      <c r="F144" s="165" t="s">
        <v>280</v>
      </c>
      <c r="G144" s="167" t="s">
        <v>107</v>
      </c>
      <c r="H144" s="167" t="s">
        <v>361</v>
      </c>
      <c r="I144" s="563">
        <v>47.4</v>
      </c>
      <c r="J144" s="482">
        <v>1</v>
      </c>
      <c r="K144" s="482">
        <v>1</v>
      </c>
      <c r="L144" s="482">
        <v>1</v>
      </c>
      <c r="M144" s="482">
        <v>1</v>
      </c>
      <c r="N144" s="168">
        <v>255</v>
      </c>
      <c r="O144" s="168"/>
      <c r="P144" s="168"/>
      <c r="Q144" s="168"/>
      <c r="R144" s="169" t="e">
        <f t="shared" si="19"/>
        <v>#DIV/0!</v>
      </c>
      <c r="S144" s="169">
        <f t="shared" si="20"/>
        <v>0</v>
      </c>
      <c r="T144" s="169">
        <f t="shared" si="21"/>
        <v>0</v>
      </c>
      <c r="U144" s="169">
        <f t="shared" si="22"/>
        <v>0</v>
      </c>
      <c r="V144" s="519"/>
      <c r="W144" s="170">
        <f>IF(N144="nio",0,IF(N144&gt;0,VLOOKUP(G144,'3-Productie normen'!A:N,VLOOKUP(N144,'3-Productie normen'!Q:R,2,FALSE),FALSE)))</f>
        <v>0</v>
      </c>
      <c r="X144" s="170">
        <f t="shared" si="16"/>
        <v>0</v>
      </c>
      <c r="Y144" s="170">
        <f t="shared" si="17"/>
        <v>0</v>
      </c>
      <c r="Z144" s="170">
        <f t="shared" si="23"/>
        <v>0</v>
      </c>
      <c r="AA144" s="171">
        <f>VLOOKUP(G144,'3-Productie normen'!A:N,10,FALSE)</f>
        <v>2</v>
      </c>
      <c r="AB144" s="171"/>
      <c r="AD144" s="131">
        <f t="shared" si="18"/>
        <v>12087</v>
      </c>
    </row>
    <row r="145" spans="1:30" ht="14.1" customHeight="1">
      <c r="A145" s="147">
        <v>145</v>
      </c>
      <c r="B145" s="165" t="s">
        <v>354</v>
      </c>
      <c r="C145" s="165" t="s">
        <v>355</v>
      </c>
      <c r="D145" s="568" t="s">
        <v>102</v>
      </c>
      <c r="E145" s="166" t="s">
        <v>286</v>
      </c>
      <c r="F145" s="165" t="s">
        <v>291</v>
      </c>
      <c r="G145" s="167" t="s">
        <v>373</v>
      </c>
      <c r="H145" s="167" t="s">
        <v>272</v>
      </c>
      <c r="I145" s="563">
        <v>18.09</v>
      </c>
      <c r="J145" s="482">
        <v>1</v>
      </c>
      <c r="K145" s="482">
        <v>1</v>
      </c>
      <c r="L145" s="482">
        <v>1</v>
      </c>
      <c r="M145" s="482">
        <v>1</v>
      </c>
      <c r="N145" s="168">
        <v>255</v>
      </c>
      <c r="O145" s="168"/>
      <c r="P145" s="168"/>
      <c r="Q145" s="168"/>
      <c r="R145" s="169" t="e">
        <f t="shared" si="19"/>
        <v>#DIV/0!</v>
      </c>
      <c r="S145" s="169">
        <f t="shared" si="20"/>
        <v>0</v>
      </c>
      <c r="T145" s="169">
        <f t="shared" si="21"/>
        <v>0</v>
      </c>
      <c r="U145" s="169">
        <f t="shared" si="22"/>
        <v>0</v>
      </c>
      <c r="V145" s="519"/>
      <c r="W145" s="170">
        <f>IF(N145="nio",0,IF(N145&gt;0,VLOOKUP(G145,'3-Productie normen'!A:N,VLOOKUP(N145,'3-Productie normen'!Q:R,2,FALSE),FALSE)))</f>
        <v>0</v>
      </c>
      <c r="X145" s="170">
        <f t="shared" si="16"/>
        <v>0</v>
      </c>
      <c r="Y145" s="170">
        <f t="shared" si="17"/>
        <v>0</v>
      </c>
      <c r="Z145" s="170">
        <f t="shared" si="23"/>
        <v>0</v>
      </c>
      <c r="AA145" s="171">
        <f>VLOOKUP(G145,'3-Productie normen'!A:N,10,FALSE)</f>
        <v>1</v>
      </c>
      <c r="AB145" s="171"/>
      <c r="AD145" s="131">
        <f t="shared" si="18"/>
        <v>4612.95</v>
      </c>
    </row>
    <row r="146" spans="1:30" ht="14.1" customHeight="1">
      <c r="A146" s="147">
        <v>146</v>
      </c>
      <c r="B146" s="165" t="s">
        <v>354</v>
      </c>
      <c r="C146" s="165" t="s">
        <v>355</v>
      </c>
      <c r="D146" s="568" t="s">
        <v>102</v>
      </c>
      <c r="E146" s="166" t="s">
        <v>288</v>
      </c>
      <c r="F146" s="167" t="s">
        <v>291</v>
      </c>
      <c r="G146" s="167" t="s">
        <v>373</v>
      </c>
      <c r="H146" s="167" t="s">
        <v>272</v>
      </c>
      <c r="I146" s="563">
        <v>12.79</v>
      </c>
      <c r="J146" s="482">
        <v>1</v>
      </c>
      <c r="K146" s="482">
        <v>1</v>
      </c>
      <c r="L146" s="482">
        <v>1</v>
      </c>
      <c r="M146" s="482">
        <v>1</v>
      </c>
      <c r="N146" s="168">
        <v>255</v>
      </c>
      <c r="O146" s="168"/>
      <c r="P146" s="168"/>
      <c r="Q146" s="168"/>
      <c r="R146" s="169" t="e">
        <f t="shared" si="19"/>
        <v>#DIV/0!</v>
      </c>
      <c r="S146" s="169">
        <f t="shared" si="20"/>
        <v>0</v>
      </c>
      <c r="T146" s="169">
        <f t="shared" si="21"/>
        <v>0</v>
      </c>
      <c r="U146" s="169">
        <f t="shared" si="22"/>
        <v>0</v>
      </c>
      <c r="V146" s="519"/>
      <c r="W146" s="170">
        <f>IF(N146="nio",0,IF(N146&gt;0,VLOOKUP(G146,'3-Productie normen'!A:N,VLOOKUP(N146,'3-Productie normen'!Q:R,2,FALSE),FALSE)))</f>
        <v>0</v>
      </c>
      <c r="X146" s="170">
        <f t="shared" si="16"/>
        <v>0</v>
      </c>
      <c r="Y146" s="170">
        <f t="shared" si="17"/>
        <v>0</v>
      </c>
      <c r="Z146" s="170">
        <f t="shared" si="23"/>
        <v>0</v>
      </c>
      <c r="AA146" s="171">
        <f>VLOOKUP(G146,'3-Productie normen'!A:N,10,FALSE)</f>
        <v>1</v>
      </c>
      <c r="AB146" s="171"/>
      <c r="AD146" s="131">
        <f t="shared" si="18"/>
        <v>3261.45</v>
      </c>
    </row>
    <row r="147" spans="1:30" ht="14.1" customHeight="1">
      <c r="A147" s="147">
        <v>147</v>
      </c>
      <c r="B147" s="165" t="s">
        <v>354</v>
      </c>
      <c r="C147" s="165" t="s">
        <v>355</v>
      </c>
      <c r="D147" s="568" t="s">
        <v>102</v>
      </c>
      <c r="E147" s="166" t="s">
        <v>289</v>
      </c>
      <c r="F147" s="167" t="s">
        <v>291</v>
      </c>
      <c r="G147" s="167" t="s">
        <v>373</v>
      </c>
      <c r="H147" s="167" t="s">
        <v>272</v>
      </c>
      <c r="I147" s="563">
        <v>11.24</v>
      </c>
      <c r="J147" s="482">
        <v>1</v>
      </c>
      <c r="K147" s="482">
        <v>1</v>
      </c>
      <c r="L147" s="482">
        <v>1</v>
      </c>
      <c r="M147" s="482">
        <v>1</v>
      </c>
      <c r="N147" s="168">
        <v>255</v>
      </c>
      <c r="O147" s="168"/>
      <c r="P147" s="168"/>
      <c r="Q147" s="168"/>
      <c r="R147" s="169" t="e">
        <f t="shared" si="19"/>
        <v>#DIV/0!</v>
      </c>
      <c r="S147" s="169">
        <f t="shared" si="20"/>
        <v>0</v>
      </c>
      <c r="T147" s="169">
        <f t="shared" si="21"/>
        <v>0</v>
      </c>
      <c r="U147" s="169">
        <f t="shared" si="22"/>
        <v>0</v>
      </c>
      <c r="V147" s="519"/>
      <c r="W147" s="170">
        <f>IF(N147="nio",0,IF(N147&gt;0,VLOOKUP(G147,'3-Productie normen'!A:N,VLOOKUP(N147,'3-Productie normen'!Q:R,2,FALSE),FALSE)))</f>
        <v>0</v>
      </c>
      <c r="X147" s="170">
        <f t="shared" si="16"/>
        <v>0</v>
      </c>
      <c r="Y147" s="170">
        <f t="shared" si="17"/>
        <v>0</v>
      </c>
      <c r="Z147" s="170">
        <f t="shared" si="23"/>
        <v>0</v>
      </c>
      <c r="AA147" s="171">
        <f>VLOOKUP(G147,'3-Productie normen'!A:N,10,FALSE)</f>
        <v>1</v>
      </c>
      <c r="AB147" s="171"/>
      <c r="AD147" s="131">
        <f t="shared" si="18"/>
        <v>2866.2000000000003</v>
      </c>
    </row>
    <row r="148" spans="1:30" ht="14.1" customHeight="1">
      <c r="A148" s="147">
        <v>148</v>
      </c>
      <c r="B148" s="165" t="s">
        <v>362</v>
      </c>
      <c r="C148" s="165" t="s">
        <v>363</v>
      </c>
      <c r="D148" s="568" t="s">
        <v>102</v>
      </c>
      <c r="E148" s="166" t="s">
        <v>247</v>
      </c>
      <c r="F148" s="167" t="s">
        <v>351</v>
      </c>
      <c r="G148" s="165" t="s">
        <v>579</v>
      </c>
      <c r="H148" s="167" t="s">
        <v>104</v>
      </c>
      <c r="I148" s="563">
        <v>105.47</v>
      </c>
      <c r="J148" s="482">
        <v>1</v>
      </c>
      <c r="K148" s="482">
        <v>1</v>
      </c>
      <c r="L148" s="482">
        <v>1</v>
      </c>
      <c r="M148" s="482">
        <v>1</v>
      </c>
      <c r="N148" s="168">
        <v>255</v>
      </c>
      <c r="O148" s="168"/>
      <c r="P148" s="168"/>
      <c r="Q148" s="168"/>
      <c r="R148" s="169" t="e">
        <f t="shared" si="19"/>
        <v>#DIV/0!</v>
      </c>
      <c r="S148" s="169">
        <f t="shared" si="20"/>
        <v>0</v>
      </c>
      <c r="T148" s="169">
        <f t="shared" si="21"/>
        <v>0</v>
      </c>
      <c r="U148" s="169">
        <f t="shared" si="22"/>
        <v>0</v>
      </c>
      <c r="V148" s="519"/>
      <c r="W148" s="170">
        <f>IF(N148="nio",0,IF(N148&gt;0,VLOOKUP(G148,'3-Productie normen'!A:N,VLOOKUP(N148,'3-Productie normen'!Q:R,2,FALSE),FALSE)))</f>
        <v>0</v>
      </c>
      <c r="X148" s="170">
        <f t="shared" si="16"/>
        <v>0</v>
      </c>
      <c r="Y148" s="170">
        <f t="shared" si="17"/>
        <v>0</v>
      </c>
      <c r="Z148" s="170">
        <f t="shared" si="23"/>
        <v>0</v>
      </c>
      <c r="AA148" s="171">
        <f>VLOOKUP(G148,'3-Productie normen'!A:N,10,FALSE)</f>
        <v>4</v>
      </c>
      <c r="AB148" s="171"/>
      <c r="AD148" s="131">
        <f t="shared" si="18"/>
        <v>26894.85</v>
      </c>
    </row>
    <row r="149" spans="1:30" ht="14.1" customHeight="1">
      <c r="A149" s="147">
        <v>149</v>
      </c>
      <c r="B149" s="165" t="s">
        <v>362</v>
      </c>
      <c r="C149" s="165" t="s">
        <v>363</v>
      </c>
      <c r="D149" s="568" t="s">
        <v>102</v>
      </c>
      <c r="E149" s="166" t="s">
        <v>248</v>
      </c>
      <c r="F149" s="167" t="s">
        <v>310</v>
      </c>
      <c r="G149" s="165" t="s">
        <v>373</v>
      </c>
      <c r="H149" s="167" t="s">
        <v>104</v>
      </c>
      <c r="I149" s="563">
        <v>14.06</v>
      </c>
      <c r="J149" s="482">
        <v>1</v>
      </c>
      <c r="K149" s="482">
        <v>1</v>
      </c>
      <c r="L149" s="482">
        <v>1</v>
      </c>
      <c r="M149" s="482">
        <v>1</v>
      </c>
      <c r="N149" s="168">
        <v>255</v>
      </c>
      <c r="O149" s="168"/>
      <c r="P149" s="168"/>
      <c r="Q149" s="168"/>
      <c r="R149" s="169" t="e">
        <f t="shared" si="19"/>
        <v>#DIV/0!</v>
      </c>
      <c r="S149" s="169">
        <f t="shared" si="20"/>
        <v>0</v>
      </c>
      <c r="T149" s="169">
        <f t="shared" si="21"/>
        <v>0</v>
      </c>
      <c r="U149" s="169">
        <f t="shared" si="22"/>
        <v>0</v>
      </c>
      <c r="V149" s="519"/>
      <c r="W149" s="170">
        <f>IF(N149="nio",0,IF(N149&gt;0,VLOOKUP(G149,'3-Productie normen'!A:N,VLOOKUP(N149,'3-Productie normen'!Q:R,2,FALSE),FALSE)))</f>
        <v>0</v>
      </c>
      <c r="X149" s="170">
        <f t="shared" si="16"/>
        <v>0</v>
      </c>
      <c r="Y149" s="170">
        <f t="shared" si="17"/>
        <v>0</v>
      </c>
      <c r="Z149" s="170">
        <f t="shared" si="23"/>
        <v>0</v>
      </c>
      <c r="AA149" s="171">
        <f>VLOOKUP(G149,'3-Productie normen'!A:N,10,FALSE)</f>
        <v>1</v>
      </c>
      <c r="AB149" s="171"/>
      <c r="AD149" s="131">
        <f t="shared" si="18"/>
        <v>3585.3</v>
      </c>
    </row>
    <row r="150" spans="1:30" ht="14.1" customHeight="1">
      <c r="A150" s="147">
        <v>150</v>
      </c>
      <c r="B150" s="165" t="s">
        <v>362</v>
      </c>
      <c r="C150" s="165" t="s">
        <v>363</v>
      </c>
      <c r="D150" s="568" t="s">
        <v>102</v>
      </c>
      <c r="E150" s="166" t="s">
        <v>250</v>
      </c>
      <c r="F150" s="173" t="s">
        <v>253</v>
      </c>
      <c r="G150" s="167" t="s">
        <v>17</v>
      </c>
      <c r="H150" s="167" t="s">
        <v>105</v>
      </c>
      <c r="I150" s="563">
        <v>5.48</v>
      </c>
      <c r="J150" s="482">
        <v>1</v>
      </c>
      <c r="K150" s="482">
        <v>1</v>
      </c>
      <c r="L150" s="482">
        <v>1</v>
      </c>
      <c r="M150" s="482">
        <v>1</v>
      </c>
      <c r="N150" s="168">
        <v>255</v>
      </c>
      <c r="O150" s="168"/>
      <c r="P150" s="168"/>
      <c r="Q150" s="168"/>
      <c r="R150" s="169" t="e">
        <f t="shared" si="19"/>
        <v>#DIV/0!</v>
      </c>
      <c r="S150" s="169">
        <f t="shared" si="20"/>
        <v>0</v>
      </c>
      <c r="T150" s="169">
        <f t="shared" si="21"/>
        <v>0</v>
      </c>
      <c r="U150" s="169">
        <f t="shared" si="22"/>
        <v>0</v>
      </c>
      <c r="V150" s="519"/>
      <c r="W150" s="170">
        <f>IF(N150="nio",0,IF(N150&gt;0,VLOOKUP(G150,'3-Productie normen'!A:N,VLOOKUP(N150,'3-Productie normen'!Q:R,2,FALSE),FALSE)))</f>
        <v>0</v>
      </c>
      <c r="X150" s="170">
        <f t="shared" si="16"/>
        <v>0</v>
      </c>
      <c r="Y150" s="170">
        <f t="shared" si="17"/>
        <v>0</v>
      </c>
      <c r="Z150" s="170">
        <f t="shared" si="23"/>
        <v>0</v>
      </c>
      <c r="AA150" s="171">
        <f>VLOOKUP(G150,'3-Productie normen'!A:N,10,FALSE)</f>
        <v>3</v>
      </c>
      <c r="AB150" s="171"/>
      <c r="AD150" s="131">
        <f t="shared" si="18"/>
        <v>1397.4</v>
      </c>
    </row>
    <row r="151" spans="1:30" ht="14.1" customHeight="1">
      <c r="A151" s="147">
        <v>151</v>
      </c>
      <c r="B151" s="165" t="s">
        <v>362</v>
      </c>
      <c r="C151" s="165" t="s">
        <v>363</v>
      </c>
      <c r="D151" s="568" t="s">
        <v>102</v>
      </c>
      <c r="E151" s="166" t="s">
        <v>252</v>
      </c>
      <c r="F151" s="174" t="s">
        <v>353</v>
      </c>
      <c r="G151" s="177" t="s">
        <v>17</v>
      </c>
      <c r="H151" s="175" t="s">
        <v>105</v>
      </c>
      <c r="I151" s="563">
        <v>1.63</v>
      </c>
      <c r="J151" s="482">
        <v>1</v>
      </c>
      <c r="K151" s="482">
        <v>1</v>
      </c>
      <c r="L151" s="482">
        <v>1</v>
      </c>
      <c r="M151" s="482">
        <v>1</v>
      </c>
      <c r="N151" s="168">
        <v>255</v>
      </c>
      <c r="O151" s="168"/>
      <c r="P151" s="168"/>
      <c r="Q151" s="168"/>
      <c r="R151" s="169" t="e">
        <f t="shared" si="19"/>
        <v>#DIV/0!</v>
      </c>
      <c r="S151" s="169">
        <f t="shared" si="20"/>
        <v>0</v>
      </c>
      <c r="T151" s="169">
        <f t="shared" si="21"/>
        <v>0</v>
      </c>
      <c r="U151" s="169">
        <f t="shared" si="22"/>
        <v>0</v>
      </c>
      <c r="V151" s="519"/>
      <c r="W151" s="170">
        <f>IF(N151="nio",0,IF(N151&gt;0,VLOOKUP(G151,'3-Productie normen'!A:N,VLOOKUP(N151,'3-Productie normen'!Q:R,2,FALSE),FALSE)))</f>
        <v>0</v>
      </c>
      <c r="X151" s="170">
        <f t="shared" si="16"/>
        <v>0</v>
      </c>
      <c r="Y151" s="170">
        <f t="shared" si="17"/>
        <v>0</v>
      </c>
      <c r="Z151" s="170">
        <f t="shared" si="23"/>
        <v>0</v>
      </c>
      <c r="AA151" s="171">
        <f>VLOOKUP(G151,'3-Productie normen'!A:N,10,FALSE)</f>
        <v>3</v>
      </c>
      <c r="AB151" s="171"/>
      <c r="AD151" s="131">
        <f t="shared" si="18"/>
        <v>415.65</v>
      </c>
    </row>
    <row r="152" spans="1:30" ht="14.1" customHeight="1">
      <c r="A152" s="147">
        <v>152</v>
      </c>
      <c r="B152" s="165" t="s">
        <v>362</v>
      </c>
      <c r="C152" s="165" t="s">
        <v>363</v>
      </c>
      <c r="D152" s="568" t="s">
        <v>102</v>
      </c>
      <c r="E152" s="176" t="s">
        <v>254</v>
      </c>
      <c r="F152" s="177" t="s">
        <v>257</v>
      </c>
      <c r="G152" s="167" t="s">
        <v>17</v>
      </c>
      <c r="H152" s="167" t="s">
        <v>105</v>
      </c>
      <c r="I152" s="563">
        <v>1.25</v>
      </c>
      <c r="J152" s="482">
        <v>1</v>
      </c>
      <c r="K152" s="482">
        <v>1</v>
      </c>
      <c r="L152" s="482">
        <v>1</v>
      </c>
      <c r="M152" s="482">
        <v>1</v>
      </c>
      <c r="N152" s="168">
        <v>255</v>
      </c>
      <c r="O152" s="168"/>
      <c r="P152" s="168"/>
      <c r="Q152" s="168"/>
      <c r="R152" s="169" t="e">
        <f t="shared" si="19"/>
        <v>#DIV/0!</v>
      </c>
      <c r="S152" s="169">
        <f t="shared" si="20"/>
        <v>0</v>
      </c>
      <c r="T152" s="169">
        <f t="shared" si="21"/>
        <v>0</v>
      </c>
      <c r="U152" s="169">
        <f t="shared" si="22"/>
        <v>0</v>
      </c>
      <c r="V152" s="519"/>
      <c r="W152" s="170">
        <f>IF(N152="nio",0,IF(N152&gt;0,VLOOKUP(G152,'3-Productie normen'!A:N,VLOOKUP(N152,'3-Productie normen'!Q:R,2,FALSE),FALSE)))</f>
        <v>0</v>
      </c>
      <c r="X152" s="170">
        <f t="shared" si="16"/>
        <v>0</v>
      </c>
      <c r="Y152" s="170">
        <f t="shared" si="17"/>
        <v>0</v>
      </c>
      <c r="Z152" s="170">
        <f t="shared" si="23"/>
        <v>0</v>
      </c>
      <c r="AA152" s="171">
        <f>VLOOKUP(G152,'3-Productie normen'!A:N,10,FALSE)</f>
        <v>3</v>
      </c>
      <c r="AB152" s="171"/>
      <c r="AD152" s="131">
        <f t="shared" si="18"/>
        <v>318.75</v>
      </c>
    </row>
    <row r="153" spans="1:30" ht="14.1" customHeight="1">
      <c r="A153" s="147">
        <v>153</v>
      </c>
      <c r="B153" s="165" t="s">
        <v>362</v>
      </c>
      <c r="C153" s="165" t="s">
        <v>363</v>
      </c>
      <c r="D153" s="568" t="s">
        <v>102</v>
      </c>
      <c r="E153" s="166" t="s">
        <v>256</v>
      </c>
      <c r="F153" s="167" t="s">
        <v>270</v>
      </c>
      <c r="G153" s="128" t="s">
        <v>373</v>
      </c>
      <c r="H153" s="167" t="s">
        <v>104</v>
      </c>
      <c r="I153" s="563">
        <v>12.04</v>
      </c>
      <c r="J153" s="482">
        <v>1</v>
      </c>
      <c r="K153" s="482">
        <v>1</v>
      </c>
      <c r="L153" s="482">
        <v>1</v>
      </c>
      <c r="M153" s="482">
        <v>1</v>
      </c>
      <c r="N153" s="168">
        <v>255</v>
      </c>
      <c r="O153" s="168"/>
      <c r="P153" s="168"/>
      <c r="Q153" s="168"/>
      <c r="R153" s="169" t="e">
        <f t="shared" si="19"/>
        <v>#DIV/0!</v>
      </c>
      <c r="S153" s="169">
        <f t="shared" si="20"/>
        <v>0</v>
      </c>
      <c r="T153" s="169">
        <f t="shared" si="21"/>
        <v>0</v>
      </c>
      <c r="U153" s="169">
        <f t="shared" si="22"/>
        <v>0</v>
      </c>
      <c r="V153" s="519"/>
      <c r="W153" s="170">
        <f>IF(N153="nio",0,IF(N153&gt;0,VLOOKUP(G153,'3-Productie normen'!A:N,VLOOKUP(N153,'3-Productie normen'!Q:R,2,FALSE),FALSE)))</f>
        <v>0</v>
      </c>
      <c r="X153" s="170">
        <f t="shared" si="16"/>
        <v>0</v>
      </c>
      <c r="Y153" s="170">
        <f t="shared" si="17"/>
        <v>0</v>
      </c>
      <c r="Z153" s="170">
        <f t="shared" si="23"/>
        <v>0</v>
      </c>
      <c r="AA153" s="171">
        <f>VLOOKUP(G153,'3-Productie normen'!A:N,10,FALSE)</f>
        <v>1</v>
      </c>
      <c r="AB153" s="171"/>
      <c r="AD153" s="131">
        <f t="shared" si="18"/>
        <v>3070.2</v>
      </c>
    </row>
    <row r="154" spans="1:30" ht="14.1" customHeight="1">
      <c r="A154" s="147">
        <v>154</v>
      </c>
      <c r="B154" s="165" t="s">
        <v>362</v>
      </c>
      <c r="C154" s="165" t="s">
        <v>363</v>
      </c>
      <c r="D154" s="568" t="s">
        <v>102</v>
      </c>
      <c r="E154" s="166" t="s">
        <v>258</v>
      </c>
      <c r="F154" s="128" t="s">
        <v>270</v>
      </c>
      <c r="G154" s="128" t="s">
        <v>373</v>
      </c>
      <c r="H154" s="167" t="s">
        <v>104</v>
      </c>
      <c r="I154" s="563">
        <v>12.06</v>
      </c>
      <c r="J154" s="482">
        <v>1</v>
      </c>
      <c r="K154" s="482">
        <v>1</v>
      </c>
      <c r="L154" s="482">
        <v>1</v>
      </c>
      <c r="M154" s="482">
        <v>1</v>
      </c>
      <c r="N154" s="168">
        <v>255</v>
      </c>
      <c r="O154" s="168"/>
      <c r="P154" s="168"/>
      <c r="Q154" s="168"/>
      <c r="R154" s="169" t="e">
        <f t="shared" si="19"/>
        <v>#DIV/0!</v>
      </c>
      <c r="S154" s="169">
        <f t="shared" si="20"/>
        <v>0</v>
      </c>
      <c r="T154" s="169">
        <f t="shared" si="21"/>
        <v>0</v>
      </c>
      <c r="U154" s="169">
        <f t="shared" si="22"/>
        <v>0</v>
      </c>
      <c r="V154" s="519"/>
      <c r="W154" s="170">
        <f>IF(N154="nio",0,IF(N154&gt;0,VLOOKUP(G154,'3-Productie normen'!A:N,VLOOKUP(N154,'3-Productie normen'!Q:R,2,FALSE),FALSE)))</f>
        <v>0</v>
      </c>
      <c r="X154" s="170">
        <f t="shared" si="16"/>
        <v>0</v>
      </c>
      <c r="Y154" s="170">
        <f t="shared" si="17"/>
        <v>0</v>
      </c>
      <c r="Z154" s="170">
        <f t="shared" si="23"/>
        <v>0</v>
      </c>
      <c r="AA154" s="171">
        <f>VLOOKUP(G154,'3-Productie normen'!A:N,10,FALSE)</f>
        <v>1</v>
      </c>
      <c r="AB154" s="171"/>
      <c r="AD154" s="131">
        <f t="shared" si="18"/>
        <v>3075.3</v>
      </c>
    </row>
    <row r="155" spans="1:30" ht="14.1" customHeight="1">
      <c r="A155" s="147">
        <v>155</v>
      </c>
      <c r="B155" s="165" t="s">
        <v>362</v>
      </c>
      <c r="C155" s="165" t="s">
        <v>363</v>
      </c>
      <c r="D155" s="568" t="s">
        <v>102</v>
      </c>
      <c r="E155" s="166" t="s">
        <v>259</v>
      </c>
      <c r="F155" s="128" t="s">
        <v>270</v>
      </c>
      <c r="G155" s="128" t="s">
        <v>373</v>
      </c>
      <c r="H155" s="167" t="s">
        <v>104</v>
      </c>
      <c r="I155" s="563">
        <v>16.86</v>
      </c>
      <c r="J155" s="482">
        <v>1</v>
      </c>
      <c r="K155" s="482">
        <v>1</v>
      </c>
      <c r="L155" s="482">
        <v>1</v>
      </c>
      <c r="M155" s="482">
        <v>1</v>
      </c>
      <c r="N155" s="168">
        <v>255</v>
      </c>
      <c r="O155" s="168"/>
      <c r="P155" s="168"/>
      <c r="Q155" s="168"/>
      <c r="R155" s="169" t="e">
        <f t="shared" si="19"/>
        <v>#DIV/0!</v>
      </c>
      <c r="S155" s="169">
        <f t="shared" si="20"/>
        <v>0</v>
      </c>
      <c r="T155" s="169">
        <f t="shared" si="21"/>
        <v>0</v>
      </c>
      <c r="U155" s="169">
        <f t="shared" si="22"/>
        <v>0</v>
      </c>
      <c r="V155" s="519"/>
      <c r="W155" s="170">
        <f>IF(N155="nio",0,IF(N155&gt;0,VLOOKUP(G155,'3-Productie normen'!A:N,VLOOKUP(N155,'3-Productie normen'!Q:R,2,FALSE),FALSE)))</f>
        <v>0</v>
      </c>
      <c r="X155" s="170">
        <f t="shared" si="16"/>
        <v>0</v>
      </c>
      <c r="Y155" s="170">
        <f t="shared" si="17"/>
        <v>0</v>
      </c>
      <c r="Z155" s="170">
        <f t="shared" si="23"/>
        <v>0</v>
      </c>
      <c r="AA155" s="171">
        <f>VLOOKUP(G155,'3-Productie normen'!A:N,10,FALSE)</f>
        <v>1</v>
      </c>
      <c r="AB155" s="171"/>
      <c r="AD155" s="131">
        <f t="shared" si="18"/>
        <v>4299.3</v>
      </c>
    </row>
    <row r="156" spans="1:30" ht="14.1" customHeight="1">
      <c r="A156" s="147">
        <v>156</v>
      </c>
      <c r="B156" s="165" t="s">
        <v>362</v>
      </c>
      <c r="C156" s="165" t="s">
        <v>363</v>
      </c>
      <c r="D156" s="568" t="s">
        <v>102</v>
      </c>
      <c r="E156" s="166" t="s">
        <v>261</v>
      </c>
      <c r="F156" s="128" t="s">
        <v>280</v>
      </c>
      <c r="G156" s="167" t="s">
        <v>107</v>
      </c>
      <c r="H156" s="167" t="s">
        <v>104</v>
      </c>
      <c r="I156" s="563">
        <v>30.21</v>
      </c>
      <c r="J156" s="482">
        <v>1</v>
      </c>
      <c r="K156" s="482">
        <v>1</v>
      </c>
      <c r="L156" s="482">
        <v>1</v>
      </c>
      <c r="M156" s="482">
        <v>1</v>
      </c>
      <c r="N156" s="168">
        <v>255</v>
      </c>
      <c r="O156" s="168"/>
      <c r="P156" s="168"/>
      <c r="Q156" s="168"/>
      <c r="R156" s="169" t="e">
        <f t="shared" si="19"/>
        <v>#DIV/0!</v>
      </c>
      <c r="S156" s="169">
        <f t="shared" si="20"/>
        <v>0</v>
      </c>
      <c r="T156" s="169">
        <f t="shared" si="21"/>
        <v>0</v>
      </c>
      <c r="U156" s="169">
        <f t="shared" si="22"/>
        <v>0</v>
      </c>
      <c r="V156" s="519"/>
      <c r="W156" s="170">
        <f>IF(N156="nio",0,IF(N156&gt;0,VLOOKUP(G156,'3-Productie normen'!A:N,VLOOKUP(N156,'3-Productie normen'!Q:R,2,FALSE),FALSE)))</f>
        <v>0</v>
      </c>
      <c r="X156" s="170">
        <f t="shared" si="16"/>
        <v>0</v>
      </c>
      <c r="Y156" s="170">
        <f t="shared" si="17"/>
        <v>0</v>
      </c>
      <c r="Z156" s="170">
        <f t="shared" si="23"/>
        <v>0</v>
      </c>
      <c r="AA156" s="171">
        <f>VLOOKUP(G156,'3-Productie normen'!A:N,10,FALSE)</f>
        <v>2</v>
      </c>
      <c r="AB156" s="171"/>
      <c r="AD156" s="131">
        <f t="shared" si="18"/>
        <v>7703.55</v>
      </c>
    </row>
    <row r="157" spans="1:30" ht="14.1" customHeight="1">
      <c r="A157" s="147">
        <v>157</v>
      </c>
      <c r="B157" s="165" t="s">
        <v>362</v>
      </c>
      <c r="C157" s="165" t="s">
        <v>363</v>
      </c>
      <c r="D157" s="568" t="s">
        <v>102</v>
      </c>
      <c r="E157" s="166" t="s">
        <v>263</v>
      </c>
      <c r="F157" s="128" t="s">
        <v>353</v>
      </c>
      <c r="G157" s="177" t="s">
        <v>17</v>
      </c>
      <c r="H157" s="167" t="s">
        <v>105</v>
      </c>
      <c r="I157" s="563">
        <v>2.06</v>
      </c>
      <c r="J157" s="482">
        <v>1</v>
      </c>
      <c r="K157" s="482">
        <v>1</v>
      </c>
      <c r="L157" s="482">
        <v>1</v>
      </c>
      <c r="M157" s="482">
        <v>1</v>
      </c>
      <c r="N157" s="168">
        <v>255</v>
      </c>
      <c r="O157" s="168"/>
      <c r="P157" s="168"/>
      <c r="Q157" s="168"/>
      <c r="R157" s="169" t="e">
        <f t="shared" si="19"/>
        <v>#DIV/0!</v>
      </c>
      <c r="S157" s="169">
        <f t="shared" si="20"/>
        <v>0</v>
      </c>
      <c r="T157" s="169">
        <f t="shared" si="21"/>
        <v>0</v>
      </c>
      <c r="U157" s="169">
        <f t="shared" si="22"/>
        <v>0</v>
      </c>
      <c r="V157" s="519"/>
      <c r="W157" s="170">
        <f>IF(N157="nio",0,IF(N157&gt;0,VLOOKUP(G157,'3-Productie normen'!A:N,VLOOKUP(N157,'3-Productie normen'!Q:R,2,FALSE),FALSE)))</f>
        <v>0</v>
      </c>
      <c r="X157" s="170">
        <f t="shared" si="16"/>
        <v>0</v>
      </c>
      <c r="Y157" s="170">
        <f t="shared" si="17"/>
        <v>0</v>
      </c>
      <c r="Z157" s="170">
        <f t="shared" si="23"/>
        <v>0</v>
      </c>
      <c r="AA157" s="171">
        <f>VLOOKUP(G157,'3-Productie normen'!A:N,10,FALSE)</f>
        <v>3</v>
      </c>
      <c r="AB157" s="171"/>
      <c r="AD157" s="131">
        <f t="shared" si="18"/>
        <v>525.30000000000007</v>
      </c>
    </row>
    <row r="158" spans="1:30" ht="14.1" customHeight="1">
      <c r="A158" s="147">
        <v>158</v>
      </c>
      <c r="B158" s="165" t="s">
        <v>362</v>
      </c>
      <c r="C158" s="165" t="s">
        <v>363</v>
      </c>
      <c r="D158" s="568" t="s">
        <v>102</v>
      </c>
      <c r="E158" s="166" t="s">
        <v>265</v>
      </c>
      <c r="F158" s="165" t="s">
        <v>353</v>
      </c>
      <c r="G158" s="177" t="s">
        <v>17</v>
      </c>
      <c r="H158" s="167" t="s">
        <v>105</v>
      </c>
      <c r="I158" s="563">
        <v>2.06</v>
      </c>
      <c r="J158" s="482">
        <v>1</v>
      </c>
      <c r="K158" s="482">
        <v>1</v>
      </c>
      <c r="L158" s="482">
        <v>1</v>
      </c>
      <c r="M158" s="482">
        <v>1</v>
      </c>
      <c r="N158" s="168">
        <v>255</v>
      </c>
      <c r="O158" s="168"/>
      <c r="P158" s="168"/>
      <c r="Q158" s="168"/>
      <c r="R158" s="169" t="e">
        <f t="shared" si="19"/>
        <v>#DIV/0!</v>
      </c>
      <c r="S158" s="169">
        <f t="shared" si="20"/>
        <v>0</v>
      </c>
      <c r="T158" s="169">
        <f t="shared" si="21"/>
        <v>0</v>
      </c>
      <c r="U158" s="169">
        <f t="shared" si="22"/>
        <v>0</v>
      </c>
      <c r="V158" s="519"/>
      <c r="W158" s="170">
        <f>IF(N158="nio",0,IF(N158&gt;0,VLOOKUP(G158,'3-Productie normen'!A:N,VLOOKUP(N158,'3-Productie normen'!Q:R,2,FALSE),FALSE)))</f>
        <v>0</v>
      </c>
      <c r="X158" s="170">
        <f t="shared" si="16"/>
        <v>0</v>
      </c>
      <c r="Y158" s="170">
        <f t="shared" si="17"/>
        <v>0</v>
      </c>
      <c r="Z158" s="170">
        <f t="shared" si="23"/>
        <v>0</v>
      </c>
      <c r="AA158" s="171">
        <f>VLOOKUP(G158,'3-Productie normen'!A:N,10,FALSE)</f>
        <v>3</v>
      </c>
      <c r="AB158" s="171"/>
      <c r="AD158" s="131">
        <f t="shared" si="18"/>
        <v>525.30000000000007</v>
      </c>
    </row>
    <row r="159" spans="1:30" ht="14.1" customHeight="1">
      <c r="A159" s="147">
        <v>159</v>
      </c>
      <c r="B159" s="165" t="s">
        <v>362</v>
      </c>
      <c r="C159" s="165" t="s">
        <v>363</v>
      </c>
      <c r="D159" s="568" t="s">
        <v>102</v>
      </c>
      <c r="E159" s="166" t="s">
        <v>267</v>
      </c>
      <c r="F159" s="165" t="s">
        <v>257</v>
      </c>
      <c r="G159" s="167" t="s">
        <v>17</v>
      </c>
      <c r="H159" s="167" t="s">
        <v>105</v>
      </c>
      <c r="I159" s="563">
        <v>1.05</v>
      </c>
      <c r="J159" s="482">
        <v>1</v>
      </c>
      <c r="K159" s="482">
        <v>1</v>
      </c>
      <c r="L159" s="482">
        <v>1</v>
      </c>
      <c r="M159" s="482">
        <v>1</v>
      </c>
      <c r="N159" s="168">
        <v>255</v>
      </c>
      <c r="O159" s="168"/>
      <c r="P159" s="168"/>
      <c r="Q159" s="168"/>
      <c r="R159" s="169" t="e">
        <f t="shared" si="19"/>
        <v>#DIV/0!</v>
      </c>
      <c r="S159" s="169">
        <f t="shared" si="20"/>
        <v>0</v>
      </c>
      <c r="T159" s="169">
        <f t="shared" si="21"/>
        <v>0</v>
      </c>
      <c r="U159" s="169">
        <f t="shared" si="22"/>
        <v>0</v>
      </c>
      <c r="V159" s="519"/>
      <c r="W159" s="170">
        <f>IF(N159="nio",0,IF(N159&gt;0,VLOOKUP(G159,'3-Productie normen'!A:N,VLOOKUP(N159,'3-Productie normen'!Q:R,2,FALSE),FALSE)))</f>
        <v>0</v>
      </c>
      <c r="X159" s="170">
        <f t="shared" si="16"/>
        <v>0</v>
      </c>
      <c r="Y159" s="170">
        <f t="shared" si="17"/>
        <v>0</v>
      </c>
      <c r="Z159" s="170">
        <f t="shared" si="23"/>
        <v>0</v>
      </c>
      <c r="AA159" s="171">
        <f>VLOOKUP(G159,'3-Productie normen'!A:N,10,FALSE)</f>
        <v>3</v>
      </c>
      <c r="AB159" s="171"/>
      <c r="AD159" s="131">
        <f t="shared" si="18"/>
        <v>267.75</v>
      </c>
    </row>
    <row r="160" spans="1:30" ht="14.1" customHeight="1">
      <c r="A160" s="147">
        <v>160</v>
      </c>
      <c r="B160" s="165" t="s">
        <v>362</v>
      </c>
      <c r="C160" s="165" t="s">
        <v>363</v>
      </c>
      <c r="D160" s="568" t="s">
        <v>102</v>
      </c>
      <c r="E160" s="166" t="s">
        <v>286</v>
      </c>
      <c r="F160" s="165" t="s">
        <v>257</v>
      </c>
      <c r="G160" s="167" t="s">
        <v>17</v>
      </c>
      <c r="H160" s="167" t="s">
        <v>105</v>
      </c>
      <c r="I160" s="563">
        <v>1.05</v>
      </c>
      <c r="J160" s="482">
        <v>1</v>
      </c>
      <c r="K160" s="482">
        <v>1</v>
      </c>
      <c r="L160" s="482">
        <v>1</v>
      </c>
      <c r="M160" s="482">
        <v>1</v>
      </c>
      <c r="N160" s="168">
        <v>255</v>
      </c>
      <c r="O160" s="168"/>
      <c r="P160" s="168"/>
      <c r="Q160" s="168"/>
      <c r="R160" s="169" t="e">
        <f t="shared" si="19"/>
        <v>#DIV/0!</v>
      </c>
      <c r="S160" s="169">
        <f t="shared" si="20"/>
        <v>0</v>
      </c>
      <c r="T160" s="169">
        <f t="shared" si="21"/>
        <v>0</v>
      </c>
      <c r="U160" s="169">
        <f t="shared" si="22"/>
        <v>0</v>
      </c>
      <c r="V160" s="519"/>
      <c r="W160" s="170">
        <f>IF(N160="nio",0,IF(N160&gt;0,VLOOKUP(G160,'3-Productie normen'!A:N,VLOOKUP(N160,'3-Productie normen'!Q:R,2,FALSE),FALSE)))</f>
        <v>0</v>
      </c>
      <c r="X160" s="170">
        <f t="shared" si="16"/>
        <v>0</v>
      </c>
      <c r="Y160" s="170">
        <f t="shared" si="17"/>
        <v>0</v>
      </c>
      <c r="Z160" s="170">
        <f t="shared" si="23"/>
        <v>0</v>
      </c>
      <c r="AA160" s="171">
        <f>VLOOKUP(G160,'3-Productie normen'!A:N,10,FALSE)</f>
        <v>3</v>
      </c>
      <c r="AB160" s="171"/>
      <c r="AD160" s="131">
        <f t="shared" si="18"/>
        <v>267.75</v>
      </c>
    </row>
    <row r="161" spans="1:30" ht="14.1" customHeight="1">
      <c r="A161" s="147">
        <v>161</v>
      </c>
      <c r="B161" s="165" t="s">
        <v>362</v>
      </c>
      <c r="C161" s="165" t="s">
        <v>363</v>
      </c>
      <c r="D161" s="568" t="s">
        <v>102</v>
      </c>
      <c r="E161" s="166" t="s">
        <v>288</v>
      </c>
      <c r="F161" s="167" t="s">
        <v>310</v>
      </c>
      <c r="G161" s="165" t="s">
        <v>373</v>
      </c>
      <c r="H161" s="167" t="s">
        <v>104</v>
      </c>
      <c r="I161" s="563">
        <v>17.55</v>
      </c>
      <c r="J161" s="482">
        <v>1</v>
      </c>
      <c r="K161" s="482">
        <v>1</v>
      </c>
      <c r="L161" s="482">
        <v>1</v>
      </c>
      <c r="M161" s="482">
        <v>1</v>
      </c>
      <c r="N161" s="168">
        <v>255</v>
      </c>
      <c r="O161" s="168"/>
      <c r="P161" s="168"/>
      <c r="Q161" s="168"/>
      <c r="R161" s="169" t="e">
        <f t="shared" si="19"/>
        <v>#DIV/0!</v>
      </c>
      <c r="S161" s="169">
        <f t="shared" si="20"/>
        <v>0</v>
      </c>
      <c r="T161" s="169">
        <f t="shared" si="21"/>
        <v>0</v>
      </c>
      <c r="U161" s="169">
        <f t="shared" si="22"/>
        <v>0</v>
      </c>
      <c r="V161" s="519"/>
      <c r="W161" s="170">
        <f>IF(N161="nio",0,IF(N161&gt;0,VLOOKUP(G161,'3-Productie normen'!A:N,VLOOKUP(N161,'3-Productie normen'!Q:R,2,FALSE),FALSE)))</f>
        <v>0</v>
      </c>
      <c r="X161" s="170">
        <f t="shared" si="16"/>
        <v>0</v>
      </c>
      <c r="Y161" s="170">
        <f t="shared" si="17"/>
        <v>0</v>
      </c>
      <c r="Z161" s="170">
        <f t="shared" si="23"/>
        <v>0</v>
      </c>
      <c r="AA161" s="171">
        <f>VLOOKUP(G161,'3-Productie normen'!A:N,10,FALSE)</f>
        <v>1</v>
      </c>
      <c r="AB161" s="171"/>
      <c r="AD161" s="131">
        <f t="shared" si="18"/>
        <v>4475.25</v>
      </c>
    </row>
    <row r="162" spans="1:30" ht="14.1" customHeight="1">
      <c r="A162" s="147">
        <v>162</v>
      </c>
      <c r="B162" s="165" t="s">
        <v>362</v>
      </c>
      <c r="C162" s="165" t="s">
        <v>363</v>
      </c>
      <c r="D162" s="568" t="s">
        <v>102</v>
      </c>
      <c r="E162" s="166" t="s">
        <v>289</v>
      </c>
      <c r="F162" s="167" t="s">
        <v>281</v>
      </c>
      <c r="G162" s="167" t="s">
        <v>373</v>
      </c>
      <c r="H162" s="167" t="s">
        <v>272</v>
      </c>
      <c r="I162" s="563">
        <v>24.56</v>
      </c>
      <c r="J162" s="482">
        <v>1</v>
      </c>
      <c r="K162" s="482">
        <v>1</v>
      </c>
      <c r="L162" s="482">
        <v>1</v>
      </c>
      <c r="M162" s="482">
        <v>1</v>
      </c>
      <c r="N162" s="168">
        <v>255</v>
      </c>
      <c r="O162" s="168"/>
      <c r="P162" s="168"/>
      <c r="Q162" s="168"/>
      <c r="R162" s="169" t="e">
        <f t="shared" si="19"/>
        <v>#DIV/0!</v>
      </c>
      <c r="S162" s="169">
        <f t="shared" si="20"/>
        <v>0</v>
      </c>
      <c r="T162" s="169">
        <f t="shared" si="21"/>
        <v>0</v>
      </c>
      <c r="U162" s="169">
        <f t="shared" si="22"/>
        <v>0</v>
      </c>
      <c r="V162" s="519"/>
      <c r="W162" s="170">
        <f>IF(N162="nio",0,IF(N162&gt;0,VLOOKUP(G162,'3-Productie normen'!A:N,VLOOKUP(N162,'3-Productie normen'!Q:R,2,FALSE),FALSE)))</f>
        <v>0</v>
      </c>
      <c r="X162" s="170">
        <f t="shared" si="16"/>
        <v>0</v>
      </c>
      <c r="Y162" s="170">
        <f t="shared" si="17"/>
        <v>0</v>
      </c>
      <c r="Z162" s="170">
        <f t="shared" si="23"/>
        <v>0</v>
      </c>
      <c r="AA162" s="171">
        <f>VLOOKUP(G162,'3-Productie normen'!A:N,10,FALSE)</f>
        <v>1</v>
      </c>
      <c r="AB162" s="171"/>
      <c r="AD162" s="131">
        <f t="shared" si="18"/>
        <v>6262.7999999999993</v>
      </c>
    </row>
    <row r="163" spans="1:30" ht="14.1" customHeight="1">
      <c r="A163" s="147">
        <v>163</v>
      </c>
      <c r="B163" s="165" t="s">
        <v>362</v>
      </c>
      <c r="C163" s="165" t="s">
        <v>363</v>
      </c>
      <c r="D163" s="568" t="s">
        <v>102</v>
      </c>
      <c r="E163" s="166" t="s">
        <v>314</v>
      </c>
      <c r="F163" s="167" t="s">
        <v>293</v>
      </c>
      <c r="G163" s="128" t="s">
        <v>578</v>
      </c>
      <c r="H163" s="167" t="s">
        <v>104</v>
      </c>
      <c r="I163" s="563">
        <v>4.28</v>
      </c>
      <c r="J163" s="482">
        <v>1</v>
      </c>
      <c r="K163" s="482">
        <v>1</v>
      </c>
      <c r="L163" s="482">
        <v>1</v>
      </c>
      <c r="M163" s="482">
        <v>1</v>
      </c>
      <c r="N163" s="168">
        <v>12</v>
      </c>
      <c r="O163" s="168"/>
      <c r="P163" s="168"/>
      <c r="Q163" s="168"/>
      <c r="R163" s="169" t="e">
        <f t="shared" si="19"/>
        <v>#DIV/0!</v>
      </c>
      <c r="S163" s="169">
        <f t="shared" si="20"/>
        <v>0</v>
      </c>
      <c r="T163" s="169">
        <f t="shared" si="21"/>
        <v>0</v>
      </c>
      <c r="U163" s="169">
        <f t="shared" si="22"/>
        <v>0</v>
      </c>
      <c r="V163" s="519"/>
      <c r="W163" s="170">
        <f>IF(N163="nio",0,IF(N163&gt;0,VLOOKUP(G163,'3-Productie normen'!A:N,VLOOKUP(N163,'3-Productie normen'!Q:R,2,FALSE),FALSE)))</f>
        <v>0</v>
      </c>
      <c r="X163" s="170">
        <f t="shared" si="16"/>
        <v>0</v>
      </c>
      <c r="Y163" s="170">
        <f t="shared" si="17"/>
        <v>0</v>
      </c>
      <c r="Z163" s="170">
        <f t="shared" si="23"/>
        <v>0</v>
      </c>
      <c r="AA163" s="171">
        <f>VLOOKUP(G163,'3-Productie normen'!A:N,10,FALSE)</f>
        <v>4</v>
      </c>
      <c r="AB163" s="171"/>
      <c r="AD163" s="131">
        <f t="shared" si="18"/>
        <v>51.36</v>
      </c>
    </row>
    <row r="164" spans="1:30" ht="14.1" customHeight="1">
      <c r="A164" s="147">
        <v>164</v>
      </c>
      <c r="B164" s="165" t="s">
        <v>364</v>
      </c>
      <c r="C164" s="165" t="s">
        <v>416</v>
      </c>
      <c r="D164" s="568" t="s">
        <v>102</v>
      </c>
      <c r="E164" s="166" t="s">
        <v>365</v>
      </c>
      <c r="F164" s="167" t="s">
        <v>366</v>
      </c>
      <c r="G164" s="525" t="s">
        <v>583</v>
      </c>
      <c r="H164" s="167" t="s">
        <v>413</v>
      </c>
      <c r="I164" s="563">
        <v>1.49</v>
      </c>
      <c r="J164" s="482">
        <v>1</v>
      </c>
      <c r="K164" s="482">
        <v>1</v>
      </c>
      <c r="L164" s="482">
        <v>1</v>
      </c>
      <c r="M164" s="482">
        <v>1</v>
      </c>
      <c r="N164" s="168">
        <v>255</v>
      </c>
      <c r="O164" s="168"/>
      <c r="P164" s="168"/>
      <c r="Q164" s="168"/>
      <c r="R164" s="169" t="e">
        <f t="shared" si="19"/>
        <v>#DIV/0!</v>
      </c>
      <c r="S164" s="169">
        <f t="shared" si="20"/>
        <v>0</v>
      </c>
      <c r="T164" s="169">
        <f t="shared" si="21"/>
        <v>0</v>
      </c>
      <c r="U164" s="169">
        <f t="shared" si="22"/>
        <v>0</v>
      </c>
      <c r="V164" s="519"/>
      <c r="W164" s="170">
        <f>IF(N164="nio",0,IF(N164&gt;0,VLOOKUP(G164,'3-Productie normen'!A:N,VLOOKUP(N164,'3-Productie normen'!Q:R,2,FALSE),FALSE)))</f>
        <v>0</v>
      </c>
      <c r="X164" s="170">
        <f t="shared" si="16"/>
        <v>0</v>
      </c>
      <c r="Y164" s="170">
        <f t="shared" si="17"/>
        <v>0</v>
      </c>
      <c r="Z164" s="170">
        <f t="shared" si="23"/>
        <v>0</v>
      </c>
      <c r="AA164" s="171">
        <f>VLOOKUP(G164,'3-Productie normen'!A:N,10,FALSE)</f>
        <v>4</v>
      </c>
      <c r="AB164" s="171"/>
      <c r="AD164" s="131">
        <f t="shared" si="18"/>
        <v>379.95</v>
      </c>
    </row>
    <row r="165" spans="1:30" ht="14.1" customHeight="1">
      <c r="A165" s="147">
        <v>165</v>
      </c>
      <c r="B165" s="165" t="s">
        <v>364</v>
      </c>
      <c r="C165" s="165" t="s">
        <v>416</v>
      </c>
      <c r="D165" s="568" t="s">
        <v>102</v>
      </c>
      <c r="E165" s="166" t="s">
        <v>367</v>
      </c>
      <c r="F165" s="173" t="s">
        <v>366</v>
      </c>
      <c r="G165" s="525" t="s">
        <v>583</v>
      </c>
      <c r="H165" s="167" t="s">
        <v>413</v>
      </c>
      <c r="I165" s="563">
        <v>1.49</v>
      </c>
      <c r="J165" s="482">
        <v>1</v>
      </c>
      <c r="K165" s="482">
        <v>1</v>
      </c>
      <c r="L165" s="482">
        <v>1</v>
      </c>
      <c r="M165" s="482">
        <v>1</v>
      </c>
      <c r="N165" s="168">
        <v>255</v>
      </c>
      <c r="O165" s="168"/>
      <c r="P165" s="168"/>
      <c r="Q165" s="168"/>
      <c r="R165" s="169" t="e">
        <f t="shared" si="19"/>
        <v>#DIV/0!</v>
      </c>
      <c r="S165" s="169">
        <f t="shared" si="20"/>
        <v>0</v>
      </c>
      <c r="T165" s="169">
        <f t="shared" si="21"/>
        <v>0</v>
      </c>
      <c r="U165" s="169">
        <f t="shared" si="22"/>
        <v>0</v>
      </c>
      <c r="V165" s="519"/>
      <c r="W165" s="170">
        <f>IF(N165="nio",0,IF(N165&gt;0,VLOOKUP(G165,'3-Productie normen'!A:N,VLOOKUP(N165,'3-Productie normen'!Q:R,2,FALSE),FALSE)))</f>
        <v>0</v>
      </c>
      <c r="X165" s="170">
        <f t="shared" si="16"/>
        <v>0</v>
      </c>
      <c r="Y165" s="170">
        <f t="shared" si="17"/>
        <v>0</v>
      </c>
      <c r="Z165" s="170">
        <f t="shared" si="23"/>
        <v>0</v>
      </c>
      <c r="AA165" s="171">
        <f>VLOOKUP(G165,'3-Productie normen'!A:N,10,FALSE)</f>
        <v>4</v>
      </c>
      <c r="AB165" s="171"/>
      <c r="AD165" s="131">
        <f t="shared" si="18"/>
        <v>379.95</v>
      </c>
    </row>
    <row r="166" spans="1:30" ht="14.1" customHeight="1">
      <c r="A166" s="147">
        <v>166</v>
      </c>
      <c r="B166" s="165" t="s">
        <v>364</v>
      </c>
      <c r="C166" s="165" t="s">
        <v>416</v>
      </c>
      <c r="D166" s="568" t="s">
        <v>102</v>
      </c>
      <c r="E166" s="166" t="s">
        <v>247</v>
      </c>
      <c r="F166" s="174" t="s">
        <v>368</v>
      </c>
      <c r="G166" s="525" t="s">
        <v>583</v>
      </c>
      <c r="H166" s="175" t="s">
        <v>414</v>
      </c>
      <c r="I166" s="563">
        <v>50.79</v>
      </c>
      <c r="J166" s="482">
        <v>1</v>
      </c>
      <c r="K166" s="482">
        <v>1</v>
      </c>
      <c r="L166" s="482">
        <v>1</v>
      </c>
      <c r="M166" s="482">
        <v>1</v>
      </c>
      <c r="N166" s="168">
        <v>255</v>
      </c>
      <c r="O166" s="168"/>
      <c r="P166" s="168"/>
      <c r="Q166" s="168"/>
      <c r="R166" s="169" t="e">
        <f t="shared" si="19"/>
        <v>#DIV/0!</v>
      </c>
      <c r="S166" s="169">
        <f t="shared" si="20"/>
        <v>0</v>
      </c>
      <c r="T166" s="169">
        <f t="shared" si="21"/>
        <v>0</v>
      </c>
      <c r="U166" s="169">
        <f t="shared" si="22"/>
        <v>0</v>
      </c>
      <c r="V166" s="519"/>
      <c r="W166" s="170">
        <f>IF(N166="nio",0,IF(N166&gt;0,VLOOKUP(G166,'3-Productie normen'!A:N,VLOOKUP(N166,'3-Productie normen'!Q:R,2,FALSE),FALSE)))</f>
        <v>0</v>
      </c>
      <c r="X166" s="170">
        <f t="shared" si="16"/>
        <v>0</v>
      </c>
      <c r="Y166" s="170">
        <f t="shared" si="17"/>
        <v>0</v>
      </c>
      <c r="Z166" s="170">
        <f t="shared" si="23"/>
        <v>0</v>
      </c>
      <c r="AA166" s="171">
        <f>VLOOKUP(G166,'3-Productie normen'!A:N,10,FALSE)</f>
        <v>4</v>
      </c>
      <c r="AB166" s="171"/>
      <c r="AD166" s="131">
        <f t="shared" si="18"/>
        <v>12951.449999999999</v>
      </c>
    </row>
    <row r="167" spans="1:30" ht="14.1" customHeight="1">
      <c r="A167" s="147">
        <v>167</v>
      </c>
      <c r="B167" s="165" t="s">
        <v>364</v>
      </c>
      <c r="C167" s="165" t="s">
        <v>416</v>
      </c>
      <c r="D167" s="569" t="s">
        <v>102</v>
      </c>
      <c r="E167" s="176" t="s">
        <v>248</v>
      </c>
      <c r="F167" s="177" t="s">
        <v>369</v>
      </c>
      <c r="G167" s="177" t="s">
        <v>17</v>
      </c>
      <c r="H167" s="167" t="s">
        <v>414</v>
      </c>
      <c r="I167" s="563">
        <v>5.89</v>
      </c>
      <c r="J167" s="482">
        <v>1</v>
      </c>
      <c r="K167" s="482">
        <v>1</v>
      </c>
      <c r="L167" s="482">
        <v>1</v>
      </c>
      <c r="M167" s="482">
        <v>1</v>
      </c>
      <c r="N167" s="168">
        <v>255</v>
      </c>
      <c r="O167" s="168"/>
      <c r="P167" s="168"/>
      <c r="Q167" s="168"/>
      <c r="R167" s="169" t="e">
        <f t="shared" si="19"/>
        <v>#DIV/0!</v>
      </c>
      <c r="S167" s="169">
        <f t="shared" si="20"/>
        <v>0</v>
      </c>
      <c r="T167" s="169">
        <f t="shared" si="21"/>
        <v>0</v>
      </c>
      <c r="U167" s="169">
        <f t="shared" si="22"/>
        <v>0</v>
      </c>
      <c r="V167" s="519"/>
      <c r="W167" s="170">
        <f>IF(N167="nio",0,IF(N167&gt;0,VLOOKUP(G167,'3-Productie normen'!A:N,VLOOKUP(N167,'3-Productie normen'!Q:R,2,FALSE),FALSE)))</f>
        <v>0</v>
      </c>
      <c r="X167" s="170">
        <f t="shared" si="16"/>
        <v>0</v>
      </c>
      <c r="Y167" s="170">
        <f t="shared" si="17"/>
        <v>0</v>
      </c>
      <c r="Z167" s="170">
        <f t="shared" si="23"/>
        <v>0</v>
      </c>
      <c r="AA167" s="171">
        <f>VLOOKUP(G167,'3-Productie normen'!A:N,10,FALSE)</f>
        <v>3</v>
      </c>
      <c r="AB167" s="171"/>
      <c r="AD167" s="131">
        <f t="shared" si="18"/>
        <v>1501.9499999999998</v>
      </c>
    </row>
    <row r="168" spans="1:30" ht="14.1" customHeight="1">
      <c r="A168" s="147">
        <v>168</v>
      </c>
      <c r="B168" s="165" t="s">
        <v>364</v>
      </c>
      <c r="C168" s="165" t="s">
        <v>416</v>
      </c>
      <c r="D168" s="568" t="s">
        <v>102</v>
      </c>
      <c r="E168" s="166" t="s">
        <v>250</v>
      </c>
      <c r="F168" s="167" t="s">
        <v>370</v>
      </c>
      <c r="G168" s="177" t="s">
        <v>17</v>
      </c>
      <c r="H168" s="167" t="s">
        <v>414</v>
      </c>
      <c r="I168" s="563">
        <v>5.21</v>
      </c>
      <c r="J168" s="482">
        <v>1</v>
      </c>
      <c r="K168" s="482">
        <v>1</v>
      </c>
      <c r="L168" s="482">
        <v>1</v>
      </c>
      <c r="M168" s="482">
        <v>1</v>
      </c>
      <c r="N168" s="168">
        <v>255</v>
      </c>
      <c r="O168" s="168"/>
      <c r="P168" s="168"/>
      <c r="Q168" s="168"/>
      <c r="R168" s="169" t="e">
        <f t="shared" si="19"/>
        <v>#DIV/0!</v>
      </c>
      <c r="S168" s="169">
        <f t="shared" si="20"/>
        <v>0</v>
      </c>
      <c r="T168" s="169">
        <f t="shared" si="21"/>
        <v>0</v>
      </c>
      <c r="U168" s="169">
        <f t="shared" si="22"/>
        <v>0</v>
      </c>
      <c r="V168" s="519"/>
      <c r="W168" s="170">
        <f>IF(N168="nio",0,IF(N168&gt;0,VLOOKUP(G168,'3-Productie normen'!A:N,VLOOKUP(N168,'3-Productie normen'!Q:R,2,FALSE),FALSE)))</f>
        <v>0</v>
      </c>
      <c r="X168" s="170">
        <f t="shared" si="16"/>
        <v>0</v>
      </c>
      <c r="Y168" s="170">
        <f t="shared" si="17"/>
        <v>0</v>
      </c>
      <c r="Z168" s="170">
        <f t="shared" si="23"/>
        <v>0</v>
      </c>
      <c r="AA168" s="171">
        <f>VLOOKUP(G168,'3-Productie normen'!A:N,10,FALSE)</f>
        <v>3</v>
      </c>
      <c r="AB168" s="171"/>
      <c r="AD168" s="131">
        <f t="shared" si="18"/>
        <v>1328.55</v>
      </c>
    </row>
    <row r="169" spans="1:30" ht="14.1" customHeight="1">
      <c r="A169" s="147">
        <v>169</v>
      </c>
      <c r="B169" s="165" t="s">
        <v>364</v>
      </c>
      <c r="C169" s="165" t="s">
        <v>416</v>
      </c>
      <c r="D169" s="568" t="s">
        <v>102</v>
      </c>
      <c r="E169" s="166" t="s">
        <v>252</v>
      </c>
      <c r="F169" s="128" t="s">
        <v>371</v>
      </c>
      <c r="G169" s="128" t="s">
        <v>107</v>
      </c>
      <c r="H169" s="167" t="s">
        <v>414</v>
      </c>
      <c r="I169" s="563">
        <v>14.78</v>
      </c>
      <c r="J169" s="482">
        <v>1</v>
      </c>
      <c r="K169" s="482">
        <v>1</v>
      </c>
      <c r="L169" s="482">
        <v>1</v>
      </c>
      <c r="M169" s="482">
        <v>1</v>
      </c>
      <c r="N169" s="168">
        <v>255</v>
      </c>
      <c r="O169" s="168"/>
      <c r="P169" s="168"/>
      <c r="Q169" s="168"/>
      <c r="R169" s="169" t="e">
        <f t="shared" si="19"/>
        <v>#DIV/0!</v>
      </c>
      <c r="S169" s="169">
        <f t="shared" si="20"/>
        <v>0</v>
      </c>
      <c r="T169" s="169">
        <f t="shared" si="21"/>
        <v>0</v>
      </c>
      <c r="U169" s="169">
        <f t="shared" si="22"/>
        <v>0</v>
      </c>
      <c r="V169" s="519"/>
      <c r="W169" s="170">
        <f>IF(N169="nio",0,IF(N169&gt;0,VLOOKUP(G169,'3-Productie normen'!A:N,VLOOKUP(N169,'3-Productie normen'!Q:R,2,FALSE),FALSE)))</f>
        <v>0</v>
      </c>
      <c r="X169" s="170">
        <f t="shared" si="16"/>
        <v>0</v>
      </c>
      <c r="Y169" s="170">
        <f t="shared" si="17"/>
        <v>0</v>
      </c>
      <c r="Z169" s="170">
        <f t="shared" si="23"/>
        <v>0</v>
      </c>
      <c r="AA169" s="171">
        <f>VLOOKUP(G169,'3-Productie normen'!A:N,10,FALSE)</f>
        <v>2</v>
      </c>
      <c r="AB169" s="171"/>
      <c r="AD169" s="131">
        <f t="shared" si="18"/>
        <v>3768.8999999999996</v>
      </c>
    </row>
    <row r="170" spans="1:30" ht="14.1" customHeight="1">
      <c r="A170" s="147">
        <v>170</v>
      </c>
      <c r="B170" s="165" t="s">
        <v>364</v>
      </c>
      <c r="C170" s="165" t="s">
        <v>416</v>
      </c>
      <c r="D170" s="568" t="s">
        <v>102</v>
      </c>
      <c r="E170" s="166" t="s">
        <v>254</v>
      </c>
      <c r="F170" s="128" t="s">
        <v>287</v>
      </c>
      <c r="G170" s="177" t="s">
        <v>17</v>
      </c>
      <c r="H170" s="167" t="s">
        <v>414</v>
      </c>
      <c r="I170" s="563">
        <v>5.32</v>
      </c>
      <c r="J170" s="482">
        <v>1</v>
      </c>
      <c r="K170" s="482">
        <v>1</v>
      </c>
      <c r="L170" s="482">
        <v>1</v>
      </c>
      <c r="M170" s="482">
        <v>1</v>
      </c>
      <c r="N170" s="168">
        <v>255</v>
      </c>
      <c r="O170" s="168"/>
      <c r="P170" s="168"/>
      <c r="Q170" s="168"/>
      <c r="R170" s="169" t="e">
        <f t="shared" si="19"/>
        <v>#DIV/0!</v>
      </c>
      <c r="S170" s="169">
        <f t="shared" si="20"/>
        <v>0</v>
      </c>
      <c r="T170" s="169">
        <f t="shared" si="21"/>
        <v>0</v>
      </c>
      <c r="U170" s="169">
        <f t="shared" si="22"/>
        <v>0</v>
      </c>
      <c r="V170" s="519"/>
      <c r="W170" s="170">
        <f>IF(N170="nio",0,IF(N170&gt;0,VLOOKUP(G170,'3-Productie normen'!A:N,VLOOKUP(N170,'3-Productie normen'!Q:R,2,FALSE),FALSE)))</f>
        <v>0</v>
      </c>
      <c r="X170" s="170">
        <f t="shared" si="16"/>
        <v>0</v>
      </c>
      <c r="Y170" s="170">
        <f t="shared" si="17"/>
        <v>0</v>
      </c>
      <c r="Z170" s="170">
        <f t="shared" si="23"/>
        <v>0</v>
      </c>
      <c r="AA170" s="171">
        <f>VLOOKUP(G170,'3-Productie normen'!A:N,10,FALSE)</f>
        <v>3</v>
      </c>
      <c r="AB170" s="171"/>
      <c r="AD170" s="131">
        <f t="shared" si="18"/>
        <v>1356.6000000000001</v>
      </c>
    </row>
    <row r="171" spans="1:30" ht="14.1" customHeight="1">
      <c r="A171" s="147">
        <v>171</v>
      </c>
      <c r="B171" s="165" t="s">
        <v>364</v>
      </c>
      <c r="C171" s="165" t="s">
        <v>416</v>
      </c>
      <c r="D171" s="568" t="s">
        <v>102</v>
      </c>
      <c r="E171" s="166" t="s">
        <v>256</v>
      </c>
      <c r="F171" s="128" t="s">
        <v>372</v>
      </c>
      <c r="G171" s="128" t="s">
        <v>373</v>
      </c>
      <c r="H171" s="167" t="s">
        <v>415</v>
      </c>
      <c r="I171" s="563">
        <v>106.44</v>
      </c>
      <c r="J171" s="482">
        <v>1</v>
      </c>
      <c r="K171" s="482">
        <v>1</v>
      </c>
      <c r="L171" s="482">
        <v>1</v>
      </c>
      <c r="M171" s="482">
        <v>1</v>
      </c>
      <c r="N171" s="168">
        <v>255</v>
      </c>
      <c r="O171" s="168"/>
      <c r="P171" s="168"/>
      <c r="Q171" s="168"/>
      <c r="R171" s="169" t="e">
        <f t="shared" si="19"/>
        <v>#DIV/0!</v>
      </c>
      <c r="S171" s="169">
        <f t="shared" si="20"/>
        <v>0</v>
      </c>
      <c r="T171" s="169">
        <f t="shared" si="21"/>
        <v>0</v>
      </c>
      <c r="U171" s="169">
        <f t="shared" si="22"/>
        <v>0</v>
      </c>
      <c r="V171" s="519"/>
      <c r="W171" s="170">
        <f>IF(N171="nio",0,IF(N171&gt;0,VLOOKUP(G171,'3-Productie normen'!A:N,VLOOKUP(N171,'3-Productie normen'!Q:R,2,FALSE),FALSE)))</f>
        <v>0</v>
      </c>
      <c r="X171" s="170">
        <f t="shared" si="16"/>
        <v>0</v>
      </c>
      <c r="Y171" s="170">
        <f t="shared" si="17"/>
        <v>0</v>
      </c>
      <c r="Z171" s="170">
        <f t="shared" si="23"/>
        <v>0</v>
      </c>
      <c r="AA171" s="171">
        <f>VLOOKUP(G171,'3-Productie normen'!A:N,10,FALSE)</f>
        <v>1</v>
      </c>
      <c r="AB171" s="171"/>
      <c r="AD171" s="131">
        <f t="shared" si="18"/>
        <v>27142.2</v>
      </c>
    </row>
    <row r="172" spans="1:30" ht="14.1" customHeight="1">
      <c r="A172" s="147">
        <v>172</v>
      </c>
      <c r="B172" s="165" t="s">
        <v>364</v>
      </c>
      <c r="C172" s="165" t="s">
        <v>416</v>
      </c>
      <c r="D172" s="568" t="s">
        <v>102</v>
      </c>
      <c r="E172" s="166" t="s">
        <v>258</v>
      </c>
      <c r="F172" s="128" t="s">
        <v>291</v>
      </c>
      <c r="G172" s="128" t="s">
        <v>373</v>
      </c>
      <c r="H172" s="167" t="s">
        <v>415</v>
      </c>
      <c r="I172" s="563">
        <v>29.72</v>
      </c>
      <c r="J172" s="482">
        <v>1</v>
      </c>
      <c r="K172" s="482">
        <v>1</v>
      </c>
      <c r="L172" s="482">
        <v>1</v>
      </c>
      <c r="M172" s="482">
        <v>1</v>
      </c>
      <c r="N172" s="168">
        <v>255</v>
      </c>
      <c r="O172" s="168"/>
      <c r="P172" s="168"/>
      <c r="Q172" s="168"/>
      <c r="R172" s="169" t="e">
        <f t="shared" si="19"/>
        <v>#DIV/0!</v>
      </c>
      <c r="S172" s="169">
        <f t="shared" si="20"/>
        <v>0</v>
      </c>
      <c r="T172" s="169">
        <f t="shared" si="21"/>
        <v>0</v>
      </c>
      <c r="U172" s="169">
        <f t="shared" si="22"/>
        <v>0</v>
      </c>
      <c r="V172" s="519"/>
      <c r="W172" s="170">
        <f>IF(N172="nio",0,IF(N172&gt;0,VLOOKUP(G172,'3-Productie normen'!A:N,VLOOKUP(N172,'3-Productie normen'!Q:R,2,FALSE),FALSE)))</f>
        <v>0</v>
      </c>
      <c r="X172" s="170">
        <f t="shared" si="16"/>
        <v>0</v>
      </c>
      <c r="Y172" s="170">
        <f t="shared" si="17"/>
        <v>0</v>
      </c>
      <c r="Z172" s="170">
        <f t="shared" si="23"/>
        <v>0</v>
      </c>
      <c r="AA172" s="171">
        <f>VLOOKUP(G172,'3-Productie normen'!A:N,10,FALSE)</f>
        <v>1</v>
      </c>
      <c r="AB172" s="171"/>
      <c r="AD172" s="131">
        <f t="shared" si="18"/>
        <v>7578.5999999999995</v>
      </c>
    </row>
    <row r="173" spans="1:30" ht="14.1" customHeight="1">
      <c r="A173" s="147">
        <v>173</v>
      </c>
      <c r="B173" s="165" t="s">
        <v>364</v>
      </c>
      <c r="C173" s="165" t="s">
        <v>416</v>
      </c>
      <c r="D173" s="568" t="s">
        <v>102</v>
      </c>
      <c r="E173" s="166" t="s">
        <v>259</v>
      </c>
      <c r="F173" s="165" t="s">
        <v>371</v>
      </c>
      <c r="G173" s="165" t="s">
        <v>107</v>
      </c>
      <c r="H173" s="167" t="s">
        <v>415</v>
      </c>
      <c r="I173" s="563">
        <v>41.93</v>
      </c>
      <c r="J173" s="482">
        <v>1</v>
      </c>
      <c r="K173" s="482">
        <v>1</v>
      </c>
      <c r="L173" s="482">
        <v>1</v>
      </c>
      <c r="M173" s="482">
        <v>1</v>
      </c>
      <c r="N173" s="168">
        <v>255</v>
      </c>
      <c r="O173" s="168"/>
      <c r="P173" s="168"/>
      <c r="Q173" s="168"/>
      <c r="R173" s="169" t="e">
        <f t="shared" si="19"/>
        <v>#DIV/0!</v>
      </c>
      <c r="S173" s="169">
        <f t="shared" si="20"/>
        <v>0</v>
      </c>
      <c r="T173" s="169">
        <f t="shared" si="21"/>
        <v>0</v>
      </c>
      <c r="U173" s="169">
        <f t="shared" si="22"/>
        <v>0</v>
      </c>
      <c r="V173" s="519"/>
      <c r="W173" s="170">
        <f>IF(N173="nio",0,IF(N173&gt;0,VLOOKUP(G173,'3-Productie normen'!A:N,VLOOKUP(N173,'3-Productie normen'!Q:R,2,FALSE),FALSE)))</f>
        <v>0</v>
      </c>
      <c r="X173" s="170">
        <f t="shared" si="16"/>
        <v>0</v>
      </c>
      <c r="Y173" s="170">
        <f t="shared" si="17"/>
        <v>0</v>
      </c>
      <c r="Z173" s="170">
        <f t="shared" si="23"/>
        <v>0</v>
      </c>
      <c r="AA173" s="171">
        <f>VLOOKUP(G173,'3-Productie normen'!A:N,10,FALSE)</f>
        <v>2</v>
      </c>
      <c r="AB173" s="171"/>
      <c r="AD173" s="131">
        <f t="shared" si="18"/>
        <v>10692.15</v>
      </c>
    </row>
    <row r="174" spans="1:30" ht="14.1" customHeight="1">
      <c r="A174" s="147">
        <v>174</v>
      </c>
      <c r="B174" s="165" t="s">
        <v>364</v>
      </c>
      <c r="C174" s="165" t="s">
        <v>416</v>
      </c>
      <c r="D174" s="568" t="s">
        <v>102</v>
      </c>
      <c r="E174" s="166" t="s">
        <v>261</v>
      </c>
      <c r="F174" s="165" t="s">
        <v>372</v>
      </c>
      <c r="G174" s="165" t="s">
        <v>373</v>
      </c>
      <c r="H174" s="167" t="s">
        <v>415</v>
      </c>
      <c r="I174" s="563">
        <v>47.76</v>
      </c>
      <c r="J174" s="482">
        <v>1</v>
      </c>
      <c r="K174" s="482">
        <v>1</v>
      </c>
      <c r="L174" s="482">
        <v>1</v>
      </c>
      <c r="M174" s="482">
        <v>1</v>
      </c>
      <c r="N174" s="168">
        <v>255</v>
      </c>
      <c r="O174" s="168"/>
      <c r="P174" s="168"/>
      <c r="Q174" s="168"/>
      <c r="R174" s="169" t="e">
        <f t="shared" si="19"/>
        <v>#DIV/0!</v>
      </c>
      <c r="S174" s="169">
        <f t="shared" si="20"/>
        <v>0</v>
      </c>
      <c r="T174" s="169">
        <f t="shared" si="21"/>
        <v>0</v>
      </c>
      <c r="U174" s="169">
        <f t="shared" si="22"/>
        <v>0</v>
      </c>
      <c r="V174" s="519"/>
      <c r="W174" s="170">
        <f>IF(N174="nio",0,IF(N174&gt;0,VLOOKUP(G174,'3-Productie normen'!A:N,VLOOKUP(N174,'3-Productie normen'!Q:R,2,FALSE),FALSE)))</f>
        <v>0</v>
      </c>
      <c r="X174" s="170">
        <f t="shared" si="16"/>
        <v>0</v>
      </c>
      <c r="Y174" s="170">
        <f t="shared" si="17"/>
        <v>0</v>
      </c>
      <c r="Z174" s="170">
        <f t="shared" si="23"/>
        <v>0</v>
      </c>
      <c r="AA174" s="171">
        <f>VLOOKUP(G174,'3-Productie normen'!A:N,10,FALSE)</f>
        <v>1</v>
      </c>
      <c r="AB174" s="171"/>
      <c r="AD174" s="131">
        <f t="shared" si="18"/>
        <v>12178.8</v>
      </c>
    </row>
    <row r="175" spans="1:30" ht="14.1" customHeight="1">
      <c r="A175" s="147">
        <v>175</v>
      </c>
      <c r="B175" s="165" t="s">
        <v>364</v>
      </c>
      <c r="C175" s="165" t="s">
        <v>416</v>
      </c>
      <c r="D175" s="568" t="s">
        <v>102</v>
      </c>
      <c r="E175" s="166" t="s">
        <v>263</v>
      </c>
      <c r="F175" s="165" t="s">
        <v>271</v>
      </c>
      <c r="G175" s="165" t="s">
        <v>580</v>
      </c>
      <c r="H175" s="167" t="s">
        <v>414</v>
      </c>
      <c r="I175" s="563">
        <v>9.8800000000000008</v>
      </c>
      <c r="J175" s="482">
        <v>1</v>
      </c>
      <c r="K175" s="482">
        <v>1</v>
      </c>
      <c r="L175" s="482">
        <v>1</v>
      </c>
      <c r="M175" s="482">
        <v>1</v>
      </c>
      <c r="N175" s="168">
        <v>255</v>
      </c>
      <c r="O175" s="168"/>
      <c r="P175" s="168"/>
      <c r="Q175" s="168"/>
      <c r="R175" s="169" t="e">
        <f t="shared" si="19"/>
        <v>#DIV/0!</v>
      </c>
      <c r="S175" s="169">
        <f t="shared" si="20"/>
        <v>0</v>
      </c>
      <c r="T175" s="169">
        <f t="shared" si="21"/>
        <v>0</v>
      </c>
      <c r="U175" s="169">
        <f t="shared" si="22"/>
        <v>0</v>
      </c>
      <c r="V175" s="519"/>
      <c r="W175" s="170">
        <f>IF(N175="nio",0,IF(N175&gt;0,VLOOKUP(G175,'3-Productie normen'!A:N,VLOOKUP(N175,'3-Productie normen'!Q:R,2,FALSE),FALSE)))</f>
        <v>0</v>
      </c>
      <c r="X175" s="170">
        <f t="shared" si="16"/>
        <v>0</v>
      </c>
      <c r="Y175" s="170">
        <f t="shared" si="17"/>
        <v>0</v>
      </c>
      <c r="Z175" s="170">
        <f t="shared" si="23"/>
        <v>0</v>
      </c>
      <c r="AA175" s="171">
        <f>VLOOKUP(G175,'3-Productie normen'!A:N,10,FALSE)</f>
        <v>4</v>
      </c>
      <c r="AB175" s="171"/>
      <c r="AD175" s="131">
        <f t="shared" si="18"/>
        <v>2519.4</v>
      </c>
    </row>
    <row r="176" spans="1:30" ht="14.1" customHeight="1">
      <c r="A176" s="147">
        <v>176</v>
      </c>
      <c r="B176" s="165" t="s">
        <v>364</v>
      </c>
      <c r="C176" s="165" t="s">
        <v>416</v>
      </c>
      <c r="D176" s="568" t="s">
        <v>102</v>
      </c>
      <c r="E176" s="166" t="s">
        <v>265</v>
      </c>
      <c r="F176" s="167" t="s">
        <v>374</v>
      </c>
      <c r="G176" s="525" t="s">
        <v>583</v>
      </c>
      <c r="H176" s="167" t="s">
        <v>415</v>
      </c>
      <c r="I176" s="563">
        <v>167</v>
      </c>
      <c r="J176" s="482">
        <v>1</v>
      </c>
      <c r="K176" s="482">
        <v>1</v>
      </c>
      <c r="L176" s="482">
        <v>1</v>
      </c>
      <c r="M176" s="482">
        <v>1</v>
      </c>
      <c r="N176" s="168">
        <v>255</v>
      </c>
      <c r="O176" s="168"/>
      <c r="P176" s="168"/>
      <c r="Q176" s="168"/>
      <c r="R176" s="169" t="e">
        <f t="shared" si="19"/>
        <v>#DIV/0!</v>
      </c>
      <c r="S176" s="169">
        <f t="shared" si="20"/>
        <v>0</v>
      </c>
      <c r="T176" s="169">
        <f t="shared" si="21"/>
        <v>0</v>
      </c>
      <c r="U176" s="169">
        <f t="shared" si="22"/>
        <v>0</v>
      </c>
      <c r="V176" s="519"/>
      <c r="W176" s="170">
        <f>IF(N176="nio",0,IF(N176&gt;0,VLOOKUP(G176,'3-Productie normen'!A:N,VLOOKUP(N176,'3-Productie normen'!Q:R,2,FALSE),FALSE)))</f>
        <v>0</v>
      </c>
      <c r="X176" s="170">
        <f t="shared" si="16"/>
        <v>0</v>
      </c>
      <c r="Y176" s="170">
        <f t="shared" si="17"/>
        <v>0</v>
      </c>
      <c r="Z176" s="170">
        <f t="shared" si="23"/>
        <v>0</v>
      </c>
      <c r="AA176" s="171">
        <f>VLOOKUP(G176,'3-Productie normen'!A:N,10,FALSE)</f>
        <v>4</v>
      </c>
      <c r="AB176" s="171"/>
      <c r="AD176" s="131">
        <f t="shared" si="18"/>
        <v>42585</v>
      </c>
    </row>
    <row r="177" spans="1:30" ht="14.1" customHeight="1">
      <c r="A177" s="147">
        <v>177</v>
      </c>
      <c r="B177" s="165" t="s">
        <v>364</v>
      </c>
      <c r="C177" s="165" t="s">
        <v>416</v>
      </c>
      <c r="D177" s="568" t="s">
        <v>102</v>
      </c>
      <c r="E177" s="166" t="s">
        <v>267</v>
      </c>
      <c r="F177" s="167" t="s">
        <v>372</v>
      </c>
      <c r="G177" s="167" t="s">
        <v>373</v>
      </c>
      <c r="H177" s="167" t="s">
        <v>415</v>
      </c>
      <c r="I177" s="563">
        <v>32.159999999999997</v>
      </c>
      <c r="J177" s="482">
        <v>1</v>
      </c>
      <c r="K177" s="482">
        <v>1</v>
      </c>
      <c r="L177" s="482">
        <v>1</v>
      </c>
      <c r="M177" s="482">
        <v>1</v>
      </c>
      <c r="N177" s="168">
        <v>255</v>
      </c>
      <c r="O177" s="168"/>
      <c r="P177" s="168"/>
      <c r="Q177" s="168"/>
      <c r="R177" s="169" t="e">
        <f t="shared" si="19"/>
        <v>#DIV/0!</v>
      </c>
      <c r="S177" s="169">
        <f t="shared" si="20"/>
        <v>0</v>
      </c>
      <c r="T177" s="169">
        <f t="shared" si="21"/>
        <v>0</v>
      </c>
      <c r="U177" s="169">
        <f t="shared" si="22"/>
        <v>0</v>
      </c>
      <c r="V177" s="519"/>
      <c r="W177" s="170">
        <f>IF(N177="nio",0,IF(N177&gt;0,VLOOKUP(G177,'3-Productie normen'!A:N,VLOOKUP(N177,'3-Productie normen'!Q:R,2,FALSE),FALSE)))</f>
        <v>0</v>
      </c>
      <c r="X177" s="170">
        <f t="shared" si="16"/>
        <v>0</v>
      </c>
      <c r="Y177" s="170">
        <f t="shared" si="17"/>
        <v>0</v>
      </c>
      <c r="Z177" s="170">
        <f t="shared" si="23"/>
        <v>0</v>
      </c>
      <c r="AA177" s="171">
        <f>VLOOKUP(G177,'3-Productie normen'!A:N,10,FALSE)</f>
        <v>1</v>
      </c>
      <c r="AB177" s="171"/>
      <c r="AD177" s="131">
        <f t="shared" si="18"/>
        <v>8200.7999999999993</v>
      </c>
    </row>
    <row r="178" spans="1:30" ht="14.1" customHeight="1">
      <c r="A178" s="147">
        <v>178</v>
      </c>
      <c r="B178" s="165" t="s">
        <v>364</v>
      </c>
      <c r="C178" s="165" t="s">
        <v>416</v>
      </c>
      <c r="D178" s="568" t="s">
        <v>102</v>
      </c>
      <c r="E178" s="166" t="s">
        <v>286</v>
      </c>
      <c r="F178" s="167" t="s">
        <v>271</v>
      </c>
      <c r="G178" s="167" t="s">
        <v>580</v>
      </c>
      <c r="H178" s="167" t="s">
        <v>414</v>
      </c>
      <c r="I178" s="563">
        <v>10.48</v>
      </c>
      <c r="J178" s="482">
        <v>1</v>
      </c>
      <c r="K178" s="482">
        <v>1</v>
      </c>
      <c r="L178" s="482">
        <v>1</v>
      </c>
      <c r="M178" s="482">
        <v>1</v>
      </c>
      <c r="N178" s="168">
        <v>255</v>
      </c>
      <c r="O178" s="168"/>
      <c r="P178" s="168"/>
      <c r="Q178" s="168"/>
      <c r="R178" s="169" t="e">
        <f t="shared" si="19"/>
        <v>#DIV/0!</v>
      </c>
      <c r="S178" s="169">
        <f t="shared" si="20"/>
        <v>0</v>
      </c>
      <c r="T178" s="169">
        <f t="shared" si="21"/>
        <v>0</v>
      </c>
      <c r="U178" s="169">
        <f t="shared" si="22"/>
        <v>0</v>
      </c>
      <c r="V178" s="519"/>
      <c r="W178" s="170">
        <f>IF(N178="nio",0,IF(N178&gt;0,VLOOKUP(G178,'3-Productie normen'!A:N,VLOOKUP(N178,'3-Productie normen'!Q:R,2,FALSE),FALSE)))</f>
        <v>0</v>
      </c>
      <c r="X178" s="170">
        <f t="shared" si="16"/>
        <v>0</v>
      </c>
      <c r="Y178" s="170">
        <f t="shared" si="17"/>
        <v>0</v>
      </c>
      <c r="Z178" s="170">
        <f t="shared" si="23"/>
        <v>0</v>
      </c>
      <c r="AA178" s="171">
        <f>VLOOKUP(G178,'3-Productie normen'!A:N,10,FALSE)</f>
        <v>4</v>
      </c>
      <c r="AB178" s="171"/>
      <c r="AD178" s="131">
        <f t="shared" si="18"/>
        <v>2672.4</v>
      </c>
    </row>
    <row r="179" spans="1:30" ht="14.1" customHeight="1">
      <c r="A179" s="147">
        <v>179</v>
      </c>
      <c r="B179" s="165" t="s">
        <v>364</v>
      </c>
      <c r="C179" s="165" t="s">
        <v>416</v>
      </c>
      <c r="D179" s="568">
        <v>1</v>
      </c>
      <c r="E179" s="166" t="s">
        <v>375</v>
      </c>
      <c r="F179" s="167" t="s">
        <v>269</v>
      </c>
      <c r="G179" s="525" t="s">
        <v>583</v>
      </c>
      <c r="H179" s="167" t="s">
        <v>414</v>
      </c>
      <c r="I179" s="563">
        <v>24.1</v>
      </c>
      <c r="J179" s="482">
        <v>1</v>
      </c>
      <c r="K179" s="482">
        <v>1</v>
      </c>
      <c r="L179" s="482">
        <v>1</v>
      </c>
      <c r="M179" s="482">
        <v>1</v>
      </c>
      <c r="N179" s="168">
        <v>255</v>
      </c>
      <c r="O179" s="168"/>
      <c r="P179" s="168"/>
      <c r="Q179" s="168"/>
      <c r="R179" s="169" t="e">
        <f t="shared" si="19"/>
        <v>#DIV/0!</v>
      </c>
      <c r="S179" s="169">
        <f t="shared" si="20"/>
        <v>0</v>
      </c>
      <c r="T179" s="169">
        <f t="shared" si="21"/>
        <v>0</v>
      </c>
      <c r="U179" s="169">
        <f t="shared" si="22"/>
        <v>0</v>
      </c>
      <c r="V179" s="519"/>
      <c r="W179" s="170">
        <f>IF(N179="nio",0,IF(N179&gt;0,VLOOKUP(G179,'3-Productie normen'!A:N,VLOOKUP(N179,'3-Productie normen'!Q:R,2,FALSE),FALSE)))</f>
        <v>0</v>
      </c>
      <c r="X179" s="170">
        <f t="shared" si="16"/>
        <v>0</v>
      </c>
      <c r="Y179" s="170">
        <f t="shared" si="17"/>
        <v>0</v>
      </c>
      <c r="Z179" s="170">
        <f t="shared" si="23"/>
        <v>0</v>
      </c>
      <c r="AA179" s="171">
        <f>VLOOKUP(G179,'3-Productie normen'!A:N,10,FALSE)</f>
        <v>4</v>
      </c>
      <c r="AB179" s="171"/>
      <c r="AD179" s="131">
        <f t="shared" si="18"/>
        <v>6145.5</v>
      </c>
    </row>
    <row r="180" spans="1:30" ht="14.1" customHeight="1">
      <c r="A180" s="147">
        <v>180</v>
      </c>
      <c r="B180" s="165" t="s">
        <v>364</v>
      </c>
      <c r="C180" s="165" t="s">
        <v>416</v>
      </c>
      <c r="D180" s="568">
        <v>1</v>
      </c>
      <c r="E180" s="166" t="s">
        <v>376</v>
      </c>
      <c r="F180" s="173" t="s">
        <v>377</v>
      </c>
      <c r="G180" s="177" t="s">
        <v>17</v>
      </c>
      <c r="H180" s="167" t="s">
        <v>414</v>
      </c>
      <c r="I180" s="563">
        <v>7.61</v>
      </c>
      <c r="J180" s="482">
        <v>1</v>
      </c>
      <c r="K180" s="482">
        <v>1</v>
      </c>
      <c r="L180" s="482">
        <v>1</v>
      </c>
      <c r="M180" s="482">
        <v>1</v>
      </c>
      <c r="N180" s="168">
        <v>255</v>
      </c>
      <c r="O180" s="168"/>
      <c r="P180" s="168"/>
      <c r="Q180" s="168"/>
      <c r="R180" s="169" t="e">
        <f t="shared" si="19"/>
        <v>#DIV/0!</v>
      </c>
      <c r="S180" s="169">
        <f t="shared" si="20"/>
        <v>0</v>
      </c>
      <c r="T180" s="169">
        <f t="shared" si="21"/>
        <v>0</v>
      </c>
      <c r="U180" s="169">
        <f t="shared" si="22"/>
        <v>0</v>
      </c>
      <c r="V180" s="519"/>
      <c r="W180" s="170">
        <f>IF(N180="nio",0,IF(N180&gt;0,VLOOKUP(G180,'3-Productie normen'!A:N,VLOOKUP(N180,'3-Productie normen'!Q:R,2,FALSE),FALSE)))</f>
        <v>0</v>
      </c>
      <c r="X180" s="170">
        <f t="shared" si="16"/>
        <v>0</v>
      </c>
      <c r="Y180" s="170">
        <f t="shared" si="17"/>
        <v>0</v>
      </c>
      <c r="Z180" s="170">
        <f t="shared" si="23"/>
        <v>0</v>
      </c>
      <c r="AA180" s="171">
        <f>VLOOKUP(G180,'3-Productie normen'!A:N,10,FALSE)</f>
        <v>3</v>
      </c>
      <c r="AB180" s="171"/>
      <c r="AD180" s="131">
        <f t="shared" si="18"/>
        <v>1940.5500000000002</v>
      </c>
    </row>
    <row r="181" spans="1:30" ht="14.1" customHeight="1">
      <c r="A181" s="147">
        <v>181</v>
      </c>
      <c r="B181" s="165" t="s">
        <v>364</v>
      </c>
      <c r="C181" s="165" t="s">
        <v>416</v>
      </c>
      <c r="D181" s="568">
        <v>1</v>
      </c>
      <c r="E181" s="166" t="s">
        <v>378</v>
      </c>
      <c r="F181" s="174" t="s">
        <v>379</v>
      </c>
      <c r="G181" s="177" t="s">
        <v>17</v>
      </c>
      <c r="H181" s="175" t="s">
        <v>414</v>
      </c>
      <c r="I181" s="563">
        <v>5.98</v>
      </c>
      <c r="J181" s="482">
        <v>1</v>
      </c>
      <c r="K181" s="482">
        <v>1</v>
      </c>
      <c r="L181" s="482">
        <v>1</v>
      </c>
      <c r="M181" s="482">
        <v>1</v>
      </c>
      <c r="N181" s="168">
        <v>255</v>
      </c>
      <c r="O181" s="168"/>
      <c r="P181" s="168"/>
      <c r="Q181" s="168"/>
      <c r="R181" s="169" t="e">
        <f t="shared" si="19"/>
        <v>#DIV/0!</v>
      </c>
      <c r="S181" s="169">
        <f t="shared" si="20"/>
        <v>0</v>
      </c>
      <c r="T181" s="169">
        <f t="shared" si="21"/>
        <v>0</v>
      </c>
      <c r="U181" s="169">
        <f t="shared" si="22"/>
        <v>0</v>
      </c>
      <c r="V181" s="519"/>
      <c r="W181" s="170">
        <f>IF(N181="nio",0,IF(N181&gt;0,VLOOKUP(G181,'3-Productie normen'!A:N,VLOOKUP(N181,'3-Productie normen'!Q:R,2,FALSE),FALSE)))</f>
        <v>0</v>
      </c>
      <c r="X181" s="170">
        <f t="shared" si="16"/>
        <v>0</v>
      </c>
      <c r="Y181" s="170">
        <f t="shared" si="17"/>
        <v>0</v>
      </c>
      <c r="Z181" s="170">
        <f t="shared" si="23"/>
        <v>0</v>
      </c>
      <c r="AA181" s="171">
        <f>VLOOKUP(G181,'3-Productie normen'!A:N,10,FALSE)</f>
        <v>3</v>
      </c>
      <c r="AB181" s="171"/>
      <c r="AD181" s="131">
        <f t="shared" si="18"/>
        <v>1524.9</v>
      </c>
    </row>
    <row r="182" spans="1:30" ht="14.1" customHeight="1">
      <c r="A182" s="147">
        <v>182</v>
      </c>
      <c r="B182" s="165" t="s">
        <v>364</v>
      </c>
      <c r="C182" s="165" t="s">
        <v>416</v>
      </c>
      <c r="D182" s="568">
        <v>1</v>
      </c>
      <c r="E182" s="176" t="s">
        <v>380</v>
      </c>
      <c r="F182" s="177" t="s">
        <v>381</v>
      </c>
      <c r="G182" s="177" t="s">
        <v>373</v>
      </c>
      <c r="H182" s="167" t="s">
        <v>415</v>
      </c>
      <c r="I182" s="563">
        <v>114.84</v>
      </c>
      <c r="J182" s="482">
        <v>1</v>
      </c>
      <c r="K182" s="482">
        <v>1</v>
      </c>
      <c r="L182" s="482">
        <v>1</v>
      </c>
      <c r="M182" s="482">
        <v>1</v>
      </c>
      <c r="N182" s="168">
        <v>255</v>
      </c>
      <c r="O182" s="168"/>
      <c r="P182" s="168"/>
      <c r="Q182" s="168"/>
      <c r="R182" s="169" t="e">
        <f t="shared" si="19"/>
        <v>#DIV/0!</v>
      </c>
      <c r="S182" s="169">
        <f t="shared" si="20"/>
        <v>0</v>
      </c>
      <c r="T182" s="169">
        <f t="shared" si="21"/>
        <v>0</v>
      </c>
      <c r="U182" s="169">
        <f t="shared" si="22"/>
        <v>0</v>
      </c>
      <c r="V182" s="519"/>
      <c r="W182" s="170">
        <f>IF(N182="nio",0,IF(N182&gt;0,VLOOKUP(G182,'3-Productie normen'!A:N,VLOOKUP(N182,'3-Productie normen'!Q:R,2,FALSE),FALSE)))</f>
        <v>0</v>
      </c>
      <c r="X182" s="170">
        <f t="shared" si="16"/>
        <v>0</v>
      </c>
      <c r="Y182" s="170">
        <f t="shared" si="17"/>
        <v>0</v>
      </c>
      <c r="Z182" s="170">
        <f t="shared" si="23"/>
        <v>0</v>
      </c>
      <c r="AA182" s="171">
        <f>VLOOKUP(G182,'3-Productie normen'!A:N,10,FALSE)</f>
        <v>1</v>
      </c>
      <c r="AB182" s="171"/>
      <c r="AD182" s="131">
        <f t="shared" si="18"/>
        <v>29284.2</v>
      </c>
    </row>
    <row r="183" spans="1:30" ht="14.1" customHeight="1">
      <c r="A183" s="147">
        <v>183</v>
      </c>
      <c r="B183" s="165" t="s">
        <v>364</v>
      </c>
      <c r="C183" s="165" t="s">
        <v>416</v>
      </c>
      <c r="D183" s="568">
        <v>1</v>
      </c>
      <c r="E183" s="166" t="s">
        <v>382</v>
      </c>
      <c r="F183" s="167" t="s">
        <v>381</v>
      </c>
      <c r="G183" s="167" t="s">
        <v>373</v>
      </c>
      <c r="H183" s="167" t="s">
        <v>415</v>
      </c>
      <c r="I183" s="563">
        <v>112.5</v>
      </c>
      <c r="J183" s="482">
        <v>1</v>
      </c>
      <c r="K183" s="482">
        <v>1</v>
      </c>
      <c r="L183" s="482">
        <v>1</v>
      </c>
      <c r="M183" s="482">
        <v>1</v>
      </c>
      <c r="N183" s="168">
        <v>255</v>
      </c>
      <c r="O183" s="168"/>
      <c r="P183" s="168"/>
      <c r="Q183" s="168"/>
      <c r="R183" s="169" t="e">
        <f t="shared" si="19"/>
        <v>#DIV/0!</v>
      </c>
      <c r="S183" s="169">
        <f t="shared" si="20"/>
        <v>0</v>
      </c>
      <c r="T183" s="169">
        <f t="shared" si="21"/>
        <v>0</v>
      </c>
      <c r="U183" s="169">
        <f t="shared" si="22"/>
        <v>0</v>
      </c>
      <c r="V183" s="519"/>
      <c r="W183" s="170">
        <f>IF(N183="nio",0,IF(N183&gt;0,VLOOKUP(G183,'3-Productie normen'!A:N,VLOOKUP(N183,'3-Productie normen'!Q:R,2,FALSE),FALSE)))</f>
        <v>0</v>
      </c>
      <c r="X183" s="170">
        <f t="shared" si="16"/>
        <v>0</v>
      </c>
      <c r="Y183" s="170">
        <f t="shared" si="17"/>
        <v>0</v>
      </c>
      <c r="Z183" s="170">
        <f t="shared" si="23"/>
        <v>0</v>
      </c>
      <c r="AA183" s="171">
        <f>VLOOKUP(G183,'3-Productie normen'!A:N,10,FALSE)</f>
        <v>1</v>
      </c>
      <c r="AB183" s="171"/>
      <c r="AD183" s="131">
        <f t="shared" si="18"/>
        <v>28687.5</v>
      </c>
    </row>
    <row r="184" spans="1:30" ht="14.1" customHeight="1">
      <c r="A184" s="147">
        <v>184</v>
      </c>
      <c r="B184" s="165" t="s">
        <v>364</v>
      </c>
      <c r="C184" s="165" t="s">
        <v>416</v>
      </c>
      <c r="D184" s="568">
        <v>1</v>
      </c>
      <c r="E184" s="166" t="s">
        <v>383</v>
      </c>
      <c r="F184" s="165" t="s">
        <v>384</v>
      </c>
      <c r="G184" s="525" t="s">
        <v>583</v>
      </c>
      <c r="H184" s="167" t="s">
        <v>415</v>
      </c>
      <c r="I184" s="563">
        <v>11.22</v>
      </c>
      <c r="J184" s="482">
        <v>1</v>
      </c>
      <c r="K184" s="482">
        <v>1</v>
      </c>
      <c r="L184" s="482">
        <v>1</v>
      </c>
      <c r="M184" s="482">
        <v>1</v>
      </c>
      <c r="N184" s="168">
        <v>255</v>
      </c>
      <c r="O184" s="168"/>
      <c r="P184" s="168"/>
      <c r="Q184" s="168"/>
      <c r="R184" s="169" t="e">
        <f t="shared" si="19"/>
        <v>#DIV/0!</v>
      </c>
      <c r="S184" s="169">
        <f t="shared" si="20"/>
        <v>0</v>
      </c>
      <c r="T184" s="169">
        <f t="shared" si="21"/>
        <v>0</v>
      </c>
      <c r="U184" s="169">
        <f t="shared" si="22"/>
        <v>0</v>
      </c>
      <c r="V184" s="519"/>
      <c r="W184" s="170">
        <f>IF(N184="nio",0,IF(N184&gt;0,VLOOKUP(G184,'3-Productie normen'!A:N,VLOOKUP(N184,'3-Productie normen'!Q:R,2,FALSE),FALSE)))</f>
        <v>0</v>
      </c>
      <c r="X184" s="170">
        <f t="shared" si="16"/>
        <v>0</v>
      </c>
      <c r="Y184" s="170">
        <f t="shared" si="17"/>
        <v>0</v>
      </c>
      <c r="Z184" s="170">
        <f t="shared" si="23"/>
        <v>0</v>
      </c>
      <c r="AA184" s="171">
        <f>VLOOKUP(G184,'3-Productie normen'!A:N,10,FALSE)</f>
        <v>4</v>
      </c>
      <c r="AB184" s="171"/>
      <c r="AD184" s="131">
        <f t="shared" si="18"/>
        <v>2861.1000000000004</v>
      </c>
    </row>
    <row r="185" spans="1:30" ht="14.1" customHeight="1">
      <c r="A185" s="147">
        <v>185</v>
      </c>
      <c r="B185" s="165" t="s">
        <v>364</v>
      </c>
      <c r="C185" s="165" t="s">
        <v>416</v>
      </c>
      <c r="D185" s="568">
        <v>1</v>
      </c>
      <c r="E185" s="166" t="s">
        <v>385</v>
      </c>
      <c r="F185" s="165" t="s">
        <v>386</v>
      </c>
      <c r="G185" s="165" t="s">
        <v>373</v>
      </c>
      <c r="H185" s="167" t="s">
        <v>272</v>
      </c>
      <c r="I185" s="563">
        <v>7.75</v>
      </c>
      <c r="J185" s="482">
        <v>1</v>
      </c>
      <c r="K185" s="482">
        <v>1</v>
      </c>
      <c r="L185" s="482">
        <v>1</v>
      </c>
      <c r="M185" s="482">
        <v>1</v>
      </c>
      <c r="N185" s="168">
        <v>255</v>
      </c>
      <c r="O185" s="168"/>
      <c r="P185" s="168"/>
      <c r="Q185" s="168"/>
      <c r="R185" s="169" t="e">
        <f t="shared" si="19"/>
        <v>#DIV/0!</v>
      </c>
      <c r="S185" s="169">
        <f t="shared" si="20"/>
        <v>0</v>
      </c>
      <c r="T185" s="169">
        <f t="shared" si="21"/>
        <v>0</v>
      </c>
      <c r="U185" s="169">
        <f t="shared" si="22"/>
        <v>0</v>
      </c>
      <c r="V185" s="519"/>
      <c r="W185" s="170">
        <f>IF(N185="nio",0,IF(N185&gt;0,VLOOKUP(G185,'3-Productie normen'!A:N,VLOOKUP(N185,'3-Productie normen'!Q:R,2,FALSE),FALSE)))</f>
        <v>0</v>
      </c>
      <c r="X185" s="170">
        <f t="shared" si="16"/>
        <v>0</v>
      </c>
      <c r="Y185" s="170">
        <f t="shared" si="17"/>
        <v>0</v>
      </c>
      <c r="Z185" s="170">
        <f t="shared" si="23"/>
        <v>0</v>
      </c>
      <c r="AA185" s="171">
        <f>VLOOKUP(G185,'3-Productie normen'!A:N,10,FALSE)</f>
        <v>1</v>
      </c>
      <c r="AB185" s="171"/>
      <c r="AD185" s="131">
        <f t="shared" si="18"/>
        <v>1976.25</v>
      </c>
    </row>
    <row r="186" spans="1:30" ht="14.1" customHeight="1">
      <c r="A186" s="147">
        <v>186</v>
      </c>
      <c r="B186" s="165" t="s">
        <v>364</v>
      </c>
      <c r="C186" s="165" t="s">
        <v>416</v>
      </c>
      <c r="D186" s="568">
        <v>1</v>
      </c>
      <c r="E186" s="166" t="s">
        <v>387</v>
      </c>
      <c r="F186" s="165" t="s">
        <v>388</v>
      </c>
      <c r="G186" s="165" t="s">
        <v>373</v>
      </c>
      <c r="H186" s="167" t="s">
        <v>272</v>
      </c>
      <c r="I186" s="563">
        <v>7.15</v>
      </c>
      <c r="J186" s="482">
        <v>1</v>
      </c>
      <c r="K186" s="482">
        <v>1</v>
      </c>
      <c r="L186" s="482">
        <v>1</v>
      </c>
      <c r="M186" s="482">
        <v>1</v>
      </c>
      <c r="N186" s="168">
        <v>255</v>
      </c>
      <c r="O186" s="168"/>
      <c r="P186" s="168"/>
      <c r="Q186" s="168"/>
      <c r="R186" s="169" t="e">
        <f t="shared" si="19"/>
        <v>#DIV/0!</v>
      </c>
      <c r="S186" s="169">
        <f t="shared" si="20"/>
        <v>0</v>
      </c>
      <c r="T186" s="169">
        <f t="shared" si="21"/>
        <v>0</v>
      </c>
      <c r="U186" s="169">
        <f t="shared" si="22"/>
        <v>0</v>
      </c>
      <c r="V186" s="519"/>
      <c r="W186" s="170">
        <f>IF(N186="nio",0,IF(N186&gt;0,VLOOKUP(G186,'3-Productie normen'!A:N,VLOOKUP(N186,'3-Productie normen'!Q:R,2,FALSE),FALSE)))</f>
        <v>0</v>
      </c>
      <c r="X186" s="170">
        <f t="shared" si="16"/>
        <v>0</v>
      </c>
      <c r="Y186" s="170">
        <f t="shared" si="17"/>
        <v>0</v>
      </c>
      <c r="Z186" s="170">
        <f t="shared" si="23"/>
        <v>0</v>
      </c>
      <c r="AA186" s="171">
        <f>VLOOKUP(G186,'3-Productie normen'!A:N,10,FALSE)</f>
        <v>1</v>
      </c>
      <c r="AB186" s="171"/>
      <c r="AD186" s="131">
        <f t="shared" si="18"/>
        <v>1823.25</v>
      </c>
    </row>
    <row r="187" spans="1:30" ht="14.1" customHeight="1">
      <c r="A187" s="147">
        <v>187</v>
      </c>
      <c r="B187" s="165" t="s">
        <v>364</v>
      </c>
      <c r="C187" s="165" t="s">
        <v>416</v>
      </c>
      <c r="D187" s="568">
        <v>1</v>
      </c>
      <c r="E187" s="166" t="s">
        <v>389</v>
      </c>
      <c r="F187" s="167" t="s">
        <v>384</v>
      </c>
      <c r="G187" s="525" t="s">
        <v>583</v>
      </c>
      <c r="H187" s="167" t="s">
        <v>272</v>
      </c>
      <c r="I187" s="563">
        <v>9.23</v>
      </c>
      <c r="J187" s="482">
        <v>1</v>
      </c>
      <c r="K187" s="482">
        <v>1</v>
      </c>
      <c r="L187" s="482">
        <v>1</v>
      </c>
      <c r="M187" s="482">
        <v>1</v>
      </c>
      <c r="N187" s="168">
        <v>255</v>
      </c>
      <c r="O187" s="168"/>
      <c r="P187" s="168"/>
      <c r="Q187" s="168"/>
      <c r="R187" s="169" t="e">
        <f t="shared" si="19"/>
        <v>#DIV/0!</v>
      </c>
      <c r="S187" s="169">
        <f t="shared" si="20"/>
        <v>0</v>
      </c>
      <c r="T187" s="169">
        <f t="shared" si="21"/>
        <v>0</v>
      </c>
      <c r="U187" s="169">
        <f t="shared" si="22"/>
        <v>0</v>
      </c>
      <c r="V187" s="519"/>
      <c r="W187" s="170">
        <f>IF(N187="nio",0,IF(N187&gt;0,VLOOKUP(G187,'3-Productie normen'!A:N,VLOOKUP(N187,'3-Productie normen'!Q:R,2,FALSE),FALSE)))</f>
        <v>0</v>
      </c>
      <c r="X187" s="170">
        <f t="shared" si="16"/>
        <v>0</v>
      </c>
      <c r="Y187" s="170">
        <f t="shared" si="17"/>
        <v>0</v>
      </c>
      <c r="Z187" s="170">
        <f t="shared" si="23"/>
        <v>0</v>
      </c>
      <c r="AA187" s="171">
        <f>VLOOKUP(G187,'3-Productie normen'!A:N,10,FALSE)</f>
        <v>4</v>
      </c>
      <c r="AB187" s="171"/>
      <c r="AD187" s="131">
        <f t="shared" si="18"/>
        <v>2353.65</v>
      </c>
    </row>
    <row r="188" spans="1:30" ht="14.1" customHeight="1">
      <c r="A188" s="147">
        <v>188</v>
      </c>
      <c r="B188" s="165" t="s">
        <v>364</v>
      </c>
      <c r="C188" s="165" t="s">
        <v>416</v>
      </c>
      <c r="D188" s="568">
        <v>1</v>
      </c>
      <c r="E188" s="166" t="s">
        <v>390</v>
      </c>
      <c r="F188" s="167" t="s">
        <v>381</v>
      </c>
      <c r="G188" s="167" t="s">
        <v>373</v>
      </c>
      <c r="H188" s="167" t="s">
        <v>415</v>
      </c>
      <c r="I188" s="563">
        <v>69.180000000000007</v>
      </c>
      <c r="J188" s="482">
        <v>1</v>
      </c>
      <c r="K188" s="482">
        <v>1</v>
      </c>
      <c r="L188" s="482">
        <v>1</v>
      </c>
      <c r="M188" s="482">
        <v>1</v>
      </c>
      <c r="N188" s="168">
        <v>255</v>
      </c>
      <c r="O188" s="168"/>
      <c r="P188" s="168"/>
      <c r="Q188" s="168"/>
      <c r="R188" s="169" t="e">
        <f t="shared" si="19"/>
        <v>#DIV/0!</v>
      </c>
      <c r="S188" s="169">
        <f t="shared" si="20"/>
        <v>0</v>
      </c>
      <c r="T188" s="169">
        <f t="shared" si="21"/>
        <v>0</v>
      </c>
      <c r="U188" s="169">
        <f t="shared" si="22"/>
        <v>0</v>
      </c>
      <c r="V188" s="519"/>
      <c r="W188" s="170">
        <f>IF(N188="nio",0,IF(N188&gt;0,VLOOKUP(G188,'3-Productie normen'!A:N,VLOOKUP(N188,'3-Productie normen'!Q:R,2,FALSE),FALSE)))</f>
        <v>0</v>
      </c>
      <c r="X188" s="170">
        <f t="shared" si="16"/>
        <v>0</v>
      </c>
      <c r="Y188" s="170">
        <f t="shared" si="17"/>
        <v>0</v>
      </c>
      <c r="Z188" s="170">
        <f t="shared" si="23"/>
        <v>0</v>
      </c>
      <c r="AA188" s="171">
        <f>VLOOKUP(G188,'3-Productie normen'!A:N,10,FALSE)</f>
        <v>1</v>
      </c>
      <c r="AB188" s="171"/>
      <c r="AD188" s="131">
        <f t="shared" si="18"/>
        <v>17640.900000000001</v>
      </c>
    </row>
    <row r="189" spans="1:30" ht="14.1" customHeight="1">
      <c r="A189" s="147">
        <v>189</v>
      </c>
      <c r="B189" s="165" t="s">
        <v>364</v>
      </c>
      <c r="C189" s="165" t="s">
        <v>416</v>
      </c>
      <c r="D189" s="568">
        <v>1</v>
      </c>
      <c r="E189" s="166" t="s">
        <v>391</v>
      </c>
      <c r="F189" s="167" t="s">
        <v>381</v>
      </c>
      <c r="G189" s="167" t="s">
        <v>373</v>
      </c>
      <c r="H189" s="167" t="s">
        <v>415</v>
      </c>
      <c r="I189" s="563">
        <v>115.05</v>
      </c>
      <c r="J189" s="482">
        <v>1</v>
      </c>
      <c r="K189" s="482">
        <v>1</v>
      </c>
      <c r="L189" s="482">
        <v>1</v>
      </c>
      <c r="M189" s="482">
        <v>1</v>
      </c>
      <c r="N189" s="168">
        <v>255</v>
      </c>
      <c r="O189" s="168"/>
      <c r="P189" s="168"/>
      <c r="Q189" s="168"/>
      <c r="R189" s="169" t="e">
        <f t="shared" si="19"/>
        <v>#DIV/0!</v>
      </c>
      <c r="S189" s="169">
        <f t="shared" si="20"/>
        <v>0</v>
      </c>
      <c r="T189" s="169">
        <f t="shared" si="21"/>
        <v>0</v>
      </c>
      <c r="U189" s="169">
        <f t="shared" si="22"/>
        <v>0</v>
      </c>
      <c r="V189" s="519"/>
      <c r="W189" s="170">
        <f>IF(N189="nio",0,IF(N189&gt;0,VLOOKUP(G189,'3-Productie normen'!A:N,VLOOKUP(N189,'3-Productie normen'!Q:R,2,FALSE),FALSE)))</f>
        <v>0</v>
      </c>
      <c r="X189" s="170">
        <f t="shared" si="16"/>
        <v>0</v>
      </c>
      <c r="Y189" s="170">
        <f t="shared" si="17"/>
        <v>0</v>
      </c>
      <c r="Z189" s="170">
        <f t="shared" si="23"/>
        <v>0</v>
      </c>
      <c r="AA189" s="171">
        <f>VLOOKUP(G189,'3-Productie normen'!A:N,10,FALSE)</f>
        <v>1</v>
      </c>
      <c r="AB189" s="171"/>
      <c r="AD189" s="131">
        <f t="shared" si="18"/>
        <v>29337.75</v>
      </c>
    </row>
    <row r="190" spans="1:30" ht="14.1" customHeight="1">
      <c r="A190" s="147">
        <v>190</v>
      </c>
      <c r="B190" s="165" t="s">
        <v>364</v>
      </c>
      <c r="C190" s="165" t="s">
        <v>416</v>
      </c>
      <c r="D190" s="568">
        <v>1</v>
      </c>
      <c r="E190" s="166" t="s">
        <v>392</v>
      </c>
      <c r="F190" s="167" t="s">
        <v>271</v>
      </c>
      <c r="G190" s="167" t="s">
        <v>580</v>
      </c>
      <c r="H190" s="167" t="s">
        <v>414</v>
      </c>
      <c r="I190" s="563">
        <v>9.8800000000000008</v>
      </c>
      <c r="J190" s="482">
        <v>1</v>
      </c>
      <c r="K190" s="482">
        <v>1</v>
      </c>
      <c r="L190" s="482">
        <v>1</v>
      </c>
      <c r="M190" s="482">
        <v>1</v>
      </c>
      <c r="N190" s="168">
        <v>255</v>
      </c>
      <c r="O190" s="168"/>
      <c r="P190" s="168"/>
      <c r="Q190" s="168"/>
      <c r="R190" s="169" t="e">
        <f t="shared" si="19"/>
        <v>#DIV/0!</v>
      </c>
      <c r="S190" s="169">
        <f t="shared" si="20"/>
        <v>0</v>
      </c>
      <c r="T190" s="169">
        <f t="shared" si="21"/>
        <v>0</v>
      </c>
      <c r="U190" s="169">
        <f t="shared" si="22"/>
        <v>0</v>
      </c>
      <c r="V190" s="519"/>
      <c r="W190" s="170">
        <f>IF(N190="nio",0,IF(N190&gt;0,VLOOKUP(G190,'3-Productie normen'!A:N,VLOOKUP(N190,'3-Productie normen'!Q:R,2,FALSE),FALSE)))</f>
        <v>0</v>
      </c>
      <c r="X190" s="170">
        <f t="shared" si="16"/>
        <v>0</v>
      </c>
      <c r="Y190" s="170">
        <f t="shared" si="17"/>
        <v>0</v>
      </c>
      <c r="Z190" s="170">
        <f t="shared" si="23"/>
        <v>0</v>
      </c>
      <c r="AA190" s="171">
        <f>VLOOKUP(G190,'3-Productie normen'!A:N,10,FALSE)</f>
        <v>4</v>
      </c>
      <c r="AB190" s="171"/>
      <c r="AD190" s="131">
        <f t="shared" si="18"/>
        <v>2519.4</v>
      </c>
    </row>
    <row r="191" spans="1:30" ht="14.1" customHeight="1">
      <c r="A191" s="147">
        <v>191</v>
      </c>
      <c r="B191" s="165" t="s">
        <v>364</v>
      </c>
      <c r="C191" s="165" t="s">
        <v>416</v>
      </c>
      <c r="D191" s="568">
        <v>1</v>
      </c>
      <c r="E191" s="166" t="s">
        <v>393</v>
      </c>
      <c r="F191" s="173" t="s">
        <v>340</v>
      </c>
      <c r="G191" s="173" t="s">
        <v>209</v>
      </c>
      <c r="H191" s="167" t="s">
        <v>272</v>
      </c>
      <c r="I191" s="563">
        <v>36.67</v>
      </c>
      <c r="J191" s="482">
        <v>1</v>
      </c>
      <c r="K191" s="482">
        <v>1</v>
      </c>
      <c r="L191" s="482">
        <v>1</v>
      </c>
      <c r="M191" s="482">
        <v>1</v>
      </c>
      <c r="N191" s="168">
        <v>255</v>
      </c>
      <c r="O191" s="168"/>
      <c r="P191" s="168"/>
      <c r="Q191" s="168"/>
      <c r="R191" s="169" t="e">
        <f t="shared" si="19"/>
        <v>#DIV/0!</v>
      </c>
      <c r="S191" s="169">
        <f t="shared" si="20"/>
        <v>0</v>
      </c>
      <c r="T191" s="169">
        <f t="shared" si="21"/>
        <v>0</v>
      </c>
      <c r="U191" s="169">
        <f t="shared" si="22"/>
        <v>0</v>
      </c>
      <c r="V191" s="519"/>
      <c r="W191" s="170">
        <f>IF(N191="nio",0,IF(N191&gt;0,VLOOKUP(G191,'3-Productie normen'!A:N,VLOOKUP(N191,'3-Productie normen'!Q:R,2,FALSE),FALSE)))</f>
        <v>0</v>
      </c>
      <c r="X191" s="170">
        <f t="shared" si="16"/>
        <v>0</v>
      </c>
      <c r="Y191" s="170">
        <f t="shared" si="17"/>
        <v>0</v>
      </c>
      <c r="Z191" s="170">
        <f t="shared" si="23"/>
        <v>0</v>
      </c>
      <c r="AA191" s="171">
        <f>VLOOKUP(G191,'3-Productie normen'!A:N,10,FALSE)</f>
        <v>1</v>
      </c>
      <c r="AB191" s="171"/>
      <c r="AD191" s="131">
        <f t="shared" si="18"/>
        <v>9350.85</v>
      </c>
    </row>
    <row r="192" spans="1:30" ht="14.1" customHeight="1">
      <c r="A192" s="147">
        <v>192</v>
      </c>
      <c r="B192" s="165" t="s">
        <v>364</v>
      </c>
      <c r="C192" s="165" t="s">
        <v>416</v>
      </c>
      <c r="D192" s="568">
        <v>2</v>
      </c>
      <c r="E192" s="166" t="s">
        <v>394</v>
      </c>
      <c r="F192" s="174" t="s">
        <v>269</v>
      </c>
      <c r="G192" s="525" t="s">
        <v>583</v>
      </c>
      <c r="H192" s="175" t="s">
        <v>414</v>
      </c>
      <c r="I192" s="563">
        <v>16.2</v>
      </c>
      <c r="J192" s="482">
        <v>1</v>
      </c>
      <c r="K192" s="482">
        <v>1</v>
      </c>
      <c r="L192" s="482">
        <v>1</v>
      </c>
      <c r="M192" s="482">
        <v>1</v>
      </c>
      <c r="N192" s="168">
        <v>255</v>
      </c>
      <c r="O192" s="168"/>
      <c r="P192" s="168"/>
      <c r="Q192" s="168"/>
      <c r="R192" s="169" t="e">
        <f t="shared" si="19"/>
        <v>#DIV/0!</v>
      </c>
      <c r="S192" s="169">
        <f t="shared" si="20"/>
        <v>0</v>
      </c>
      <c r="T192" s="169">
        <f t="shared" si="21"/>
        <v>0</v>
      </c>
      <c r="U192" s="169">
        <f t="shared" si="22"/>
        <v>0</v>
      </c>
      <c r="V192" s="519"/>
      <c r="W192" s="170">
        <f>IF(N192="nio",0,IF(N192&gt;0,VLOOKUP(G192,'3-Productie normen'!A:N,VLOOKUP(N192,'3-Productie normen'!Q:R,2,FALSE),FALSE)))</f>
        <v>0</v>
      </c>
      <c r="X192" s="170">
        <f t="shared" si="16"/>
        <v>0</v>
      </c>
      <c r="Y192" s="170">
        <f t="shared" si="17"/>
        <v>0</v>
      </c>
      <c r="Z192" s="170">
        <f t="shared" si="23"/>
        <v>0</v>
      </c>
      <c r="AA192" s="171">
        <f>VLOOKUP(G192,'3-Productie normen'!A:N,10,FALSE)</f>
        <v>4</v>
      </c>
      <c r="AB192" s="171"/>
      <c r="AD192" s="131">
        <f t="shared" si="18"/>
        <v>4131</v>
      </c>
    </row>
    <row r="193" spans="1:30" ht="14.1" customHeight="1">
      <c r="A193" s="147">
        <v>193</v>
      </c>
      <c r="B193" s="165" t="s">
        <v>364</v>
      </c>
      <c r="C193" s="165" t="s">
        <v>416</v>
      </c>
      <c r="D193" s="568">
        <v>2</v>
      </c>
      <c r="E193" s="166" t="s">
        <v>395</v>
      </c>
      <c r="F193" s="165" t="s">
        <v>377</v>
      </c>
      <c r="G193" s="177" t="s">
        <v>17</v>
      </c>
      <c r="H193" s="167" t="s">
        <v>414</v>
      </c>
      <c r="I193" s="563">
        <v>7.13</v>
      </c>
      <c r="J193" s="482">
        <v>1</v>
      </c>
      <c r="K193" s="482">
        <v>1</v>
      </c>
      <c r="L193" s="482">
        <v>1</v>
      </c>
      <c r="M193" s="482">
        <v>1</v>
      </c>
      <c r="N193" s="168">
        <v>255</v>
      </c>
      <c r="O193" s="168"/>
      <c r="P193" s="168"/>
      <c r="Q193" s="168"/>
      <c r="R193" s="169" t="e">
        <f t="shared" si="19"/>
        <v>#DIV/0!</v>
      </c>
      <c r="S193" s="169">
        <f t="shared" si="20"/>
        <v>0</v>
      </c>
      <c r="T193" s="169">
        <f t="shared" si="21"/>
        <v>0</v>
      </c>
      <c r="U193" s="169">
        <f t="shared" si="22"/>
        <v>0</v>
      </c>
      <c r="V193" s="519"/>
      <c r="W193" s="170">
        <f>IF(N193="nio",0,IF(N193&gt;0,VLOOKUP(G193,'3-Productie normen'!A:N,VLOOKUP(N193,'3-Productie normen'!Q:R,2,FALSE),FALSE)))</f>
        <v>0</v>
      </c>
      <c r="X193" s="170">
        <f t="shared" si="16"/>
        <v>0</v>
      </c>
      <c r="Y193" s="170">
        <f t="shared" si="17"/>
        <v>0</v>
      </c>
      <c r="Z193" s="170">
        <f t="shared" si="23"/>
        <v>0</v>
      </c>
      <c r="AA193" s="171">
        <f>VLOOKUP(G193,'3-Productie normen'!A:N,10,FALSE)</f>
        <v>3</v>
      </c>
      <c r="AB193" s="171"/>
      <c r="AD193" s="131">
        <f t="shared" si="18"/>
        <v>1818.1499999999999</v>
      </c>
    </row>
    <row r="194" spans="1:30" ht="14.1" customHeight="1">
      <c r="A194" s="147">
        <v>194</v>
      </c>
      <c r="B194" s="165" t="s">
        <v>364</v>
      </c>
      <c r="C194" s="165" t="s">
        <v>416</v>
      </c>
      <c r="D194" s="568">
        <v>2</v>
      </c>
      <c r="E194" s="166" t="s">
        <v>396</v>
      </c>
      <c r="F194" s="165" t="s">
        <v>379</v>
      </c>
      <c r="G194" s="177" t="s">
        <v>17</v>
      </c>
      <c r="H194" s="167" t="s">
        <v>414</v>
      </c>
      <c r="I194" s="563">
        <v>5.71</v>
      </c>
      <c r="J194" s="482">
        <v>1</v>
      </c>
      <c r="K194" s="482">
        <v>1</v>
      </c>
      <c r="L194" s="482">
        <v>1</v>
      </c>
      <c r="M194" s="482">
        <v>1</v>
      </c>
      <c r="N194" s="168">
        <v>255</v>
      </c>
      <c r="O194" s="168"/>
      <c r="P194" s="168"/>
      <c r="Q194" s="168"/>
      <c r="R194" s="169" t="e">
        <f t="shared" si="19"/>
        <v>#DIV/0!</v>
      </c>
      <c r="S194" s="169">
        <f t="shared" si="20"/>
        <v>0</v>
      </c>
      <c r="T194" s="169">
        <f t="shared" si="21"/>
        <v>0</v>
      </c>
      <c r="U194" s="169">
        <f t="shared" si="22"/>
        <v>0</v>
      </c>
      <c r="V194" s="519"/>
      <c r="W194" s="170">
        <f>IF(N194="nio",0,IF(N194&gt;0,VLOOKUP(G194,'3-Productie normen'!A:N,VLOOKUP(N194,'3-Productie normen'!Q:R,2,FALSE),FALSE)))</f>
        <v>0</v>
      </c>
      <c r="X194" s="170">
        <f t="shared" si="16"/>
        <v>0</v>
      </c>
      <c r="Y194" s="170">
        <f t="shared" si="17"/>
        <v>0</v>
      </c>
      <c r="Z194" s="170">
        <f t="shared" si="23"/>
        <v>0</v>
      </c>
      <c r="AA194" s="171">
        <f>VLOOKUP(G194,'3-Productie normen'!A:N,10,FALSE)</f>
        <v>3</v>
      </c>
      <c r="AB194" s="171"/>
      <c r="AD194" s="131">
        <f t="shared" si="18"/>
        <v>1456.05</v>
      </c>
    </row>
    <row r="195" spans="1:30" ht="14.1" customHeight="1">
      <c r="A195" s="147">
        <v>195</v>
      </c>
      <c r="B195" s="165" t="s">
        <v>364</v>
      </c>
      <c r="C195" s="165" t="s">
        <v>416</v>
      </c>
      <c r="D195" s="568">
        <v>2</v>
      </c>
      <c r="E195" s="166" t="s">
        <v>397</v>
      </c>
      <c r="F195" s="167" t="s">
        <v>371</v>
      </c>
      <c r="G195" s="167" t="s">
        <v>107</v>
      </c>
      <c r="H195" s="167" t="s">
        <v>415</v>
      </c>
      <c r="I195" s="563">
        <v>21.93</v>
      </c>
      <c r="J195" s="482">
        <v>1</v>
      </c>
      <c r="K195" s="482">
        <v>1</v>
      </c>
      <c r="L195" s="482">
        <v>1</v>
      </c>
      <c r="M195" s="482">
        <v>1</v>
      </c>
      <c r="N195" s="168">
        <v>255</v>
      </c>
      <c r="O195" s="168"/>
      <c r="P195" s="168"/>
      <c r="Q195" s="168"/>
      <c r="R195" s="169" t="e">
        <f t="shared" si="19"/>
        <v>#DIV/0!</v>
      </c>
      <c r="S195" s="169">
        <f t="shared" si="20"/>
        <v>0</v>
      </c>
      <c r="T195" s="169">
        <f t="shared" si="21"/>
        <v>0</v>
      </c>
      <c r="U195" s="169">
        <f t="shared" si="22"/>
        <v>0</v>
      </c>
      <c r="V195" s="519"/>
      <c r="W195" s="170">
        <f>IF(N195="nio",0,IF(N195&gt;0,VLOOKUP(G195,'3-Productie normen'!A:N,VLOOKUP(N195,'3-Productie normen'!Q:R,2,FALSE),FALSE)))</f>
        <v>0</v>
      </c>
      <c r="X195" s="170">
        <f t="shared" si="16"/>
        <v>0</v>
      </c>
      <c r="Y195" s="170">
        <f t="shared" si="17"/>
        <v>0</v>
      </c>
      <c r="Z195" s="170">
        <f t="shared" si="23"/>
        <v>0</v>
      </c>
      <c r="AA195" s="171">
        <f>VLOOKUP(G195,'3-Productie normen'!A:N,10,FALSE)</f>
        <v>2</v>
      </c>
      <c r="AB195" s="171"/>
      <c r="AD195" s="131">
        <f t="shared" si="18"/>
        <v>5592.15</v>
      </c>
    </row>
    <row r="196" spans="1:30" ht="14.1" customHeight="1">
      <c r="A196" s="147">
        <v>196</v>
      </c>
      <c r="B196" s="165" t="s">
        <v>364</v>
      </c>
      <c r="C196" s="165" t="s">
        <v>416</v>
      </c>
      <c r="D196" s="568">
        <v>2</v>
      </c>
      <c r="E196" s="166" t="s">
        <v>398</v>
      </c>
      <c r="F196" s="167" t="s">
        <v>399</v>
      </c>
      <c r="G196" s="173" t="s">
        <v>209</v>
      </c>
      <c r="H196" s="167" t="s">
        <v>272</v>
      </c>
      <c r="I196" s="563">
        <v>34.89</v>
      </c>
      <c r="J196" s="482">
        <v>1</v>
      </c>
      <c r="K196" s="482">
        <v>1</v>
      </c>
      <c r="L196" s="482">
        <v>1</v>
      </c>
      <c r="M196" s="482">
        <v>1</v>
      </c>
      <c r="N196" s="168">
        <v>255</v>
      </c>
      <c r="O196" s="168"/>
      <c r="P196" s="168"/>
      <c r="Q196" s="168"/>
      <c r="R196" s="169" t="e">
        <f t="shared" si="19"/>
        <v>#DIV/0!</v>
      </c>
      <c r="S196" s="169">
        <f t="shared" si="20"/>
        <v>0</v>
      </c>
      <c r="T196" s="169">
        <f t="shared" si="21"/>
        <v>0</v>
      </c>
      <c r="U196" s="169">
        <f t="shared" si="22"/>
        <v>0</v>
      </c>
      <c r="V196" s="519"/>
      <c r="W196" s="170">
        <f>IF(N196="nio",0,IF(N196&gt;0,VLOOKUP(G196,'3-Productie normen'!A:N,VLOOKUP(N196,'3-Productie normen'!Q:R,2,FALSE),FALSE)))</f>
        <v>0</v>
      </c>
      <c r="X196" s="170">
        <f t="shared" si="16"/>
        <v>0</v>
      </c>
      <c r="Y196" s="170">
        <f t="shared" si="17"/>
        <v>0</v>
      </c>
      <c r="Z196" s="170">
        <f t="shared" si="23"/>
        <v>0</v>
      </c>
      <c r="AA196" s="171">
        <f>VLOOKUP(G196,'3-Productie normen'!A:N,10,FALSE)</f>
        <v>1</v>
      </c>
      <c r="AB196" s="171"/>
      <c r="AD196" s="131">
        <f t="shared" si="18"/>
        <v>8896.9500000000007</v>
      </c>
    </row>
    <row r="197" spans="1:30" ht="14.1" customHeight="1">
      <c r="A197" s="147">
        <v>197</v>
      </c>
      <c r="B197" s="165" t="s">
        <v>364</v>
      </c>
      <c r="C197" s="165" t="s">
        <v>416</v>
      </c>
      <c r="D197" s="568">
        <v>2</v>
      </c>
      <c r="E197" s="166" t="s">
        <v>400</v>
      </c>
      <c r="F197" s="167" t="s">
        <v>381</v>
      </c>
      <c r="G197" s="167" t="s">
        <v>373</v>
      </c>
      <c r="H197" s="167" t="s">
        <v>415</v>
      </c>
      <c r="I197" s="563">
        <v>130.74</v>
      </c>
      <c r="J197" s="482">
        <v>1</v>
      </c>
      <c r="K197" s="482">
        <v>1</v>
      </c>
      <c r="L197" s="482">
        <v>1</v>
      </c>
      <c r="M197" s="482">
        <v>1</v>
      </c>
      <c r="N197" s="168">
        <v>255</v>
      </c>
      <c r="O197" s="168"/>
      <c r="P197" s="168"/>
      <c r="Q197" s="168"/>
      <c r="R197" s="169" t="e">
        <f t="shared" si="19"/>
        <v>#DIV/0!</v>
      </c>
      <c r="S197" s="169">
        <f t="shared" si="20"/>
        <v>0</v>
      </c>
      <c r="T197" s="169">
        <f t="shared" si="21"/>
        <v>0</v>
      </c>
      <c r="U197" s="169">
        <f t="shared" si="22"/>
        <v>0</v>
      </c>
      <c r="V197" s="519"/>
      <c r="W197" s="170">
        <f>IF(N197="nio",0,IF(N197&gt;0,VLOOKUP(G197,'3-Productie normen'!A:N,VLOOKUP(N197,'3-Productie normen'!Q:R,2,FALSE),FALSE)))</f>
        <v>0</v>
      </c>
      <c r="X197" s="170">
        <f t="shared" si="16"/>
        <v>0</v>
      </c>
      <c r="Y197" s="170">
        <f t="shared" si="17"/>
        <v>0</v>
      </c>
      <c r="Z197" s="170">
        <f t="shared" si="23"/>
        <v>0</v>
      </c>
      <c r="AA197" s="171">
        <f>VLOOKUP(G197,'3-Productie normen'!A:N,10,FALSE)</f>
        <v>1</v>
      </c>
      <c r="AB197" s="171"/>
      <c r="AD197" s="131">
        <f t="shared" si="18"/>
        <v>33338.700000000004</v>
      </c>
    </row>
    <row r="198" spans="1:30" ht="14.1" customHeight="1">
      <c r="A198" s="147">
        <v>198</v>
      </c>
      <c r="B198" s="165" t="s">
        <v>364</v>
      </c>
      <c r="C198" s="165" t="s">
        <v>416</v>
      </c>
      <c r="D198" s="568">
        <v>2</v>
      </c>
      <c r="E198" s="166" t="s">
        <v>401</v>
      </c>
      <c r="F198" s="167" t="s">
        <v>381</v>
      </c>
      <c r="G198" s="167" t="s">
        <v>373</v>
      </c>
      <c r="H198" s="167" t="s">
        <v>415</v>
      </c>
      <c r="I198" s="563">
        <v>90.98</v>
      </c>
      <c r="J198" s="482">
        <v>1</v>
      </c>
      <c r="K198" s="482">
        <v>1</v>
      </c>
      <c r="L198" s="482">
        <v>1</v>
      </c>
      <c r="M198" s="482">
        <v>1</v>
      </c>
      <c r="N198" s="168">
        <v>255</v>
      </c>
      <c r="O198" s="168"/>
      <c r="P198" s="168"/>
      <c r="Q198" s="168"/>
      <c r="R198" s="169" t="e">
        <f t="shared" si="19"/>
        <v>#DIV/0!</v>
      </c>
      <c r="S198" s="169">
        <f t="shared" si="20"/>
        <v>0</v>
      </c>
      <c r="T198" s="169">
        <f t="shared" si="21"/>
        <v>0</v>
      </c>
      <c r="U198" s="169">
        <f t="shared" si="22"/>
        <v>0</v>
      </c>
      <c r="V198" s="519"/>
      <c r="W198" s="170">
        <f>IF(N198="nio",0,IF(N198&gt;0,VLOOKUP(G198,'3-Productie normen'!A:N,VLOOKUP(N198,'3-Productie normen'!Q:R,2,FALSE),FALSE)))</f>
        <v>0</v>
      </c>
      <c r="X198" s="170">
        <f t="shared" si="16"/>
        <v>0</v>
      </c>
      <c r="Y198" s="170">
        <f t="shared" si="17"/>
        <v>0</v>
      </c>
      <c r="Z198" s="170">
        <f t="shared" si="23"/>
        <v>0</v>
      </c>
      <c r="AA198" s="171">
        <f>VLOOKUP(G198,'3-Productie normen'!A:N,10,FALSE)</f>
        <v>1</v>
      </c>
      <c r="AB198" s="171"/>
      <c r="AD198" s="131">
        <f t="shared" si="18"/>
        <v>23199.9</v>
      </c>
    </row>
    <row r="199" spans="1:30" ht="14.1" customHeight="1">
      <c r="A199" s="147">
        <v>199</v>
      </c>
      <c r="B199" s="165" t="s">
        <v>364</v>
      </c>
      <c r="C199" s="165" t="s">
        <v>416</v>
      </c>
      <c r="D199" s="568">
        <v>2</v>
      </c>
      <c r="E199" s="166" t="s">
        <v>402</v>
      </c>
      <c r="F199" s="173" t="s">
        <v>381</v>
      </c>
      <c r="G199" s="173" t="s">
        <v>373</v>
      </c>
      <c r="H199" s="167" t="s">
        <v>415</v>
      </c>
      <c r="I199" s="563">
        <v>148.91</v>
      </c>
      <c r="J199" s="482">
        <v>1</v>
      </c>
      <c r="K199" s="482">
        <v>1</v>
      </c>
      <c r="L199" s="482">
        <v>1</v>
      </c>
      <c r="M199" s="482">
        <v>1</v>
      </c>
      <c r="N199" s="168">
        <v>255</v>
      </c>
      <c r="O199" s="168"/>
      <c r="P199" s="168"/>
      <c r="Q199" s="168"/>
      <c r="R199" s="169" t="e">
        <f t="shared" si="19"/>
        <v>#DIV/0!</v>
      </c>
      <c r="S199" s="169">
        <f t="shared" si="20"/>
        <v>0</v>
      </c>
      <c r="T199" s="169">
        <f t="shared" si="21"/>
        <v>0</v>
      </c>
      <c r="U199" s="169">
        <f t="shared" si="22"/>
        <v>0</v>
      </c>
      <c r="V199" s="519"/>
      <c r="W199" s="170">
        <f>IF(N199="nio",0,IF(N199&gt;0,VLOOKUP(G199,'3-Productie normen'!A:N,VLOOKUP(N199,'3-Productie normen'!Q:R,2,FALSE),FALSE)))</f>
        <v>0</v>
      </c>
      <c r="X199" s="170">
        <f t="shared" si="16"/>
        <v>0</v>
      </c>
      <c r="Y199" s="170">
        <f t="shared" si="17"/>
        <v>0</v>
      </c>
      <c r="Z199" s="170">
        <f t="shared" si="23"/>
        <v>0</v>
      </c>
      <c r="AA199" s="171">
        <f>VLOOKUP(G199,'3-Productie normen'!A:N,10,FALSE)</f>
        <v>1</v>
      </c>
      <c r="AB199" s="171"/>
      <c r="AD199" s="131">
        <f t="shared" si="18"/>
        <v>37972.049999999996</v>
      </c>
    </row>
    <row r="200" spans="1:30" ht="14.1" customHeight="1">
      <c r="A200" s="147">
        <v>200</v>
      </c>
      <c r="B200" s="165" t="s">
        <v>364</v>
      </c>
      <c r="C200" s="165" t="s">
        <v>416</v>
      </c>
      <c r="D200" s="568">
        <v>2</v>
      </c>
      <c r="E200" s="166" t="s">
        <v>403</v>
      </c>
      <c r="F200" s="174" t="s">
        <v>404</v>
      </c>
      <c r="G200" s="174" t="s">
        <v>373</v>
      </c>
      <c r="H200" s="175" t="s">
        <v>272</v>
      </c>
      <c r="I200" s="563">
        <v>16.48</v>
      </c>
      <c r="J200" s="482">
        <v>1</v>
      </c>
      <c r="K200" s="482">
        <v>1</v>
      </c>
      <c r="L200" s="482">
        <v>1</v>
      </c>
      <c r="M200" s="482">
        <v>1</v>
      </c>
      <c r="N200" s="168">
        <v>255</v>
      </c>
      <c r="O200" s="168"/>
      <c r="P200" s="168"/>
      <c r="Q200" s="168"/>
      <c r="R200" s="169" t="e">
        <f t="shared" si="19"/>
        <v>#DIV/0!</v>
      </c>
      <c r="S200" s="169">
        <f t="shared" si="20"/>
        <v>0</v>
      </c>
      <c r="T200" s="169">
        <f t="shared" si="21"/>
        <v>0</v>
      </c>
      <c r="U200" s="169">
        <f t="shared" si="22"/>
        <v>0</v>
      </c>
      <c r="V200" s="519"/>
      <c r="W200" s="170">
        <f>IF(N200="nio",0,IF(N200&gt;0,VLOOKUP(G200,'3-Productie normen'!A:N,VLOOKUP(N200,'3-Productie normen'!Q:R,2,FALSE),FALSE)))</f>
        <v>0</v>
      </c>
      <c r="X200" s="170">
        <f t="shared" si="16"/>
        <v>0</v>
      </c>
      <c r="Y200" s="170">
        <f t="shared" si="17"/>
        <v>0</v>
      </c>
      <c r="Z200" s="170">
        <f t="shared" si="23"/>
        <v>0</v>
      </c>
      <c r="AA200" s="171">
        <f>VLOOKUP(G200,'3-Productie normen'!A:N,10,FALSE)</f>
        <v>1</v>
      </c>
      <c r="AB200" s="171"/>
      <c r="AD200" s="131">
        <f t="shared" si="18"/>
        <v>4202.4000000000005</v>
      </c>
    </row>
    <row r="201" spans="1:30" ht="14.1" customHeight="1">
      <c r="A201" s="147">
        <v>201</v>
      </c>
      <c r="B201" s="165" t="s">
        <v>364</v>
      </c>
      <c r="C201" s="165" t="s">
        <v>416</v>
      </c>
      <c r="D201" s="568">
        <v>2</v>
      </c>
      <c r="E201" s="176" t="s">
        <v>405</v>
      </c>
      <c r="F201" s="177" t="s">
        <v>406</v>
      </c>
      <c r="G201" s="177" t="s">
        <v>583</v>
      </c>
      <c r="H201" s="167" t="s">
        <v>415</v>
      </c>
      <c r="I201" s="563">
        <v>30.82</v>
      </c>
      <c r="J201" s="482">
        <v>1</v>
      </c>
      <c r="K201" s="482">
        <v>1</v>
      </c>
      <c r="L201" s="482">
        <v>1</v>
      </c>
      <c r="M201" s="482">
        <v>1</v>
      </c>
      <c r="N201" s="168">
        <v>255</v>
      </c>
      <c r="O201" s="168"/>
      <c r="P201" s="168"/>
      <c r="Q201" s="168"/>
      <c r="R201" s="169" t="e">
        <f t="shared" si="19"/>
        <v>#DIV/0!</v>
      </c>
      <c r="S201" s="169">
        <f t="shared" si="20"/>
        <v>0</v>
      </c>
      <c r="T201" s="169">
        <f t="shared" si="21"/>
        <v>0</v>
      </c>
      <c r="U201" s="169">
        <f t="shared" si="22"/>
        <v>0</v>
      </c>
      <c r="V201" s="519"/>
      <c r="W201" s="170">
        <f>IF(N201="nio",0,IF(N201&gt;0,VLOOKUP(G201,'3-Productie normen'!A:N,VLOOKUP(N201,'3-Productie normen'!Q:R,2,FALSE),FALSE)))</f>
        <v>0</v>
      </c>
      <c r="X201" s="170">
        <f t="shared" ref="X201:X276" si="24">IF(O201&gt;0,W201*$X$8,0)</f>
        <v>0</v>
      </c>
      <c r="Y201" s="170">
        <f t="shared" ref="Y201:Y276" si="25">IF(P201&gt;0,W201*$Y$8,0)</f>
        <v>0</v>
      </c>
      <c r="Z201" s="170">
        <f t="shared" si="23"/>
        <v>0</v>
      </c>
      <c r="AA201" s="171">
        <f>VLOOKUP(G201,'3-Productie normen'!A:N,10,FALSE)</f>
        <v>4</v>
      </c>
      <c r="AB201" s="171"/>
      <c r="AD201" s="131">
        <f t="shared" ref="AD201:AD276" si="26">SUM(N201:P201)*I201</f>
        <v>7859.1</v>
      </c>
    </row>
    <row r="202" spans="1:30" ht="14.1" customHeight="1">
      <c r="A202" s="147">
        <v>202</v>
      </c>
      <c r="B202" s="165" t="s">
        <v>364</v>
      </c>
      <c r="C202" s="165" t="s">
        <v>416</v>
      </c>
      <c r="D202" s="568">
        <v>2</v>
      </c>
      <c r="E202" s="166" t="s">
        <v>407</v>
      </c>
      <c r="F202" s="167" t="s">
        <v>408</v>
      </c>
      <c r="G202" s="167" t="s">
        <v>580</v>
      </c>
      <c r="H202" s="167" t="s">
        <v>414</v>
      </c>
      <c r="I202" s="563">
        <v>9.8800000000000008</v>
      </c>
      <c r="J202" s="482">
        <v>1</v>
      </c>
      <c r="K202" s="482">
        <v>1</v>
      </c>
      <c r="L202" s="482">
        <v>1</v>
      </c>
      <c r="M202" s="482">
        <v>1</v>
      </c>
      <c r="N202" s="168">
        <v>255</v>
      </c>
      <c r="O202" s="168"/>
      <c r="P202" s="168"/>
      <c r="Q202" s="168"/>
      <c r="R202" s="169" t="e">
        <f t="shared" ref="R202:R277" si="27">IF(N202="nio",0,IF(N202&gt;0,N202*I202/W202,0))*J202</f>
        <v>#DIV/0!</v>
      </c>
      <c r="S202" s="169">
        <f t="shared" ref="S202:S277" si="28">IF(O202&gt;0,O202*I202/X202,0)*K202</f>
        <v>0</v>
      </c>
      <c r="T202" s="169">
        <f t="shared" ref="T202:T277" si="29">IF(P202&gt;0,P202*I202/Y202,0)*L202</f>
        <v>0</v>
      </c>
      <c r="U202" s="169">
        <f t="shared" ref="U202:U277" si="30">IF(Q202&gt;0,Q202*I202/Z202,0)*M202</f>
        <v>0</v>
      </c>
      <c r="V202" s="519"/>
      <c r="W202" s="170">
        <f>IF(N202="nio",0,IF(N202&gt;0,VLOOKUP(G202,'3-Productie normen'!A:N,VLOOKUP(N202,'3-Productie normen'!Q:R,2,FALSE),FALSE)))</f>
        <v>0</v>
      </c>
      <c r="X202" s="170">
        <f t="shared" si="24"/>
        <v>0</v>
      </c>
      <c r="Y202" s="170">
        <f t="shared" si="25"/>
        <v>0</v>
      </c>
      <c r="Z202" s="170">
        <f t="shared" ref="Z202:Z277" si="31">IF(Q202&gt;0,W202*$Z$8,0)</f>
        <v>0</v>
      </c>
      <c r="AA202" s="171">
        <f>VLOOKUP(G202,'3-Productie normen'!A:N,10,FALSE)</f>
        <v>4</v>
      </c>
      <c r="AB202" s="171"/>
      <c r="AD202" s="131">
        <f t="shared" si="26"/>
        <v>2519.4</v>
      </c>
    </row>
    <row r="203" spans="1:30" ht="14.1" customHeight="1">
      <c r="A203" s="147">
        <v>203</v>
      </c>
      <c r="B203" s="165" t="s">
        <v>364</v>
      </c>
      <c r="C203" s="165" t="s">
        <v>416</v>
      </c>
      <c r="D203" s="568">
        <v>2</v>
      </c>
      <c r="E203" s="166" t="s">
        <v>409</v>
      </c>
      <c r="F203" s="165" t="s">
        <v>410</v>
      </c>
      <c r="G203" s="165" t="s">
        <v>373</v>
      </c>
      <c r="H203" s="167" t="s">
        <v>272</v>
      </c>
      <c r="I203" s="563">
        <v>6.42</v>
      </c>
      <c r="J203" s="482">
        <v>1</v>
      </c>
      <c r="K203" s="482">
        <v>1</v>
      </c>
      <c r="L203" s="482">
        <v>1</v>
      </c>
      <c r="M203" s="482">
        <v>1</v>
      </c>
      <c r="N203" s="168">
        <v>255</v>
      </c>
      <c r="O203" s="168"/>
      <c r="P203" s="168"/>
      <c r="Q203" s="168"/>
      <c r="R203" s="169" t="e">
        <f t="shared" si="27"/>
        <v>#DIV/0!</v>
      </c>
      <c r="S203" s="169">
        <f t="shared" si="28"/>
        <v>0</v>
      </c>
      <c r="T203" s="169">
        <f t="shared" si="29"/>
        <v>0</v>
      </c>
      <c r="U203" s="169">
        <f t="shared" si="30"/>
        <v>0</v>
      </c>
      <c r="V203" s="519"/>
      <c r="W203" s="170">
        <f>IF(N203="nio",0,IF(N203&gt;0,VLOOKUP(G203,'3-Productie normen'!A:N,VLOOKUP(N203,'3-Productie normen'!Q:R,2,FALSE),FALSE)))</f>
        <v>0</v>
      </c>
      <c r="X203" s="170">
        <f t="shared" si="24"/>
        <v>0</v>
      </c>
      <c r="Y203" s="170">
        <f t="shared" si="25"/>
        <v>0</v>
      </c>
      <c r="Z203" s="170">
        <f t="shared" si="31"/>
        <v>0</v>
      </c>
      <c r="AA203" s="171">
        <f>VLOOKUP(G203,'3-Productie normen'!A:N,10,FALSE)</f>
        <v>1</v>
      </c>
      <c r="AB203" s="171"/>
      <c r="AD203" s="131">
        <f t="shared" si="26"/>
        <v>1637.1</v>
      </c>
    </row>
    <row r="204" spans="1:30" ht="14.1" customHeight="1">
      <c r="A204" s="147">
        <v>204</v>
      </c>
      <c r="B204" s="165" t="s">
        <v>364</v>
      </c>
      <c r="C204" s="165" t="s">
        <v>416</v>
      </c>
      <c r="D204" s="568">
        <v>2</v>
      </c>
      <c r="E204" s="166" t="s">
        <v>411</v>
      </c>
      <c r="F204" s="165" t="s">
        <v>412</v>
      </c>
      <c r="G204" s="165" t="s">
        <v>373</v>
      </c>
      <c r="H204" s="167" t="s">
        <v>272</v>
      </c>
      <c r="I204" s="563">
        <v>6.42</v>
      </c>
      <c r="J204" s="482">
        <v>1</v>
      </c>
      <c r="K204" s="482">
        <v>1</v>
      </c>
      <c r="L204" s="482">
        <v>1</v>
      </c>
      <c r="M204" s="482">
        <v>1</v>
      </c>
      <c r="N204" s="168">
        <v>255</v>
      </c>
      <c r="O204" s="168"/>
      <c r="P204" s="168"/>
      <c r="Q204" s="168"/>
      <c r="R204" s="169" t="e">
        <f t="shared" si="27"/>
        <v>#DIV/0!</v>
      </c>
      <c r="S204" s="169">
        <f t="shared" si="28"/>
        <v>0</v>
      </c>
      <c r="T204" s="169">
        <f t="shared" si="29"/>
        <v>0</v>
      </c>
      <c r="U204" s="169">
        <f t="shared" si="30"/>
        <v>0</v>
      </c>
      <c r="V204" s="519"/>
      <c r="W204" s="170">
        <f>IF(N204="nio",0,IF(N204&gt;0,VLOOKUP(G204,'3-Productie normen'!A:N,VLOOKUP(N204,'3-Productie normen'!Q:R,2,FALSE),FALSE)))</f>
        <v>0</v>
      </c>
      <c r="X204" s="170">
        <f t="shared" si="24"/>
        <v>0</v>
      </c>
      <c r="Y204" s="170">
        <f t="shared" si="25"/>
        <v>0</v>
      </c>
      <c r="Z204" s="170">
        <f t="shared" si="31"/>
        <v>0</v>
      </c>
      <c r="AA204" s="171">
        <f>VLOOKUP(G204,'3-Productie normen'!A:N,10,FALSE)</f>
        <v>1</v>
      </c>
      <c r="AB204" s="171"/>
      <c r="AD204" s="131">
        <f t="shared" si="26"/>
        <v>1637.1</v>
      </c>
    </row>
    <row r="205" spans="1:30" ht="14.1" customHeight="1">
      <c r="A205" s="147">
        <v>205</v>
      </c>
      <c r="B205" s="165" t="s">
        <v>606</v>
      </c>
      <c r="C205" s="165" t="s">
        <v>620</v>
      </c>
      <c r="D205" s="568" t="s">
        <v>102</v>
      </c>
      <c r="E205" s="166"/>
      <c r="F205" s="165" t="s">
        <v>270</v>
      </c>
      <c r="G205" s="165" t="s">
        <v>373</v>
      </c>
      <c r="H205" s="167" t="s">
        <v>415</v>
      </c>
      <c r="I205" s="563">
        <v>14</v>
      </c>
      <c r="J205" s="482">
        <v>1</v>
      </c>
      <c r="K205" s="482"/>
      <c r="L205" s="482"/>
      <c r="M205" s="482"/>
      <c r="N205" s="168">
        <v>255</v>
      </c>
      <c r="O205" s="168"/>
      <c r="P205" s="168"/>
      <c r="Q205" s="168"/>
      <c r="R205" s="169" t="e">
        <f t="shared" ref="R205:R216" si="32">IF(N205="nio",0,IF(N205&gt;0,N205*I205/W205,0))*J205</f>
        <v>#DIV/0!</v>
      </c>
      <c r="S205" s="169">
        <f t="shared" ref="S205:S216" si="33">IF(O205&gt;0,O205*I205/X205,0)*K205</f>
        <v>0</v>
      </c>
      <c r="T205" s="169">
        <f t="shared" ref="T205:T216" si="34">IF(P205&gt;0,P205*I205/Y205,0)*L205</f>
        <v>0</v>
      </c>
      <c r="U205" s="169">
        <f t="shared" ref="U205:U216" si="35">IF(Q205&gt;0,Q205*I205/Z205,0)*M205</f>
        <v>0</v>
      </c>
      <c r="V205" s="519"/>
      <c r="W205" s="170">
        <f>IF(N205="nio",0,IF(N205&gt;0,VLOOKUP(G205,'3-Productie normen'!A:N,VLOOKUP(N205,'3-Productie normen'!Q:R,2,FALSE),FALSE)))</f>
        <v>0</v>
      </c>
      <c r="X205" s="170">
        <f t="shared" ref="X205:X216" si="36">IF(O205&gt;0,W205*$X$8,0)</f>
        <v>0</v>
      </c>
      <c r="Y205" s="170">
        <f t="shared" ref="Y205:Y216" si="37">IF(P205&gt;0,W205*$Y$8,0)</f>
        <v>0</v>
      </c>
      <c r="Z205" s="170">
        <f t="shared" ref="Z205:Z216" si="38">IF(Q205&gt;0,W205*$Z$8,0)</f>
        <v>0</v>
      </c>
      <c r="AA205" s="171">
        <f>VLOOKUP(G205,'3-Productie normen'!A:N,10,FALSE)</f>
        <v>1</v>
      </c>
      <c r="AB205" s="171"/>
      <c r="AD205" s="131">
        <f t="shared" ref="AD205:AD216" si="39">SUM(N205:P205)*I205</f>
        <v>3570</v>
      </c>
    </row>
    <row r="206" spans="1:30" ht="14.1" customHeight="1">
      <c r="A206" s="147">
        <v>206</v>
      </c>
      <c r="B206" s="165" t="s">
        <v>606</v>
      </c>
      <c r="C206" s="165" t="s">
        <v>620</v>
      </c>
      <c r="D206" s="568" t="s">
        <v>102</v>
      </c>
      <c r="E206" s="166"/>
      <c r="F206" s="165" t="s">
        <v>270</v>
      </c>
      <c r="G206" s="165" t="s">
        <v>373</v>
      </c>
      <c r="H206" s="167" t="s">
        <v>415</v>
      </c>
      <c r="I206" s="563">
        <v>13</v>
      </c>
      <c r="J206" s="482">
        <v>1</v>
      </c>
      <c r="K206" s="482"/>
      <c r="L206" s="482"/>
      <c r="M206" s="482"/>
      <c r="N206" s="168">
        <v>255</v>
      </c>
      <c r="O206" s="168"/>
      <c r="P206" s="168"/>
      <c r="Q206" s="168"/>
      <c r="R206" s="169" t="e">
        <f t="shared" si="32"/>
        <v>#DIV/0!</v>
      </c>
      <c r="S206" s="169">
        <f t="shared" si="33"/>
        <v>0</v>
      </c>
      <c r="T206" s="169">
        <f t="shared" si="34"/>
        <v>0</v>
      </c>
      <c r="U206" s="169">
        <f t="shared" si="35"/>
        <v>0</v>
      </c>
      <c r="V206" s="519"/>
      <c r="W206" s="170">
        <f>IF(N206="nio",0,IF(N206&gt;0,VLOOKUP(G206,'3-Productie normen'!A:N,VLOOKUP(N206,'3-Productie normen'!Q:R,2,FALSE),FALSE)))</f>
        <v>0</v>
      </c>
      <c r="X206" s="170">
        <f t="shared" si="36"/>
        <v>0</v>
      </c>
      <c r="Y206" s="170">
        <f t="shared" si="37"/>
        <v>0</v>
      </c>
      <c r="Z206" s="170">
        <f t="shared" si="38"/>
        <v>0</v>
      </c>
      <c r="AA206" s="171">
        <f>VLOOKUP(G206,'3-Productie normen'!A:N,10,FALSE)</f>
        <v>1</v>
      </c>
      <c r="AB206" s="171"/>
      <c r="AD206" s="131">
        <f t="shared" si="39"/>
        <v>3315</v>
      </c>
    </row>
    <row r="207" spans="1:30" ht="14.1" customHeight="1">
      <c r="A207" s="147">
        <v>207</v>
      </c>
      <c r="B207" s="165" t="s">
        <v>606</v>
      </c>
      <c r="C207" s="165" t="s">
        <v>620</v>
      </c>
      <c r="D207" s="568" t="s">
        <v>102</v>
      </c>
      <c r="E207" s="166"/>
      <c r="F207" s="165" t="s">
        <v>270</v>
      </c>
      <c r="G207" s="165" t="s">
        <v>373</v>
      </c>
      <c r="H207" s="167" t="s">
        <v>415</v>
      </c>
      <c r="I207" s="563">
        <v>14</v>
      </c>
      <c r="J207" s="482">
        <v>1</v>
      </c>
      <c r="K207" s="482"/>
      <c r="L207" s="482"/>
      <c r="M207" s="482"/>
      <c r="N207" s="168">
        <v>255</v>
      </c>
      <c r="O207" s="168"/>
      <c r="P207" s="168"/>
      <c r="Q207" s="168"/>
      <c r="R207" s="169" t="e">
        <f t="shared" si="32"/>
        <v>#DIV/0!</v>
      </c>
      <c r="S207" s="169">
        <f t="shared" si="33"/>
        <v>0</v>
      </c>
      <c r="T207" s="169">
        <f t="shared" si="34"/>
        <v>0</v>
      </c>
      <c r="U207" s="169">
        <f t="shared" si="35"/>
        <v>0</v>
      </c>
      <c r="V207" s="519"/>
      <c r="W207" s="170">
        <f>IF(N207="nio",0,IF(N207&gt;0,VLOOKUP(G207,'3-Productie normen'!A:N,VLOOKUP(N207,'3-Productie normen'!Q:R,2,FALSE),FALSE)))</f>
        <v>0</v>
      </c>
      <c r="X207" s="170">
        <f t="shared" si="36"/>
        <v>0</v>
      </c>
      <c r="Y207" s="170">
        <f t="shared" si="37"/>
        <v>0</v>
      </c>
      <c r="Z207" s="170">
        <f t="shared" si="38"/>
        <v>0</v>
      </c>
      <c r="AA207" s="171">
        <f>VLOOKUP(G207,'3-Productie normen'!A:N,10,FALSE)</f>
        <v>1</v>
      </c>
      <c r="AB207" s="171"/>
      <c r="AD207" s="131">
        <f t="shared" si="39"/>
        <v>3570</v>
      </c>
    </row>
    <row r="208" spans="1:30" ht="14.1" customHeight="1">
      <c r="A208" s="147">
        <v>208</v>
      </c>
      <c r="B208" s="165" t="s">
        <v>606</v>
      </c>
      <c r="C208" s="165" t="s">
        <v>620</v>
      </c>
      <c r="D208" s="568" t="s">
        <v>102</v>
      </c>
      <c r="E208" s="166"/>
      <c r="F208" s="165" t="s">
        <v>614</v>
      </c>
      <c r="G208" s="165" t="s">
        <v>583</v>
      </c>
      <c r="H208" s="167" t="s">
        <v>415</v>
      </c>
      <c r="I208" s="563">
        <v>14</v>
      </c>
      <c r="J208" s="482">
        <v>1</v>
      </c>
      <c r="K208" s="482"/>
      <c r="L208" s="482"/>
      <c r="M208" s="482"/>
      <c r="N208" s="168">
        <v>255</v>
      </c>
      <c r="O208" s="168"/>
      <c r="P208" s="168"/>
      <c r="Q208" s="168"/>
      <c r="R208" s="169" t="e">
        <f t="shared" si="32"/>
        <v>#DIV/0!</v>
      </c>
      <c r="S208" s="169">
        <f t="shared" si="33"/>
        <v>0</v>
      </c>
      <c r="T208" s="169">
        <f t="shared" si="34"/>
        <v>0</v>
      </c>
      <c r="U208" s="169">
        <f t="shared" si="35"/>
        <v>0</v>
      </c>
      <c r="V208" s="519"/>
      <c r="W208" s="170">
        <f>IF(N208="nio",0,IF(N208&gt;0,VLOOKUP(G208,'3-Productie normen'!A:N,VLOOKUP(N208,'3-Productie normen'!Q:R,2,FALSE),FALSE)))</f>
        <v>0</v>
      </c>
      <c r="X208" s="170">
        <f t="shared" si="36"/>
        <v>0</v>
      </c>
      <c r="Y208" s="170">
        <f t="shared" si="37"/>
        <v>0</v>
      </c>
      <c r="Z208" s="170">
        <f t="shared" si="38"/>
        <v>0</v>
      </c>
      <c r="AA208" s="171">
        <f>VLOOKUP(G208,'3-Productie normen'!A:N,10,FALSE)</f>
        <v>4</v>
      </c>
      <c r="AB208" s="171"/>
      <c r="AD208" s="131">
        <f t="shared" si="39"/>
        <v>3570</v>
      </c>
    </row>
    <row r="209" spans="1:30" ht="14.1" customHeight="1">
      <c r="A209" s="147">
        <v>209</v>
      </c>
      <c r="B209" s="165" t="s">
        <v>606</v>
      </c>
      <c r="C209" s="165" t="s">
        <v>620</v>
      </c>
      <c r="D209" s="568" t="s">
        <v>102</v>
      </c>
      <c r="E209" s="166"/>
      <c r="F209" s="165" t="s">
        <v>615</v>
      </c>
      <c r="G209" s="165" t="s">
        <v>579</v>
      </c>
      <c r="H209" s="167" t="s">
        <v>415</v>
      </c>
      <c r="I209" s="563">
        <v>110</v>
      </c>
      <c r="J209" s="482">
        <v>1</v>
      </c>
      <c r="K209" s="482"/>
      <c r="L209" s="482"/>
      <c r="M209" s="482"/>
      <c r="N209" s="168">
        <v>255</v>
      </c>
      <c r="O209" s="168"/>
      <c r="P209" s="168"/>
      <c r="Q209" s="168"/>
      <c r="R209" s="169" t="e">
        <f t="shared" si="32"/>
        <v>#DIV/0!</v>
      </c>
      <c r="S209" s="169">
        <f t="shared" si="33"/>
        <v>0</v>
      </c>
      <c r="T209" s="169">
        <f t="shared" si="34"/>
        <v>0</v>
      </c>
      <c r="U209" s="169">
        <f t="shared" si="35"/>
        <v>0</v>
      </c>
      <c r="V209" s="519"/>
      <c r="W209" s="170">
        <f>IF(N209="nio",0,IF(N209&gt;0,VLOOKUP(G209,'3-Productie normen'!A:N,VLOOKUP(N209,'3-Productie normen'!Q:R,2,FALSE),FALSE)))</f>
        <v>0</v>
      </c>
      <c r="X209" s="170">
        <f t="shared" si="36"/>
        <v>0</v>
      </c>
      <c r="Y209" s="170">
        <f t="shared" si="37"/>
        <v>0</v>
      </c>
      <c r="Z209" s="170">
        <f t="shared" si="38"/>
        <v>0</v>
      </c>
      <c r="AA209" s="171">
        <f>VLOOKUP(G209,'3-Productie normen'!A:N,10,FALSE)</f>
        <v>4</v>
      </c>
      <c r="AB209" s="171"/>
      <c r="AD209" s="131">
        <f t="shared" si="39"/>
        <v>28050</v>
      </c>
    </row>
    <row r="210" spans="1:30" ht="14.1" customHeight="1">
      <c r="A210" s="147">
        <v>210</v>
      </c>
      <c r="B210" s="165" t="s">
        <v>606</v>
      </c>
      <c r="C210" s="165" t="s">
        <v>620</v>
      </c>
      <c r="D210" s="568" t="s">
        <v>102</v>
      </c>
      <c r="E210" s="166"/>
      <c r="F210" s="165" t="s">
        <v>287</v>
      </c>
      <c r="G210" s="165" t="s">
        <v>17</v>
      </c>
      <c r="H210" s="167" t="s">
        <v>619</v>
      </c>
      <c r="I210" s="563">
        <v>8</v>
      </c>
      <c r="J210" s="482">
        <v>1</v>
      </c>
      <c r="K210" s="482"/>
      <c r="L210" s="482"/>
      <c r="M210" s="482"/>
      <c r="N210" s="168">
        <v>255</v>
      </c>
      <c r="O210" s="168"/>
      <c r="P210" s="168"/>
      <c r="Q210" s="168"/>
      <c r="R210" s="169" t="e">
        <f t="shared" si="32"/>
        <v>#DIV/0!</v>
      </c>
      <c r="S210" s="169">
        <f t="shared" si="33"/>
        <v>0</v>
      </c>
      <c r="T210" s="169">
        <f t="shared" si="34"/>
        <v>0</v>
      </c>
      <c r="U210" s="169">
        <f t="shared" si="35"/>
        <v>0</v>
      </c>
      <c r="V210" s="519"/>
      <c r="W210" s="170">
        <f>IF(N210="nio",0,IF(N210&gt;0,VLOOKUP(G210,'3-Productie normen'!A:N,VLOOKUP(N210,'3-Productie normen'!Q:R,2,FALSE),FALSE)))</f>
        <v>0</v>
      </c>
      <c r="X210" s="170">
        <f t="shared" si="36"/>
        <v>0</v>
      </c>
      <c r="Y210" s="170">
        <f t="shared" si="37"/>
        <v>0</v>
      </c>
      <c r="Z210" s="170">
        <f t="shared" si="38"/>
        <v>0</v>
      </c>
      <c r="AA210" s="171">
        <f>VLOOKUP(G210,'3-Productie normen'!A:N,10,FALSE)</f>
        <v>3</v>
      </c>
      <c r="AB210" s="171"/>
      <c r="AD210" s="131">
        <f t="shared" si="39"/>
        <v>2040</v>
      </c>
    </row>
    <row r="211" spans="1:30" ht="14.1" customHeight="1">
      <c r="A211" s="147">
        <v>211</v>
      </c>
      <c r="B211" s="165" t="s">
        <v>606</v>
      </c>
      <c r="C211" s="165" t="s">
        <v>620</v>
      </c>
      <c r="D211" s="568" t="s">
        <v>102</v>
      </c>
      <c r="E211" s="166"/>
      <c r="F211" s="165" t="s">
        <v>270</v>
      </c>
      <c r="G211" s="165" t="s">
        <v>373</v>
      </c>
      <c r="H211" s="167" t="s">
        <v>415</v>
      </c>
      <c r="I211" s="563">
        <v>25</v>
      </c>
      <c r="J211" s="482">
        <v>1</v>
      </c>
      <c r="K211" s="482"/>
      <c r="L211" s="482"/>
      <c r="M211" s="482"/>
      <c r="N211" s="168">
        <v>255</v>
      </c>
      <c r="O211" s="168"/>
      <c r="P211" s="168"/>
      <c r="Q211" s="168"/>
      <c r="R211" s="169" t="e">
        <f t="shared" si="32"/>
        <v>#DIV/0!</v>
      </c>
      <c r="S211" s="169">
        <f t="shared" si="33"/>
        <v>0</v>
      </c>
      <c r="T211" s="169">
        <f t="shared" si="34"/>
        <v>0</v>
      </c>
      <c r="U211" s="169">
        <f t="shared" si="35"/>
        <v>0</v>
      </c>
      <c r="V211" s="519"/>
      <c r="W211" s="170">
        <f>IF(N211="nio",0,IF(N211&gt;0,VLOOKUP(G211,'3-Productie normen'!A:N,VLOOKUP(N211,'3-Productie normen'!Q:R,2,FALSE),FALSE)))</f>
        <v>0</v>
      </c>
      <c r="X211" s="170">
        <f t="shared" si="36"/>
        <v>0</v>
      </c>
      <c r="Y211" s="170">
        <f t="shared" si="37"/>
        <v>0</v>
      </c>
      <c r="Z211" s="170">
        <f t="shared" si="38"/>
        <v>0</v>
      </c>
      <c r="AA211" s="171">
        <f>VLOOKUP(G211,'3-Productie normen'!A:N,10,FALSE)</f>
        <v>1</v>
      </c>
      <c r="AB211" s="171"/>
      <c r="AD211" s="131">
        <f t="shared" si="39"/>
        <v>6375</v>
      </c>
    </row>
    <row r="212" spans="1:30" ht="14.1" customHeight="1">
      <c r="A212" s="147">
        <v>212</v>
      </c>
      <c r="B212" s="165" t="s">
        <v>606</v>
      </c>
      <c r="C212" s="165" t="s">
        <v>620</v>
      </c>
      <c r="D212" s="568" t="s">
        <v>102</v>
      </c>
      <c r="E212" s="166"/>
      <c r="F212" s="165" t="s">
        <v>616</v>
      </c>
      <c r="G212" s="165" t="s">
        <v>373</v>
      </c>
      <c r="H212" s="167" t="s">
        <v>415</v>
      </c>
      <c r="I212" s="563">
        <v>70</v>
      </c>
      <c r="J212" s="482">
        <v>1</v>
      </c>
      <c r="K212" s="482"/>
      <c r="L212" s="482"/>
      <c r="M212" s="482"/>
      <c r="N212" s="168">
        <v>255</v>
      </c>
      <c r="O212" s="168"/>
      <c r="P212" s="168"/>
      <c r="Q212" s="168"/>
      <c r="R212" s="169" t="e">
        <f t="shared" si="32"/>
        <v>#DIV/0!</v>
      </c>
      <c r="S212" s="169">
        <f t="shared" si="33"/>
        <v>0</v>
      </c>
      <c r="T212" s="169">
        <f t="shared" si="34"/>
        <v>0</v>
      </c>
      <c r="U212" s="169">
        <f t="shared" si="35"/>
        <v>0</v>
      </c>
      <c r="V212" s="519"/>
      <c r="W212" s="170">
        <f>IF(N212="nio",0,IF(N212&gt;0,VLOOKUP(G212,'3-Productie normen'!A:N,VLOOKUP(N212,'3-Productie normen'!Q:R,2,FALSE),FALSE)))</f>
        <v>0</v>
      </c>
      <c r="X212" s="170">
        <f t="shared" si="36"/>
        <v>0</v>
      </c>
      <c r="Y212" s="170">
        <f t="shared" si="37"/>
        <v>0</v>
      </c>
      <c r="Z212" s="170">
        <f t="shared" si="38"/>
        <v>0</v>
      </c>
      <c r="AA212" s="171">
        <f>VLOOKUP(G212,'3-Productie normen'!A:N,10,FALSE)</f>
        <v>1</v>
      </c>
      <c r="AB212" s="171"/>
      <c r="AD212" s="131">
        <f t="shared" si="39"/>
        <v>17850</v>
      </c>
    </row>
    <row r="213" spans="1:30" ht="14.1" customHeight="1">
      <c r="A213" s="147">
        <v>213</v>
      </c>
      <c r="B213" s="165" t="s">
        <v>606</v>
      </c>
      <c r="C213" s="165" t="s">
        <v>620</v>
      </c>
      <c r="D213" s="568" t="s">
        <v>102</v>
      </c>
      <c r="E213" s="166"/>
      <c r="F213" s="165" t="s">
        <v>605</v>
      </c>
      <c r="G213" s="165" t="s">
        <v>107</v>
      </c>
      <c r="H213" s="167" t="s">
        <v>415</v>
      </c>
      <c r="I213" s="563">
        <v>35</v>
      </c>
      <c r="J213" s="482">
        <v>1</v>
      </c>
      <c r="K213" s="482"/>
      <c r="L213" s="482"/>
      <c r="M213" s="482"/>
      <c r="N213" s="168">
        <v>255</v>
      </c>
      <c r="O213" s="168"/>
      <c r="P213" s="168"/>
      <c r="Q213" s="168"/>
      <c r="R213" s="169" t="e">
        <f t="shared" si="32"/>
        <v>#DIV/0!</v>
      </c>
      <c r="S213" s="169">
        <f t="shared" si="33"/>
        <v>0</v>
      </c>
      <c r="T213" s="169">
        <f t="shared" si="34"/>
        <v>0</v>
      </c>
      <c r="U213" s="169">
        <f t="shared" si="35"/>
        <v>0</v>
      </c>
      <c r="V213" s="519"/>
      <c r="W213" s="170">
        <f>IF(N213="nio",0,IF(N213&gt;0,VLOOKUP(G213,'3-Productie normen'!A:N,VLOOKUP(N213,'3-Productie normen'!Q:R,2,FALSE),FALSE)))</f>
        <v>0</v>
      </c>
      <c r="X213" s="170">
        <f t="shared" si="36"/>
        <v>0</v>
      </c>
      <c r="Y213" s="170">
        <f t="shared" si="37"/>
        <v>0</v>
      </c>
      <c r="Z213" s="170">
        <f t="shared" si="38"/>
        <v>0</v>
      </c>
      <c r="AA213" s="171">
        <f>VLOOKUP(G213,'3-Productie normen'!A:N,10,FALSE)</f>
        <v>2</v>
      </c>
      <c r="AB213" s="171"/>
      <c r="AD213" s="131">
        <f t="shared" si="39"/>
        <v>8925</v>
      </c>
    </row>
    <row r="214" spans="1:30" ht="14.1" customHeight="1">
      <c r="A214" s="147">
        <v>214</v>
      </c>
      <c r="B214" s="165" t="s">
        <v>606</v>
      </c>
      <c r="C214" s="165" t="s">
        <v>620</v>
      </c>
      <c r="D214" s="568" t="s">
        <v>102</v>
      </c>
      <c r="E214" s="166"/>
      <c r="F214" s="165" t="s">
        <v>617</v>
      </c>
      <c r="G214" s="165" t="s">
        <v>17</v>
      </c>
      <c r="H214" s="167" t="s">
        <v>619</v>
      </c>
      <c r="I214" s="563">
        <v>14</v>
      </c>
      <c r="J214" s="482">
        <v>1</v>
      </c>
      <c r="K214" s="482"/>
      <c r="L214" s="482"/>
      <c r="M214" s="482"/>
      <c r="N214" s="168">
        <v>255</v>
      </c>
      <c r="O214" s="168"/>
      <c r="P214" s="168"/>
      <c r="Q214" s="168"/>
      <c r="R214" s="169" t="e">
        <f t="shared" si="32"/>
        <v>#DIV/0!</v>
      </c>
      <c r="S214" s="169">
        <f t="shared" si="33"/>
        <v>0</v>
      </c>
      <c r="T214" s="169">
        <f t="shared" si="34"/>
        <v>0</v>
      </c>
      <c r="U214" s="169">
        <f t="shared" si="35"/>
        <v>0</v>
      </c>
      <c r="V214" s="519"/>
      <c r="W214" s="170">
        <f>IF(N214="nio",0,IF(N214&gt;0,VLOOKUP(G214,'3-Productie normen'!A:N,VLOOKUP(N214,'3-Productie normen'!Q:R,2,FALSE),FALSE)))</f>
        <v>0</v>
      </c>
      <c r="X214" s="170">
        <f t="shared" si="36"/>
        <v>0</v>
      </c>
      <c r="Y214" s="170">
        <f t="shared" si="37"/>
        <v>0</v>
      </c>
      <c r="Z214" s="170">
        <f t="shared" si="38"/>
        <v>0</v>
      </c>
      <c r="AA214" s="171">
        <f>VLOOKUP(G214,'3-Productie normen'!A:N,10,FALSE)</f>
        <v>3</v>
      </c>
      <c r="AB214" s="171"/>
      <c r="AD214" s="131">
        <f t="shared" si="39"/>
        <v>3570</v>
      </c>
    </row>
    <row r="215" spans="1:30" ht="14.1" customHeight="1">
      <c r="A215" s="147">
        <v>215</v>
      </c>
      <c r="B215" s="165" t="s">
        <v>606</v>
      </c>
      <c r="C215" s="165" t="s">
        <v>620</v>
      </c>
      <c r="D215" s="568" t="s">
        <v>102</v>
      </c>
      <c r="E215" s="166"/>
      <c r="F215" s="165" t="s">
        <v>618</v>
      </c>
      <c r="G215" s="165" t="s">
        <v>199</v>
      </c>
      <c r="H215" s="167" t="s">
        <v>619</v>
      </c>
      <c r="I215" s="563">
        <v>11</v>
      </c>
      <c r="J215" s="482">
        <v>1</v>
      </c>
      <c r="K215" s="482"/>
      <c r="L215" s="482"/>
      <c r="M215" s="482"/>
      <c r="N215" s="168" t="s">
        <v>199</v>
      </c>
      <c r="O215" s="168"/>
      <c r="P215" s="168"/>
      <c r="Q215" s="168"/>
      <c r="R215" s="169">
        <f t="shared" si="32"/>
        <v>0</v>
      </c>
      <c r="S215" s="169">
        <f t="shared" si="33"/>
        <v>0</v>
      </c>
      <c r="T215" s="169">
        <f t="shared" si="34"/>
        <v>0</v>
      </c>
      <c r="U215" s="169">
        <f t="shared" si="35"/>
        <v>0</v>
      </c>
      <c r="V215" s="519"/>
      <c r="W215" s="170">
        <f>IF(N215="nio",0,IF(N215&gt;0,VLOOKUP(G215,'3-Productie normen'!A:N,VLOOKUP(N215,'3-Productie normen'!Q:R,2,FALSE),FALSE)))</f>
        <v>0</v>
      </c>
      <c r="X215" s="170">
        <f t="shared" si="36"/>
        <v>0</v>
      </c>
      <c r="Y215" s="170">
        <f t="shared" si="37"/>
        <v>0</v>
      </c>
      <c r="Z215" s="170">
        <f t="shared" si="38"/>
        <v>0</v>
      </c>
      <c r="AA215" s="171">
        <f>VLOOKUP(G215,'3-Productie normen'!A:N,10,FALSE)</f>
        <v>0</v>
      </c>
      <c r="AB215" s="171"/>
      <c r="AD215" s="131">
        <f t="shared" si="39"/>
        <v>0</v>
      </c>
    </row>
    <row r="216" spans="1:30" ht="14.1" customHeight="1">
      <c r="A216" s="147">
        <v>216</v>
      </c>
      <c r="B216" s="165" t="s">
        <v>606</v>
      </c>
      <c r="C216" s="165" t="s">
        <v>620</v>
      </c>
      <c r="D216" s="568" t="s">
        <v>102</v>
      </c>
      <c r="E216" s="166"/>
      <c r="F216" s="165" t="s">
        <v>281</v>
      </c>
      <c r="G216" s="165" t="s">
        <v>373</v>
      </c>
      <c r="H216" s="167" t="s">
        <v>282</v>
      </c>
      <c r="I216" s="563">
        <v>30</v>
      </c>
      <c r="J216" s="482">
        <v>1</v>
      </c>
      <c r="K216" s="482"/>
      <c r="L216" s="482"/>
      <c r="M216" s="482"/>
      <c r="N216" s="168">
        <v>255</v>
      </c>
      <c r="O216" s="168"/>
      <c r="P216" s="168"/>
      <c r="Q216" s="168"/>
      <c r="R216" s="169" t="e">
        <f t="shared" si="32"/>
        <v>#DIV/0!</v>
      </c>
      <c r="S216" s="169">
        <f t="shared" si="33"/>
        <v>0</v>
      </c>
      <c r="T216" s="169">
        <f t="shared" si="34"/>
        <v>0</v>
      </c>
      <c r="U216" s="169">
        <f t="shared" si="35"/>
        <v>0</v>
      </c>
      <c r="V216" s="519"/>
      <c r="W216" s="170">
        <f>IF(N216="nio",0,IF(N216&gt;0,VLOOKUP(G216,'3-Productie normen'!A:N,VLOOKUP(N216,'3-Productie normen'!Q:R,2,FALSE),FALSE)))</f>
        <v>0</v>
      </c>
      <c r="X216" s="170">
        <f t="shared" si="36"/>
        <v>0</v>
      </c>
      <c r="Y216" s="170">
        <f t="shared" si="37"/>
        <v>0</v>
      </c>
      <c r="Z216" s="170">
        <f t="shared" si="38"/>
        <v>0</v>
      </c>
      <c r="AA216" s="171">
        <f>VLOOKUP(G216,'3-Productie normen'!A:N,10,FALSE)</f>
        <v>1</v>
      </c>
      <c r="AB216" s="171"/>
      <c r="AD216" s="131">
        <f t="shared" si="39"/>
        <v>7650</v>
      </c>
    </row>
    <row r="217" spans="1:30" ht="14.1" customHeight="1">
      <c r="A217" s="147">
        <v>217</v>
      </c>
      <c r="B217" s="165" t="s">
        <v>417</v>
      </c>
      <c r="C217" s="165" t="s">
        <v>418</v>
      </c>
      <c r="D217" s="568" t="s">
        <v>102</v>
      </c>
      <c r="E217" s="166" t="s">
        <v>247</v>
      </c>
      <c r="F217" s="165" t="s">
        <v>249</v>
      </c>
      <c r="G217" s="165" t="s">
        <v>579</v>
      </c>
      <c r="H217" s="167" t="s">
        <v>104</v>
      </c>
      <c r="I217" s="563">
        <v>80.63</v>
      </c>
      <c r="J217" s="482">
        <v>1</v>
      </c>
      <c r="K217" s="482">
        <v>1</v>
      </c>
      <c r="L217" s="482">
        <v>1</v>
      </c>
      <c r="M217" s="482">
        <v>1</v>
      </c>
      <c r="N217" s="168">
        <v>104</v>
      </c>
      <c r="O217" s="168"/>
      <c r="P217" s="168"/>
      <c r="Q217" s="168"/>
      <c r="R217" s="169" t="e">
        <f t="shared" si="27"/>
        <v>#DIV/0!</v>
      </c>
      <c r="S217" s="169">
        <f t="shared" si="28"/>
        <v>0</v>
      </c>
      <c r="T217" s="169">
        <f t="shared" si="29"/>
        <v>0</v>
      </c>
      <c r="U217" s="169">
        <f t="shared" si="30"/>
        <v>0</v>
      </c>
      <c r="V217" s="519"/>
      <c r="W217" s="170">
        <f>IF(N217="nio",0,IF(N217&gt;0,VLOOKUP(G217,'3-Productie normen'!A:N,VLOOKUP(N217,'3-Productie normen'!Q:R,2,FALSE),FALSE)))</f>
        <v>0</v>
      </c>
      <c r="X217" s="170">
        <f t="shared" si="24"/>
        <v>0</v>
      </c>
      <c r="Y217" s="170">
        <f t="shared" si="25"/>
        <v>0</v>
      </c>
      <c r="Z217" s="170">
        <f t="shared" si="31"/>
        <v>0</v>
      </c>
      <c r="AA217" s="171">
        <f>VLOOKUP(G217,'3-Productie normen'!A:N,10,FALSE)</f>
        <v>4</v>
      </c>
      <c r="AB217" s="171"/>
      <c r="AD217" s="131">
        <f t="shared" si="26"/>
        <v>8385.52</v>
      </c>
    </row>
    <row r="218" spans="1:30" ht="14.1" customHeight="1">
      <c r="A218" s="147">
        <v>218</v>
      </c>
      <c r="B218" s="165" t="s">
        <v>417</v>
      </c>
      <c r="C218" s="165" t="s">
        <v>418</v>
      </c>
      <c r="D218" s="568" t="s">
        <v>102</v>
      </c>
      <c r="E218" s="166" t="s">
        <v>248</v>
      </c>
      <c r="F218" s="167" t="s">
        <v>251</v>
      </c>
      <c r="G218" s="165" t="s">
        <v>373</v>
      </c>
      <c r="H218" s="167" t="s">
        <v>104</v>
      </c>
      <c r="I218" s="563">
        <v>19.73</v>
      </c>
      <c r="J218" s="482">
        <v>1</v>
      </c>
      <c r="K218" s="482">
        <v>1</v>
      </c>
      <c r="L218" s="482">
        <v>1</v>
      </c>
      <c r="M218" s="482">
        <v>1</v>
      </c>
      <c r="N218" s="168">
        <v>104</v>
      </c>
      <c r="O218" s="168"/>
      <c r="P218" s="168"/>
      <c r="Q218" s="168"/>
      <c r="R218" s="169" t="e">
        <f t="shared" si="27"/>
        <v>#DIV/0!</v>
      </c>
      <c r="S218" s="169">
        <f t="shared" si="28"/>
        <v>0</v>
      </c>
      <c r="T218" s="169">
        <f t="shared" si="29"/>
        <v>0</v>
      </c>
      <c r="U218" s="169">
        <f t="shared" si="30"/>
        <v>0</v>
      </c>
      <c r="V218" s="519"/>
      <c r="W218" s="170">
        <f>IF(N218="nio",0,IF(N218&gt;0,VLOOKUP(G218,'3-Productie normen'!A:N,VLOOKUP(N218,'3-Productie normen'!Q:R,2,FALSE),FALSE)))</f>
        <v>0</v>
      </c>
      <c r="X218" s="170">
        <f t="shared" si="24"/>
        <v>0</v>
      </c>
      <c r="Y218" s="170">
        <f t="shared" si="25"/>
        <v>0</v>
      </c>
      <c r="Z218" s="170">
        <f t="shared" si="31"/>
        <v>0</v>
      </c>
      <c r="AA218" s="171">
        <f>VLOOKUP(G218,'3-Productie normen'!A:N,10,FALSE)</f>
        <v>1</v>
      </c>
      <c r="AB218" s="171"/>
      <c r="AD218" s="131">
        <f t="shared" si="26"/>
        <v>2051.92</v>
      </c>
    </row>
    <row r="219" spans="1:30" ht="14.1" customHeight="1">
      <c r="A219" s="147">
        <v>219</v>
      </c>
      <c r="B219" s="165" t="s">
        <v>417</v>
      </c>
      <c r="C219" s="165" t="s">
        <v>418</v>
      </c>
      <c r="D219" s="568" t="s">
        <v>102</v>
      </c>
      <c r="E219" s="166" t="s">
        <v>250</v>
      </c>
      <c r="F219" s="167" t="s">
        <v>270</v>
      </c>
      <c r="G219" s="128" t="s">
        <v>373</v>
      </c>
      <c r="H219" s="167" t="s">
        <v>104</v>
      </c>
      <c r="I219" s="563">
        <v>16.21</v>
      </c>
      <c r="J219" s="482">
        <v>1</v>
      </c>
      <c r="K219" s="482">
        <v>1</v>
      </c>
      <c r="L219" s="482">
        <v>1</v>
      </c>
      <c r="M219" s="482">
        <v>1</v>
      </c>
      <c r="N219" s="168">
        <v>104</v>
      </c>
      <c r="O219" s="168"/>
      <c r="P219" s="168"/>
      <c r="Q219" s="168"/>
      <c r="R219" s="169" t="e">
        <f t="shared" si="27"/>
        <v>#DIV/0!</v>
      </c>
      <c r="S219" s="169">
        <f t="shared" si="28"/>
        <v>0</v>
      </c>
      <c r="T219" s="169">
        <f t="shared" si="29"/>
        <v>0</v>
      </c>
      <c r="U219" s="169">
        <f t="shared" si="30"/>
        <v>0</v>
      </c>
      <c r="V219" s="519"/>
      <c r="W219" s="170">
        <f>IF(N219="nio",0,IF(N219&gt;0,VLOOKUP(G219,'3-Productie normen'!A:N,VLOOKUP(N219,'3-Productie normen'!Q:R,2,FALSE),FALSE)))</f>
        <v>0</v>
      </c>
      <c r="X219" s="170">
        <f t="shared" si="24"/>
        <v>0</v>
      </c>
      <c r="Y219" s="170">
        <f t="shared" si="25"/>
        <v>0</v>
      </c>
      <c r="Z219" s="170">
        <f t="shared" si="31"/>
        <v>0</v>
      </c>
      <c r="AA219" s="171">
        <f>VLOOKUP(G219,'3-Productie normen'!A:N,10,FALSE)</f>
        <v>1</v>
      </c>
      <c r="AB219" s="171"/>
      <c r="AD219" s="131">
        <f t="shared" si="26"/>
        <v>1685.8400000000001</v>
      </c>
    </row>
    <row r="220" spans="1:30" ht="14.1" customHeight="1">
      <c r="A220" s="147">
        <v>220</v>
      </c>
      <c r="B220" s="165" t="s">
        <v>417</v>
      </c>
      <c r="C220" s="165" t="s">
        <v>418</v>
      </c>
      <c r="D220" s="568" t="s">
        <v>102</v>
      </c>
      <c r="E220" s="166" t="s">
        <v>252</v>
      </c>
      <c r="F220" s="167" t="s">
        <v>270</v>
      </c>
      <c r="G220" s="128" t="s">
        <v>373</v>
      </c>
      <c r="H220" s="167" t="s">
        <v>104</v>
      </c>
      <c r="I220" s="563">
        <v>8.5</v>
      </c>
      <c r="J220" s="482">
        <v>1</v>
      </c>
      <c r="K220" s="482">
        <v>1</v>
      </c>
      <c r="L220" s="482">
        <v>1</v>
      </c>
      <c r="M220" s="482">
        <v>1</v>
      </c>
      <c r="N220" s="168">
        <v>104</v>
      </c>
      <c r="O220" s="168"/>
      <c r="P220" s="168"/>
      <c r="Q220" s="168"/>
      <c r="R220" s="169" t="e">
        <f t="shared" si="27"/>
        <v>#DIV/0!</v>
      </c>
      <c r="S220" s="169">
        <f t="shared" si="28"/>
        <v>0</v>
      </c>
      <c r="T220" s="169">
        <f t="shared" si="29"/>
        <v>0</v>
      </c>
      <c r="U220" s="169">
        <f t="shared" si="30"/>
        <v>0</v>
      </c>
      <c r="V220" s="519"/>
      <c r="W220" s="170">
        <f>IF(N220="nio",0,IF(N220&gt;0,VLOOKUP(G220,'3-Productie normen'!A:N,VLOOKUP(N220,'3-Productie normen'!Q:R,2,FALSE),FALSE)))</f>
        <v>0</v>
      </c>
      <c r="X220" s="170">
        <f t="shared" si="24"/>
        <v>0</v>
      </c>
      <c r="Y220" s="170">
        <f t="shared" si="25"/>
        <v>0</v>
      </c>
      <c r="Z220" s="170">
        <f t="shared" si="31"/>
        <v>0</v>
      </c>
      <c r="AA220" s="171">
        <f>VLOOKUP(G220,'3-Productie normen'!A:N,10,FALSE)</f>
        <v>1</v>
      </c>
      <c r="AB220" s="171"/>
      <c r="AD220" s="131">
        <f t="shared" si="26"/>
        <v>884</v>
      </c>
    </row>
    <row r="221" spans="1:30" ht="14.1" customHeight="1">
      <c r="A221" s="147">
        <v>221</v>
      </c>
      <c r="B221" s="165" t="s">
        <v>417</v>
      </c>
      <c r="C221" s="165" t="s">
        <v>418</v>
      </c>
      <c r="D221" s="568" t="s">
        <v>102</v>
      </c>
      <c r="E221" s="166" t="s">
        <v>254</v>
      </c>
      <c r="F221" s="167" t="s">
        <v>279</v>
      </c>
      <c r="G221" s="525" t="s">
        <v>583</v>
      </c>
      <c r="H221" s="167" t="s">
        <v>104</v>
      </c>
      <c r="I221" s="563">
        <v>9.35</v>
      </c>
      <c r="J221" s="482">
        <v>1</v>
      </c>
      <c r="K221" s="482">
        <v>1</v>
      </c>
      <c r="L221" s="482">
        <v>1</v>
      </c>
      <c r="M221" s="482">
        <v>1</v>
      </c>
      <c r="N221" s="168">
        <v>104</v>
      </c>
      <c r="O221" s="168"/>
      <c r="P221" s="168"/>
      <c r="Q221" s="168"/>
      <c r="R221" s="169" t="e">
        <f t="shared" si="27"/>
        <v>#DIV/0!</v>
      </c>
      <c r="S221" s="169">
        <f t="shared" si="28"/>
        <v>0</v>
      </c>
      <c r="T221" s="169">
        <f t="shared" si="29"/>
        <v>0</v>
      </c>
      <c r="U221" s="169">
        <f t="shared" si="30"/>
        <v>0</v>
      </c>
      <c r="V221" s="519"/>
      <c r="W221" s="170">
        <f>IF(N221="nio",0,IF(N221&gt;0,VLOOKUP(G221,'3-Productie normen'!A:N,VLOOKUP(N221,'3-Productie normen'!Q:R,2,FALSE),FALSE)))</f>
        <v>0</v>
      </c>
      <c r="X221" s="170">
        <f t="shared" si="24"/>
        <v>0</v>
      </c>
      <c r="Y221" s="170">
        <f t="shared" si="25"/>
        <v>0</v>
      </c>
      <c r="Z221" s="170">
        <f t="shared" si="31"/>
        <v>0</v>
      </c>
      <c r="AA221" s="171">
        <f>VLOOKUP(G221,'3-Productie normen'!A:N,10,FALSE)</f>
        <v>4</v>
      </c>
      <c r="AB221" s="171"/>
      <c r="AD221" s="131">
        <f t="shared" si="26"/>
        <v>972.4</v>
      </c>
    </row>
    <row r="222" spans="1:30" ht="14.1" customHeight="1">
      <c r="A222" s="147">
        <v>222</v>
      </c>
      <c r="B222" s="165" t="s">
        <v>417</v>
      </c>
      <c r="C222" s="165" t="s">
        <v>418</v>
      </c>
      <c r="D222" s="568" t="s">
        <v>102</v>
      </c>
      <c r="E222" s="166" t="s">
        <v>256</v>
      </c>
      <c r="F222" s="165" t="s">
        <v>253</v>
      </c>
      <c r="G222" s="167" t="s">
        <v>17</v>
      </c>
      <c r="H222" s="167" t="s">
        <v>105</v>
      </c>
      <c r="I222" s="563">
        <v>2.86</v>
      </c>
      <c r="J222" s="482">
        <v>1</v>
      </c>
      <c r="K222" s="482">
        <v>1</v>
      </c>
      <c r="L222" s="482">
        <v>1</v>
      </c>
      <c r="M222" s="482">
        <v>1</v>
      </c>
      <c r="N222" s="168">
        <v>104</v>
      </c>
      <c r="O222" s="168"/>
      <c r="P222" s="168"/>
      <c r="Q222" s="168"/>
      <c r="R222" s="169" t="e">
        <f t="shared" si="27"/>
        <v>#DIV/0!</v>
      </c>
      <c r="S222" s="169">
        <f t="shared" si="28"/>
        <v>0</v>
      </c>
      <c r="T222" s="169">
        <f t="shared" si="29"/>
        <v>0</v>
      </c>
      <c r="U222" s="169">
        <f t="shared" si="30"/>
        <v>0</v>
      </c>
      <c r="V222" s="519"/>
      <c r="W222" s="170">
        <f>IF(N222="nio",0,IF(N222&gt;0,VLOOKUP(G222,'3-Productie normen'!A:N,VLOOKUP(N222,'3-Productie normen'!Q:R,2,FALSE),FALSE)))</f>
        <v>0</v>
      </c>
      <c r="X222" s="170">
        <f t="shared" si="24"/>
        <v>0</v>
      </c>
      <c r="Y222" s="170">
        <f t="shared" si="25"/>
        <v>0</v>
      </c>
      <c r="Z222" s="170">
        <f t="shared" si="31"/>
        <v>0</v>
      </c>
      <c r="AA222" s="171">
        <f>VLOOKUP(G222,'3-Productie normen'!A:N,10,FALSE)</f>
        <v>3</v>
      </c>
      <c r="AB222" s="171"/>
      <c r="AD222" s="131">
        <f t="shared" si="26"/>
        <v>297.44</v>
      </c>
    </row>
    <row r="223" spans="1:30" ht="14.1" customHeight="1">
      <c r="A223" s="147">
        <v>223</v>
      </c>
      <c r="B223" s="165" t="s">
        <v>417</v>
      </c>
      <c r="C223" s="165" t="s">
        <v>418</v>
      </c>
      <c r="D223" s="568" t="s">
        <v>102</v>
      </c>
      <c r="E223" s="166" t="s">
        <v>258</v>
      </c>
      <c r="F223" s="165" t="s">
        <v>257</v>
      </c>
      <c r="G223" s="167" t="s">
        <v>17</v>
      </c>
      <c r="H223" s="167" t="s">
        <v>105</v>
      </c>
      <c r="I223" s="563">
        <v>8.7799999999999994</v>
      </c>
      <c r="J223" s="482">
        <v>1</v>
      </c>
      <c r="K223" s="482">
        <v>1</v>
      </c>
      <c r="L223" s="482">
        <v>1</v>
      </c>
      <c r="M223" s="482">
        <v>1</v>
      </c>
      <c r="N223" s="168">
        <v>104</v>
      </c>
      <c r="O223" s="168"/>
      <c r="P223" s="168"/>
      <c r="Q223" s="168"/>
      <c r="R223" s="169" t="e">
        <f t="shared" si="27"/>
        <v>#DIV/0!</v>
      </c>
      <c r="S223" s="169">
        <f t="shared" si="28"/>
        <v>0</v>
      </c>
      <c r="T223" s="169">
        <f t="shared" si="29"/>
        <v>0</v>
      </c>
      <c r="U223" s="169">
        <f t="shared" si="30"/>
        <v>0</v>
      </c>
      <c r="V223" s="519"/>
      <c r="W223" s="170">
        <f>IF(N223="nio",0,IF(N223&gt;0,VLOOKUP(G223,'3-Productie normen'!A:N,VLOOKUP(N223,'3-Productie normen'!Q:R,2,FALSE),FALSE)))</f>
        <v>0</v>
      </c>
      <c r="X223" s="170">
        <f t="shared" si="24"/>
        <v>0</v>
      </c>
      <c r="Y223" s="170">
        <f t="shared" si="25"/>
        <v>0</v>
      </c>
      <c r="Z223" s="170">
        <f t="shared" si="31"/>
        <v>0</v>
      </c>
      <c r="AA223" s="171">
        <f>VLOOKUP(G223,'3-Productie normen'!A:N,10,FALSE)</f>
        <v>3</v>
      </c>
      <c r="AB223" s="171"/>
      <c r="AD223" s="131">
        <f t="shared" si="26"/>
        <v>913.11999999999989</v>
      </c>
    </row>
    <row r="224" spans="1:30" ht="14.1" customHeight="1">
      <c r="A224" s="147">
        <v>224</v>
      </c>
      <c r="B224" s="165" t="s">
        <v>417</v>
      </c>
      <c r="C224" s="165" t="s">
        <v>418</v>
      </c>
      <c r="D224" s="568" t="s">
        <v>102</v>
      </c>
      <c r="E224" s="166" t="s">
        <v>259</v>
      </c>
      <c r="F224" s="165" t="s">
        <v>293</v>
      </c>
      <c r="G224" s="128" t="s">
        <v>578</v>
      </c>
      <c r="H224" s="167" t="s">
        <v>105</v>
      </c>
      <c r="I224" s="563">
        <v>6.07</v>
      </c>
      <c r="J224" s="482">
        <v>1</v>
      </c>
      <c r="K224" s="482">
        <v>1</v>
      </c>
      <c r="L224" s="482">
        <v>1</v>
      </c>
      <c r="M224" s="482">
        <v>1</v>
      </c>
      <c r="N224" s="168">
        <v>12</v>
      </c>
      <c r="O224" s="168"/>
      <c r="P224" s="168"/>
      <c r="Q224" s="168"/>
      <c r="R224" s="169" t="e">
        <f t="shared" si="27"/>
        <v>#DIV/0!</v>
      </c>
      <c r="S224" s="169">
        <f t="shared" si="28"/>
        <v>0</v>
      </c>
      <c r="T224" s="169">
        <f t="shared" si="29"/>
        <v>0</v>
      </c>
      <c r="U224" s="169">
        <f t="shared" si="30"/>
        <v>0</v>
      </c>
      <c r="V224" s="519"/>
      <c r="W224" s="170">
        <f>IF(N224="nio",0,IF(N224&gt;0,VLOOKUP(G224,'3-Productie normen'!A:N,VLOOKUP(N224,'3-Productie normen'!Q:R,2,FALSE),FALSE)))</f>
        <v>0</v>
      </c>
      <c r="X224" s="170">
        <f t="shared" si="24"/>
        <v>0</v>
      </c>
      <c r="Y224" s="170">
        <f t="shared" si="25"/>
        <v>0</v>
      </c>
      <c r="Z224" s="170">
        <f t="shared" si="31"/>
        <v>0</v>
      </c>
      <c r="AA224" s="171">
        <f>VLOOKUP(G224,'3-Productie normen'!A:N,10,FALSE)</f>
        <v>4</v>
      </c>
      <c r="AB224" s="171"/>
      <c r="AD224" s="131">
        <f t="shared" si="26"/>
        <v>72.84</v>
      </c>
    </row>
    <row r="225" spans="1:30" ht="14.1" customHeight="1">
      <c r="A225" s="147">
        <v>225</v>
      </c>
      <c r="B225" s="165" t="s">
        <v>417</v>
      </c>
      <c r="C225" s="165" t="s">
        <v>418</v>
      </c>
      <c r="D225" s="568" t="s">
        <v>102</v>
      </c>
      <c r="E225" s="166" t="s">
        <v>261</v>
      </c>
      <c r="F225" s="167" t="s">
        <v>293</v>
      </c>
      <c r="G225" s="128" t="s">
        <v>578</v>
      </c>
      <c r="H225" s="167" t="s">
        <v>105</v>
      </c>
      <c r="I225" s="563">
        <v>6.34</v>
      </c>
      <c r="J225" s="482">
        <v>1</v>
      </c>
      <c r="K225" s="482">
        <v>1</v>
      </c>
      <c r="L225" s="482">
        <v>1</v>
      </c>
      <c r="M225" s="482">
        <v>1</v>
      </c>
      <c r="N225" s="168">
        <v>12</v>
      </c>
      <c r="O225" s="168"/>
      <c r="P225" s="168"/>
      <c r="Q225" s="168"/>
      <c r="R225" s="169" t="e">
        <f t="shared" si="27"/>
        <v>#DIV/0!</v>
      </c>
      <c r="S225" s="169">
        <f t="shared" si="28"/>
        <v>0</v>
      </c>
      <c r="T225" s="169">
        <f t="shared" si="29"/>
        <v>0</v>
      </c>
      <c r="U225" s="169">
        <f t="shared" si="30"/>
        <v>0</v>
      </c>
      <c r="V225" s="519"/>
      <c r="W225" s="170">
        <f>IF(N225="nio",0,IF(N225&gt;0,VLOOKUP(G225,'3-Productie normen'!A:N,VLOOKUP(N225,'3-Productie normen'!Q:R,2,FALSE),FALSE)))</f>
        <v>0</v>
      </c>
      <c r="X225" s="170">
        <f t="shared" si="24"/>
        <v>0</v>
      </c>
      <c r="Y225" s="170">
        <f t="shared" si="25"/>
        <v>0</v>
      </c>
      <c r="Z225" s="170">
        <f t="shared" si="31"/>
        <v>0</v>
      </c>
      <c r="AA225" s="171">
        <f>VLOOKUP(G225,'3-Productie normen'!A:N,10,FALSE)</f>
        <v>4</v>
      </c>
      <c r="AB225" s="171"/>
      <c r="AD225" s="131">
        <f t="shared" si="26"/>
        <v>76.08</v>
      </c>
    </row>
    <row r="226" spans="1:30" ht="14.1" customHeight="1">
      <c r="A226" s="147">
        <v>226</v>
      </c>
      <c r="B226" s="165" t="s">
        <v>417</v>
      </c>
      <c r="C226" s="165" t="s">
        <v>418</v>
      </c>
      <c r="D226" s="568" t="s">
        <v>102</v>
      </c>
      <c r="E226" s="166" t="s">
        <v>263</v>
      </c>
      <c r="F226" s="167" t="s">
        <v>419</v>
      </c>
      <c r="G226" s="128" t="s">
        <v>580</v>
      </c>
      <c r="H226" s="167" t="s">
        <v>420</v>
      </c>
      <c r="I226" s="563">
        <v>5</v>
      </c>
      <c r="J226" s="482">
        <v>1</v>
      </c>
      <c r="K226" s="482">
        <v>1</v>
      </c>
      <c r="L226" s="482">
        <v>1</v>
      </c>
      <c r="M226" s="482">
        <v>1</v>
      </c>
      <c r="N226" s="168">
        <v>104</v>
      </c>
      <c r="O226" s="168"/>
      <c r="P226" s="168"/>
      <c r="Q226" s="168"/>
      <c r="R226" s="169" t="e">
        <f t="shared" si="27"/>
        <v>#DIV/0!</v>
      </c>
      <c r="S226" s="169">
        <f t="shared" si="28"/>
        <v>0</v>
      </c>
      <c r="T226" s="169">
        <f t="shared" si="29"/>
        <v>0</v>
      </c>
      <c r="U226" s="169">
        <f t="shared" si="30"/>
        <v>0</v>
      </c>
      <c r="V226" s="519"/>
      <c r="W226" s="170">
        <f>IF(N226="nio",0,IF(N226&gt;0,VLOOKUP(G226,'3-Productie normen'!A:N,VLOOKUP(N226,'3-Productie normen'!Q:R,2,FALSE),FALSE)))</f>
        <v>0</v>
      </c>
      <c r="X226" s="170">
        <f t="shared" si="24"/>
        <v>0</v>
      </c>
      <c r="Y226" s="170">
        <f t="shared" si="25"/>
        <v>0</v>
      </c>
      <c r="Z226" s="170">
        <f t="shared" si="31"/>
        <v>0</v>
      </c>
      <c r="AA226" s="171">
        <f>VLOOKUP(G226,'3-Productie normen'!A:N,10,FALSE)</f>
        <v>4</v>
      </c>
      <c r="AB226" s="171"/>
      <c r="AD226" s="131">
        <f t="shared" si="26"/>
        <v>520</v>
      </c>
    </row>
    <row r="227" spans="1:30" ht="14.1" customHeight="1">
      <c r="A227" s="147">
        <v>227</v>
      </c>
      <c r="B227" s="165" t="s">
        <v>417</v>
      </c>
      <c r="C227" s="165" t="s">
        <v>418</v>
      </c>
      <c r="D227" s="568" t="s">
        <v>102</v>
      </c>
      <c r="E227" s="166" t="s">
        <v>375</v>
      </c>
      <c r="F227" s="167" t="s">
        <v>293</v>
      </c>
      <c r="G227" s="128" t="s">
        <v>578</v>
      </c>
      <c r="H227" s="167" t="s">
        <v>105</v>
      </c>
      <c r="I227" s="563">
        <v>2.99</v>
      </c>
      <c r="J227" s="482">
        <v>1</v>
      </c>
      <c r="K227" s="482">
        <v>1</v>
      </c>
      <c r="L227" s="482">
        <v>1</v>
      </c>
      <c r="M227" s="482">
        <v>1</v>
      </c>
      <c r="N227" s="168">
        <v>12</v>
      </c>
      <c r="O227" s="168"/>
      <c r="P227" s="168"/>
      <c r="Q227" s="168"/>
      <c r="R227" s="169" t="e">
        <f t="shared" si="27"/>
        <v>#DIV/0!</v>
      </c>
      <c r="S227" s="169">
        <f t="shared" si="28"/>
        <v>0</v>
      </c>
      <c r="T227" s="169">
        <f t="shared" si="29"/>
        <v>0</v>
      </c>
      <c r="U227" s="169">
        <f t="shared" si="30"/>
        <v>0</v>
      </c>
      <c r="V227" s="519"/>
      <c r="W227" s="170">
        <f>IF(N227="nio",0,IF(N227&gt;0,VLOOKUP(G227,'3-Productie normen'!A:N,VLOOKUP(N227,'3-Productie normen'!Q:R,2,FALSE),FALSE)))</f>
        <v>0</v>
      </c>
      <c r="X227" s="170">
        <f t="shared" si="24"/>
        <v>0</v>
      </c>
      <c r="Y227" s="170">
        <f t="shared" si="25"/>
        <v>0</v>
      </c>
      <c r="Z227" s="170">
        <f t="shared" si="31"/>
        <v>0</v>
      </c>
      <c r="AA227" s="171">
        <f>VLOOKUP(G227,'3-Productie normen'!A:N,10,FALSE)</f>
        <v>4</v>
      </c>
      <c r="AB227" s="171"/>
      <c r="AD227" s="131">
        <f t="shared" si="26"/>
        <v>35.880000000000003</v>
      </c>
    </row>
    <row r="228" spans="1:30" ht="14.1" customHeight="1">
      <c r="A228" s="147">
        <v>228</v>
      </c>
      <c r="B228" s="165" t="s">
        <v>417</v>
      </c>
      <c r="C228" s="165" t="s">
        <v>418</v>
      </c>
      <c r="D228" s="568" t="s">
        <v>102</v>
      </c>
      <c r="E228" s="166" t="s">
        <v>376</v>
      </c>
      <c r="F228" s="167" t="s">
        <v>280</v>
      </c>
      <c r="G228" s="167" t="s">
        <v>107</v>
      </c>
      <c r="H228" s="167" t="s">
        <v>104</v>
      </c>
      <c r="I228" s="563">
        <v>22.89</v>
      </c>
      <c r="J228" s="482">
        <v>1</v>
      </c>
      <c r="K228" s="482">
        <v>1</v>
      </c>
      <c r="L228" s="482">
        <v>1</v>
      </c>
      <c r="M228" s="482">
        <v>1</v>
      </c>
      <c r="N228" s="168">
        <v>104</v>
      </c>
      <c r="O228" s="168"/>
      <c r="P228" s="168"/>
      <c r="Q228" s="168"/>
      <c r="R228" s="169" t="e">
        <f t="shared" si="27"/>
        <v>#DIV/0!</v>
      </c>
      <c r="S228" s="169">
        <f t="shared" si="28"/>
        <v>0</v>
      </c>
      <c r="T228" s="169">
        <f t="shared" si="29"/>
        <v>0</v>
      </c>
      <c r="U228" s="169">
        <f t="shared" si="30"/>
        <v>0</v>
      </c>
      <c r="V228" s="519"/>
      <c r="W228" s="170">
        <f>IF(N228="nio",0,IF(N228&gt;0,VLOOKUP(G228,'3-Productie normen'!A:N,VLOOKUP(N228,'3-Productie normen'!Q:R,2,FALSE),FALSE)))</f>
        <v>0</v>
      </c>
      <c r="X228" s="170">
        <f t="shared" si="24"/>
        <v>0</v>
      </c>
      <c r="Y228" s="170">
        <f t="shared" si="25"/>
        <v>0</v>
      </c>
      <c r="Z228" s="170">
        <f t="shared" si="31"/>
        <v>0</v>
      </c>
      <c r="AA228" s="171">
        <f>VLOOKUP(G228,'3-Productie normen'!A:N,10,FALSE)</f>
        <v>2</v>
      </c>
      <c r="AB228" s="171"/>
      <c r="AD228" s="131">
        <f t="shared" si="26"/>
        <v>2380.56</v>
      </c>
    </row>
    <row r="229" spans="1:30" ht="14.1" customHeight="1">
      <c r="A229" s="147">
        <v>229</v>
      </c>
      <c r="B229" s="165" t="s">
        <v>417</v>
      </c>
      <c r="C229" s="165" t="s">
        <v>418</v>
      </c>
      <c r="D229" s="568" t="s">
        <v>102</v>
      </c>
      <c r="E229" s="166" t="s">
        <v>378</v>
      </c>
      <c r="F229" s="173" t="s">
        <v>281</v>
      </c>
      <c r="G229" s="167" t="s">
        <v>373</v>
      </c>
      <c r="H229" s="167" t="s">
        <v>272</v>
      </c>
      <c r="I229" s="563">
        <v>40.1</v>
      </c>
      <c r="J229" s="482">
        <v>1</v>
      </c>
      <c r="K229" s="482">
        <v>1</v>
      </c>
      <c r="L229" s="482">
        <v>1</v>
      </c>
      <c r="M229" s="482">
        <v>1</v>
      </c>
      <c r="N229" s="168">
        <v>104</v>
      </c>
      <c r="O229" s="168"/>
      <c r="P229" s="168"/>
      <c r="Q229" s="168"/>
      <c r="R229" s="169" t="e">
        <f t="shared" si="27"/>
        <v>#DIV/0!</v>
      </c>
      <c r="S229" s="169">
        <f t="shared" si="28"/>
        <v>0</v>
      </c>
      <c r="T229" s="169">
        <f t="shared" si="29"/>
        <v>0</v>
      </c>
      <c r="U229" s="169">
        <f t="shared" si="30"/>
        <v>0</v>
      </c>
      <c r="V229" s="519"/>
      <c r="W229" s="170">
        <f>IF(N229="nio",0,IF(N229&gt;0,VLOOKUP(G229,'3-Productie normen'!A:N,VLOOKUP(N229,'3-Productie normen'!Q:R,2,FALSE),FALSE)))</f>
        <v>0</v>
      </c>
      <c r="X229" s="170">
        <f t="shared" si="24"/>
        <v>0</v>
      </c>
      <c r="Y229" s="170">
        <f t="shared" si="25"/>
        <v>0</v>
      </c>
      <c r="Z229" s="170">
        <f t="shared" si="31"/>
        <v>0</v>
      </c>
      <c r="AA229" s="171">
        <f>VLOOKUP(G229,'3-Productie normen'!A:N,10,FALSE)</f>
        <v>1</v>
      </c>
      <c r="AB229" s="171"/>
      <c r="AD229" s="131">
        <f t="shared" si="26"/>
        <v>4170.4000000000005</v>
      </c>
    </row>
    <row r="230" spans="1:30" ht="14.1" customHeight="1">
      <c r="A230" s="147">
        <v>230</v>
      </c>
      <c r="B230" s="165" t="s">
        <v>421</v>
      </c>
      <c r="C230" s="165" t="s">
        <v>422</v>
      </c>
      <c r="D230" s="568" t="s">
        <v>102</v>
      </c>
      <c r="E230" s="166" t="s">
        <v>247</v>
      </c>
      <c r="F230" s="174" t="s">
        <v>103</v>
      </c>
      <c r="G230" s="525" t="s">
        <v>583</v>
      </c>
      <c r="H230" s="175" t="s">
        <v>272</v>
      </c>
      <c r="I230" s="563">
        <v>4.7699999999999996</v>
      </c>
      <c r="J230" s="482">
        <v>1</v>
      </c>
      <c r="K230" s="482">
        <v>1</v>
      </c>
      <c r="L230" s="482">
        <v>1</v>
      </c>
      <c r="M230" s="482">
        <v>1</v>
      </c>
      <c r="N230" s="168">
        <v>255</v>
      </c>
      <c r="O230" s="168"/>
      <c r="P230" s="168"/>
      <c r="Q230" s="168"/>
      <c r="R230" s="169" t="e">
        <f t="shared" si="27"/>
        <v>#DIV/0!</v>
      </c>
      <c r="S230" s="169">
        <f t="shared" si="28"/>
        <v>0</v>
      </c>
      <c r="T230" s="169">
        <f t="shared" si="29"/>
        <v>0</v>
      </c>
      <c r="U230" s="169">
        <f t="shared" si="30"/>
        <v>0</v>
      </c>
      <c r="V230" s="519"/>
      <c r="W230" s="170">
        <f>IF(N230="nio",0,IF(N230&gt;0,VLOOKUP(G230,'3-Productie normen'!A:N,VLOOKUP(N230,'3-Productie normen'!Q:R,2,FALSE),FALSE)))</f>
        <v>0</v>
      </c>
      <c r="X230" s="170">
        <f t="shared" si="24"/>
        <v>0</v>
      </c>
      <c r="Y230" s="170">
        <f t="shared" si="25"/>
        <v>0</v>
      </c>
      <c r="Z230" s="170">
        <f t="shared" si="31"/>
        <v>0</v>
      </c>
      <c r="AA230" s="171">
        <f>VLOOKUP(G230,'3-Productie normen'!A:N,10,FALSE)</f>
        <v>4</v>
      </c>
      <c r="AB230" s="171"/>
      <c r="AD230" s="131">
        <f t="shared" si="26"/>
        <v>1216.3499999999999</v>
      </c>
    </row>
    <row r="231" spans="1:30" ht="14.1" customHeight="1">
      <c r="A231" s="147">
        <v>231</v>
      </c>
      <c r="B231" s="165" t="s">
        <v>421</v>
      </c>
      <c r="C231" s="165" t="s">
        <v>422</v>
      </c>
      <c r="D231" s="568" t="s">
        <v>102</v>
      </c>
      <c r="E231" s="176" t="s">
        <v>248</v>
      </c>
      <c r="F231" s="177" t="s">
        <v>249</v>
      </c>
      <c r="G231" s="165" t="s">
        <v>579</v>
      </c>
      <c r="H231" s="167" t="s">
        <v>104</v>
      </c>
      <c r="I231" s="563">
        <v>163.19999999999999</v>
      </c>
      <c r="J231" s="482">
        <v>1</v>
      </c>
      <c r="K231" s="482">
        <v>1</v>
      </c>
      <c r="L231" s="482">
        <v>1</v>
      </c>
      <c r="M231" s="482">
        <v>1</v>
      </c>
      <c r="N231" s="168">
        <v>255</v>
      </c>
      <c r="O231" s="168"/>
      <c r="P231" s="168"/>
      <c r="Q231" s="168"/>
      <c r="R231" s="169" t="e">
        <f t="shared" si="27"/>
        <v>#DIV/0!</v>
      </c>
      <c r="S231" s="169">
        <f t="shared" si="28"/>
        <v>0</v>
      </c>
      <c r="T231" s="169">
        <f t="shared" si="29"/>
        <v>0</v>
      </c>
      <c r="U231" s="169">
        <f t="shared" si="30"/>
        <v>0</v>
      </c>
      <c r="V231" s="519"/>
      <c r="W231" s="170">
        <f>IF(N231="nio",0,IF(N231&gt;0,VLOOKUP(G231,'3-Productie normen'!A:N,VLOOKUP(N231,'3-Productie normen'!Q:R,2,FALSE),FALSE)))</f>
        <v>0</v>
      </c>
      <c r="X231" s="170">
        <f t="shared" si="24"/>
        <v>0</v>
      </c>
      <c r="Y231" s="170">
        <f t="shared" si="25"/>
        <v>0</v>
      </c>
      <c r="Z231" s="170">
        <f t="shared" si="31"/>
        <v>0</v>
      </c>
      <c r="AA231" s="171">
        <f>VLOOKUP(G231,'3-Productie normen'!A:N,10,FALSE)</f>
        <v>4</v>
      </c>
      <c r="AB231" s="171"/>
      <c r="AD231" s="131">
        <f t="shared" si="26"/>
        <v>41616</v>
      </c>
    </row>
    <row r="232" spans="1:30" ht="14.1" customHeight="1">
      <c r="A232" s="147">
        <v>232</v>
      </c>
      <c r="B232" s="165" t="s">
        <v>421</v>
      </c>
      <c r="C232" s="165" t="s">
        <v>422</v>
      </c>
      <c r="D232" s="568" t="s">
        <v>102</v>
      </c>
      <c r="E232" s="166" t="s">
        <v>250</v>
      </c>
      <c r="F232" s="167" t="s">
        <v>251</v>
      </c>
      <c r="G232" s="165" t="s">
        <v>373</v>
      </c>
      <c r="H232" s="167" t="s">
        <v>104</v>
      </c>
      <c r="I232" s="563">
        <v>22.76</v>
      </c>
      <c r="J232" s="482">
        <v>1</v>
      </c>
      <c r="K232" s="482">
        <v>1</v>
      </c>
      <c r="L232" s="482">
        <v>1</v>
      </c>
      <c r="M232" s="482">
        <v>1</v>
      </c>
      <c r="N232" s="168">
        <v>255</v>
      </c>
      <c r="O232" s="168"/>
      <c r="P232" s="168"/>
      <c r="Q232" s="168"/>
      <c r="R232" s="169" t="e">
        <f t="shared" si="27"/>
        <v>#DIV/0!</v>
      </c>
      <c r="S232" s="169">
        <f t="shared" si="28"/>
        <v>0</v>
      </c>
      <c r="T232" s="169">
        <f t="shared" si="29"/>
        <v>0</v>
      </c>
      <c r="U232" s="169">
        <f t="shared" si="30"/>
        <v>0</v>
      </c>
      <c r="V232" s="519"/>
      <c r="W232" s="170">
        <f>IF(N232="nio",0,IF(N232&gt;0,VLOOKUP(G232,'3-Productie normen'!A:N,VLOOKUP(N232,'3-Productie normen'!Q:R,2,FALSE),FALSE)))</f>
        <v>0</v>
      </c>
      <c r="X232" s="170">
        <f t="shared" si="24"/>
        <v>0</v>
      </c>
      <c r="Y232" s="170">
        <f t="shared" si="25"/>
        <v>0</v>
      </c>
      <c r="Z232" s="170">
        <f t="shared" si="31"/>
        <v>0</v>
      </c>
      <c r="AA232" s="171">
        <f>VLOOKUP(G232,'3-Productie normen'!A:N,10,FALSE)</f>
        <v>1</v>
      </c>
      <c r="AB232" s="171"/>
      <c r="AD232" s="131">
        <f t="shared" si="26"/>
        <v>5803.8</v>
      </c>
    </row>
    <row r="233" spans="1:30" ht="14.1" customHeight="1">
      <c r="A233" s="147">
        <v>233</v>
      </c>
      <c r="B233" s="165" t="s">
        <v>421</v>
      </c>
      <c r="C233" s="165" t="s">
        <v>422</v>
      </c>
      <c r="D233" s="568" t="s">
        <v>102</v>
      </c>
      <c r="E233" s="166" t="s">
        <v>252</v>
      </c>
      <c r="F233" s="128" t="s">
        <v>270</v>
      </c>
      <c r="G233" s="128" t="s">
        <v>373</v>
      </c>
      <c r="H233" s="167" t="s">
        <v>104</v>
      </c>
      <c r="I233" s="563">
        <v>12.06</v>
      </c>
      <c r="J233" s="482">
        <v>1</v>
      </c>
      <c r="K233" s="482">
        <v>1</v>
      </c>
      <c r="L233" s="482">
        <v>1</v>
      </c>
      <c r="M233" s="482">
        <v>1</v>
      </c>
      <c r="N233" s="168">
        <v>255</v>
      </c>
      <c r="O233" s="168"/>
      <c r="P233" s="168"/>
      <c r="Q233" s="168"/>
      <c r="R233" s="169" t="e">
        <f t="shared" si="27"/>
        <v>#DIV/0!</v>
      </c>
      <c r="S233" s="169">
        <f t="shared" si="28"/>
        <v>0</v>
      </c>
      <c r="T233" s="169">
        <f t="shared" si="29"/>
        <v>0</v>
      </c>
      <c r="U233" s="169">
        <f t="shared" si="30"/>
        <v>0</v>
      </c>
      <c r="V233" s="519"/>
      <c r="W233" s="170">
        <f>IF(N233="nio",0,IF(N233&gt;0,VLOOKUP(G233,'3-Productie normen'!A:N,VLOOKUP(N233,'3-Productie normen'!Q:R,2,FALSE),FALSE)))</f>
        <v>0</v>
      </c>
      <c r="X233" s="170">
        <f t="shared" si="24"/>
        <v>0</v>
      </c>
      <c r="Y233" s="170">
        <f t="shared" si="25"/>
        <v>0</v>
      </c>
      <c r="Z233" s="170">
        <f t="shared" si="31"/>
        <v>0</v>
      </c>
      <c r="AA233" s="171">
        <f>VLOOKUP(G233,'3-Productie normen'!A:N,10,FALSE)</f>
        <v>1</v>
      </c>
      <c r="AB233" s="171"/>
      <c r="AD233" s="131">
        <f t="shared" si="26"/>
        <v>3075.3</v>
      </c>
    </row>
    <row r="234" spans="1:30" ht="14.1" customHeight="1">
      <c r="A234" s="147">
        <v>234</v>
      </c>
      <c r="B234" s="165" t="s">
        <v>421</v>
      </c>
      <c r="C234" s="165" t="s">
        <v>422</v>
      </c>
      <c r="D234" s="568" t="s">
        <v>102</v>
      </c>
      <c r="E234" s="166" t="s">
        <v>254</v>
      </c>
      <c r="F234" s="128" t="s">
        <v>270</v>
      </c>
      <c r="G234" s="128" t="s">
        <v>373</v>
      </c>
      <c r="H234" s="167" t="s">
        <v>104</v>
      </c>
      <c r="I234" s="563">
        <v>12.06</v>
      </c>
      <c r="J234" s="482">
        <v>1</v>
      </c>
      <c r="K234" s="482">
        <v>1</v>
      </c>
      <c r="L234" s="482">
        <v>1</v>
      </c>
      <c r="M234" s="482">
        <v>1</v>
      </c>
      <c r="N234" s="168">
        <v>255</v>
      </c>
      <c r="O234" s="168"/>
      <c r="P234" s="168"/>
      <c r="Q234" s="168"/>
      <c r="R234" s="169" t="e">
        <f t="shared" si="27"/>
        <v>#DIV/0!</v>
      </c>
      <c r="S234" s="169">
        <f t="shared" si="28"/>
        <v>0</v>
      </c>
      <c r="T234" s="169">
        <f t="shared" si="29"/>
        <v>0</v>
      </c>
      <c r="U234" s="169">
        <f t="shared" si="30"/>
        <v>0</v>
      </c>
      <c r="V234" s="519"/>
      <c r="W234" s="170">
        <f>IF(N234="nio",0,IF(N234&gt;0,VLOOKUP(G234,'3-Productie normen'!A:N,VLOOKUP(N234,'3-Productie normen'!Q:R,2,FALSE),FALSE)))</f>
        <v>0</v>
      </c>
      <c r="X234" s="170">
        <f t="shared" si="24"/>
        <v>0</v>
      </c>
      <c r="Y234" s="170">
        <f t="shared" si="25"/>
        <v>0</v>
      </c>
      <c r="Z234" s="170">
        <f t="shared" si="31"/>
        <v>0</v>
      </c>
      <c r="AA234" s="171">
        <f>VLOOKUP(G234,'3-Productie normen'!A:N,10,FALSE)</f>
        <v>1</v>
      </c>
      <c r="AB234" s="171"/>
      <c r="AD234" s="131">
        <f t="shared" si="26"/>
        <v>3075.3</v>
      </c>
    </row>
    <row r="235" spans="1:30" ht="14.1" customHeight="1">
      <c r="A235" s="147">
        <v>235</v>
      </c>
      <c r="B235" s="165" t="s">
        <v>421</v>
      </c>
      <c r="C235" s="165" t="s">
        <v>422</v>
      </c>
      <c r="D235" s="568" t="s">
        <v>102</v>
      </c>
      <c r="E235" s="166" t="s">
        <v>256</v>
      </c>
      <c r="F235" s="128" t="s">
        <v>280</v>
      </c>
      <c r="G235" s="167" t="s">
        <v>107</v>
      </c>
      <c r="H235" s="167" t="s">
        <v>104</v>
      </c>
      <c r="I235" s="563">
        <v>38.229999999999997</v>
      </c>
      <c r="J235" s="482">
        <v>1</v>
      </c>
      <c r="K235" s="482">
        <v>1</v>
      </c>
      <c r="L235" s="482">
        <v>1</v>
      </c>
      <c r="M235" s="482">
        <v>1</v>
      </c>
      <c r="N235" s="168">
        <v>255</v>
      </c>
      <c r="O235" s="168"/>
      <c r="P235" s="168"/>
      <c r="Q235" s="168"/>
      <c r="R235" s="169" t="e">
        <f t="shared" si="27"/>
        <v>#DIV/0!</v>
      </c>
      <c r="S235" s="169">
        <f t="shared" si="28"/>
        <v>0</v>
      </c>
      <c r="T235" s="169">
        <f t="shared" si="29"/>
        <v>0</v>
      </c>
      <c r="U235" s="169">
        <f t="shared" si="30"/>
        <v>0</v>
      </c>
      <c r="V235" s="519"/>
      <c r="W235" s="170">
        <f>IF(N235="nio",0,IF(N235&gt;0,VLOOKUP(G235,'3-Productie normen'!A:N,VLOOKUP(N235,'3-Productie normen'!Q:R,2,FALSE),FALSE)))</f>
        <v>0</v>
      </c>
      <c r="X235" s="170">
        <f t="shared" si="24"/>
        <v>0</v>
      </c>
      <c r="Y235" s="170">
        <f t="shared" si="25"/>
        <v>0</v>
      </c>
      <c r="Z235" s="170">
        <f t="shared" si="31"/>
        <v>0</v>
      </c>
      <c r="AA235" s="171">
        <f>VLOOKUP(G235,'3-Productie normen'!A:N,10,FALSE)</f>
        <v>2</v>
      </c>
      <c r="AB235" s="171"/>
      <c r="AD235" s="131">
        <f t="shared" si="26"/>
        <v>9748.65</v>
      </c>
    </row>
    <row r="236" spans="1:30" ht="14.1" customHeight="1">
      <c r="A236" s="147">
        <v>236</v>
      </c>
      <c r="B236" s="165" t="s">
        <v>421</v>
      </c>
      <c r="C236" s="165" t="s">
        <v>422</v>
      </c>
      <c r="D236" s="568" t="s">
        <v>102</v>
      </c>
      <c r="E236" s="166" t="s">
        <v>258</v>
      </c>
      <c r="F236" s="128" t="s">
        <v>353</v>
      </c>
      <c r="G236" s="177" t="s">
        <v>17</v>
      </c>
      <c r="H236" s="167" t="s">
        <v>105</v>
      </c>
      <c r="I236" s="563">
        <v>2.4700000000000002</v>
      </c>
      <c r="J236" s="482">
        <v>1</v>
      </c>
      <c r="K236" s="482">
        <v>1</v>
      </c>
      <c r="L236" s="482">
        <v>1</v>
      </c>
      <c r="M236" s="482">
        <v>1</v>
      </c>
      <c r="N236" s="168">
        <v>255</v>
      </c>
      <c r="O236" s="168"/>
      <c r="P236" s="168"/>
      <c r="Q236" s="168"/>
      <c r="R236" s="169" t="e">
        <f t="shared" si="27"/>
        <v>#DIV/0!</v>
      </c>
      <c r="S236" s="169">
        <f t="shared" si="28"/>
        <v>0</v>
      </c>
      <c r="T236" s="169">
        <f t="shared" si="29"/>
        <v>0</v>
      </c>
      <c r="U236" s="169">
        <f t="shared" si="30"/>
        <v>0</v>
      </c>
      <c r="V236" s="519"/>
      <c r="W236" s="170">
        <f>IF(N236="nio",0,IF(N236&gt;0,VLOOKUP(G236,'3-Productie normen'!A:N,VLOOKUP(N236,'3-Productie normen'!Q:R,2,FALSE),FALSE)))</f>
        <v>0</v>
      </c>
      <c r="X236" s="170">
        <f t="shared" si="24"/>
        <v>0</v>
      </c>
      <c r="Y236" s="170">
        <f t="shared" si="25"/>
        <v>0</v>
      </c>
      <c r="Z236" s="170">
        <f t="shared" si="31"/>
        <v>0</v>
      </c>
      <c r="AA236" s="171">
        <f>VLOOKUP(G236,'3-Productie normen'!A:N,10,FALSE)</f>
        <v>3</v>
      </c>
      <c r="AB236" s="171"/>
      <c r="AD236" s="131">
        <f t="shared" si="26"/>
        <v>629.85</v>
      </c>
    </row>
    <row r="237" spans="1:30" ht="14.1" customHeight="1">
      <c r="A237" s="147">
        <v>237</v>
      </c>
      <c r="B237" s="165" t="s">
        <v>421</v>
      </c>
      <c r="C237" s="165" t="s">
        <v>422</v>
      </c>
      <c r="D237" s="568" t="s">
        <v>102</v>
      </c>
      <c r="E237" s="166" t="s">
        <v>259</v>
      </c>
      <c r="F237" s="128" t="s">
        <v>257</v>
      </c>
      <c r="G237" s="167" t="s">
        <v>17</v>
      </c>
      <c r="H237" s="167" t="s">
        <v>105</v>
      </c>
      <c r="I237" s="563">
        <v>0.9</v>
      </c>
      <c r="J237" s="482">
        <v>1</v>
      </c>
      <c r="K237" s="482">
        <v>1</v>
      </c>
      <c r="L237" s="482">
        <v>1</v>
      </c>
      <c r="M237" s="482">
        <v>1</v>
      </c>
      <c r="N237" s="168">
        <v>255</v>
      </c>
      <c r="O237" s="168"/>
      <c r="P237" s="168"/>
      <c r="Q237" s="168"/>
      <c r="R237" s="169" t="e">
        <f t="shared" si="27"/>
        <v>#DIV/0!</v>
      </c>
      <c r="S237" s="169">
        <f t="shared" si="28"/>
        <v>0</v>
      </c>
      <c r="T237" s="169">
        <f t="shared" si="29"/>
        <v>0</v>
      </c>
      <c r="U237" s="169">
        <f t="shared" si="30"/>
        <v>0</v>
      </c>
      <c r="V237" s="519"/>
      <c r="W237" s="170">
        <f>IF(N237="nio",0,IF(N237&gt;0,VLOOKUP(G237,'3-Productie normen'!A:N,VLOOKUP(N237,'3-Productie normen'!Q:R,2,FALSE),FALSE)))</f>
        <v>0</v>
      </c>
      <c r="X237" s="170">
        <f t="shared" si="24"/>
        <v>0</v>
      </c>
      <c r="Y237" s="170">
        <f t="shared" si="25"/>
        <v>0</v>
      </c>
      <c r="Z237" s="170">
        <f t="shared" si="31"/>
        <v>0</v>
      </c>
      <c r="AA237" s="171">
        <f>VLOOKUP(G237,'3-Productie normen'!A:N,10,FALSE)</f>
        <v>3</v>
      </c>
      <c r="AB237" s="171"/>
      <c r="AD237" s="131">
        <f t="shared" si="26"/>
        <v>229.5</v>
      </c>
    </row>
    <row r="238" spans="1:30" ht="14.1" customHeight="1">
      <c r="A238" s="147">
        <v>238</v>
      </c>
      <c r="B238" s="165" t="s">
        <v>421</v>
      </c>
      <c r="C238" s="165" t="s">
        <v>422</v>
      </c>
      <c r="D238" s="568" t="s">
        <v>102</v>
      </c>
      <c r="E238" s="166" t="s">
        <v>261</v>
      </c>
      <c r="F238" s="128" t="s">
        <v>257</v>
      </c>
      <c r="G238" s="167" t="s">
        <v>17</v>
      </c>
      <c r="H238" s="167" t="s">
        <v>105</v>
      </c>
      <c r="I238" s="563">
        <v>0.9</v>
      </c>
      <c r="J238" s="482">
        <v>1</v>
      </c>
      <c r="K238" s="482">
        <v>1</v>
      </c>
      <c r="L238" s="482">
        <v>1</v>
      </c>
      <c r="M238" s="482">
        <v>1</v>
      </c>
      <c r="N238" s="168">
        <v>255</v>
      </c>
      <c r="O238" s="168"/>
      <c r="P238" s="168"/>
      <c r="Q238" s="168"/>
      <c r="R238" s="169" t="e">
        <f t="shared" si="27"/>
        <v>#DIV/0!</v>
      </c>
      <c r="S238" s="169">
        <f t="shared" si="28"/>
        <v>0</v>
      </c>
      <c r="T238" s="169">
        <f t="shared" si="29"/>
        <v>0</v>
      </c>
      <c r="U238" s="169">
        <f t="shared" si="30"/>
        <v>0</v>
      </c>
      <c r="V238" s="519"/>
      <c r="W238" s="170">
        <f>IF(N238="nio",0,IF(N238&gt;0,VLOOKUP(G238,'3-Productie normen'!A:N,VLOOKUP(N238,'3-Productie normen'!Q:R,2,FALSE),FALSE)))</f>
        <v>0</v>
      </c>
      <c r="X238" s="170">
        <f t="shared" si="24"/>
        <v>0</v>
      </c>
      <c r="Y238" s="170">
        <f t="shared" si="25"/>
        <v>0</v>
      </c>
      <c r="Z238" s="170">
        <f t="shared" si="31"/>
        <v>0</v>
      </c>
      <c r="AA238" s="171">
        <f>VLOOKUP(G238,'3-Productie normen'!A:N,10,FALSE)</f>
        <v>3</v>
      </c>
      <c r="AB238" s="171"/>
      <c r="AD238" s="131">
        <f t="shared" si="26"/>
        <v>229.5</v>
      </c>
    </row>
    <row r="239" spans="1:30" ht="14.1" customHeight="1">
      <c r="A239" s="147">
        <v>239</v>
      </c>
      <c r="B239" s="165" t="s">
        <v>421</v>
      </c>
      <c r="C239" s="165" t="s">
        <v>422</v>
      </c>
      <c r="D239" s="568" t="s">
        <v>102</v>
      </c>
      <c r="E239" s="166" t="s">
        <v>263</v>
      </c>
      <c r="F239" s="128" t="s">
        <v>293</v>
      </c>
      <c r="G239" s="128" t="s">
        <v>578</v>
      </c>
      <c r="H239" s="167" t="s">
        <v>104</v>
      </c>
      <c r="I239" s="563">
        <v>25.6</v>
      </c>
      <c r="J239" s="482">
        <v>1</v>
      </c>
      <c r="K239" s="482">
        <v>1</v>
      </c>
      <c r="L239" s="482">
        <v>1</v>
      </c>
      <c r="M239" s="482">
        <v>1</v>
      </c>
      <c r="N239" s="168">
        <v>12</v>
      </c>
      <c r="O239" s="168"/>
      <c r="P239" s="168"/>
      <c r="Q239" s="168"/>
      <c r="R239" s="169" t="e">
        <f t="shared" si="27"/>
        <v>#DIV/0!</v>
      </c>
      <c r="S239" s="169">
        <f t="shared" si="28"/>
        <v>0</v>
      </c>
      <c r="T239" s="169">
        <f t="shared" si="29"/>
        <v>0</v>
      </c>
      <c r="U239" s="169">
        <f t="shared" si="30"/>
        <v>0</v>
      </c>
      <c r="V239" s="519"/>
      <c r="W239" s="170">
        <f>IF(N239="nio",0,IF(N239&gt;0,VLOOKUP(G239,'3-Productie normen'!A:N,VLOOKUP(N239,'3-Productie normen'!Q:R,2,FALSE),FALSE)))</f>
        <v>0</v>
      </c>
      <c r="X239" s="170">
        <f t="shared" si="24"/>
        <v>0</v>
      </c>
      <c r="Y239" s="170">
        <f t="shared" si="25"/>
        <v>0</v>
      </c>
      <c r="Z239" s="170">
        <f t="shared" si="31"/>
        <v>0</v>
      </c>
      <c r="AA239" s="171">
        <f>VLOOKUP(G239,'3-Productie normen'!A:N,10,FALSE)</f>
        <v>4</v>
      </c>
      <c r="AB239" s="171"/>
      <c r="AD239" s="131">
        <f t="shared" si="26"/>
        <v>307.20000000000005</v>
      </c>
    </row>
    <row r="240" spans="1:30" ht="14.1" customHeight="1">
      <c r="A240" s="147">
        <v>240</v>
      </c>
      <c r="B240" s="165" t="s">
        <v>421</v>
      </c>
      <c r="C240" s="165" t="s">
        <v>422</v>
      </c>
      <c r="D240" s="568" t="s">
        <v>102</v>
      </c>
      <c r="E240" s="166" t="s">
        <v>265</v>
      </c>
      <c r="F240" s="128" t="s">
        <v>281</v>
      </c>
      <c r="G240" s="167" t="s">
        <v>373</v>
      </c>
      <c r="H240" s="167" t="s">
        <v>272</v>
      </c>
      <c r="I240" s="563">
        <v>35.61</v>
      </c>
      <c r="J240" s="482">
        <v>1</v>
      </c>
      <c r="K240" s="482">
        <v>1</v>
      </c>
      <c r="L240" s="482">
        <v>1</v>
      </c>
      <c r="M240" s="482">
        <v>1</v>
      </c>
      <c r="N240" s="168">
        <v>255</v>
      </c>
      <c r="O240" s="168"/>
      <c r="P240" s="168"/>
      <c r="Q240" s="168"/>
      <c r="R240" s="169" t="e">
        <f t="shared" si="27"/>
        <v>#DIV/0!</v>
      </c>
      <c r="S240" s="169">
        <f t="shared" si="28"/>
        <v>0</v>
      </c>
      <c r="T240" s="169">
        <f t="shared" si="29"/>
        <v>0</v>
      </c>
      <c r="U240" s="169">
        <f t="shared" si="30"/>
        <v>0</v>
      </c>
      <c r="V240" s="519"/>
      <c r="W240" s="170">
        <f>IF(N240="nio",0,IF(N240&gt;0,VLOOKUP(G240,'3-Productie normen'!A:N,VLOOKUP(N240,'3-Productie normen'!Q:R,2,FALSE),FALSE)))</f>
        <v>0</v>
      </c>
      <c r="X240" s="170">
        <f t="shared" si="24"/>
        <v>0</v>
      </c>
      <c r="Y240" s="170">
        <f t="shared" si="25"/>
        <v>0</v>
      </c>
      <c r="Z240" s="170">
        <f t="shared" si="31"/>
        <v>0</v>
      </c>
      <c r="AA240" s="171">
        <f>VLOOKUP(G240,'3-Productie normen'!A:N,10,FALSE)</f>
        <v>1</v>
      </c>
      <c r="AB240" s="171"/>
      <c r="AD240" s="131">
        <f t="shared" si="26"/>
        <v>9080.5499999999993</v>
      </c>
    </row>
    <row r="241" spans="1:30" s="47" customFormat="1" ht="14.1" customHeight="1">
      <c r="A241" s="147">
        <v>241</v>
      </c>
      <c r="B241" s="165" t="s">
        <v>421</v>
      </c>
      <c r="C241" s="165" t="s">
        <v>422</v>
      </c>
      <c r="D241" s="568" t="s">
        <v>102</v>
      </c>
      <c r="E241" s="166" t="s">
        <v>267</v>
      </c>
      <c r="F241" s="128" t="s">
        <v>253</v>
      </c>
      <c r="G241" s="167" t="s">
        <v>17</v>
      </c>
      <c r="H241" s="167" t="s">
        <v>105</v>
      </c>
      <c r="I241" s="563">
        <v>3.39</v>
      </c>
      <c r="J241" s="482">
        <v>1</v>
      </c>
      <c r="K241" s="482">
        <v>1</v>
      </c>
      <c r="L241" s="482">
        <v>1</v>
      </c>
      <c r="M241" s="482">
        <v>1</v>
      </c>
      <c r="N241" s="168">
        <v>255</v>
      </c>
      <c r="O241" s="168"/>
      <c r="P241" s="168"/>
      <c r="Q241" s="168"/>
      <c r="R241" s="169" t="e">
        <f t="shared" si="27"/>
        <v>#DIV/0!</v>
      </c>
      <c r="S241" s="169">
        <f t="shared" si="28"/>
        <v>0</v>
      </c>
      <c r="T241" s="169">
        <f t="shared" si="29"/>
        <v>0</v>
      </c>
      <c r="U241" s="169">
        <f t="shared" si="30"/>
        <v>0</v>
      </c>
      <c r="V241" s="519"/>
      <c r="W241" s="170">
        <f>IF(N241="nio",0,IF(N241&gt;0,VLOOKUP(G241,'3-Productie normen'!A:N,VLOOKUP(N241,'3-Productie normen'!Q:R,2,FALSE),FALSE)))</f>
        <v>0</v>
      </c>
      <c r="X241" s="170">
        <f t="shared" si="24"/>
        <v>0</v>
      </c>
      <c r="Y241" s="170">
        <f t="shared" si="25"/>
        <v>0</v>
      </c>
      <c r="Z241" s="170">
        <f t="shared" si="31"/>
        <v>0</v>
      </c>
      <c r="AA241" s="171">
        <f>VLOOKUP(G241,'3-Productie normen'!A:N,10,FALSE)</f>
        <v>3</v>
      </c>
      <c r="AB241" s="171"/>
      <c r="AC241" s="4"/>
      <c r="AD241" s="131">
        <f t="shared" si="26"/>
        <v>864.45</v>
      </c>
    </row>
    <row r="242" spans="1:30" ht="14.1" customHeight="1">
      <c r="A242" s="147">
        <v>242</v>
      </c>
      <c r="B242" s="165" t="s">
        <v>421</v>
      </c>
      <c r="C242" s="165" t="s">
        <v>422</v>
      </c>
      <c r="D242" s="568" t="s">
        <v>102</v>
      </c>
      <c r="E242" s="166" t="s">
        <v>286</v>
      </c>
      <c r="F242" s="128" t="s">
        <v>270</v>
      </c>
      <c r="G242" s="128" t="s">
        <v>373</v>
      </c>
      <c r="H242" s="167" t="s">
        <v>104</v>
      </c>
      <c r="I242" s="563">
        <v>11.53</v>
      </c>
      <c r="J242" s="482">
        <v>1</v>
      </c>
      <c r="K242" s="482">
        <v>1</v>
      </c>
      <c r="L242" s="482">
        <v>1</v>
      </c>
      <c r="M242" s="482">
        <v>1</v>
      </c>
      <c r="N242" s="168">
        <v>255</v>
      </c>
      <c r="O242" s="168"/>
      <c r="P242" s="168"/>
      <c r="Q242" s="168"/>
      <c r="R242" s="169" t="e">
        <f t="shared" si="27"/>
        <v>#DIV/0!</v>
      </c>
      <c r="S242" s="169">
        <f t="shared" si="28"/>
        <v>0</v>
      </c>
      <c r="T242" s="169">
        <f t="shared" si="29"/>
        <v>0</v>
      </c>
      <c r="U242" s="169">
        <f t="shared" si="30"/>
        <v>0</v>
      </c>
      <c r="V242" s="519"/>
      <c r="W242" s="170">
        <f>IF(N242="nio",0,IF(N242&gt;0,VLOOKUP(G242,'3-Productie normen'!A:N,VLOOKUP(N242,'3-Productie normen'!Q:R,2,FALSE),FALSE)))</f>
        <v>0</v>
      </c>
      <c r="X242" s="170">
        <f t="shared" si="24"/>
        <v>0</v>
      </c>
      <c r="Y242" s="170">
        <f t="shared" si="25"/>
        <v>0</v>
      </c>
      <c r="Z242" s="170">
        <f t="shared" si="31"/>
        <v>0</v>
      </c>
      <c r="AA242" s="171">
        <f>VLOOKUP(G242,'3-Productie normen'!A:N,10,FALSE)</f>
        <v>1</v>
      </c>
      <c r="AB242" s="171"/>
      <c r="AD242" s="131">
        <f t="shared" si="26"/>
        <v>2940.1499999999996</v>
      </c>
    </row>
    <row r="243" spans="1:30" ht="14.1" customHeight="1">
      <c r="A243" s="147">
        <v>243</v>
      </c>
      <c r="B243" s="165" t="s">
        <v>423</v>
      </c>
      <c r="C243" s="165" t="s">
        <v>456</v>
      </c>
      <c r="D243" s="568" t="s">
        <v>102</v>
      </c>
      <c r="E243" s="166" t="s">
        <v>247</v>
      </c>
      <c r="F243" s="165" t="s">
        <v>103</v>
      </c>
      <c r="G243" s="525" t="s">
        <v>583</v>
      </c>
      <c r="H243" s="167" t="s">
        <v>450</v>
      </c>
      <c r="I243" s="563">
        <v>4.9000000000000004</v>
      </c>
      <c r="J243" s="482">
        <v>1</v>
      </c>
      <c r="K243" s="482">
        <v>1</v>
      </c>
      <c r="L243" s="482">
        <v>1</v>
      </c>
      <c r="M243" s="482">
        <v>1</v>
      </c>
      <c r="N243" s="168">
        <v>205</v>
      </c>
      <c r="O243" s="168"/>
      <c r="P243" s="168"/>
      <c r="Q243" s="168"/>
      <c r="R243" s="169" t="e">
        <f t="shared" si="27"/>
        <v>#DIV/0!</v>
      </c>
      <c r="S243" s="169">
        <f t="shared" si="28"/>
        <v>0</v>
      </c>
      <c r="T243" s="169">
        <f t="shared" si="29"/>
        <v>0</v>
      </c>
      <c r="U243" s="169">
        <f t="shared" si="30"/>
        <v>0</v>
      </c>
      <c r="V243" s="519"/>
      <c r="W243" s="170">
        <f>IF(N243="nio",0,IF(N243&gt;0,VLOOKUP(G243,'3-Productie normen'!A:N,VLOOKUP(N243,'3-Productie normen'!Q:R,2,FALSE),FALSE)))</f>
        <v>0</v>
      </c>
      <c r="X243" s="170">
        <f t="shared" si="24"/>
        <v>0</v>
      </c>
      <c r="Y243" s="170">
        <f t="shared" si="25"/>
        <v>0</v>
      </c>
      <c r="Z243" s="170">
        <f t="shared" si="31"/>
        <v>0</v>
      </c>
      <c r="AA243" s="171">
        <f>VLOOKUP(G243,'3-Productie normen'!A:N,10,FALSE)</f>
        <v>4</v>
      </c>
      <c r="AB243" s="171"/>
      <c r="AD243" s="131">
        <f t="shared" si="26"/>
        <v>1004.5000000000001</v>
      </c>
    </row>
    <row r="244" spans="1:30" ht="14.1" customHeight="1">
      <c r="A244" s="147">
        <v>244</v>
      </c>
      <c r="B244" s="165" t="s">
        <v>423</v>
      </c>
      <c r="C244" s="165" t="s">
        <v>456</v>
      </c>
      <c r="D244" s="568" t="s">
        <v>102</v>
      </c>
      <c r="E244" s="166" t="s">
        <v>248</v>
      </c>
      <c r="F244" s="165" t="s">
        <v>424</v>
      </c>
      <c r="G244" s="165" t="s">
        <v>199</v>
      </c>
      <c r="H244" s="167"/>
      <c r="I244" s="563"/>
      <c r="J244" s="482">
        <v>1</v>
      </c>
      <c r="K244" s="482">
        <v>1</v>
      </c>
      <c r="L244" s="482">
        <v>1</v>
      </c>
      <c r="M244" s="482">
        <v>1</v>
      </c>
      <c r="N244" s="168" t="s">
        <v>199</v>
      </c>
      <c r="O244" s="168"/>
      <c r="P244" s="168"/>
      <c r="Q244" s="168"/>
      <c r="R244" s="169">
        <f t="shared" si="27"/>
        <v>0</v>
      </c>
      <c r="S244" s="169">
        <f t="shared" si="28"/>
        <v>0</v>
      </c>
      <c r="T244" s="169">
        <f t="shared" si="29"/>
        <v>0</v>
      </c>
      <c r="U244" s="169">
        <f t="shared" si="30"/>
        <v>0</v>
      </c>
      <c r="V244" s="519"/>
      <c r="W244" s="170">
        <f>IF(N244="nio",0,IF(N244&gt;0,VLOOKUP(G244,'3-Productie normen'!A:N,VLOOKUP(N244,'3-Productie normen'!Q:R,2,FALSE),FALSE)))</f>
        <v>0</v>
      </c>
      <c r="X244" s="170">
        <f t="shared" si="24"/>
        <v>0</v>
      </c>
      <c r="Y244" s="170">
        <f t="shared" si="25"/>
        <v>0</v>
      </c>
      <c r="Z244" s="170">
        <f t="shared" si="31"/>
        <v>0</v>
      </c>
      <c r="AA244" s="171">
        <f>VLOOKUP(G244,'3-Productie normen'!A:N,10,FALSE)</f>
        <v>0</v>
      </c>
      <c r="AB244" s="171"/>
      <c r="AD244" s="131">
        <f t="shared" si="26"/>
        <v>0</v>
      </c>
    </row>
    <row r="245" spans="1:30" ht="14.1" customHeight="1">
      <c r="A245" s="147">
        <v>245</v>
      </c>
      <c r="B245" s="165" t="s">
        <v>423</v>
      </c>
      <c r="C245" s="165" t="s">
        <v>456</v>
      </c>
      <c r="D245" s="568" t="s">
        <v>102</v>
      </c>
      <c r="E245" s="166" t="s">
        <v>250</v>
      </c>
      <c r="F245" s="165" t="s">
        <v>425</v>
      </c>
      <c r="G245" s="165" t="s">
        <v>17</v>
      </c>
      <c r="H245" s="167" t="s">
        <v>105</v>
      </c>
      <c r="I245" s="563">
        <v>3.4</v>
      </c>
      <c r="J245" s="482">
        <v>1</v>
      </c>
      <c r="K245" s="482">
        <v>1</v>
      </c>
      <c r="L245" s="482">
        <v>1</v>
      </c>
      <c r="M245" s="482">
        <v>1</v>
      </c>
      <c r="N245" s="168">
        <v>205</v>
      </c>
      <c r="O245" s="168"/>
      <c r="P245" s="168"/>
      <c r="Q245" s="168"/>
      <c r="R245" s="169" t="e">
        <f t="shared" si="27"/>
        <v>#DIV/0!</v>
      </c>
      <c r="S245" s="169">
        <f t="shared" si="28"/>
        <v>0</v>
      </c>
      <c r="T245" s="169">
        <f t="shared" si="29"/>
        <v>0</v>
      </c>
      <c r="U245" s="169">
        <f t="shared" si="30"/>
        <v>0</v>
      </c>
      <c r="V245" s="519"/>
      <c r="W245" s="170">
        <f>IF(N245="nio",0,IF(N245&gt;0,VLOOKUP(G245,'3-Productie normen'!A:N,VLOOKUP(N245,'3-Productie normen'!Q:R,2,FALSE),FALSE)))</f>
        <v>0</v>
      </c>
      <c r="X245" s="170">
        <f t="shared" si="24"/>
        <v>0</v>
      </c>
      <c r="Y245" s="170">
        <f t="shared" si="25"/>
        <v>0</v>
      </c>
      <c r="Z245" s="170">
        <f t="shared" si="31"/>
        <v>0</v>
      </c>
      <c r="AA245" s="171">
        <f>VLOOKUP(G245,'3-Productie normen'!A:N,10,FALSE)</f>
        <v>3</v>
      </c>
      <c r="AB245" s="171"/>
      <c r="AD245" s="131">
        <f t="shared" si="26"/>
        <v>697</v>
      </c>
    </row>
    <row r="246" spans="1:30" ht="14.1" customHeight="1">
      <c r="A246" s="147">
        <v>246</v>
      </c>
      <c r="B246" s="165" t="s">
        <v>423</v>
      </c>
      <c r="C246" s="165" t="s">
        <v>456</v>
      </c>
      <c r="D246" s="568" t="s">
        <v>102</v>
      </c>
      <c r="E246" s="166" t="s">
        <v>252</v>
      </c>
      <c r="F246" s="167" t="s">
        <v>426</v>
      </c>
      <c r="G246" s="167" t="s">
        <v>373</v>
      </c>
      <c r="H246" s="167" t="s">
        <v>451</v>
      </c>
      <c r="I246" s="563">
        <v>99.8</v>
      </c>
      <c r="J246" s="482">
        <v>1</v>
      </c>
      <c r="K246" s="482">
        <v>1</v>
      </c>
      <c r="L246" s="482">
        <v>1</v>
      </c>
      <c r="M246" s="482">
        <v>1</v>
      </c>
      <c r="N246" s="168">
        <v>205</v>
      </c>
      <c r="O246" s="168"/>
      <c r="P246" s="168"/>
      <c r="Q246" s="168"/>
      <c r="R246" s="169" t="e">
        <f t="shared" si="27"/>
        <v>#DIV/0!</v>
      </c>
      <c r="S246" s="169">
        <f t="shared" si="28"/>
        <v>0</v>
      </c>
      <c r="T246" s="169">
        <f t="shared" si="29"/>
        <v>0</v>
      </c>
      <c r="U246" s="169">
        <f t="shared" si="30"/>
        <v>0</v>
      </c>
      <c r="V246" s="519"/>
      <c r="W246" s="170">
        <f>IF(N246="nio",0,IF(N246&gt;0,VLOOKUP(G246,'3-Productie normen'!A:N,VLOOKUP(N246,'3-Productie normen'!Q:R,2,FALSE),FALSE)))</f>
        <v>0</v>
      </c>
      <c r="X246" s="170">
        <f t="shared" si="24"/>
        <v>0</v>
      </c>
      <c r="Y246" s="170">
        <f t="shared" si="25"/>
        <v>0</v>
      </c>
      <c r="Z246" s="170">
        <f t="shared" si="31"/>
        <v>0</v>
      </c>
      <c r="AA246" s="171">
        <f>VLOOKUP(G246,'3-Productie normen'!A:N,10,FALSE)</f>
        <v>1</v>
      </c>
      <c r="AB246" s="171"/>
      <c r="AD246" s="131">
        <f t="shared" si="26"/>
        <v>20459</v>
      </c>
    </row>
    <row r="247" spans="1:30" ht="14.1" customHeight="1">
      <c r="A247" s="147">
        <v>247</v>
      </c>
      <c r="B247" s="165" t="s">
        <v>423</v>
      </c>
      <c r="C247" s="165" t="s">
        <v>456</v>
      </c>
      <c r="D247" s="568" t="s">
        <v>102</v>
      </c>
      <c r="E247" s="166" t="s">
        <v>254</v>
      </c>
      <c r="F247" s="167" t="s">
        <v>427</v>
      </c>
      <c r="G247" s="167" t="s">
        <v>199</v>
      </c>
      <c r="H247" s="167"/>
      <c r="I247" s="563"/>
      <c r="J247" s="482">
        <v>1</v>
      </c>
      <c r="K247" s="482">
        <v>1</v>
      </c>
      <c r="L247" s="482">
        <v>1</v>
      </c>
      <c r="M247" s="482">
        <v>1</v>
      </c>
      <c r="N247" s="168" t="s">
        <v>199</v>
      </c>
      <c r="O247" s="168"/>
      <c r="P247" s="168"/>
      <c r="Q247" s="168"/>
      <c r="R247" s="169">
        <f t="shared" si="27"/>
        <v>0</v>
      </c>
      <c r="S247" s="169">
        <f t="shared" si="28"/>
        <v>0</v>
      </c>
      <c r="T247" s="169">
        <f t="shared" si="29"/>
        <v>0</v>
      </c>
      <c r="U247" s="169">
        <f t="shared" si="30"/>
        <v>0</v>
      </c>
      <c r="V247" s="519"/>
      <c r="W247" s="170">
        <f>IF(N247="nio",0,IF(N247&gt;0,VLOOKUP(G247,'3-Productie normen'!A:N,VLOOKUP(N247,'3-Productie normen'!Q:R,2,FALSE),FALSE)))</f>
        <v>0</v>
      </c>
      <c r="X247" s="170">
        <f t="shared" si="24"/>
        <v>0</v>
      </c>
      <c r="Y247" s="170">
        <f t="shared" si="25"/>
        <v>0</v>
      </c>
      <c r="Z247" s="170">
        <f t="shared" si="31"/>
        <v>0</v>
      </c>
      <c r="AA247" s="171">
        <f>VLOOKUP(G247,'3-Productie normen'!A:N,10,FALSE)</f>
        <v>0</v>
      </c>
      <c r="AB247" s="171"/>
      <c r="AD247" s="131">
        <f t="shared" si="26"/>
        <v>0</v>
      </c>
    </row>
    <row r="248" spans="1:30" ht="14.1" customHeight="1">
      <c r="A248" s="147">
        <v>248</v>
      </c>
      <c r="B248" s="165" t="s">
        <v>423</v>
      </c>
      <c r="C248" s="165" t="s">
        <v>456</v>
      </c>
      <c r="D248" s="568" t="s">
        <v>102</v>
      </c>
      <c r="E248" s="166" t="s">
        <v>256</v>
      </c>
      <c r="F248" s="167" t="s">
        <v>428</v>
      </c>
      <c r="G248" s="167" t="s">
        <v>373</v>
      </c>
      <c r="H248" s="167" t="s">
        <v>451</v>
      </c>
      <c r="I248" s="563">
        <v>14.65</v>
      </c>
      <c r="J248" s="482">
        <v>1</v>
      </c>
      <c r="K248" s="482">
        <v>1</v>
      </c>
      <c r="L248" s="482">
        <v>1</v>
      </c>
      <c r="M248" s="482">
        <v>1</v>
      </c>
      <c r="N248" s="168">
        <v>205</v>
      </c>
      <c r="O248" s="168"/>
      <c r="P248" s="168"/>
      <c r="Q248" s="168"/>
      <c r="R248" s="169" t="e">
        <f t="shared" si="27"/>
        <v>#DIV/0!</v>
      </c>
      <c r="S248" s="169">
        <f t="shared" si="28"/>
        <v>0</v>
      </c>
      <c r="T248" s="169">
        <f t="shared" si="29"/>
        <v>0</v>
      </c>
      <c r="U248" s="169">
        <f t="shared" si="30"/>
        <v>0</v>
      </c>
      <c r="V248" s="519"/>
      <c r="W248" s="170">
        <f>IF(N248="nio",0,IF(N248&gt;0,VLOOKUP(G248,'3-Productie normen'!A:N,VLOOKUP(N248,'3-Productie normen'!Q:R,2,FALSE),FALSE)))</f>
        <v>0</v>
      </c>
      <c r="X248" s="170">
        <f t="shared" si="24"/>
        <v>0</v>
      </c>
      <c r="Y248" s="170">
        <f t="shared" si="25"/>
        <v>0</v>
      </c>
      <c r="Z248" s="170">
        <f t="shared" si="31"/>
        <v>0</v>
      </c>
      <c r="AA248" s="171">
        <f>VLOOKUP(G248,'3-Productie normen'!A:N,10,FALSE)</f>
        <v>1</v>
      </c>
      <c r="AB248" s="171"/>
      <c r="AD248" s="131">
        <f t="shared" si="26"/>
        <v>3003.25</v>
      </c>
    </row>
    <row r="249" spans="1:30" ht="14.1" customHeight="1">
      <c r="A249" s="147">
        <v>249</v>
      </c>
      <c r="B249" s="165" t="s">
        <v>423</v>
      </c>
      <c r="C249" s="165" t="s">
        <v>456</v>
      </c>
      <c r="D249" s="568" t="s">
        <v>102</v>
      </c>
      <c r="E249" s="166" t="s">
        <v>429</v>
      </c>
      <c r="F249" s="167" t="s">
        <v>430</v>
      </c>
      <c r="G249" s="128" t="s">
        <v>373</v>
      </c>
      <c r="H249" s="167" t="s">
        <v>272</v>
      </c>
      <c r="I249" s="563">
        <v>6</v>
      </c>
      <c r="J249" s="482">
        <v>1</v>
      </c>
      <c r="K249" s="482">
        <v>1</v>
      </c>
      <c r="L249" s="482">
        <v>1</v>
      </c>
      <c r="M249" s="482">
        <v>1</v>
      </c>
      <c r="N249" s="168">
        <v>205</v>
      </c>
      <c r="O249" s="168"/>
      <c r="P249" s="168"/>
      <c r="Q249" s="168"/>
      <c r="R249" s="169" t="e">
        <f t="shared" si="27"/>
        <v>#DIV/0!</v>
      </c>
      <c r="S249" s="169">
        <f t="shared" si="28"/>
        <v>0</v>
      </c>
      <c r="T249" s="169">
        <f t="shared" si="29"/>
        <v>0</v>
      </c>
      <c r="U249" s="169">
        <f t="shared" si="30"/>
        <v>0</v>
      </c>
      <c r="V249" s="519"/>
      <c r="W249" s="170">
        <f>IF(N249="nio",0,IF(N249&gt;0,VLOOKUP(G249,'3-Productie normen'!A:N,VLOOKUP(N249,'3-Productie normen'!Q:R,2,FALSE),FALSE)))</f>
        <v>0</v>
      </c>
      <c r="X249" s="170">
        <f t="shared" si="24"/>
        <v>0</v>
      </c>
      <c r="Y249" s="170">
        <f t="shared" si="25"/>
        <v>0</v>
      </c>
      <c r="Z249" s="170">
        <f t="shared" si="31"/>
        <v>0</v>
      </c>
      <c r="AA249" s="171">
        <f>VLOOKUP(G249,'3-Productie normen'!A:N,10,FALSE)</f>
        <v>1</v>
      </c>
      <c r="AB249" s="171"/>
      <c r="AD249" s="131">
        <f t="shared" si="26"/>
        <v>1230</v>
      </c>
    </row>
    <row r="250" spans="1:30" ht="14.1" customHeight="1">
      <c r="A250" s="147">
        <v>250</v>
      </c>
      <c r="B250" s="165" t="s">
        <v>423</v>
      </c>
      <c r="C250" s="165" t="s">
        <v>456</v>
      </c>
      <c r="D250" s="568" t="s">
        <v>102</v>
      </c>
      <c r="E250" s="178" t="s">
        <v>431</v>
      </c>
      <c r="F250" s="178" t="s">
        <v>432</v>
      </c>
      <c r="G250" s="128" t="s">
        <v>373</v>
      </c>
      <c r="H250" s="179" t="s">
        <v>272</v>
      </c>
      <c r="I250" s="565">
        <v>6</v>
      </c>
      <c r="J250" s="482">
        <v>1</v>
      </c>
      <c r="K250" s="482">
        <v>1</v>
      </c>
      <c r="L250" s="482">
        <v>1</v>
      </c>
      <c r="M250" s="482">
        <v>1</v>
      </c>
      <c r="N250" s="168">
        <v>205</v>
      </c>
      <c r="O250" s="168"/>
      <c r="P250" s="168"/>
      <c r="Q250" s="168"/>
      <c r="R250" s="169" t="e">
        <f t="shared" si="27"/>
        <v>#DIV/0!</v>
      </c>
      <c r="S250" s="169">
        <f t="shared" si="28"/>
        <v>0</v>
      </c>
      <c r="T250" s="169">
        <f t="shared" si="29"/>
        <v>0</v>
      </c>
      <c r="U250" s="169">
        <f t="shared" si="30"/>
        <v>0</v>
      </c>
      <c r="V250" s="519"/>
      <c r="W250" s="170">
        <f>IF(N250="nio",0,IF(N250&gt;0,VLOOKUP(G250,'3-Productie normen'!A:N,VLOOKUP(N250,'3-Productie normen'!Q:R,2,FALSE),FALSE)))</f>
        <v>0</v>
      </c>
      <c r="X250" s="170">
        <f t="shared" si="24"/>
        <v>0</v>
      </c>
      <c r="Y250" s="170">
        <f t="shared" si="25"/>
        <v>0</v>
      </c>
      <c r="Z250" s="170">
        <f t="shared" si="31"/>
        <v>0</v>
      </c>
      <c r="AA250" s="171">
        <f>VLOOKUP(G250,'3-Productie normen'!A:N,10,FALSE)</f>
        <v>1</v>
      </c>
      <c r="AB250" s="171"/>
      <c r="AD250" s="131">
        <f t="shared" si="26"/>
        <v>1230</v>
      </c>
    </row>
    <row r="251" spans="1:30" ht="14.1" customHeight="1">
      <c r="A251" s="147">
        <v>251</v>
      </c>
      <c r="B251" s="165" t="s">
        <v>423</v>
      </c>
      <c r="C251" s="165" t="s">
        <v>456</v>
      </c>
      <c r="D251" s="568" t="s">
        <v>102</v>
      </c>
      <c r="E251" s="178" t="s">
        <v>433</v>
      </c>
      <c r="F251" s="178" t="s">
        <v>434</v>
      </c>
      <c r="G251" s="128" t="s">
        <v>373</v>
      </c>
      <c r="H251" s="179" t="s">
        <v>272</v>
      </c>
      <c r="I251" s="565">
        <v>6</v>
      </c>
      <c r="J251" s="482">
        <v>1</v>
      </c>
      <c r="K251" s="482">
        <v>1</v>
      </c>
      <c r="L251" s="482">
        <v>1</v>
      </c>
      <c r="M251" s="482">
        <v>1</v>
      </c>
      <c r="N251" s="168">
        <v>205</v>
      </c>
      <c r="O251" s="168"/>
      <c r="P251" s="168"/>
      <c r="Q251" s="168"/>
      <c r="R251" s="169" t="e">
        <f t="shared" si="27"/>
        <v>#DIV/0!</v>
      </c>
      <c r="S251" s="169">
        <f t="shared" si="28"/>
        <v>0</v>
      </c>
      <c r="T251" s="169">
        <f t="shared" si="29"/>
        <v>0</v>
      </c>
      <c r="U251" s="169">
        <f t="shared" si="30"/>
        <v>0</v>
      </c>
      <c r="V251" s="519"/>
      <c r="W251" s="170">
        <f>IF(N251="nio",0,IF(N251&gt;0,VLOOKUP(G251,'3-Productie normen'!A:N,VLOOKUP(N251,'3-Productie normen'!Q:R,2,FALSE),FALSE)))</f>
        <v>0</v>
      </c>
      <c r="X251" s="170">
        <f t="shared" si="24"/>
        <v>0</v>
      </c>
      <c r="Y251" s="170">
        <f t="shared" si="25"/>
        <v>0</v>
      </c>
      <c r="Z251" s="170">
        <f t="shared" si="31"/>
        <v>0</v>
      </c>
      <c r="AA251" s="171">
        <f>VLOOKUP(G251,'3-Productie normen'!A:N,10,FALSE)</f>
        <v>1</v>
      </c>
      <c r="AB251" s="171"/>
      <c r="AD251" s="131">
        <f t="shared" si="26"/>
        <v>1230</v>
      </c>
    </row>
    <row r="252" spans="1:30" ht="14.1" customHeight="1">
      <c r="A252" s="147">
        <v>252</v>
      </c>
      <c r="B252" s="165" t="s">
        <v>423</v>
      </c>
      <c r="C252" s="165" t="s">
        <v>456</v>
      </c>
      <c r="D252" s="568" t="s">
        <v>102</v>
      </c>
      <c r="E252" s="178" t="s">
        <v>435</v>
      </c>
      <c r="F252" s="178" t="s">
        <v>436</v>
      </c>
      <c r="G252" s="128" t="s">
        <v>373</v>
      </c>
      <c r="H252" s="179" t="s">
        <v>272</v>
      </c>
      <c r="I252" s="565">
        <v>6</v>
      </c>
      <c r="J252" s="482">
        <v>1</v>
      </c>
      <c r="K252" s="482">
        <v>1</v>
      </c>
      <c r="L252" s="482">
        <v>1</v>
      </c>
      <c r="M252" s="482">
        <v>1</v>
      </c>
      <c r="N252" s="168">
        <v>205</v>
      </c>
      <c r="O252" s="168"/>
      <c r="P252" s="168"/>
      <c r="Q252" s="168"/>
      <c r="R252" s="169" t="e">
        <f t="shared" si="27"/>
        <v>#DIV/0!</v>
      </c>
      <c r="S252" s="169">
        <f t="shared" si="28"/>
        <v>0</v>
      </c>
      <c r="T252" s="169">
        <f t="shared" si="29"/>
        <v>0</v>
      </c>
      <c r="U252" s="169">
        <f t="shared" si="30"/>
        <v>0</v>
      </c>
      <c r="V252" s="519"/>
      <c r="W252" s="170">
        <f>IF(N252="nio",0,IF(N252&gt;0,VLOOKUP(G252,'3-Productie normen'!A:N,VLOOKUP(N252,'3-Productie normen'!Q:R,2,FALSE),FALSE)))</f>
        <v>0</v>
      </c>
      <c r="X252" s="170">
        <f t="shared" si="24"/>
        <v>0</v>
      </c>
      <c r="Y252" s="170">
        <f t="shared" si="25"/>
        <v>0</v>
      </c>
      <c r="Z252" s="170">
        <f t="shared" si="31"/>
        <v>0</v>
      </c>
      <c r="AA252" s="171">
        <f>VLOOKUP(G252,'3-Productie normen'!A:N,10,FALSE)</f>
        <v>1</v>
      </c>
      <c r="AB252" s="171"/>
      <c r="AD252" s="131">
        <f t="shared" si="26"/>
        <v>1230</v>
      </c>
    </row>
    <row r="253" spans="1:30" ht="14.1" customHeight="1">
      <c r="A253" s="147">
        <v>253</v>
      </c>
      <c r="B253" s="165" t="s">
        <v>423</v>
      </c>
      <c r="C253" s="165" t="s">
        <v>456</v>
      </c>
      <c r="D253" s="568" t="s">
        <v>102</v>
      </c>
      <c r="E253" s="178" t="s">
        <v>437</v>
      </c>
      <c r="F253" s="178" t="s">
        <v>438</v>
      </c>
      <c r="G253" s="128" t="s">
        <v>373</v>
      </c>
      <c r="H253" s="179" t="s">
        <v>272</v>
      </c>
      <c r="I253" s="565">
        <v>6</v>
      </c>
      <c r="J253" s="482">
        <v>1</v>
      </c>
      <c r="K253" s="482">
        <v>1</v>
      </c>
      <c r="L253" s="482">
        <v>1</v>
      </c>
      <c r="M253" s="482">
        <v>1</v>
      </c>
      <c r="N253" s="168">
        <v>205</v>
      </c>
      <c r="O253" s="168"/>
      <c r="P253" s="168"/>
      <c r="Q253" s="168"/>
      <c r="R253" s="169" t="e">
        <f t="shared" si="27"/>
        <v>#DIV/0!</v>
      </c>
      <c r="S253" s="169">
        <f t="shared" si="28"/>
        <v>0</v>
      </c>
      <c r="T253" s="169">
        <f t="shared" si="29"/>
        <v>0</v>
      </c>
      <c r="U253" s="169">
        <f t="shared" si="30"/>
        <v>0</v>
      </c>
      <c r="V253" s="519"/>
      <c r="W253" s="170">
        <f>IF(N253="nio",0,IF(N253&gt;0,VLOOKUP(G253,'3-Productie normen'!A:N,VLOOKUP(N253,'3-Productie normen'!Q:R,2,FALSE),FALSE)))</f>
        <v>0</v>
      </c>
      <c r="X253" s="170">
        <f t="shared" si="24"/>
        <v>0</v>
      </c>
      <c r="Y253" s="170">
        <f t="shared" si="25"/>
        <v>0</v>
      </c>
      <c r="Z253" s="170">
        <f t="shared" si="31"/>
        <v>0</v>
      </c>
      <c r="AA253" s="171">
        <f>VLOOKUP(G253,'3-Productie normen'!A:N,10,FALSE)</f>
        <v>1</v>
      </c>
      <c r="AB253" s="171"/>
      <c r="AD253" s="131">
        <f t="shared" si="26"/>
        <v>1230</v>
      </c>
    </row>
    <row r="254" spans="1:30" ht="14.1" customHeight="1">
      <c r="A254" s="147">
        <v>254</v>
      </c>
      <c r="B254" s="165" t="s">
        <v>423</v>
      </c>
      <c r="C254" s="165" t="s">
        <v>456</v>
      </c>
      <c r="D254" s="568" t="s">
        <v>102</v>
      </c>
      <c r="E254" s="178" t="s">
        <v>259</v>
      </c>
      <c r="F254" s="178" t="s">
        <v>279</v>
      </c>
      <c r="G254" s="525" t="s">
        <v>583</v>
      </c>
      <c r="H254" s="179" t="s">
        <v>451</v>
      </c>
      <c r="I254" s="565">
        <v>19.95</v>
      </c>
      <c r="J254" s="482">
        <v>1</v>
      </c>
      <c r="K254" s="482">
        <v>1</v>
      </c>
      <c r="L254" s="482">
        <v>1</v>
      </c>
      <c r="M254" s="482">
        <v>1</v>
      </c>
      <c r="N254" s="168">
        <v>205</v>
      </c>
      <c r="O254" s="168"/>
      <c r="P254" s="168"/>
      <c r="Q254" s="168"/>
      <c r="R254" s="169" t="e">
        <f t="shared" si="27"/>
        <v>#DIV/0!</v>
      </c>
      <c r="S254" s="169">
        <f t="shared" si="28"/>
        <v>0</v>
      </c>
      <c r="T254" s="169">
        <f t="shared" si="29"/>
        <v>0</v>
      </c>
      <c r="U254" s="169">
        <f t="shared" si="30"/>
        <v>0</v>
      </c>
      <c r="V254" s="519"/>
      <c r="W254" s="170">
        <f>IF(N254="nio",0,IF(N254&gt;0,VLOOKUP(G254,'3-Productie normen'!A:N,VLOOKUP(N254,'3-Productie normen'!Q:R,2,FALSE),FALSE)))</f>
        <v>0</v>
      </c>
      <c r="X254" s="170">
        <f t="shared" si="24"/>
        <v>0</v>
      </c>
      <c r="Y254" s="170">
        <f t="shared" si="25"/>
        <v>0</v>
      </c>
      <c r="Z254" s="170">
        <f t="shared" si="31"/>
        <v>0</v>
      </c>
      <c r="AA254" s="171">
        <f>VLOOKUP(G254,'3-Productie normen'!A:N,10,FALSE)</f>
        <v>4</v>
      </c>
      <c r="AB254" s="171"/>
      <c r="AD254" s="131">
        <f t="shared" si="26"/>
        <v>4089.75</v>
      </c>
    </row>
    <row r="255" spans="1:30" ht="14.1" customHeight="1">
      <c r="A255" s="147">
        <v>255</v>
      </c>
      <c r="B255" s="165" t="s">
        <v>423</v>
      </c>
      <c r="C255" s="165" t="s">
        <v>456</v>
      </c>
      <c r="D255" s="568" t="s">
        <v>102</v>
      </c>
      <c r="E255" s="178" t="s">
        <v>261</v>
      </c>
      <c r="F255" s="178" t="s">
        <v>439</v>
      </c>
      <c r="G255" s="525" t="s">
        <v>583</v>
      </c>
      <c r="H255" s="178" t="s">
        <v>451</v>
      </c>
      <c r="I255" s="565">
        <v>7.76</v>
      </c>
      <c r="J255" s="482">
        <v>1</v>
      </c>
      <c r="K255" s="482">
        <v>1</v>
      </c>
      <c r="L255" s="482">
        <v>1</v>
      </c>
      <c r="M255" s="482">
        <v>1</v>
      </c>
      <c r="N255" s="168">
        <v>205</v>
      </c>
      <c r="O255" s="168"/>
      <c r="P255" s="168"/>
      <c r="Q255" s="168"/>
      <c r="R255" s="169" t="e">
        <f t="shared" si="27"/>
        <v>#DIV/0!</v>
      </c>
      <c r="S255" s="169">
        <f t="shared" si="28"/>
        <v>0</v>
      </c>
      <c r="T255" s="169">
        <f t="shared" si="29"/>
        <v>0</v>
      </c>
      <c r="U255" s="169">
        <f t="shared" si="30"/>
        <v>0</v>
      </c>
      <c r="V255" s="519"/>
      <c r="W255" s="170">
        <f>IF(N255="nio",0,IF(N255&gt;0,VLOOKUP(G255,'3-Productie normen'!A:N,VLOOKUP(N255,'3-Productie normen'!Q:R,2,FALSE),FALSE)))</f>
        <v>0</v>
      </c>
      <c r="X255" s="170">
        <f t="shared" si="24"/>
        <v>0</v>
      </c>
      <c r="Y255" s="170">
        <f t="shared" si="25"/>
        <v>0</v>
      </c>
      <c r="Z255" s="170">
        <f t="shared" si="31"/>
        <v>0</v>
      </c>
      <c r="AA255" s="171">
        <f>VLOOKUP(G255,'3-Productie normen'!A:N,10,FALSE)</f>
        <v>4</v>
      </c>
      <c r="AB255" s="171"/>
      <c r="AD255" s="131">
        <f t="shared" si="26"/>
        <v>1590.8</v>
      </c>
    </row>
    <row r="256" spans="1:30" ht="14.1" customHeight="1">
      <c r="A256" s="147">
        <v>256</v>
      </c>
      <c r="B256" s="165" t="s">
        <v>423</v>
      </c>
      <c r="C256" s="165" t="s">
        <v>456</v>
      </c>
      <c r="D256" s="568" t="s">
        <v>102</v>
      </c>
      <c r="E256" s="178" t="s">
        <v>263</v>
      </c>
      <c r="F256" s="178" t="s">
        <v>440</v>
      </c>
      <c r="G256" s="167" t="s">
        <v>107</v>
      </c>
      <c r="H256" s="178" t="s">
        <v>451</v>
      </c>
      <c r="I256" s="565">
        <v>25.4</v>
      </c>
      <c r="J256" s="482">
        <v>1</v>
      </c>
      <c r="K256" s="482">
        <v>1</v>
      </c>
      <c r="L256" s="482">
        <v>1</v>
      </c>
      <c r="M256" s="482">
        <v>1</v>
      </c>
      <c r="N256" s="168">
        <v>205</v>
      </c>
      <c r="O256" s="168"/>
      <c r="P256" s="168"/>
      <c r="Q256" s="168"/>
      <c r="R256" s="169" t="e">
        <f t="shared" si="27"/>
        <v>#DIV/0!</v>
      </c>
      <c r="S256" s="169">
        <f t="shared" si="28"/>
        <v>0</v>
      </c>
      <c r="T256" s="169">
        <f t="shared" si="29"/>
        <v>0</v>
      </c>
      <c r="U256" s="169">
        <f t="shared" si="30"/>
        <v>0</v>
      </c>
      <c r="V256" s="519"/>
      <c r="W256" s="170">
        <f>IF(N256="nio",0,IF(N256&gt;0,VLOOKUP(G256,'3-Productie normen'!A:N,VLOOKUP(N256,'3-Productie normen'!Q:R,2,FALSE),FALSE)))</f>
        <v>0</v>
      </c>
      <c r="X256" s="170">
        <f t="shared" si="24"/>
        <v>0</v>
      </c>
      <c r="Y256" s="170">
        <f t="shared" si="25"/>
        <v>0</v>
      </c>
      <c r="Z256" s="170">
        <f t="shared" si="31"/>
        <v>0</v>
      </c>
      <c r="AA256" s="171">
        <f>VLOOKUP(G256,'3-Productie normen'!A:N,10,FALSE)</f>
        <v>2</v>
      </c>
      <c r="AB256" s="171"/>
      <c r="AD256" s="131">
        <f t="shared" si="26"/>
        <v>5207</v>
      </c>
    </row>
    <row r="257" spans="1:30" ht="14.1" customHeight="1">
      <c r="A257" s="147">
        <v>257</v>
      </c>
      <c r="B257" s="165" t="s">
        <v>423</v>
      </c>
      <c r="C257" s="165" t="s">
        <v>456</v>
      </c>
      <c r="D257" s="568" t="s">
        <v>102</v>
      </c>
      <c r="E257" s="178" t="s">
        <v>265</v>
      </c>
      <c r="F257" s="178" t="s">
        <v>441</v>
      </c>
      <c r="G257" s="178" t="s">
        <v>199</v>
      </c>
      <c r="H257" s="178"/>
      <c r="I257" s="565">
        <v>16.7</v>
      </c>
      <c r="J257" s="482">
        <v>1</v>
      </c>
      <c r="K257" s="482">
        <v>1</v>
      </c>
      <c r="L257" s="482">
        <v>1</v>
      </c>
      <c r="M257" s="482">
        <v>1</v>
      </c>
      <c r="N257" s="168" t="s">
        <v>199</v>
      </c>
      <c r="O257" s="168"/>
      <c r="P257" s="168"/>
      <c r="Q257" s="168"/>
      <c r="R257" s="169">
        <f t="shared" si="27"/>
        <v>0</v>
      </c>
      <c r="S257" s="169">
        <f t="shared" si="28"/>
        <v>0</v>
      </c>
      <c r="T257" s="169">
        <f t="shared" si="29"/>
        <v>0</v>
      </c>
      <c r="U257" s="169">
        <f t="shared" si="30"/>
        <v>0</v>
      </c>
      <c r="V257" s="519"/>
      <c r="W257" s="170">
        <f>IF(N257="nio",0,IF(N257&gt;0,VLOOKUP(G257,'3-Productie normen'!A:N,VLOOKUP(N257,'3-Productie normen'!Q:R,2,FALSE),FALSE)))</f>
        <v>0</v>
      </c>
      <c r="X257" s="170">
        <f t="shared" si="24"/>
        <v>0</v>
      </c>
      <c r="Y257" s="170">
        <f t="shared" si="25"/>
        <v>0</v>
      </c>
      <c r="Z257" s="170">
        <f t="shared" si="31"/>
        <v>0</v>
      </c>
      <c r="AA257" s="171">
        <f>VLOOKUP(G257,'3-Productie normen'!A:N,10,FALSE)</f>
        <v>0</v>
      </c>
      <c r="AB257" s="171"/>
      <c r="AD257" s="131">
        <f t="shared" si="26"/>
        <v>0</v>
      </c>
    </row>
    <row r="258" spans="1:30" ht="14.1" customHeight="1">
      <c r="A258" s="147">
        <v>258</v>
      </c>
      <c r="B258" s="165" t="s">
        <v>423</v>
      </c>
      <c r="C258" s="165" t="s">
        <v>456</v>
      </c>
      <c r="D258" s="568" t="s">
        <v>102</v>
      </c>
      <c r="E258" s="178" t="s">
        <v>267</v>
      </c>
      <c r="F258" s="178" t="s">
        <v>442</v>
      </c>
      <c r="G258" s="178" t="s">
        <v>199</v>
      </c>
      <c r="H258" s="178"/>
      <c r="I258" s="565">
        <v>22.65</v>
      </c>
      <c r="J258" s="482">
        <v>1</v>
      </c>
      <c r="K258" s="482">
        <v>1</v>
      </c>
      <c r="L258" s="482">
        <v>1</v>
      </c>
      <c r="M258" s="482">
        <v>1</v>
      </c>
      <c r="N258" s="168" t="s">
        <v>199</v>
      </c>
      <c r="O258" s="168"/>
      <c r="P258" s="168"/>
      <c r="Q258" s="168"/>
      <c r="R258" s="169">
        <f t="shared" si="27"/>
        <v>0</v>
      </c>
      <c r="S258" s="169">
        <f t="shared" si="28"/>
        <v>0</v>
      </c>
      <c r="T258" s="169">
        <f t="shared" si="29"/>
        <v>0</v>
      </c>
      <c r="U258" s="169">
        <f t="shared" si="30"/>
        <v>0</v>
      </c>
      <c r="V258" s="519"/>
      <c r="W258" s="170">
        <f>IF(N258="nio",0,IF(N258&gt;0,VLOOKUP(G258,'3-Productie normen'!A:N,VLOOKUP(N258,'3-Productie normen'!Q:R,2,FALSE),FALSE)))</f>
        <v>0</v>
      </c>
      <c r="X258" s="170">
        <f t="shared" si="24"/>
        <v>0</v>
      </c>
      <c r="Y258" s="170">
        <f t="shared" si="25"/>
        <v>0</v>
      </c>
      <c r="Z258" s="170">
        <f t="shared" si="31"/>
        <v>0</v>
      </c>
      <c r="AA258" s="171">
        <f>VLOOKUP(G258,'3-Productie normen'!A:N,10,FALSE)</f>
        <v>0</v>
      </c>
      <c r="AB258" s="171"/>
      <c r="AD258" s="131">
        <f t="shared" si="26"/>
        <v>0</v>
      </c>
    </row>
    <row r="259" spans="1:30" ht="14.1" customHeight="1">
      <c r="A259" s="147">
        <v>259</v>
      </c>
      <c r="B259" s="165" t="s">
        <v>423</v>
      </c>
      <c r="C259" s="165" t="s">
        <v>456</v>
      </c>
      <c r="D259" s="568" t="s">
        <v>102</v>
      </c>
      <c r="E259" s="178" t="s">
        <v>286</v>
      </c>
      <c r="F259" s="178" t="s">
        <v>443</v>
      </c>
      <c r="G259" s="178" t="s">
        <v>199</v>
      </c>
      <c r="H259" s="178" t="s">
        <v>452</v>
      </c>
      <c r="I259" s="565">
        <v>2.1</v>
      </c>
      <c r="J259" s="482">
        <v>1</v>
      </c>
      <c r="K259" s="482">
        <v>1</v>
      </c>
      <c r="L259" s="482">
        <v>1</v>
      </c>
      <c r="M259" s="482">
        <v>1</v>
      </c>
      <c r="N259" s="168" t="s">
        <v>199</v>
      </c>
      <c r="O259" s="168"/>
      <c r="P259" s="168"/>
      <c r="Q259" s="168"/>
      <c r="R259" s="169">
        <f t="shared" si="27"/>
        <v>0</v>
      </c>
      <c r="S259" s="169">
        <f t="shared" si="28"/>
        <v>0</v>
      </c>
      <c r="T259" s="169">
        <f t="shared" si="29"/>
        <v>0</v>
      </c>
      <c r="U259" s="169">
        <f t="shared" si="30"/>
        <v>0</v>
      </c>
      <c r="V259" s="519"/>
      <c r="W259" s="170">
        <f>IF(N259="nio",0,IF(N259&gt;0,VLOOKUP(G259,'3-Productie normen'!A:N,VLOOKUP(N259,'3-Productie normen'!Q:R,2,FALSE),FALSE)))</f>
        <v>0</v>
      </c>
      <c r="X259" s="170">
        <f t="shared" si="24"/>
        <v>0</v>
      </c>
      <c r="Y259" s="170">
        <f t="shared" si="25"/>
        <v>0</v>
      </c>
      <c r="Z259" s="170">
        <f t="shared" si="31"/>
        <v>0</v>
      </c>
      <c r="AA259" s="171">
        <f>VLOOKUP(G259,'3-Productie normen'!A:N,10,FALSE)</f>
        <v>0</v>
      </c>
      <c r="AB259" s="171"/>
      <c r="AD259" s="131">
        <f t="shared" si="26"/>
        <v>0</v>
      </c>
    </row>
    <row r="260" spans="1:30" ht="14.1" customHeight="1">
      <c r="A260" s="147">
        <v>260</v>
      </c>
      <c r="B260" s="165" t="s">
        <v>423</v>
      </c>
      <c r="C260" s="165" t="s">
        <v>456</v>
      </c>
      <c r="D260" s="568" t="s">
        <v>102</v>
      </c>
      <c r="E260" s="178" t="s">
        <v>288</v>
      </c>
      <c r="F260" s="178" t="s">
        <v>444</v>
      </c>
      <c r="G260" s="167" t="s">
        <v>17</v>
      </c>
      <c r="H260" s="178" t="s">
        <v>105</v>
      </c>
      <c r="I260" s="565">
        <v>1.4</v>
      </c>
      <c r="J260" s="482">
        <v>1</v>
      </c>
      <c r="K260" s="482">
        <v>1</v>
      </c>
      <c r="L260" s="482">
        <v>1</v>
      </c>
      <c r="M260" s="482">
        <v>1</v>
      </c>
      <c r="N260" s="168">
        <v>205</v>
      </c>
      <c r="O260" s="168"/>
      <c r="P260" s="168"/>
      <c r="Q260" s="168"/>
      <c r="R260" s="169" t="e">
        <f t="shared" si="27"/>
        <v>#DIV/0!</v>
      </c>
      <c r="S260" s="169">
        <f t="shared" si="28"/>
        <v>0</v>
      </c>
      <c r="T260" s="169">
        <f t="shared" si="29"/>
        <v>0</v>
      </c>
      <c r="U260" s="169">
        <f t="shared" si="30"/>
        <v>0</v>
      </c>
      <c r="V260" s="519"/>
      <c r="W260" s="170">
        <f>IF(N260="nio",0,IF(N260&gt;0,VLOOKUP(G260,'3-Productie normen'!A:N,VLOOKUP(N260,'3-Productie normen'!Q:R,2,FALSE),FALSE)))</f>
        <v>0</v>
      </c>
      <c r="X260" s="170">
        <f t="shared" si="24"/>
        <v>0</v>
      </c>
      <c r="Y260" s="170">
        <f t="shared" si="25"/>
        <v>0</v>
      </c>
      <c r="Z260" s="170">
        <f t="shared" si="31"/>
        <v>0</v>
      </c>
      <c r="AA260" s="171">
        <f>VLOOKUP(G260,'3-Productie normen'!A:N,10,FALSE)</f>
        <v>3</v>
      </c>
      <c r="AB260" s="171"/>
      <c r="AD260" s="131">
        <f t="shared" si="26"/>
        <v>287</v>
      </c>
    </row>
    <row r="261" spans="1:30" ht="14.1" customHeight="1">
      <c r="A261" s="147">
        <v>261</v>
      </c>
      <c r="B261" s="165" t="s">
        <v>423</v>
      </c>
      <c r="C261" s="165" t="s">
        <v>456</v>
      </c>
      <c r="D261" s="568" t="s">
        <v>102</v>
      </c>
      <c r="E261" s="178" t="s">
        <v>289</v>
      </c>
      <c r="F261" s="178" t="s">
        <v>445</v>
      </c>
      <c r="G261" s="167" t="s">
        <v>17</v>
      </c>
      <c r="H261" s="178" t="s">
        <v>105</v>
      </c>
      <c r="I261" s="565">
        <v>1.4</v>
      </c>
      <c r="J261" s="482">
        <v>1</v>
      </c>
      <c r="K261" s="482">
        <v>1</v>
      </c>
      <c r="L261" s="482">
        <v>1</v>
      </c>
      <c r="M261" s="482">
        <v>1</v>
      </c>
      <c r="N261" s="168">
        <v>205</v>
      </c>
      <c r="O261" s="168"/>
      <c r="P261" s="168"/>
      <c r="Q261" s="168"/>
      <c r="R261" s="169" t="e">
        <f t="shared" si="27"/>
        <v>#DIV/0!</v>
      </c>
      <c r="S261" s="169">
        <f t="shared" si="28"/>
        <v>0</v>
      </c>
      <c r="T261" s="169">
        <f t="shared" si="29"/>
        <v>0</v>
      </c>
      <c r="U261" s="169">
        <f t="shared" si="30"/>
        <v>0</v>
      </c>
      <c r="V261" s="519"/>
      <c r="W261" s="170">
        <f>IF(N261="nio",0,IF(N261&gt;0,VLOOKUP(G261,'3-Productie normen'!A:N,VLOOKUP(N261,'3-Productie normen'!Q:R,2,FALSE),FALSE)))</f>
        <v>0</v>
      </c>
      <c r="X261" s="170">
        <f t="shared" si="24"/>
        <v>0</v>
      </c>
      <c r="Y261" s="170">
        <f t="shared" si="25"/>
        <v>0</v>
      </c>
      <c r="Z261" s="170">
        <f t="shared" si="31"/>
        <v>0</v>
      </c>
      <c r="AA261" s="171">
        <f>VLOOKUP(G261,'3-Productie normen'!A:N,10,FALSE)</f>
        <v>3</v>
      </c>
      <c r="AB261" s="171"/>
      <c r="AD261" s="131">
        <f t="shared" si="26"/>
        <v>287</v>
      </c>
    </row>
    <row r="262" spans="1:30" ht="14.1" customHeight="1">
      <c r="A262" s="147">
        <v>262</v>
      </c>
      <c r="B262" s="165" t="s">
        <v>423</v>
      </c>
      <c r="C262" s="165" t="s">
        <v>456</v>
      </c>
      <c r="D262" s="568" t="s">
        <v>102</v>
      </c>
      <c r="E262" s="178" t="s">
        <v>446</v>
      </c>
      <c r="F262" s="178" t="s">
        <v>353</v>
      </c>
      <c r="G262" s="177" t="s">
        <v>17</v>
      </c>
      <c r="H262" s="178" t="s">
        <v>105</v>
      </c>
      <c r="I262" s="565">
        <v>4.2</v>
      </c>
      <c r="J262" s="482">
        <v>1</v>
      </c>
      <c r="K262" s="482">
        <v>1</v>
      </c>
      <c r="L262" s="482">
        <v>1</v>
      </c>
      <c r="M262" s="482">
        <v>1</v>
      </c>
      <c r="N262" s="168">
        <v>205</v>
      </c>
      <c r="O262" s="168"/>
      <c r="P262" s="168"/>
      <c r="Q262" s="168"/>
      <c r="R262" s="169" t="e">
        <f t="shared" si="27"/>
        <v>#DIV/0!</v>
      </c>
      <c r="S262" s="169">
        <f t="shared" si="28"/>
        <v>0</v>
      </c>
      <c r="T262" s="169">
        <f t="shared" si="29"/>
        <v>0</v>
      </c>
      <c r="U262" s="169">
        <f t="shared" si="30"/>
        <v>0</v>
      </c>
      <c r="V262" s="519"/>
      <c r="W262" s="170">
        <f>IF(N262="nio",0,IF(N262&gt;0,VLOOKUP(G262,'3-Productie normen'!A:N,VLOOKUP(N262,'3-Productie normen'!Q:R,2,FALSE),FALSE)))</f>
        <v>0</v>
      </c>
      <c r="X262" s="170">
        <f t="shared" si="24"/>
        <v>0</v>
      </c>
      <c r="Y262" s="170">
        <f t="shared" si="25"/>
        <v>0</v>
      </c>
      <c r="Z262" s="170">
        <f t="shared" si="31"/>
        <v>0</v>
      </c>
      <c r="AA262" s="171">
        <f>VLOOKUP(G262,'3-Productie normen'!A:N,10,FALSE)</f>
        <v>3</v>
      </c>
      <c r="AB262" s="171"/>
      <c r="AD262" s="131">
        <f t="shared" si="26"/>
        <v>861</v>
      </c>
    </row>
    <row r="263" spans="1:30" ht="14.1" customHeight="1">
      <c r="A263" s="147">
        <v>263</v>
      </c>
      <c r="B263" s="165" t="s">
        <v>423</v>
      </c>
      <c r="C263" s="165" t="s">
        <v>456</v>
      </c>
      <c r="D263" s="568" t="s">
        <v>102</v>
      </c>
      <c r="E263" s="178" t="s">
        <v>314</v>
      </c>
      <c r="F263" s="178" t="s">
        <v>279</v>
      </c>
      <c r="G263" s="525" t="s">
        <v>583</v>
      </c>
      <c r="H263" s="178" t="s">
        <v>451</v>
      </c>
      <c r="I263" s="565">
        <v>29.39</v>
      </c>
      <c r="J263" s="482">
        <v>1</v>
      </c>
      <c r="K263" s="482">
        <v>1</v>
      </c>
      <c r="L263" s="482">
        <v>1</v>
      </c>
      <c r="M263" s="482">
        <v>1</v>
      </c>
      <c r="N263" s="168">
        <v>205</v>
      </c>
      <c r="O263" s="168"/>
      <c r="P263" s="168"/>
      <c r="Q263" s="168"/>
      <c r="R263" s="169" t="e">
        <f t="shared" si="27"/>
        <v>#DIV/0!</v>
      </c>
      <c r="S263" s="169">
        <f t="shared" si="28"/>
        <v>0</v>
      </c>
      <c r="T263" s="169">
        <f t="shared" si="29"/>
        <v>0</v>
      </c>
      <c r="U263" s="169">
        <f t="shared" si="30"/>
        <v>0</v>
      </c>
      <c r="V263" s="519"/>
      <c r="W263" s="170">
        <f>IF(N263="nio",0,IF(N263&gt;0,VLOOKUP(G263,'3-Productie normen'!A:N,VLOOKUP(N263,'3-Productie normen'!Q:R,2,FALSE),FALSE)))</f>
        <v>0</v>
      </c>
      <c r="X263" s="170">
        <f t="shared" si="24"/>
        <v>0</v>
      </c>
      <c r="Y263" s="170">
        <f t="shared" si="25"/>
        <v>0</v>
      </c>
      <c r="Z263" s="170">
        <f t="shared" si="31"/>
        <v>0</v>
      </c>
      <c r="AA263" s="171">
        <f>VLOOKUP(G263,'3-Productie normen'!A:N,10,FALSE)</f>
        <v>4</v>
      </c>
      <c r="AB263" s="171"/>
      <c r="AD263" s="131">
        <f t="shared" si="26"/>
        <v>6024.95</v>
      </c>
    </row>
    <row r="264" spans="1:30" ht="14.1" customHeight="1">
      <c r="A264" s="147">
        <v>264</v>
      </c>
      <c r="B264" s="165" t="s">
        <v>423</v>
      </c>
      <c r="C264" s="165" t="s">
        <v>456</v>
      </c>
      <c r="D264" s="568" t="s">
        <v>102</v>
      </c>
      <c r="E264" s="178" t="s">
        <v>315</v>
      </c>
      <c r="F264" s="178" t="s">
        <v>447</v>
      </c>
      <c r="G264" s="128" t="s">
        <v>199</v>
      </c>
      <c r="H264" s="178"/>
      <c r="I264" s="565"/>
      <c r="J264" s="482">
        <v>1</v>
      </c>
      <c r="K264" s="482">
        <v>1</v>
      </c>
      <c r="L264" s="482">
        <v>1</v>
      </c>
      <c r="M264" s="482">
        <v>1</v>
      </c>
      <c r="N264" s="168" t="s">
        <v>199</v>
      </c>
      <c r="O264" s="168"/>
      <c r="P264" s="168"/>
      <c r="Q264" s="168"/>
      <c r="R264" s="169">
        <f t="shared" si="27"/>
        <v>0</v>
      </c>
      <c r="S264" s="169">
        <f t="shared" si="28"/>
        <v>0</v>
      </c>
      <c r="T264" s="169">
        <f t="shared" si="29"/>
        <v>0</v>
      </c>
      <c r="U264" s="169">
        <f t="shared" si="30"/>
        <v>0</v>
      </c>
      <c r="V264" s="519"/>
      <c r="W264" s="170">
        <f>IF(N264="nio",0,IF(N264&gt;0,VLOOKUP(G264,'3-Productie normen'!A:N,VLOOKUP(N264,'3-Productie normen'!Q:R,2,FALSE),FALSE)))</f>
        <v>0</v>
      </c>
      <c r="X264" s="170">
        <f t="shared" si="24"/>
        <v>0</v>
      </c>
      <c r="Y264" s="170">
        <f t="shared" si="25"/>
        <v>0</v>
      </c>
      <c r="Z264" s="170">
        <f t="shared" si="31"/>
        <v>0</v>
      </c>
      <c r="AA264" s="171">
        <f>VLOOKUP(G264,'3-Productie normen'!A:N,10,FALSE)</f>
        <v>0</v>
      </c>
      <c r="AB264" s="171"/>
      <c r="AD264" s="131">
        <f t="shared" si="26"/>
        <v>0</v>
      </c>
    </row>
    <row r="265" spans="1:30" ht="14.1" customHeight="1">
      <c r="A265" s="147">
        <v>265</v>
      </c>
      <c r="B265" s="165" t="s">
        <v>423</v>
      </c>
      <c r="C265" s="165" t="s">
        <v>456</v>
      </c>
      <c r="D265" s="568" t="s">
        <v>102</v>
      </c>
      <c r="E265" s="178" t="s">
        <v>317</v>
      </c>
      <c r="F265" s="178" t="s">
        <v>448</v>
      </c>
      <c r="G265" s="178" t="s">
        <v>199</v>
      </c>
      <c r="H265" s="178" t="s">
        <v>452</v>
      </c>
      <c r="I265" s="565">
        <v>12.4</v>
      </c>
      <c r="J265" s="482">
        <v>1</v>
      </c>
      <c r="K265" s="482">
        <v>1</v>
      </c>
      <c r="L265" s="482">
        <v>1</v>
      </c>
      <c r="M265" s="482">
        <v>1</v>
      </c>
      <c r="N265" s="168" t="s">
        <v>199</v>
      </c>
      <c r="O265" s="168"/>
      <c r="P265" s="168"/>
      <c r="Q265" s="168"/>
      <c r="R265" s="169">
        <f t="shared" si="27"/>
        <v>0</v>
      </c>
      <c r="S265" s="169">
        <f t="shared" si="28"/>
        <v>0</v>
      </c>
      <c r="T265" s="169">
        <f t="shared" si="29"/>
        <v>0</v>
      </c>
      <c r="U265" s="169">
        <f t="shared" si="30"/>
        <v>0</v>
      </c>
      <c r="V265" s="519"/>
      <c r="W265" s="170">
        <f>IF(N265="nio",0,IF(N265&gt;0,VLOOKUP(G265,'3-Productie normen'!A:N,VLOOKUP(N265,'3-Productie normen'!Q:R,2,FALSE),FALSE)))</f>
        <v>0</v>
      </c>
      <c r="X265" s="170">
        <f t="shared" si="24"/>
        <v>0</v>
      </c>
      <c r="Y265" s="170">
        <f t="shared" si="25"/>
        <v>0</v>
      </c>
      <c r="Z265" s="170">
        <f t="shared" si="31"/>
        <v>0</v>
      </c>
      <c r="AA265" s="171">
        <f>VLOOKUP(G265,'3-Productie normen'!A:N,10,FALSE)</f>
        <v>0</v>
      </c>
      <c r="AB265" s="171"/>
      <c r="AD265" s="131">
        <f t="shared" si="26"/>
        <v>0</v>
      </c>
    </row>
    <row r="266" spans="1:30" ht="14.1" customHeight="1">
      <c r="A266" s="147">
        <v>266</v>
      </c>
      <c r="B266" s="165" t="s">
        <v>423</v>
      </c>
      <c r="C266" s="165" t="s">
        <v>456</v>
      </c>
      <c r="D266" s="568" t="s">
        <v>102</v>
      </c>
      <c r="E266" s="178" t="s">
        <v>449</v>
      </c>
      <c r="F266" s="178" t="s">
        <v>270</v>
      </c>
      <c r="G266" s="128" t="s">
        <v>373</v>
      </c>
      <c r="H266" s="178" t="s">
        <v>272</v>
      </c>
      <c r="I266" s="565">
        <v>14.5</v>
      </c>
      <c r="J266" s="482">
        <v>1</v>
      </c>
      <c r="K266" s="482">
        <v>1</v>
      </c>
      <c r="L266" s="482">
        <v>1</v>
      </c>
      <c r="M266" s="482">
        <v>1</v>
      </c>
      <c r="N266" s="168">
        <v>205</v>
      </c>
      <c r="O266" s="168"/>
      <c r="P266" s="168"/>
      <c r="Q266" s="168"/>
      <c r="R266" s="169" t="e">
        <f t="shared" si="27"/>
        <v>#DIV/0!</v>
      </c>
      <c r="S266" s="169">
        <f t="shared" si="28"/>
        <v>0</v>
      </c>
      <c r="T266" s="169">
        <f t="shared" si="29"/>
        <v>0</v>
      </c>
      <c r="U266" s="169">
        <f t="shared" si="30"/>
        <v>0</v>
      </c>
      <c r="V266" s="519"/>
      <c r="W266" s="170">
        <f>IF(N266="nio",0,IF(N266&gt;0,VLOOKUP(G266,'3-Productie normen'!A:N,VLOOKUP(N266,'3-Productie normen'!Q:R,2,FALSE),FALSE)))</f>
        <v>0</v>
      </c>
      <c r="X266" s="170">
        <f t="shared" si="24"/>
        <v>0</v>
      </c>
      <c r="Y266" s="170">
        <f t="shared" si="25"/>
        <v>0</v>
      </c>
      <c r="Z266" s="170">
        <f t="shared" si="31"/>
        <v>0</v>
      </c>
      <c r="AA266" s="171">
        <f>VLOOKUP(G266,'3-Productie normen'!A:N,10,FALSE)</f>
        <v>1</v>
      </c>
      <c r="AB266" s="171"/>
      <c r="AD266" s="131">
        <f t="shared" si="26"/>
        <v>2972.5</v>
      </c>
    </row>
    <row r="267" spans="1:30" ht="14.1" customHeight="1">
      <c r="A267" s="147">
        <v>267</v>
      </c>
      <c r="B267" s="165" t="s">
        <v>453</v>
      </c>
      <c r="C267" s="165" t="s">
        <v>457</v>
      </c>
      <c r="D267" s="570" t="s">
        <v>102</v>
      </c>
      <c r="E267" s="178" t="s">
        <v>247</v>
      </c>
      <c r="F267" s="178" t="s">
        <v>103</v>
      </c>
      <c r="G267" s="525" t="s">
        <v>583</v>
      </c>
      <c r="H267" s="178" t="s">
        <v>104</v>
      </c>
      <c r="I267" s="565">
        <v>9.14</v>
      </c>
      <c r="J267" s="482">
        <v>1</v>
      </c>
      <c r="K267" s="482">
        <v>1</v>
      </c>
      <c r="L267" s="482">
        <v>1</v>
      </c>
      <c r="M267" s="482">
        <v>1</v>
      </c>
      <c r="N267" s="168">
        <v>255</v>
      </c>
      <c r="O267" s="168"/>
      <c r="P267" s="168"/>
      <c r="Q267" s="168"/>
      <c r="R267" s="169" t="e">
        <f t="shared" si="27"/>
        <v>#DIV/0!</v>
      </c>
      <c r="S267" s="169">
        <f t="shared" si="28"/>
        <v>0</v>
      </c>
      <c r="T267" s="169">
        <f t="shared" si="29"/>
        <v>0</v>
      </c>
      <c r="U267" s="169">
        <f t="shared" si="30"/>
        <v>0</v>
      </c>
      <c r="V267" s="519"/>
      <c r="W267" s="170">
        <f>IF(N267="nio",0,IF(N267&gt;0,VLOOKUP(G267,'3-Productie normen'!A:N,VLOOKUP(N267,'3-Productie normen'!Q:R,2,FALSE),FALSE)))</f>
        <v>0</v>
      </c>
      <c r="X267" s="170">
        <f t="shared" si="24"/>
        <v>0</v>
      </c>
      <c r="Y267" s="170">
        <f t="shared" si="25"/>
        <v>0</v>
      </c>
      <c r="Z267" s="170">
        <f t="shared" si="31"/>
        <v>0</v>
      </c>
      <c r="AA267" s="171">
        <f>VLOOKUP(G267,'3-Productie normen'!A:N,10,FALSE)</f>
        <v>4</v>
      </c>
      <c r="AB267" s="171"/>
      <c r="AD267" s="131">
        <f t="shared" si="26"/>
        <v>2330.7000000000003</v>
      </c>
    </row>
    <row r="268" spans="1:30" ht="14.1" customHeight="1">
      <c r="A268" s="147">
        <v>268</v>
      </c>
      <c r="B268" s="165" t="s">
        <v>453</v>
      </c>
      <c r="C268" s="165" t="s">
        <v>457</v>
      </c>
      <c r="D268" s="570" t="s">
        <v>102</v>
      </c>
      <c r="E268" s="178" t="s">
        <v>248</v>
      </c>
      <c r="F268" s="178" t="s">
        <v>269</v>
      </c>
      <c r="G268" s="525" t="s">
        <v>583</v>
      </c>
      <c r="H268" s="178" t="s">
        <v>104</v>
      </c>
      <c r="I268" s="565">
        <v>151.66</v>
      </c>
      <c r="J268" s="482">
        <v>1</v>
      </c>
      <c r="K268" s="482">
        <v>1</v>
      </c>
      <c r="L268" s="482">
        <v>1</v>
      </c>
      <c r="M268" s="482">
        <v>1</v>
      </c>
      <c r="N268" s="168">
        <v>255</v>
      </c>
      <c r="O268" s="168"/>
      <c r="P268" s="168"/>
      <c r="Q268" s="168"/>
      <c r="R268" s="169" t="e">
        <f t="shared" si="27"/>
        <v>#DIV/0!</v>
      </c>
      <c r="S268" s="169">
        <f t="shared" si="28"/>
        <v>0</v>
      </c>
      <c r="T268" s="169">
        <f t="shared" si="29"/>
        <v>0</v>
      </c>
      <c r="U268" s="169">
        <f t="shared" si="30"/>
        <v>0</v>
      </c>
      <c r="V268" s="519"/>
      <c r="W268" s="170">
        <f>IF(N268="nio",0,IF(N268&gt;0,VLOOKUP(G268,'3-Productie normen'!A:N,VLOOKUP(N268,'3-Productie normen'!Q:R,2,FALSE),FALSE)))</f>
        <v>0</v>
      </c>
      <c r="X268" s="170">
        <f t="shared" si="24"/>
        <v>0</v>
      </c>
      <c r="Y268" s="170">
        <f t="shared" si="25"/>
        <v>0</v>
      </c>
      <c r="Z268" s="170">
        <f t="shared" si="31"/>
        <v>0</v>
      </c>
      <c r="AA268" s="171">
        <f>VLOOKUP(G268,'3-Productie normen'!A:N,10,FALSE)</f>
        <v>4</v>
      </c>
      <c r="AB268" s="171"/>
      <c r="AD268" s="131">
        <f t="shared" si="26"/>
        <v>38673.299999999996</v>
      </c>
    </row>
    <row r="269" spans="1:30" ht="14.1" customHeight="1">
      <c r="A269" s="147">
        <v>269</v>
      </c>
      <c r="B269" s="165" t="s">
        <v>453</v>
      </c>
      <c r="C269" s="165" t="s">
        <v>457</v>
      </c>
      <c r="D269" s="570" t="s">
        <v>102</v>
      </c>
      <c r="E269" s="178" t="s">
        <v>250</v>
      </c>
      <c r="F269" s="178" t="s">
        <v>251</v>
      </c>
      <c r="G269" s="165" t="s">
        <v>373</v>
      </c>
      <c r="H269" s="178" t="s">
        <v>104</v>
      </c>
      <c r="I269" s="565">
        <v>19.920000000000002</v>
      </c>
      <c r="J269" s="482">
        <v>1</v>
      </c>
      <c r="K269" s="482">
        <v>1</v>
      </c>
      <c r="L269" s="482">
        <v>1</v>
      </c>
      <c r="M269" s="482">
        <v>1</v>
      </c>
      <c r="N269" s="168">
        <v>255</v>
      </c>
      <c r="O269" s="168"/>
      <c r="P269" s="168"/>
      <c r="Q269" s="168"/>
      <c r="R269" s="169" t="e">
        <f t="shared" si="27"/>
        <v>#DIV/0!</v>
      </c>
      <c r="S269" s="169">
        <f t="shared" si="28"/>
        <v>0</v>
      </c>
      <c r="T269" s="169">
        <f t="shared" si="29"/>
        <v>0</v>
      </c>
      <c r="U269" s="169">
        <f t="shared" si="30"/>
        <v>0</v>
      </c>
      <c r="V269" s="519"/>
      <c r="W269" s="170">
        <f>IF(N269="nio",0,IF(N269&gt;0,VLOOKUP(G269,'3-Productie normen'!A:N,VLOOKUP(N269,'3-Productie normen'!Q:R,2,FALSE),FALSE)))</f>
        <v>0</v>
      </c>
      <c r="X269" s="170">
        <f t="shared" si="24"/>
        <v>0</v>
      </c>
      <c r="Y269" s="170">
        <f t="shared" si="25"/>
        <v>0</v>
      </c>
      <c r="Z269" s="170">
        <f t="shared" si="31"/>
        <v>0</v>
      </c>
      <c r="AA269" s="171">
        <f>VLOOKUP(G269,'3-Productie normen'!A:N,10,FALSE)</f>
        <v>1</v>
      </c>
      <c r="AB269" s="171"/>
      <c r="AD269" s="131">
        <f t="shared" si="26"/>
        <v>5079.6000000000004</v>
      </c>
    </row>
    <row r="270" spans="1:30" ht="14.1" customHeight="1">
      <c r="A270" s="147">
        <v>270</v>
      </c>
      <c r="B270" s="165" t="s">
        <v>453</v>
      </c>
      <c r="C270" s="165" t="s">
        <v>457</v>
      </c>
      <c r="D270" s="570" t="s">
        <v>102</v>
      </c>
      <c r="E270" s="180" t="s">
        <v>252</v>
      </c>
      <c r="F270" s="180" t="s">
        <v>281</v>
      </c>
      <c r="G270" s="167" t="s">
        <v>373</v>
      </c>
      <c r="H270" s="178" t="s">
        <v>272</v>
      </c>
      <c r="I270" s="565">
        <v>35.229999999999997</v>
      </c>
      <c r="J270" s="482">
        <v>1</v>
      </c>
      <c r="K270" s="482">
        <v>1</v>
      </c>
      <c r="L270" s="482">
        <v>1</v>
      </c>
      <c r="M270" s="482">
        <v>1</v>
      </c>
      <c r="N270" s="168">
        <v>255</v>
      </c>
      <c r="O270" s="168"/>
      <c r="P270" s="168"/>
      <c r="Q270" s="168"/>
      <c r="R270" s="169" t="e">
        <f t="shared" si="27"/>
        <v>#DIV/0!</v>
      </c>
      <c r="S270" s="169">
        <f t="shared" si="28"/>
        <v>0</v>
      </c>
      <c r="T270" s="169">
        <f t="shared" si="29"/>
        <v>0</v>
      </c>
      <c r="U270" s="169">
        <f t="shared" si="30"/>
        <v>0</v>
      </c>
      <c r="V270" s="519"/>
      <c r="W270" s="170">
        <f>IF(N270="nio",0,IF(N270&gt;0,VLOOKUP(G270,'3-Productie normen'!A:N,VLOOKUP(N270,'3-Productie normen'!Q:R,2,FALSE),FALSE)))</f>
        <v>0</v>
      </c>
      <c r="X270" s="170">
        <f t="shared" si="24"/>
        <v>0</v>
      </c>
      <c r="Y270" s="170">
        <f t="shared" si="25"/>
        <v>0</v>
      </c>
      <c r="Z270" s="170">
        <f t="shared" si="31"/>
        <v>0</v>
      </c>
      <c r="AA270" s="171">
        <f>VLOOKUP(G270,'3-Productie normen'!A:N,10,FALSE)</f>
        <v>1</v>
      </c>
      <c r="AB270" s="171"/>
      <c r="AD270" s="131">
        <f t="shared" si="26"/>
        <v>8983.65</v>
      </c>
    </row>
    <row r="271" spans="1:30" ht="14.1" customHeight="1">
      <c r="A271" s="147">
        <v>271</v>
      </c>
      <c r="B271" s="165" t="s">
        <v>453</v>
      </c>
      <c r="C271" s="165" t="s">
        <v>457</v>
      </c>
      <c r="D271" s="570" t="s">
        <v>102</v>
      </c>
      <c r="E271" s="178" t="s">
        <v>254</v>
      </c>
      <c r="F271" s="178" t="s">
        <v>280</v>
      </c>
      <c r="G271" s="167" t="s">
        <v>107</v>
      </c>
      <c r="H271" s="178" t="s">
        <v>104</v>
      </c>
      <c r="I271" s="565">
        <v>28.83</v>
      </c>
      <c r="J271" s="482">
        <v>1</v>
      </c>
      <c r="K271" s="482">
        <v>1</v>
      </c>
      <c r="L271" s="482">
        <v>1</v>
      </c>
      <c r="M271" s="482">
        <v>1</v>
      </c>
      <c r="N271" s="168">
        <v>255</v>
      </c>
      <c r="O271" s="168"/>
      <c r="P271" s="168"/>
      <c r="Q271" s="168"/>
      <c r="R271" s="169" t="e">
        <f t="shared" si="27"/>
        <v>#DIV/0!</v>
      </c>
      <c r="S271" s="169">
        <f t="shared" si="28"/>
        <v>0</v>
      </c>
      <c r="T271" s="169">
        <f t="shared" si="29"/>
        <v>0</v>
      </c>
      <c r="U271" s="169">
        <f t="shared" si="30"/>
        <v>0</v>
      </c>
      <c r="V271" s="519"/>
      <c r="W271" s="170">
        <f>IF(N271="nio",0,IF(N271&gt;0,VLOOKUP(G271,'3-Productie normen'!A:N,VLOOKUP(N271,'3-Productie normen'!Q:R,2,FALSE),FALSE)))</f>
        <v>0</v>
      </c>
      <c r="X271" s="170">
        <f t="shared" si="24"/>
        <v>0</v>
      </c>
      <c r="Y271" s="170">
        <f t="shared" si="25"/>
        <v>0</v>
      </c>
      <c r="Z271" s="170">
        <f t="shared" si="31"/>
        <v>0</v>
      </c>
      <c r="AA271" s="171">
        <f>VLOOKUP(G271,'3-Productie normen'!A:N,10,FALSE)</f>
        <v>2</v>
      </c>
      <c r="AB271" s="171"/>
      <c r="AD271" s="131">
        <f t="shared" si="26"/>
        <v>7351.65</v>
      </c>
    </row>
    <row r="272" spans="1:30" ht="14.1" customHeight="1">
      <c r="A272" s="147">
        <v>272</v>
      </c>
      <c r="B272" s="165" t="s">
        <v>453</v>
      </c>
      <c r="C272" s="165" t="s">
        <v>457</v>
      </c>
      <c r="D272" s="570" t="s">
        <v>102</v>
      </c>
      <c r="E272" s="178" t="s">
        <v>256</v>
      </c>
      <c r="F272" s="128" t="s">
        <v>270</v>
      </c>
      <c r="G272" s="128" t="s">
        <v>373</v>
      </c>
      <c r="H272" s="178" t="s">
        <v>104</v>
      </c>
      <c r="I272" s="565">
        <v>11.31</v>
      </c>
      <c r="J272" s="482">
        <v>1</v>
      </c>
      <c r="K272" s="482">
        <v>1</v>
      </c>
      <c r="L272" s="482">
        <v>1</v>
      </c>
      <c r="M272" s="482">
        <v>1</v>
      </c>
      <c r="N272" s="168">
        <v>255</v>
      </c>
      <c r="O272" s="168"/>
      <c r="P272" s="168"/>
      <c r="Q272" s="168"/>
      <c r="R272" s="169" t="e">
        <f t="shared" si="27"/>
        <v>#DIV/0!</v>
      </c>
      <c r="S272" s="169">
        <f t="shared" si="28"/>
        <v>0</v>
      </c>
      <c r="T272" s="169">
        <f t="shared" si="29"/>
        <v>0</v>
      </c>
      <c r="U272" s="169">
        <f t="shared" si="30"/>
        <v>0</v>
      </c>
      <c r="V272" s="519"/>
      <c r="W272" s="170">
        <f>IF(N272="nio",0,IF(N272&gt;0,VLOOKUP(G272,'3-Productie normen'!A:N,VLOOKUP(N272,'3-Productie normen'!Q:R,2,FALSE),FALSE)))</f>
        <v>0</v>
      </c>
      <c r="X272" s="170">
        <f t="shared" si="24"/>
        <v>0</v>
      </c>
      <c r="Y272" s="170">
        <f t="shared" si="25"/>
        <v>0</v>
      </c>
      <c r="Z272" s="170">
        <f t="shared" si="31"/>
        <v>0</v>
      </c>
      <c r="AA272" s="171">
        <f>VLOOKUP(G272,'3-Productie normen'!A:N,10,FALSE)</f>
        <v>1</v>
      </c>
      <c r="AB272" s="171"/>
      <c r="AD272" s="131">
        <f t="shared" si="26"/>
        <v>2884.05</v>
      </c>
    </row>
    <row r="273" spans="1:30" ht="14.1" customHeight="1">
      <c r="A273" s="147">
        <v>273</v>
      </c>
      <c r="B273" s="165" t="s">
        <v>453</v>
      </c>
      <c r="C273" s="165" t="s">
        <v>457</v>
      </c>
      <c r="D273" s="570" t="s">
        <v>102</v>
      </c>
      <c r="E273" s="178" t="s">
        <v>258</v>
      </c>
      <c r="F273" s="178" t="s">
        <v>287</v>
      </c>
      <c r="G273" s="167" t="s">
        <v>17</v>
      </c>
      <c r="H273" s="178" t="s">
        <v>105</v>
      </c>
      <c r="I273" s="565">
        <v>5.25</v>
      </c>
      <c r="J273" s="482">
        <v>1</v>
      </c>
      <c r="K273" s="482">
        <v>1</v>
      </c>
      <c r="L273" s="482">
        <v>1</v>
      </c>
      <c r="M273" s="482">
        <v>1</v>
      </c>
      <c r="N273" s="168">
        <v>255</v>
      </c>
      <c r="O273" s="168"/>
      <c r="P273" s="168"/>
      <c r="Q273" s="168"/>
      <c r="R273" s="169" t="e">
        <f t="shared" si="27"/>
        <v>#DIV/0!</v>
      </c>
      <c r="S273" s="169">
        <f t="shared" si="28"/>
        <v>0</v>
      </c>
      <c r="T273" s="169">
        <f t="shared" si="29"/>
        <v>0</v>
      </c>
      <c r="U273" s="169">
        <f t="shared" si="30"/>
        <v>0</v>
      </c>
      <c r="V273" s="519"/>
      <c r="W273" s="170">
        <f>IF(N273="nio",0,IF(N273&gt;0,VLOOKUP(G273,'3-Productie normen'!A:N,VLOOKUP(N273,'3-Productie normen'!Q:R,2,FALSE),FALSE)))</f>
        <v>0</v>
      </c>
      <c r="X273" s="170">
        <f t="shared" si="24"/>
        <v>0</v>
      </c>
      <c r="Y273" s="170">
        <f t="shared" si="25"/>
        <v>0</v>
      </c>
      <c r="Z273" s="170">
        <f t="shared" si="31"/>
        <v>0</v>
      </c>
      <c r="AA273" s="171">
        <f>VLOOKUP(G273,'3-Productie normen'!A:N,10,FALSE)</f>
        <v>3</v>
      </c>
      <c r="AB273" s="171"/>
      <c r="AD273" s="131">
        <f t="shared" si="26"/>
        <v>1338.75</v>
      </c>
    </row>
    <row r="274" spans="1:30" ht="14.1" customHeight="1">
      <c r="A274" s="147">
        <v>274</v>
      </c>
      <c r="B274" s="165" t="s">
        <v>453</v>
      </c>
      <c r="C274" s="165" t="s">
        <v>457</v>
      </c>
      <c r="D274" s="570" t="s">
        <v>102</v>
      </c>
      <c r="E274" s="178" t="s">
        <v>259</v>
      </c>
      <c r="F274" s="128" t="s">
        <v>270</v>
      </c>
      <c r="G274" s="128" t="s">
        <v>373</v>
      </c>
      <c r="H274" s="178" t="s">
        <v>104</v>
      </c>
      <c r="I274" s="565">
        <v>11.31</v>
      </c>
      <c r="J274" s="482">
        <v>1</v>
      </c>
      <c r="K274" s="482">
        <v>1</v>
      </c>
      <c r="L274" s="482">
        <v>1</v>
      </c>
      <c r="M274" s="482">
        <v>1</v>
      </c>
      <c r="N274" s="168">
        <v>255</v>
      </c>
      <c r="O274" s="168"/>
      <c r="P274" s="168"/>
      <c r="Q274" s="168"/>
      <c r="R274" s="169" t="e">
        <f t="shared" si="27"/>
        <v>#DIV/0!</v>
      </c>
      <c r="S274" s="169">
        <f t="shared" si="28"/>
        <v>0</v>
      </c>
      <c r="T274" s="169">
        <f t="shared" si="29"/>
        <v>0</v>
      </c>
      <c r="U274" s="169">
        <f t="shared" si="30"/>
        <v>0</v>
      </c>
      <c r="V274" s="519"/>
      <c r="W274" s="170">
        <f>IF(N274="nio",0,IF(N274&gt;0,VLOOKUP(G274,'3-Productie normen'!A:N,VLOOKUP(N274,'3-Productie normen'!Q:R,2,FALSE),FALSE)))</f>
        <v>0</v>
      </c>
      <c r="X274" s="170">
        <f t="shared" si="24"/>
        <v>0</v>
      </c>
      <c r="Y274" s="170">
        <f t="shared" si="25"/>
        <v>0</v>
      </c>
      <c r="Z274" s="170">
        <f t="shared" si="31"/>
        <v>0</v>
      </c>
      <c r="AA274" s="171">
        <f>VLOOKUP(G274,'3-Productie normen'!A:N,10,FALSE)</f>
        <v>1</v>
      </c>
      <c r="AB274" s="171"/>
      <c r="AD274" s="131">
        <f t="shared" si="26"/>
        <v>2884.05</v>
      </c>
    </row>
    <row r="275" spans="1:30" ht="14.1" customHeight="1">
      <c r="A275" s="147">
        <v>275</v>
      </c>
      <c r="B275" s="165" t="s">
        <v>453</v>
      </c>
      <c r="C275" s="165" t="s">
        <v>457</v>
      </c>
      <c r="D275" s="570" t="s">
        <v>102</v>
      </c>
      <c r="E275" s="178" t="s">
        <v>261</v>
      </c>
      <c r="F275" s="128" t="s">
        <v>270</v>
      </c>
      <c r="G275" s="128" t="s">
        <v>373</v>
      </c>
      <c r="H275" s="178" t="s">
        <v>104</v>
      </c>
      <c r="I275" s="565">
        <v>11.31</v>
      </c>
      <c r="J275" s="482">
        <v>1</v>
      </c>
      <c r="K275" s="482">
        <v>1</v>
      </c>
      <c r="L275" s="482">
        <v>1</v>
      </c>
      <c r="M275" s="482">
        <v>1</v>
      </c>
      <c r="N275" s="168">
        <v>255</v>
      </c>
      <c r="O275" s="168"/>
      <c r="P275" s="168"/>
      <c r="Q275" s="168"/>
      <c r="R275" s="169" t="e">
        <f t="shared" si="27"/>
        <v>#DIV/0!</v>
      </c>
      <c r="S275" s="169">
        <f t="shared" si="28"/>
        <v>0</v>
      </c>
      <c r="T275" s="169">
        <f t="shared" si="29"/>
        <v>0</v>
      </c>
      <c r="U275" s="169">
        <f t="shared" si="30"/>
        <v>0</v>
      </c>
      <c r="V275" s="519"/>
      <c r="W275" s="170">
        <f>IF(N275="nio",0,IF(N275&gt;0,VLOOKUP(G275,'3-Productie normen'!A:N,VLOOKUP(N275,'3-Productie normen'!Q:R,2,FALSE),FALSE)))</f>
        <v>0</v>
      </c>
      <c r="X275" s="170">
        <f t="shared" si="24"/>
        <v>0</v>
      </c>
      <c r="Y275" s="170">
        <f t="shared" si="25"/>
        <v>0</v>
      </c>
      <c r="Z275" s="170">
        <f t="shared" si="31"/>
        <v>0</v>
      </c>
      <c r="AA275" s="171">
        <f>VLOOKUP(G275,'3-Productie normen'!A:N,10,FALSE)</f>
        <v>1</v>
      </c>
      <c r="AB275" s="171"/>
      <c r="AD275" s="131">
        <f t="shared" si="26"/>
        <v>2884.05</v>
      </c>
    </row>
    <row r="276" spans="1:30" ht="14.1" customHeight="1">
      <c r="A276" s="147">
        <v>276</v>
      </c>
      <c r="B276" s="165" t="s">
        <v>453</v>
      </c>
      <c r="C276" s="165" t="s">
        <v>457</v>
      </c>
      <c r="D276" s="570" t="s">
        <v>102</v>
      </c>
      <c r="E276" s="178" t="s">
        <v>263</v>
      </c>
      <c r="F276" s="178" t="s">
        <v>279</v>
      </c>
      <c r="G276" s="525" t="s">
        <v>583</v>
      </c>
      <c r="H276" s="178" t="s">
        <v>104</v>
      </c>
      <c r="I276" s="565">
        <v>6.14</v>
      </c>
      <c r="J276" s="482">
        <v>1</v>
      </c>
      <c r="K276" s="482">
        <v>1</v>
      </c>
      <c r="L276" s="482">
        <v>1</v>
      </c>
      <c r="M276" s="482">
        <v>1</v>
      </c>
      <c r="N276" s="168">
        <v>255</v>
      </c>
      <c r="O276" s="168"/>
      <c r="P276" s="168"/>
      <c r="Q276" s="168"/>
      <c r="R276" s="169" t="e">
        <f t="shared" si="27"/>
        <v>#DIV/0!</v>
      </c>
      <c r="S276" s="169">
        <f t="shared" si="28"/>
        <v>0</v>
      </c>
      <c r="T276" s="169">
        <f t="shared" si="29"/>
        <v>0</v>
      </c>
      <c r="U276" s="169">
        <f t="shared" si="30"/>
        <v>0</v>
      </c>
      <c r="V276" s="519"/>
      <c r="W276" s="170">
        <f>IF(N276="nio",0,IF(N276&gt;0,VLOOKUP(G276,'3-Productie normen'!A:N,VLOOKUP(N276,'3-Productie normen'!Q:R,2,FALSE),FALSE)))</f>
        <v>0</v>
      </c>
      <c r="X276" s="170">
        <f t="shared" si="24"/>
        <v>0</v>
      </c>
      <c r="Y276" s="170">
        <f t="shared" si="25"/>
        <v>0</v>
      </c>
      <c r="Z276" s="170">
        <f t="shared" si="31"/>
        <v>0</v>
      </c>
      <c r="AA276" s="171">
        <f>VLOOKUP(G276,'3-Productie normen'!A:N,10,FALSE)</f>
        <v>4</v>
      </c>
      <c r="AB276" s="171"/>
      <c r="AD276" s="131">
        <f t="shared" si="26"/>
        <v>1565.6999999999998</v>
      </c>
    </row>
    <row r="277" spans="1:30" ht="14.1" customHeight="1">
      <c r="A277" s="147">
        <v>277</v>
      </c>
      <c r="B277" s="165" t="s">
        <v>453</v>
      </c>
      <c r="C277" s="165" t="s">
        <v>457</v>
      </c>
      <c r="D277" s="570" t="s">
        <v>102</v>
      </c>
      <c r="E277" s="178" t="s">
        <v>265</v>
      </c>
      <c r="F277" s="178" t="s">
        <v>279</v>
      </c>
      <c r="G277" s="525" t="s">
        <v>583</v>
      </c>
      <c r="H277" s="178" t="s">
        <v>104</v>
      </c>
      <c r="I277" s="565">
        <v>7.07</v>
      </c>
      <c r="J277" s="482">
        <v>1</v>
      </c>
      <c r="K277" s="482">
        <v>1</v>
      </c>
      <c r="L277" s="482">
        <v>1</v>
      </c>
      <c r="M277" s="482">
        <v>1</v>
      </c>
      <c r="N277" s="168">
        <v>255</v>
      </c>
      <c r="O277" s="168"/>
      <c r="P277" s="168"/>
      <c r="Q277" s="168"/>
      <c r="R277" s="169" t="e">
        <f t="shared" si="27"/>
        <v>#DIV/0!</v>
      </c>
      <c r="S277" s="169">
        <f t="shared" si="28"/>
        <v>0</v>
      </c>
      <c r="T277" s="169">
        <f t="shared" si="29"/>
        <v>0</v>
      </c>
      <c r="U277" s="169">
        <f t="shared" si="30"/>
        <v>0</v>
      </c>
      <c r="V277" s="519"/>
      <c r="W277" s="170">
        <f>IF(N277="nio",0,IF(N277&gt;0,VLOOKUP(G277,'3-Productie normen'!A:N,VLOOKUP(N277,'3-Productie normen'!Q:R,2,FALSE),FALSE)))</f>
        <v>0</v>
      </c>
      <c r="X277" s="170">
        <f t="shared" ref="X277:X335" si="40">IF(O277&gt;0,W277*$X$8,0)</f>
        <v>0</v>
      </c>
      <c r="Y277" s="170">
        <f t="shared" ref="Y277:Y335" si="41">IF(P277&gt;0,W277*$Y$8,0)</f>
        <v>0</v>
      </c>
      <c r="Z277" s="170">
        <f t="shared" si="31"/>
        <v>0</v>
      </c>
      <c r="AA277" s="171">
        <f>VLOOKUP(G277,'3-Productie normen'!A:N,10,FALSE)</f>
        <v>4</v>
      </c>
      <c r="AB277" s="171"/>
      <c r="AD277" s="131">
        <f t="shared" ref="AD277:AD335" si="42">SUM(N277:P277)*I277</f>
        <v>1802.8500000000001</v>
      </c>
    </row>
    <row r="278" spans="1:30" ht="14.1" customHeight="1">
      <c r="A278" s="147">
        <v>278</v>
      </c>
      <c r="B278" s="165" t="s">
        <v>453</v>
      </c>
      <c r="C278" s="165" t="s">
        <v>457</v>
      </c>
      <c r="D278" s="570" t="s">
        <v>102</v>
      </c>
      <c r="E278" s="178" t="s">
        <v>267</v>
      </c>
      <c r="F278" s="178" t="s">
        <v>294</v>
      </c>
      <c r="G278" s="177" t="s">
        <v>17</v>
      </c>
      <c r="H278" s="178" t="s">
        <v>105</v>
      </c>
      <c r="I278" s="565">
        <v>3.3</v>
      </c>
      <c r="J278" s="482">
        <v>1</v>
      </c>
      <c r="K278" s="482">
        <v>1</v>
      </c>
      <c r="L278" s="482">
        <v>1</v>
      </c>
      <c r="M278" s="482">
        <v>1</v>
      </c>
      <c r="N278" s="168">
        <v>255</v>
      </c>
      <c r="O278" s="168"/>
      <c r="P278" s="168"/>
      <c r="Q278" s="168"/>
      <c r="R278" s="169" t="e">
        <f t="shared" ref="R278:R335" si="43">IF(N278="nio",0,IF(N278&gt;0,N278*I278/W278,0))*J278</f>
        <v>#DIV/0!</v>
      </c>
      <c r="S278" s="169">
        <f t="shared" ref="S278:S335" si="44">IF(O278&gt;0,O278*I278/X278,0)*K278</f>
        <v>0</v>
      </c>
      <c r="T278" s="169">
        <f t="shared" ref="T278:T335" si="45">IF(P278&gt;0,P278*I278/Y278,0)*L278</f>
        <v>0</v>
      </c>
      <c r="U278" s="169">
        <f t="shared" ref="U278:U335" si="46">IF(Q278&gt;0,Q278*I278/Z278,0)*M278</f>
        <v>0</v>
      </c>
      <c r="V278" s="519"/>
      <c r="W278" s="170">
        <f>IF(N278="nio",0,IF(N278&gt;0,VLOOKUP(G278,'3-Productie normen'!A:N,VLOOKUP(N278,'3-Productie normen'!Q:R,2,FALSE),FALSE)))</f>
        <v>0</v>
      </c>
      <c r="X278" s="170">
        <f t="shared" si="40"/>
        <v>0</v>
      </c>
      <c r="Y278" s="170">
        <f t="shared" si="41"/>
        <v>0</v>
      </c>
      <c r="Z278" s="170">
        <f t="shared" ref="Z278:Z335" si="47">IF(Q278&gt;0,W278*$Z$8,0)</f>
        <v>0</v>
      </c>
      <c r="AA278" s="171">
        <f>VLOOKUP(G278,'3-Productie normen'!A:N,10,FALSE)</f>
        <v>3</v>
      </c>
      <c r="AB278" s="171"/>
      <c r="AD278" s="131">
        <f t="shared" si="42"/>
        <v>841.5</v>
      </c>
    </row>
    <row r="279" spans="1:30" ht="14.1" customHeight="1">
      <c r="A279" s="147">
        <v>279</v>
      </c>
      <c r="B279" s="165" t="s">
        <v>453</v>
      </c>
      <c r="C279" s="165" t="s">
        <v>457</v>
      </c>
      <c r="D279" s="570" t="s">
        <v>102</v>
      </c>
      <c r="E279" s="178" t="s">
        <v>286</v>
      </c>
      <c r="F279" s="128" t="s">
        <v>257</v>
      </c>
      <c r="G279" s="167" t="s">
        <v>17</v>
      </c>
      <c r="H279" s="178" t="s">
        <v>105</v>
      </c>
      <c r="I279" s="565">
        <v>1.1200000000000001</v>
      </c>
      <c r="J279" s="482">
        <v>1</v>
      </c>
      <c r="K279" s="482">
        <v>1</v>
      </c>
      <c r="L279" s="482">
        <v>1</v>
      </c>
      <c r="M279" s="482">
        <v>1</v>
      </c>
      <c r="N279" s="168">
        <v>255</v>
      </c>
      <c r="O279" s="168"/>
      <c r="P279" s="168"/>
      <c r="Q279" s="168"/>
      <c r="R279" s="169" t="e">
        <f t="shared" si="43"/>
        <v>#DIV/0!</v>
      </c>
      <c r="S279" s="169">
        <f t="shared" si="44"/>
        <v>0</v>
      </c>
      <c r="T279" s="169">
        <f t="shared" si="45"/>
        <v>0</v>
      </c>
      <c r="U279" s="169">
        <f t="shared" si="46"/>
        <v>0</v>
      </c>
      <c r="V279" s="519"/>
      <c r="W279" s="170">
        <f>IF(N279="nio",0,IF(N279&gt;0,VLOOKUP(G279,'3-Productie normen'!A:N,VLOOKUP(N279,'3-Productie normen'!Q:R,2,FALSE),FALSE)))</f>
        <v>0</v>
      </c>
      <c r="X279" s="170">
        <f t="shared" si="40"/>
        <v>0</v>
      </c>
      <c r="Y279" s="170">
        <f t="shared" si="41"/>
        <v>0</v>
      </c>
      <c r="Z279" s="170">
        <f t="shared" si="47"/>
        <v>0</v>
      </c>
      <c r="AA279" s="171">
        <f>VLOOKUP(G279,'3-Productie normen'!A:N,10,FALSE)</f>
        <v>3</v>
      </c>
      <c r="AB279" s="171"/>
      <c r="AD279" s="131">
        <f t="shared" si="42"/>
        <v>285.60000000000002</v>
      </c>
    </row>
    <row r="280" spans="1:30" ht="14.1" customHeight="1">
      <c r="A280" s="147">
        <v>280</v>
      </c>
      <c r="B280" s="165" t="s">
        <v>453</v>
      </c>
      <c r="C280" s="165" t="s">
        <v>457</v>
      </c>
      <c r="D280" s="570" t="s">
        <v>102</v>
      </c>
      <c r="E280" s="178" t="s">
        <v>288</v>
      </c>
      <c r="F280" s="128" t="s">
        <v>257</v>
      </c>
      <c r="G280" s="167" t="s">
        <v>17</v>
      </c>
      <c r="H280" s="178" t="s">
        <v>105</v>
      </c>
      <c r="I280" s="565">
        <v>1.1200000000000001</v>
      </c>
      <c r="J280" s="482">
        <v>1</v>
      </c>
      <c r="K280" s="482">
        <v>1</v>
      </c>
      <c r="L280" s="482">
        <v>1</v>
      </c>
      <c r="M280" s="482">
        <v>1</v>
      </c>
      <c r="N280" s="168">
        <v>255</v>
      </c>
      <c r="O280" s="168"/>
      <c r="P280" s="168"/>
      <c r="Q280" s="168"/>
      <c r="R280" s="169" t="e">
        <f t="shared" si="43"/>
        <v>#DIV/0!</v>
      </c>
      <c r="S280" s="169">
        <f t="shared" si="44"/>
        <v>0</v>
      </c>
      <c r="T280" s="169">
        <f t="shared" si="45"/>
        <v>0</v>
      </c>
      <c r="U280" s="169">
        <f t="shared" si="46"/>
        <v>0</v>
      </c>
      <c r="V280" s="519"/>
      <c r="W280" s="170">
        <f>IF(N280="nio",0,IF(N280&gt;0,VLOOKUP(G280,'3-Productie normen'!A:N,VLOOKUP(N280,'3-Productie normen'!Q:R,2,FALSE),FALSE)))</f>
        <v>0</v>
      </c>
      <c r="X280" s="170">
        <f t="shared" si="40"/>
        <v>0</v>
      </c>
      <c r="Y280" s="170">
        <f t="shared" si="41"/>
        <v>0</v>
      </c>
      <c r="Z280" s="170">
        <f t="shared" si="47"/>
        <v>0</v>
      </c>
      <c r="AA280" s="171">
        <f>VLOOKUP(G280,'3-Productie normen'!A:N,10,FALSE)</f>
        <v>3</v>
      </c>
      <c r="AB280" s="171"/>
      <c r="AD280" s="131">
        <f t="shared" si="42"/>
        <v>285.60000000000002</v>
      </c>
    </row>
    <row r="281" spans="1:30" ht="14.1" customHeight="1">
      <c r="A281" s="147">
        <v>281</v>
      </c>
      <c r="B281" s="165" t="s">
        <v>453</v>
      </c>
      <c r="C281" s="165" t="s">
        <v>457</v>
      </c>
      <c r="D281" s="570" t="s">
        <v>102</v>
      </c>
      <c r="E281" s="178" t="s">
        <v>289</v>
      </c>
      <c r="F281" s="178" t="s">
        <v>294</v>
      </c>
      <c r="G281" s="177" t="s">
        <v>17</v>
      </c>
      <c r="H281" s="178" t="s">
        <v>105</v>
      </c>
      <c r="I281" s="565">
        <v>6.21</v>
      </c>
      <c r="J281" s="482">
        <v>1</v>
      </c>
      <c r="K281" s="482">
        <v>1</v>
      </c>
      <c r="L281" s="482">
        <v>1</v>
      </c>
      <c r="M281" s="482">
        <v>1</v>
      </c>
      <c r="N281" s="168">
        <v>255</v>
      </c>
      <c r="O281" s="168"/>
      <c r="P281" s="168"/>
      <c r="Q281" s="168"/>
      <c r="R281" s="169" t="e">
        <f t="shared" si="43"/>
        <v>#DIV/0!</v>
      </c>
      <c r="S281" s="169">
        <f t="shared" si="44"/>
        <v>0</v>
      </c>
      <c r="T281" s="169">
        <f t="shared" si="45"/>
        <v>0</v>
      </c>
      <c r="U281" s="169">
        <f t="shared" si="46"/>
        <v>0</v>
      </c>
      <c r="V281" s="519"/>
      <c r="W281" s="170">
        <f>IF(N281="nio",0,IF(N281&gt;0,VLOOKUP(G281,'3-Productie normen'!A:N,VLOOKUP(N281,'3-Productie normen'!Q:R,2,FALSE),FALSE)))</f>
        <v>0</v>
      </c>
      <c r="X281" s="170">
        <f t="shared" si="40"/>
        <v>0</v>
      </c>
      <c r="Y281" s="170">
        <f t="shared" si="41"/>
        <v>0</v>
      </c>
      <c r="Z281" s="170">
        <f t="shared" si="47"/>
        <v>0</v>
      </c>
      <c r="AA281" s="171">
        <f>VLOOKUP(G281,'3-Productie normen'!A:N,10,FALSE)</f>
        <v>3</v>
      </c>
      <c r="AB281" s="171"/>
      <c r="AD281" s="131">
        <f t="shared" si="42"/>
        <v>1583.55</v>
      </c>
    </row>
    <row r="282" spans="1:30" ht="14.1" customHeight="1">
      <c r="A282" s="147">
        <v>282</v>
      </c>
      <c r="B282" s="165" t="s">
        <v>453</v>
      </c>
      <c r="C282" s="165" t="s">
        <v>457</v>
      </c>
      <c r="D282" s="570" t="s">
        <v>102</v>
      </c>
      <c r="E282" s="178" t="s">
        <v>314</v>
      </c>
      <c r="F282" s="128" t="s">
        <v>257</v>
      </c>
      <c r="G282" s="167" t="s">
        <v>17</v>
      </c>
      <c r="H282" s="178" t="s">
        <v>105</v>
      </c>
      <c r="I282" s="565">
        <v>1.17</v>
      </c>
      <c r="J282" s="482">
        <v>1</v>
      </c>
      <c r="K282" s="482">
        <v>1</v>
      </c>
      <c r="L282" s="482">
        <v>1</v>
      </c>
      <c r="M282" s="482">
        <v>1</v>
      </c>
      <c r="N282" s="168">
        <v>255</v>
      </c>
      <c r="O282" s="168"/>
      <c r="P282" s="168"/>
      <c r="Q282" s="168"/>
      <c r="R282" s="169" t="e">
        <f t="shared" si="43"/>
        <v>#DIV/0!</v>
      </c>
      <c r="S282" s="169">
        <f t="shared" si="44"/>
        <v>0</v>
      </c>
      <c r="T282" s="169">
        <f t="shared" si="45"/>
        <v>0</v>
      </c>
      <c r="U282" s="169">
        <f t="shared" si="46"/>
        <v>0</v>
      </c>
      <c r="V282" s="519"/>
      <c r="W282" s="170">
        <f>IF(N282="nio",0,IF(N282&gt;0,VLOOKUP(G282,'3-Productie normen'!A:N,VLOOKUP(N282,'3-Productie normen'!Q:R,2,FALSE),FALSE)))</f>
        <v>0</v>
      </c>
      <c r="X282" s="170">
        <f t="shared" si="40"/>
        <v>0</v>
      </c>
      <c r="Y282" s="170">
        <f t="shared" si="41"/>
        <v>0</v>
      </c>
      <c r="Z282" s="170">
        <f t="shared" si="47"/>
        <v>0</v>
      </c>
      <c r="AA282" s="171">
        <f>VLOOKUP(G282,'3-Productie normen'!A:N,10,FALSE)</f>
        <v>3</v>
      </c>
      <c r="AB282" s="171"/>
      <c r="AD282" s="131">
        <f t="shared" si="42"/>
        <v>298.34999999999997</v>
      </c>
    </row>
    <row r="283" spans="1:30" ht="14.1" customHeight="1">
      <c r="A283" s="147">
        <v>283</v>
      </c>
      <c r="B283" s="165" t="s">
        <v>453</v>
      </c>
      <c r="C283" s="165" t="s">
        <v>457</v>
      </c>
      <c r="D283" s="570" t="s">
        <v>102</v>
      </c>
      <c r="E283" s="178" t="s">
        <v>315</v>
      </c>
      <c r="F283" s="128" t="s">
        <v>257</v>
      </c>
      <c r="G283" s="167" t="s">
        <v>17</v>
      </c>
      <c r="H283" s="178" t="s">
        <v>105</v>
      </c>
      <c r="I283" s="565">
        <v>1.17</v>
      </c>
      <c r="J283" s="482">
        <v>1</v>
      </c>
      <c r="K283" s="482">
        <v>1</v>
      </c>
      <c r="L283" s="482">
        <v>1</v>
      </c>
      <c r="M283" s="482">
        <v>1</v>
      </c>
      <c r="N283" s="168">
        <v>255</v>
      </c>
      <c r="O283" s="168"/>
      <c r="P283" s="168"/>
      <c r="Q283" s="168"/>
      <c r="R283" s="169" t="e">
        <f t="shared" si="43"/>
        <v>#DIV/0!</v>
      </c>
      <c r="S283" s="169">
        <f t="shared" si="44"/>
        <v>0</v>
      </c>
      <c r="T283" s="169">
        <f t="shared" si="45"/>
        <v>0</v>
      </c>
      <c r="U283" s="169">
        <f t="shared" si="46"/>
        <v>0</v>
      </c>
      <c r="V283" s="519"/>
      <c r="W283" s="170">
        <f>IF(N283="nio",0,IF(N283&gt;0,VLOOKUP(G283,'3-Productie normen'!A:N,VLOOKUP(N283,'3-Productie normen'!Q:R,2,FALSE),FALSE)))</f>
        <v>0</v>
      </c>
      <c r="X283" s="170">
        <f t="shared" si="40"/>
        <v>0</v>
      </c>
      <c r="Y283" s="170">
        <f t="shared" si="41"/>
        <v>0</v>
      </c>
      <c r="Z283" s="170">
        <f t="shared" si="47"/>
        <v>0</v>
      </c>
      <c r="AA283" s="171">
        <f>VLOOKUP(G283,'3-Productie normen'!A:N,10,FALSE)</f>
        <v>3</v>
      </c>
      <c r="AB283" s="171"/>
      <c r="AD283" s="131">
        <f t="shared" si="42"/>
        <v>298.34999999999997</v>
      </c>
    </row>
    <row r="284" spans="1:30" ht="14.1" customHeight="1">
      <c r="A284" s="147">
        <v>284</v>
      </c>
      <c r="B284" s="165" t="s">
        <v>453</v>
      </c>
      <c r="C284" s="165" t="s">
        <v>457</v>
      </c>
      <c r="D284" s="570" t="s">
        <v>102</v>
      </c>
      <c r="E284" s="178" t="s">
        <v>317</v>
      </c>
      <c r="F284" s="178" t="s">
        <v>302</v>
      </c>
      <c r="G284" s="165" t="s">
        <v>199</v>
      </c>
      <c r="H284" s="178" t="s">
        <v>104</v>
      </c>
      <c r="I284" s="565">
        <v>1.43</v>
      </c>
      <c r="J284" s="482">
        <v>1</v>
      </c>
      <c r="K284" s="482">
        <v>1</v>
      </c>
      <c r="L284" s="482">
        <v>1</v>
      </c>
      <c r="M284" s="482">
        <v>1</v>
      </c>
      <c r="N284" s="168" t="s">
        <v>199</v>
      </c>
      <c r="O284" s="168"/>
      <c r="P284" s="168"/>
      <c r="Q284" s="168"/>
      <c r="R284" s="169">
        <f t="shared" si="43"/>
        <v>0</v>
      </c>
      <c r="S284" s="169">
        <f t="shared" si="44"/>
        <v>0</v>
      </c>
      <c r="T284" s="169">
        <f t="shared" si="45"/>
        <v>0</v>
      </c>
      <c r="U284" s="169">
        <f t="shared" si="46"/>
        <v>0</v>
      </c>
      <c r="V284" s="519"/>
      <c r="W284" s="170">
        <f>IF(N284="nio",0,IF(N284&gt;0,VLOOKUP(G284,'3-Productie normen'!A:N,VLOOKUP(N284,'3-Productie normen'!Q:R,2,FALSE),FALSE)))</f>
        <v>0</v>
      </c>
      <c r="X284" s="170">
        <f t="shared" si="40"/>
        <v>0</v>
      </c>
      <c r="Y284" s="170">
        <f t="shared" si="41"/>
        <v>0</v>
      </c>
      <c r="Z284" s="170">
        <f t="shared" si="47"/>
        <v>0</v>
      </c>
      <c r="AA284" s="171">
        <f>VLOOKUP(G284,'3-Productie normen'!A:N,10,FALSE)</f>
        <v>0</v>
      </c>
      <c r="AB284" s="171"/>
      <c r="AD284" s="131">
        <f t="shared" si="42"/>
        <v>0</v>
      </c>
    </row>
    <row r="285" spans="1:30" ht="14.1" customHeight="1">
      <c r="A285" s="147">
        <v>285</v>
      </c>
      <c r="B285" s="165" t="s">
        <v>453</v>
      </c>
      <c r="C285" s="165" t="s">
        <v>457</v>
      </c>
      <c r="D285" s="570" t="s">
        <v>102</v>
      </c>
      <c r="E285" s="178" t="s">
        <v>449</v>
      </c>
      <c r="F285" s="178" t="s">
        <v>360</v>
      </c>
      <c r="G285" s="525" t="s">
        <v>583</v>
      </c>
      <c r="H285" s="178" t="s">
        <v>104</v>
      </c>
      <c r="I285" s="565">
        <v>3.31</v>
      </c>
      <c r="J285" s="482">
        <v>1</v>
      </c>
      <c r="K285" s="482">
        <v>1</v>
      </c>
      <c r="L285" s="482">
        <v>1</v>
      </c>
      <c r="M285" s="482">
        <v>1</v>
      </c>
      <c r="N285" s="168">
        <v>255</v>
      </c>
      <c r="O285" s="168"/>
      <c r="P285" s="168"/>
      <c r="Q285" s="168"/>
      <c r="R285" s="169" t="e">
        <f t="shared" si="43"/>
        <v>#DIV/0!</v>
      </c>
      <c r="S285" s="169">
        <f t="shared" si="44"/>
        <v>0</v>
      </c>
      <c r="T285" s="169">
        <f t="shared" si="45"/>
        <v>0</v>
      </c>
      <c r="U285" s="169">
        <f t="shared" si="46"/>
        <v>0</v>
      </c>
      <c r="V285" s="519"/>
      <c r="W285" s="170">
        <f>IF(N285="nio",0,IF(N285&gt;0,VLOOKUP(G285,'3-Productie normen'!A:N,VLOOKUP(N285,'3-Productie normen'!Q:R,2,FALSE),FALSE)))</f>
        <v>0</v>
      </c>
      <c r="X285" s="170">
        <f t="shared" si="40"/>
        <v>0</v>
      </c>
      <c r="Y285" s="170">
        <f t="shared" si="41"/>
        <v>0</v>
      </c>
      <c r="Z285" s="170">
        <f t="shared" si="47"/>
        <v>0</v>
      </c>
      <c r="AA285" s="171">
        <f>VLOOKUP(G285,'3-Productie normen'!A:N,10,FALSE)</f>
        <v>4</v>
      </c>
      <c r="AB285" s="171"/>
      <c r="AD285" s="131">
        <f t="shared" si="42"/>
        <v>844.05000000000007</v>
      </c>
    </row>
    <row r="286" spans="1:30" ht="14.1" customHeight="1">
      <c r="A286" s="147">
        <v>286</v>
      </c>
      <c r="B286" s="165" t="s">
        <v>454</v>
      </c>
      <c r="C286" s="165" t="s">
        <v>455</v>
      </c>
      <c r="D286" s="570" t="s">
        <v>102</v>
      </c>
      <c r="E286" s="178" t="s">
        <v>247</v>
      </c>
      <c r="F286" s="178" t="s">
        <v>249</v>
      </c>
      <c r="G286" s="165" t="s">
        <v>579</v>
      </c>
      <c r="H286" s="178" t="s">
        <v>104</v>
      </c>
      <c r="I286" s="565">
        <v>108.74</v>
      </c>
      <c r="J286" s="482">
        <v>1</v>
      </c>
      <c r="K286" s="482">
        <v>1</v>
      </c>
      <c r="L286" s="482">
        <v>1</v>
      </c>
      <c r="M286" s="482">
        <v>1</v>
      </c>
      <c r="N286" s="168">
        <v>255</v>
      </c>
      <c r="O286" s="168"/>
      <c r="P286" s="168"/>
      <c r="Q286" s="168"/>
      <c r="R286" s="169" t="e">
        <f t="shared" si="43"/>
        <v>#DIV/0!</v>
      </c>
      <c r="S286" s="169">
        <f t="shared" si="44"/>
        <v>0</v>
      </c>
      <c r="T286" s="169">
        <f t="shared" si="45"/>
        <v>0</v>
      </c>
      <c r="U286" s="169">
        <f t="shared" si="46"/>
        <v>0</v>
      </c>
      <c r="V286" s="519"/>
      <c r="W286" s="170">
        <f>IF(N286="nio",0,IF(N286&gt;0,VLOOKUP(G286,'3-Productie normen'!A:N,VLOOKUP(N286,'3-Productie normen'!Q:R,2,FALSE),FALSE)))</f>
        <v>0</v>
      </c>
      <c r="X286" s="170">
        <f t="shared" si="40"/>
        <v>0</v>
      </c>
      <c r="Y286" s="170">
        <f t="shared" si="41"/>
        <v>0</v>
      </c>
      <c r="Z286" s="170">
        <f t="shared" si="47"/>
        <v>0</v>
      </c>
      <c r="AA286" s="171">
        <f>VLOOKUP(G286,'3-Productie normen'!A:N,10,FALSE)</f>
        <v>4</v>
      </c>
      <c r="AB286" s="171"/>
      <c r="AD286" s="131">
        <f t="shared" si="42"/>
        <v>27728.699999999997</v>
      </c>
    </row>
    <row r="287" spans="1:30" ht="14.1" customHeight="1">
      <c r="A287" s="147">
        <v>287</v>
      </c>
      <c r="B287" s="165" t="s">
        <v>454</v>
      </c>
      <c r="C287" s="165" t="s">
        <v>455</v>
      </c>
      <c r="D287" s="570" t="s">
        <v>102</v>
      </c>
      <c r="E287" s="178" t="s">
        <v>248</v>
      </c>
      <c r="F287" s="178" t="s">
        <v>251</v>
      </c>
      <c r="G287" s="165" t="s">
        <v>373</v>
      </c>
      <c r="H287" s="178" t="s">
        <v>104</v>
      </c>
      <c r="I287" s="565">
        <v>18.649999999999999</v>
      </c>
      <c r="J287" s="482">
        <v>1</v>
      </c>
      <c r="K287" s="482">
        <v>1</v>
      </c>
      <c r="L287" s="482">
        <v>1</v>
      </c>
      <c r="M287" s="482">
        <v>1</v>
      </c>
      <c r="N287" s="168">
        <v>255</v>
      </c>
      <c r="O287" s="168"/>
      <c r="P287" s="168"/>
      <c r="Q287" s="168"/>
      <c r="R287" s="169" t="e">
        <f t="shared" si="43"/>
        <v>#DIV/0!</v>
      </c>
      <c r="S287" s="169">
        <f t="shared" si="44"/>
        <v>0</v>
      </c>
      <c r="T287" s="169">
        <f t="shared" si="45"/>
        <v>0</v>
      </c>
      <c r="U287" s="169">
        <f t="shared" si="46"/>
        <v>0</v>
      </c>
      <c r="V287" s="519"/>
      <c r="W287" s="170">
        <f>IF(N287="nio",0,IF(N287&gt;0,VLOOKUP(G287,'3-Productie normen'!A:N,VLOOKUP(N287,'3-Productie normen'!Q:R,2,FALSE),FALSE)))</f>
        <v>0</v>
      </c>
      <c r="X287" s="170">
        <f t="shared" si="40"/>
        <v>0</v>
      </c>
      <c r="Y287" s="170">
        <f t="shared" si="41"/>
        <v>0</v>
      </c>
      <c r="Z287" s="170">
        <f t="shared" si="47"/>
        <v>0</v>
      </c>
      <c r="AA287" s="171">
        <f>VLOOKUP(G287,'3-Productie normen'!A:N,10,FALSE)</f>
        <v>1</v>
      </c>
      <c r="AB287" s="171"/>
      <c r="AD287" s="131">
        <f t="shared" si="42"/>
        <v>4755.75</v>
      </c>
    </row>
    <row r="288" spans="1:30" ht="14.1" customHeight="1">
      <c r="A288" s="147">
        <v>288</v>
      </c>
      <c r="B288" s="165" t="s">
        <v>454</v>
      </c>
      <c r="C288" s="165" t="s">
        <v>455</v>
      </c>
      <c r="D288" s="570" t="s">
        <v>102</v>
      </c>
      <c r="E288" s="178" t="s">
        <v>250</v>
      </c>
      <c r="F288" s="178" t="s">
        <v>458</v>
      </c>
      <c r="G288" s="167" t="s">
        <v>373</v>
      </c>
      <c r="H288" s="178" t="s">
        <v>272</v>
      </c>
      <c r="I288" s="565">
        <v>33.42</v>
      </c>
      <c r="J288" s="482">
        <v>1</v>
      </c>
      <c r="K288" s="482">
        <v>1</v>
      </c>
      <c r="L288" s="482">
        <v>1</v>
      </c>
      <c r="M288" s="482">
        <v>1</v>
      </c>
      <c r="N288" s="168">
        <v>255</v>
      </c>
      <c r="O288" s="168"/>
      <c r="P288" s="168"/>
      <c r="Q288" s="168"/>
      <c r="R288" s="169" t="e">
        <f t="shared" si="43"/>
        <v>#DIV/0!</v>
      </c>
      <c r="S288" s="169">
        <f t="shared" si="44"/>
        <v>0</v>
      </c>
      <c r="T288" s="169">
        <f t="shared" si="45"/>
        <v>0</v>
      </c>
      <c r="U288" s="169">
        <f t="shared" si="46"/>
        <v>0</v>
      </c>
      <c r="V288" s="519"/>
      <c r="W288" s="170">
        <f>IF(N288="nio",0,IF(N288&gt;0,VLOOKUP(G288,'3-Productie normen'!A:N,VLOOKUP(N288,'3-Productie normen'!Q:R,2,FALSE),FALSE)))</f>
        <v>0</v>
      </c>
      <c r="X288" s="170">
        <f t="shared" si="40"/>
        <v>0</v>
      </c>
      <c r="Y288" s="170">
        <f t="shared" si="41"/>
        <v>0</v>
      </c>
      <c r="Z288" s="170">
        <f t="shared" si="47"/>
        <v>0</v>
      </c>
      <c r="AA288" s="171">
        <f>VLOOKUP(G288,'3-Productie normen'!A:N,10,FALSE)</f>
        <v>1</v>
      </c>
      <c r="AB288" s="171"/>
      <c r="AD288" s="131">
        <f t="shared" si="42"/>
        <v>8522.1</v>
      </c>
    </row>
    <row r="289" spans="1:30" ht="14.1" customHeight="1">
      <c r="A289" s="147">
        <v>289</v>
      </c>
      <c r="B289" s="165" t="s">
        <v>454</v>
      </c>
      <c r="C289" s="165" t="s">
        <v>455</v>
      </c>
      <c r="D289" s="570" t="s">
        <v>102</v>
      </c>
      <c r="E289" s="178" t="s">
        <v>252</v>
      </c>
      <c r="F289" s="178" t="s">
        <v>294</v>
      </c>
      <c r="G289" s="177" t="s">
        <v>17</v>
      </c>
      <c r="H289" s="178" t="s">
        <v>105</v>
      </c>
      <c r="I289" s="565">
        <v>4.9000000000000004</v>
      </c>
      <c r="J289" s="482">
        <v>1</v>
      </c>
      <c r="K289" s="482">
        <v>1</v>
      </c>
      <c r="L289" s="482">
        <v>1</v>
      </c>
      <c r="M289" s="482">
        <v>1</v>
      </c>
      <c r="N289" s="168">
        <v>255</v>
      </c>
      <c r="O289" s="168"/>
      <c r="P289" s="168"/>
      <c r="Q289" s="168"/>
      <c r="R289" s="169" t="e">
        <f t="shared" si="43"/>
        <v>#DIV/0!</v>
      </c>
      <c r="S289" s="169">
        <f t="shared" si="44"/>
        <v>0</v>
      </c>
      <c r="T289" s="169">
        <f t="shared" si="45"/>
        <v>0</v>
      </c>
      <c r="U289" s="169">
        <f t="shared" si="46"/>
        <v>0</v>
      </c>
      <c r="V289" s="519"/>
      <c r="W289" s="170">
        <f>IF(N289="nio",0,IF(N289&gt;0,VLOOKUP(G289,'3-Productie normen'!A:N,VLOOKUP(N289,'3-Productie normen'!Q:R,2,FALSE),FALSE)))</f>
        <v>0</v>
      </c>
      <c r="X289" s="170">
        <f t="shared" si="40"/>
        <v>0</v>
      </c>
      <c r="Y289" s="170">
        <f t="shared" si="41"/>
        <v>0</v>
      </c>
      <c r="Z289" s="170">
        <f t="shared" si="47"/>
        <v>0</v>
      </c>
      <c r="AA289" s="171">
        <f>VLOOKUP(G289,'3-Productie normen'!A:N,10,FALSE)</f>
        <v>3</v>
      </c>
      <c r="AB289" s="171"/>
      <c r="AD289" s="131">
        <f t="shared" si="42"/>
        <v>1249.5</v>
      </c>
    </row>
    <row r="290" spans="1:30" ht="14.1" customHeight="1">
      <c r="A290" s="147">
        <v>290</v>
      </c>
      <c r="B290" s="165" t="s">
        <v>454</v>
      </c>
      <c r="C290" s="165" t="s">
        <v>455</v>
      </c>
      <c r="D290" s="570" t="s">
        <v>102</v>
      </c>
      <c r="E290" s="178" t="s">
        <v>254</v>
      </c>
      <c r="F290" s="128" t="s">
        <v>257</v>
      </c>
      <c r="G290" s="167" t="s">
        <v>17</v>
      </c>
      <c r="H290" s="178" t="s">
        <v>105</v>
      </c>
      <c r="I290" s="565">
        <v>5.17</v>
      </c>
      <c r="J290" s="482">
        <v>1</v>
      </c>
      <c r="K290" s="482">
        <v>1</v>
      </c>
      <c r="L290" s="482">
        <v>1</v>
      </c>
      <c r="M290" s="482">
        <v>1</v>
      </c>
      <c r="N290" s="168">
        <v>255</v>
      </c>
      <c r="O290" s="168"/>
      <c r="P290" s="168"/>
      <c r="Q290" s="168"/>
      <c r="R290" s="169" t="e">
        <f t="shared" si="43"/>
        <v>#DIV/0!</v>
      </c>
      <c r="S290" s="169">
        <f t="shared" si="44"/>
        <v>0</v>
      </c>
      <c r="T290" s="169">
        <f t="shared" si="45"/>
        <v>0</v>
      </c>
      <c r="U290" s="169">
        <f t="shared" si="46"/>
        <v>0</v>
      </c>
      <c r="V290" s="519"/>
      <c r="W290" s="170">
        <f>IF(N290="nio",0,IF(N290&gt;0,VLOOKUP(G290,'3-Productie normen'!A:N,VLOOKUP(N290,'3-Productie normen'!Q:R,2,FALSE),FALSE)))</f>
        <v>0</v>
      </c>
      <c r="X290" s="170">
        <f t="shared" si="40"/>
        <v>0</v>
      </c>
      <c r="Y290" s="170">
        <f t="shared" si="41"/>
        <v>0</v>
      </c>
      <c r="Z290" s="170">
        <f t="shared" si="47"/>
        <v>0</v>
      </c>
      <c r="AA290" s="171">
        <f>VLOOKUP(G290,'3-Productie normen'!A:N,10,FALSE)</f>
        <v>3</v>
      </c>
      <c r="AB290" s="171"/>
      <c r="AD290" s="131">
        <f t="shared" si="42"/>
        <v>1318.35</v>
      </c>
    </row>
    <row r="291" spans="1:30" ht="14.1" customHeight="1">
      <c r="A291" s="147">
        <v>291</v>
      </c>
      <c r="B291" s="165" t="s">
        <v>454</v>
      </c>
      <c r="C291" s="165" t="s">
        <v>455</v>
      </c>
      <c r="D291" s="570" t="s">
        <v>102</v>
      </c>
      <c r="E291" s="178" t="s">
        <v>256</v>
      </c>
      <c r="F291" s="128" t="s">
        <v>257</v>
      </c>
      <c r="G291" s="167" t="s">
        <v>17</v>
      </c>
      <c r="H291" s="178" t="s">
        <v>105</v>
      </c>
      <c r="I291" s="565">
        <v>1.35</v>
      </c>
      <c r="J291" s="482">
        <v>1</v>
      </c>
      <c r="K291" s="482">
        <v>1</v>
      </c>
      <c r="L291" s="482">
        <v>1</v>
      </c>
      <c r="M291" s="482">
        <v>1</v>
      </c>
      <c r="N291" s="168">
        <v>255</v>
      </c>
      <c r="O291" s="168"/>
      <c r="P291" s="168"/>
      <c r="Q291" s="168"/>
      <c r="R291" s="169" t="e">
        <f t="shared" si="43"/>
        <v>#DIV/0!</v>
      </c>
      <c r="S291" s="169">
        <f t="shared" si="44"/>
        <v>0</v>
      </c>
      <c r="T291" s="169">
        <f t="shared" si="45"/>
        <v>0</v>
      </c>
      <c r="U291" s="169">
        <f t="shared" si="46"/>
        <v>0</v>
      </c>
      <c r="V291" s="519"/>
      <c r="W291" s="170">
        <f>IF(N291="nio",0,IF(N291&gt;0,VLOOKUP(G291,'3-Productie normen'!A:N,VLOOKUP(N291,'3-Productie normen'!Q:R,2,FALSE),FALSE)))</f>
        <v>0</v>
      </c>
      <c r="X291" s="170">
        <f t="shared" si="40"/>
        <v>0</v>
      </c>
      <c r="Y291" s="170">
        <f t="shared" si="41"/>
        <v>0</v>
      </c>
      <c r="Z291" s="170">
        <f t="shared" si="47"/>
        <v>0</v>
      </c>
      <c r="AA291" s="171">
        <f>VLOOKUP(G291,'3-Productie normen'!A:N,10,FALSE)</f>
        <v>3</v>
      </c>
      <c r="AB291" s="171"/>
      <c r="AD291" s="131">
        <f t="shared" si="42"/>
        <v>344.25</v>
      </c>
    </row>
    <row r="292" spans="1:30" ht="14.1" customHeight="1">
      <c r="A292" s="147">
        <v>292</v>
      </c>
      <c r="B292" s="165" t="s">
        <v>454</v>
      </c>
      <c r="C292" s="165" t="s">
        <v>455</v>
      </c>
      <c r="D292" s="570" t="s">
        <v>102</v>
      </c>
      <c r="E292" s="178" t="s">
        <v>258</v>
      </c>
      <c r="F292" s="128" t="s">
        <v>257</v>
      </c>
      <c r="G292" s="167" t="s">
        <v>17</v>
      </c>
      <c r="H292" s="178" t="s">
        <v>105</v>
      </c>
      <c r="I292" s="565">
        <v>1.35</v>
      </c>
      <c r="J292" s="482">
        <v>1</v>
      </c>
      <c r="K292" s="482">
        <v>1</v>
      </c>
      <c r="L292" s="482">
        <v>1</v>
      </c>
      <c r="M292" s="482">
        <v>1</v>
      </c>
      <c r="N292" s="168">
        <v>255</v>
      </c>
      <c r="O292" s="168"/>
      <c r="P292" s="168"/>
      <c r="Q292" s="168"/>
      <c r="R292" s="169" t="e">
        <f t="shared" si="43"/>
        <v>#DIV/0!</v>
      </c>
      <c r="S292" s="169">
        <f t="shared" si="44"/>
        <v>0</v>
      </c>
      <c r="T292" s="169">
        <f t="shared" si="45"/>
        <v>0</v>
      </c>
      <c r="U292" s="169">
        <f t="shared" si="46"/>
        <v>0</v>
      </c>
      <c r="V292" s="519"/>
      <c r="W292" s="170">
        <f>IF(N292="nio",0,IF(N292&gt;0,VLOOKUP(G292,'3-Productie normen'!A:N,VLOOKUP(N292,'3-Productie normen'!Q:R,2,FALSE),FALSE)))</f>
        <v>0</v>
      </c>
      <c r="X292" s="170">
        <f t="shared" si="40"/>
        <v>0</v>
      </c>
      <c r="Y292" s="170">
        <f t="shared" si="41"/>
        <v>0</v>
      </c>
      <c r="Z292" s="170">
        <f t="shared" si="47"/>
        <v>0</v>
      </c>
      <c r="AA292" s="171">
        <f>VLOOKUP(G292,'3-Productie normen'!A:N,10,FALSE)</f>
        <v>3</v>
      </c>
      <c r="AB292" s="171"/>
      <c r="AD292" s="131">
        <f t="shared" si="42"/>
        <v>344.25</v>
      </c>
    </row>
    <row r="293" spans="1:30" ht="14.1" customHeight="1">
      <c r="A293" s="147">
        <v>293</v>
      </c>
      <c r="B293" s="165" t="s">
        <v>454</v>
      </c>
      <c r="C293" s="165" t="s">
        <v>455</v>
      </c>
      <c r="D293" s="570" t="s">
        <v>102</v>
      </c>
      <c r="E293" s="178" t="s">
        <v>259</v>
      </c>
      <c r="F293" s="178" t="s">
        <v>302</v>
      </c>
      <c r="G293" s="165" t="s">
        <v>199</v>
      </c>
      <c r="H293" s="178" t="s">
        <v>105</v>
      </c>
      <c r="I293" s="565">
        <v>0.9</v>
      </c>
      <c r="J293" s="482">
        <v>1</v>
      </c>
      <c r="K293" s="482">
        <v>1</v>
      </c>
      <c r="L293" s="482">
        <v>1</v>
      </c>
      <c r="M293" s="482">
        <v>1</v>
      </c>
      <c r="N293" s="168" t="s">
        <v>199</v>
      </c>
      <c r="O293" s="168"/>
      <c r="P293" s="168"/>
      <c r="Q293" s="168"/>
      <c r="R293" s="169">
        <f t="shared" si="43"/>
        <v>0</v>
      </c>
      <c r="S293" s="169">
        <f t="shared" si="44"/>
        <v>0</v>
      </c>
      <c r="T293" s="169">
        <f t="shared" si="45"/>
        <v>0</v>
      </c>
      <c r="U293" s="169">
        <f t="shared" si="46"/>
        <v>0</v>
      </c>
      <c r="V293" s="519"/>
      <c r="W293" s="170">
        <f>IF(N293="nio",0,IF(N293&gt;0,VLOOKUP(G293,'3-Productie normen'!A:N,VLOOKUP(N293,'3-Productie normen'!Q:R,2,FALSE),FALSE)))</f>
        <v>0</v>
      </c>
      <c r="X293" s="170">
        <f t="shared" si="40"/>
        <v>0</v>
      </c>
      <c r="Y293" s="170">
        <f t="shared" si="41"/>
        <v>0</v>
      </c>
      <c r="Z293" s="170">
        <f t="shared" si="47"/>
        <v>0</v>
      </c>
      <c r="AA293" s="171">
        <f>VLOOKUP(G293,'3-Productie normen'!A:N,10,FALSE)</f>
        <v>0</v>
      </c>
      <c r="AB293" s="171"/>
      <c r="AD293" s="131">
        <f t="shared" si="42"/>
        <v>0</v>
      </c>
    </row>
    <row r="294" spans="1:30" ht="14.1" customHeight="1">
      <c r="A294" s="147">
        <v>294</v>
      </c>
      <c r="B294" s="165" t="s">
        <v>454</v>
      </c>
      <c r="C294" s="165" t="s">
        <v>455</v>
      </c>
      <c r="D294" s="570" t="s">
        <v>102</v>
      </c>
      <c r="E294" s="178" t="s">
        <v>261</v>
      </c>
      <c r="F294" s="178" t="s">
        <v>280</v>
      </c>
      <c r="G294" s="167" t="s">
        <v>107</v>
      </c>
      <c r="H294" s="178" t="s">
        <v>104</v>
      </c>
      <c r="I294" s="565">
        <v>29.54</v>
      </c>
      <c r="J294" s="482">
        <v>1</v>
      </c>
      <c r="K294" s="482">
        <v>1</v>
      </c>
      <c r="L294" s="482">
        <v>1</v>
      </c>
      <c r="M294" s="482">
        <v>1</v>
      </c>
      <c r="N294" s="168">
        <v>255</v>
      </c>
      <c r="O294" s="168"/>
      <c r="P294" s="168"/>
      <c r="Q294" s="168"/>
      <c r="R294" s="169" t="e">
        <f t="shared" si="43"/>
        <v>#DIV/0!</v>
      </c>
      <c r="S294" s="169">
        <f t="shared" si="44"/>
        <v>0</v>
      </c>
      <c r="T294" s="169">
        <f t="shared" si="45"/>
        <v>0</v>
      </c>
      <c r="U294" s="169">
        <f t="shared" si="46"/>
        <v>0</v>
      </c>
      <c r="V294" s="519"/>
      <c r="W294" s="170">
        <f>IF(N294="nio",0,IF(N294&gt;0,VLOOKUP(G294,'3-Productie normen'!A:N,VLOOKUP(N294,'3-Productie normen'!Q:R,2,FALSE),FALSE)))</f>
        <v>0</v>
      </c>
      <c r="X294" s="170">
        <f t="shared" si="40"/>
        <v>0</v>
      </c>
      <c r="Y294" s="170">
        <f t="shared" si="41"/>
        <v>0</v>
      </c>
      <c r="Z294" s="170">
        <f t="shared" si="47"/>
        <v>0</v>
      </c>
      <c r="AA294" s="171">
        <f>VLOOKUP(G294,'3-Productie normen'!A:N,10,FALSE)</f>
        <v>2</v>
      </c>
      <c r="AB294" s="171"/>
      <c r="AD294" s="131">
        <f t="shared" si="42"/>
        <v>7532.7</v>
      </c>
    </row>
    <row r="295" spans="1:30" ht="14.1" customHeight="1">
      <c r="A295" s="147">
        <v>295</v>
      </c>
      <c r="B295" s="165" t="s">
        <v>454</v>
      </c>
      <c r="C295" s="165" t="s">
        <v>455</v>
      </c>
      <c r="D295" s="570" t="s">
        <v>102</v>
      </c>
      <c r="E295" s="178" t="s">
        <v>263</v>
      </c>
      <c r="F295" s="178" t="s">
        <v>270</v>
      </c>
      <c r="G295" s="128" t="s">
        <v>373</v>
      </c>
      <c r="H295" s="178" t="s">
        <v>104</v>
      </c>
      <c r="I295" s="565">
        <v>9.6300000000000008</v>
      </c>
      <c r="J295" s="482">
        <v>1</v>
      </c>
      <c r="K295" s="482">
        <v>1</v>
      </c>
      <c r="L295" s="482">
        <v>1</v>
      </c>
      <c r="M295" s="482">
        <v>1</v>
      </c>
      <c r="N295" s="168">
        <v>255</v>
      </c>
      <c r="O295" s="168"/>
      <c r="P295" s="168"/>
      <c r="Q295" s="168"/>
      <c r="R295" s="169" t="e">
        <f t="shared" si="43"/>
        <v>#DIV/0!</v>
      </c>
      <c r="S295" s="169">
        <f t="shared" si="44"/>
        <v>0</v>
      </c>
      <c r="T295" s="169">
        <f t="shared" si="45"/>
        <v>0</v>
      </c>
      <c r="U295" s="169">
        <f t="shared" si="46"/>
        <v>0</v>
      </c>
      <c r="V295" s="519"/>
      <c r="W295" s="170">
        <f>IF(N295="nio",0,IF(N295&gt;0,VLOOKUP(G295,'3-Productie normen'!A:N,VLOOKUP(N295,'3-Productie normen'!Q:R,2,FALSE),FALSE)))</f>
        <v>0</v>
      </c>
      <c r="X295" s="170">
        <f t="shared" si="40"/>
        <v>0</v>
      </c>
      <c r="Y295" s="170">
        <f t="shared" si="41"/>
        <v>0</v>
      </c>
      <c r="Z295" s="170">
        <f t="shared" si="47"/>
        <v>0</v>
      </c>
      <c r="AA295" s="171">
        <f>VLOOKUP(G295,'3-Productie normen'!A:N,10,FALSE)</f>
        <v>1</v>
      </c>
      <c r="AB295" s="171"/>
      <c r="AD295" s="131">
        <f t="shared" si="42"/>
        <v>2455.65</v>
      </c>
    </row>
    <row r="296" spans="1:30" ht="14.1" customHeight="1">
      <c r="A296" s="147">
        <v>296</v>
      </c>
      <c r="B296" s="165" t="s">
        <v>454</v>
      </c>
      <c r="C296" s="165" t="s">
        <v>455</v>
      </c>
      <c r="D296" s="570" t="s">
        <v>102</v>
      </c>
      <c r="E296" s="178" t="s">
        <v>265</v>
      </c>
      <c r="F296" s="178" t="s">
        <v>270</v>
      </c>
      <c r="G296" s="128" t="s">
        <v>373</v>
      </c>
      <c r="H296" s="178" t="s">
        <v>104</v>
      </c>
      <c r="I296" s="565">
        <v>9.6300000000000008</v>
      </c>
      <c r="J296" s="482">
        <v>1</v>
      </c>
      <c r="K296" s="482">
        <v>1</v>
      </c>
      <c r="L296" s="482">
        <v>1</v>
      </c>
      <c r="M296" s="482">
        <v>1</v>
      </c>
      <c r="N296" s="168">
        <v>255</v>
      </c>
      <c r="O296" s="168"/>
      <c r="P296" s="168"/>
      <c r="Q296" s="168"/>
      <c r="R296" s="169" t="e">
        <f t="shared" si="43"/>
        <v>#DIV/0!</v>
      </c>
      <c r="S296" s="169">
        <f t="shared" si="44"/>
        <v>0</v>
      </c>
      <c r="T296" s="169">
        <f t="shared" si="45"/>
        <v>0</v>
      </c>
      <c r="U296" s="169">
        <f t="shared" si="46"/>
        <v>0</v>
      </c>
      <c r="V296" s="519"/>
      <c r="W296" s="170">
        <f>IF(N296="nio",0,IF(N296&gt;0,VLOOKUP(G296,'3-Productie normen'!A:N,VLOOKUP(N296,'3-Productie normen'!Q:R,2,FALSE),FALSE)))</f>
        <v>0</v>
      </c>
      <c r="X296" s="170">
        <f t="shared" si="40"/>
        <v>0</v>
      </c>
      <c r="Y296" s="170">
        <f t="shared" si="41"/>
        <v>0</v>
      </c>
      <c r="Z296" s="170">
        <f t="shared" si="47"/>
        <v>0</v>
      </c>
      <c r="AA296" s="171">
        <f>VLOOKUP(G296,'3-Productie normen'!A:N,10,FALSE)</f>
        <v>1</v>
      </c>
      <c r="AB296" s="171"/>
      <c r="AD296" s="131">
        <f t="shared" si="42"/>
        <v>2455.65</v>
      </c>
    </row>
    <row r="297" spans="1:30" ht="14.1" customHeight="1">
      <c r="A297" s="147">
        <v>297</v>
      </c>
      <c r="B297" s="165" t="s">
        <v>454</v>
      </c>
      <c r="C297" s="165" t="s">
        <v>455</v>
      </c>
      <c r="D297" s="570" t="s">
        <v>102</v>
      </c>
      <c r="E297" s="178" t="s">
        <v>267</v>
      </c>
      <c r="F297" s="178" t="s">
        <v>270</v>
      </c>
      <c r="G297" s="128" t="s">
        <v>373</v>
      </c>
      <c r="H297" s="178" t="s">
        <v>104</v>
      </c>
      <c r="I297" s="565">
        <v>9.6300000000000008</v>
      </c>
      <c r="J297" s="482">
        <v>1</v>
      </c>
      <c r="K297" s="482">
        <v>1</v>
      </c>
      <c r="L297" s="482">
        <v>1</v>
      </c>
      <c r="M297" s="482">
        <v>1</v>
      </c>
      <c r="N297" s="168">
        <v>255</v>
      </c>
      <c r="O297" s="168"/>
      <c r="P297" s="168"/>
      <c r="Q297" s="168"/>
      <c r="R297" s="169" t="e">
        <f t="shared" si="43"/>
        <v>#DIV/0!</v>
      </c>
      <c r="S297" s="169">
        <f t="shared" si="44"/>
        <v>0</v>
      </c>
      <c r="T297" s="169">
        <f t="shared" si="45"/>
        <v>0</v>
      </c>
      <c r="U297" s="169">
        <f t="shared" si="46"/>
        <v>0</v>
      </c>
      <c r="V297" s="519"/>
      <c r="W297" s="170">
        <f>IF(N297="nio",0,IF(N297&gt;0,VLOOKUP(G297,'3-Productie normen'!A:N,VLOOKUP(N297,'3-Productie normen'!Q:R,2,FALSE),FALSE)))</f>
        <v>0</v>
      </c>
      <c r="X297" s="170">
        <f t="shared" si="40"/>
        <v>0</v>
      </c>
      <c r="Y297" s="170">
        <f t="shared" si="41"/>
        <v>0</v>
      </c>
      <c r="Z297" s="170">
        <f t="shared" si="47"/>
        <v>0</v>
      </c>
      <c r="AA297" s="171">
        <f>VLOOKUP(G297,'3-Productie normen'!A:N,10,FALSE)</f>
        <v>1</v>
      </c>
      <c r="AB297" s="171"/>
      <c r="AD297" s="131">
        <f t="shared" si="42"/>
        <v>2455.65</v>
      </c>
    </row>
    <row r="298" spans="1:30" ht="14.1" customHeight="1">
      <c r="A298" s="147">
        <v>298</v>
      </c>
      <c r="B298" s="165" t="s">
        <v>454</v>
      </c>
      <c r="C298" s="165" t="s">
        <v>455</v>
      </c>
      <c r="D298" s="570" t="s">
        <v>102</v>
      </c>
      <c r="E298" s="178" t="s">
        <v>286</v>
      </c>
      <c r="F298" s="178" t="s">
        <v>270</v>
      </c>
      <c r="G298" s="128" t="s">
        <v>373</v>
      </c>
      <c r="H298" s="178" t="s">
        <v>104</v>
      </c>
      <c r="I298" s="565">
        <v>21.84</v>
      </c>
      <c r="J298" s="482">
        <v>1</v>
      </c>
      <c r="K298" s="482">
        <v>1</v>
      </c>
      <c r="L298" s="482">
        <v>1</v>
      </c>
      <c r="M298" s="482">
        <v>1</v>
      </c>
      <c r="N298" s="168">
        <v>255</v>
      </c>
      <c r="O298" s="168"/>
      <c r="P298" s="168"/>
      <c r="Q298" s="168"/>
      <c r="R298" s="169" t="e">
        <f t="shared" si="43"/>
        <v>#DIV/0!</v>
      </c>
      <c r="S298" s="169">
        <f t="shared" si="44"/>
        <v>0</v>
      </c>
      <c r="T298" s="169">
        <f t="shared" si="45"/>
        <v>0</v>
      </c>
      <c r="U298" s="169">
        <f t="shared" si="46"/>
        <v>0</v>
      </c>
      <c r="V298" s="519"/>
      <c r="W298" s="170">
        <f>IF(N298="nio",0,IF(N298&gt;0,VLOOKUP(G298,'3-Productie normen'!A:N,VLOOKUP(N298,'3-Productie normen'!Q:R,2,FALSE),FALSE)))</f>
        <v>0</v>
      </c>
      <c r="X298" s="170">
        <f t="shared" si="40"/>
        <v>0</v>
      </c>
      <c r="Y298" s="170">
        <f t="shared" si="41"/>
        <v>0</v>
      </c>
      <c r="Z298" s="170">
        <f t="shared" si="47"/>
        <v>0</v>
      </c>
      <c r="AA298" s="171">
        <f>VLOOKUP(G298,'3-Productie normen'!A:N,10,FALSE)</f>
        <v>1</v>
      </c>
      <c r="AB298" s="171"/>
      <c r="AD298" s="131">
        <f t="shared" si="42"/>
        <v>5569.2</v>
      </c>
    </row>
    <row r="299" spans="1:30" ht="14.1" customHeight="1">
      <c r="A299" s="147">
        <v>299</v>
      </c>
      <c r="B299" s="165" t="s">
        <v>454</v>
      </c>
      <c r="C299" s="165" t="s">
        <v>455</v>
      </c>
      <c r="D299" s="570" t="s">
        <v>102</v>
      </c>
      <c r="E299" s="178" t="s">
        <v>288</v>
      </c>
      <c r="F299" s="178" t="s">
        <v>293</v>
      </c>
      <c r="G299" s="128" t="s">
        <v>578</v>
      </c>
      <c r="H299" s="178" t="s">
        <v>104</v>
      </c>
      <c r="I299" s="565">
        <v>3.83</v>
      </c>
      <c r="J299" s="482">
        <v>1</v>
      </c>
      <c r="K299" s="482">
        <v>1</v>
      </c>
      <c r="L299" s="482">
        <v>1</v>
      </c>
      <c r="M299" s="482">
        <v>1</v>
      </c>
      <c r="N299" s="168">
        <v>12</v>
      </c>
      <c r="O299" s="168"/>
      <c r="P299" s="168"/>
      <c r="Q299" s="168"/>
      <c r="R299" s="169" t="e">
        <f t="shared" si="43"/>
        <v>#DIV/0!</v>
      </c>
      <c r="S299" s="169">
        <f t="shared" si="44"/>
        <v>0</v>
      </c>
      <c r="T299" s="169">
        <f t="shared" si="45"/>
        <v>0</v>
      </c>
      <c r="U299" s="169">
        <f t="shared" si="46"/>
        <v>0</v>
      </c>
      <c r="V299" s="519"/>
      <c r="W299" s="170">
        <f>IF(N299="nio",0,IF(N299&gt;0,VLOOKUP(G299,'3-Productie normen'!A:N,VLOOKUP(N299,'3-Productie normen'!Q:R,2,FALSE),FALSE)))</f>
        <v>0</v>
      </c>
      <c r="X299" s="170">
        <f t="shared" si="40"/>
        <v>0</v>
      </c>
      <c r="Y299" s="170">
        <f t="shared" si="41"/>
        <v>0</v>
      </c>
      <c r="Z299" s="170">
        <f t="shared" si="47"/>
        <v>0</v>
      </c>
      <c r="AA299" s="171">
        <f>VLOOKUP(G299,'3-Productie normen'!A:N,10,FALSE)</f>
        <v>4</v>
      </c>
      <c r="AB299" s="171"/>
      <c r="AD299" s="131">
        <f t="shared" si="42"/>
        <v>45.96</v>
      </c>
    </row>
    <row r="300" spans="1:30" ht="14.1" customHeight="1">
      <c r="A300" s="147">
        <v>300</v>
      </c>
      <c r="B300" s="165" t="s">
        <v>454</v>
      </c>
      <c r="C300" s="165" t="s">
        <v>455</v>
      </c>
      <c r="D300" s="570" t="s">
        <v>102</v>
      </c>
      <c r="E300" s="178" t="s">
        <v>289</v>
      </c>
      <c r="F300" s="178" t="s">
        <v>279</v>
      </c>
      <c r="G300" s="525" t="s">
        <v>583</v>
      </c>
      <c r="H300" s="178" t="s">
        <v>104</v>
      </c>
      <c r="I300" s="565">
        <v>10.97</v>
      </c>
      <c r="J300" s="482">
        <v>1</v>
      </c>
      <c r="K300" s="482">
        <v>1</v>
      </c>
      <c r="L300" s="482">
        <v>1</v>
      </c>
      <c r="M300" s="482">
        <v>1</v>
      </c>
      <c r="N300" s="168">
        <v>255</v>
      </c>
      <c r="O300" s="168"/>
      <c r="P300" s="168"/>
      <c r="Q300" s="168"/>
      <c r="R300" s="169" t="e">
        <f t="shared" si="43"/>
        <v>#DIV/0!</v>
      </c>
      <c r="S300" s="169">
        <f t="shared" si="44"/>
        <v>0</v>
      </c>
      <c r="T300" s="169">
        <f t="shared" si="45"/>
        <v>0</v>
      </c>
      <c r="U300" s="169">
        <f t="shared" si="46"/>
        <v>0</v>
      </c>
      <c r="V300" s="519"/>
      <c r="W300" s="170">
        <f>IF(N300="nio",0,IF(N300&gt;0,VLOOKUP(G300,'3-Productie normen'!A:N,VLOOKUP(N300,'3-Productie normen'!Q:R,2,FALSE),FALSE)))</f>
        <v>0</v>
      </c>
      <c r="X300" s="170">
        <f t="shared" si="40"/>
        <v>0</v>
      </c>
      <c r="Y300" s="170">
        <f t="shared" si="41"/>
        <v>0</v>
      </c>
      <c r="Z300" s="170">
        <f t="shared" si="47"/>
        <v>0</v>
      </c>
      <c r="AA300" s="171">
        <f>VLOOKUP(G300,'3-Productie normen'!A:N,10,FALSE)</f>
        <v>4</v>
      </c>
      <c r="AB300" s="171"/>
      <c r="AD300" s="131">
        <f t="shared" si="42"/>
        <v>2797.3500000000004</v>
      </c>
    </row>
    <row r="301" spans="1:30" ht="14.1" customHeight="1">
      <c r="A301" s="147">
        <v>301</v>
      </c>
      <c r="B301" s="165" t="s">
        <v>459</v>
      </c>
      <c r="C301" s="165" t="s">
        <v>460</v>
      </c>
      <c r="D301" s="570" t="s">
        <v>102</v>
      </c>
      <c r="E301" s="178" t="s">
        <v>247</v>
      </c>
      <c r="F301" s="178" t="s">
        <v>103</v>
      </c>
      <c r="G301" s="525" t="s">
        <v>583</v>
      </c>
      <c r="H301" s="178" t="s">
        <v>104</v>
      </c>
      <c r="I301" s="565">
        <v>7.04</v>
      </c>
      <c r="J301" s="482">
        <v>1</v>
      </c>
      <c r="K301" s="482">
        <v>1</v>
      </c>
      <c r="L301" s="482">
        <v>1</v>
      </c>
      <c r="M301" s="482">
        <v>1</v>
      </c>
      <c r="N301" s="168">
        <v>255</v>
      </c>
      <c r="O301" s="168"/>
      <c r="P301" s="168"/>
      <c r="Q301" s="168"/>
      <c r="R301" s="169" t="e">
        <f t="shared" si="43"/>
        <v>#DIV/0!</v>
      </c>
      <c r="S301" s="169">
        <f t="shared" si="44"/>
        <v>0</v>
      </c>
      <c r="T301" s="169">
        <f t="shared" si="45"/>
        <v>0</v>
      </c>
      <c r="U301" s="169">
        <f t="shared" si="46"/>
        <v>0</v>
      </c>
      <c r="V301" s="519"/>
      <c r="W301" s="170">
        <f>IF(N301="nio",0,IF(N301&gt;0,VLOOKUP(G301,'3-Productie normen'!A:N,VLOOKUP(N301,'3-Productie normen'!Q:R,2,FALSE),FALSE)))</f>
        <v>0</v>
      </c>
      <c r="X301" s="170">
        <f t="shared" si="40"/>
        <v>0</v>
      </c>
      <c r="Y301" s="170">
        <f t="shared" si="41"/>
        <v>0</v>
      </c>
      <c r="Z301" s="170">
        <f t="shared" si="47"/>
        <v>0</v>
      </c>
      <c r="AA301" s="171">
        <f>VLOOKUP(G301,'3-Productie normen'!A:N,10,FALSE)</f>
        <v>4</v>
      </c>
      <c r="AB301" s="171"/>
      <c r="AD301" s="131">
        <f t="shared" si="42"/>
        <v>1795.2</v>
      </c>
    </row>
    <row r="302" spans="1:30" ht="14.1" customHeight="1">
      <c r="A302" s="147">
        <v>302</v>
      </c>
      <c r="B302" s="165" t="s">
        <v>459</v>
      </c>
      <c r="C302" s="165" t="s">
        <v>460</v>
      </c>
      <c r="D302" s="570" t="s">
        <v>102</v>
      </c>
      <c r="E302" s="178" t="s">
        <v>248</v>
      </c>
      <c r="F302" s="178" t="s">
        <v>249</v>
      </c>
      <c r="G302" s="165" t="s">
        <v>579</v>
      </c>
      <c r="H302" s="178" t="s">
        <v>104</v>
      </c>
      <c r="I302" s="565">
        <v>245.67</v>
      </c>
      <c r="J302" s="482">
        <v>1</v>
      </c>
      <c r="K302" s="482">
        <v>1</v>
      </c>
      <c r="L302" s="482">
        <v>1</v>
      </c>
      <c r="M302" s="482">
        <v>1</v>
      </c>
      <c r="N302" s="168">
        <v>255</v>
      </c>
      <c r="O302" s="168"/>
      <c r="P302" s="168"/>
      <c r="Q302" s="168"/>
      <c r="R302" s="169" t="e">
        <f t="shared" si="43"/>
        <v>#DIV/0!</v>
      </c>
      <c r="S302" s="169">
        <f t="shared" si="44"/>
        <v>0</v>
      </c>
      <c r="T302" s="169">
        <f t="shared" si="45"/>
        <v>0</v>
      </c>
      <c r="U302" s="169">
        <f t="shared" si="46"/>
        <v>0</v>
      </c>
      <c r="V302" s="519"/>
      <c r="W302" s="170">
        <f>IF(N302="nio",0,IF(N302&gt;0,VLOOKUP(G302,'3-Productie normen'!A:N,VLOOKUP(N302,'3-Productie normen'!Q:R,2,FALSE),FALSE)))</f>
        <v>0</v>
      </c>
      <c r="X302" s="170">
        <f t="shared" si="40"/>
        <v>0</v>
      </c>
      <c r="Y302" s="170">
        <f t="shared" si="41"/>
        <v>0</v>
      </c>
      <c r="Z302" s="170">
        <f t="shared" si="47"/>
        <v>0</v>
      </c>
      <c r="AA302" s="171">
        <f>VLOOKUP(G302,'3-Productie normen'!A:N,10,FALSE)</f>
        <v>4</v>
      </c>
      <c r="AB302" s="171"/>
      <c r="AD302" s="131">
        <f t="shared" si="42"/>
        <v>62645.85</v>
      </c>
    </row>
    <row r="303" spans="1:30" ht="14.1" customHeight="1">
      <c r="A303" s="147">
        <v>303</v>
      </c>
      <c r="B303" s="165" t="s">
        <v>459</v>
      </c>
      <c r="C303" s="165" t="s">
        <v>460</v>
      </c>
      <c r="D303" s="570" t="s">
        <v>102</v>
      </c>
      <c r="E303" s="178" t="s">
        <v>250</v>
      </c>
      <c r="F303" s="178" t="s">
        <v>251</v>
      </c>
      <c r="G303" s="165" t="s">
        <v>373</v>
      </c>
      <c r="H303" s="178" t="s">
        <v>104</v>
      </c>
      <c r="I303" s="565">
        <v>25.24</v>
      </c>
      <c r="J303" s="482">
        <v>1</v>
      </c>
      <c r="K303" s="482">
        <v>1</v>
      </c>
      <c r="L303" s="482">
        <v>1</v>
      </c>
      <c r="M303" s="482">
        <v>1</v>
      </c>
      <c r="N303" s="168">
        <v>255</v>
      </c>
      <c r="O303" s="168"/>
      <c r="P303" s="168"/>
      <c r="Q303" s="168"/>
      <c r="R303" s="169" t="e">
        <f t="shared" si="43"/>
        <v>#DIV/0!</v>
      </c>
      <c r="S303" s="169">
        <f t="shared" si="44"/>
        <v>0</v>
      </c>
      <c r="T303" s="169">
        <f t="shared" si="45"/>
        <v>0</v>
      </c>
      <c r="U303" s="169">
        <f t="shared" si="46"/>
        <v>0</v>
      </c>
      <c r="V303" s="519"/>
      <c r="W303" s="170">
        <f>IF(N303="nio",0,IF(N303&gt;0,VLOOKUP(G303,'3-Productie normen'!A:N,VLOOKUP(N303,'3-Productie normen'!Q:R,2,FALSE),FALSE)))</f>
        <v>0</v>
      </c>
      <c r="X303" s="170">
        <f t="shared" si="40"/>
        <v>0</v>
      </c>
      <c r="Y303" s="170">
        <f t="shared" si="41"/>
        <v>0</v>
      </c>
      <c r="Z303" s="170">
        <f t="shared" si="47"/>
        <v>0</v>
      </c>
      <c r="AA303" s="171">
        <f>VLOOKUP(G303,'3-Productie normen'!A:N,10,FALSE)</f>
        <v>1</v>
      </c>
      <c r="AB303" s="171"/>
      <c r="AD303" s="131">
        <f t="shared" si="42"/>
        <v>6436.2</v>
      </c>
    </row>
    <row r="304" spans="1:30" ht="14.1" customHeight="1">
      <c r="A304" s="147">
        <v>304</v>
      </c>
      <c r="B304" s="165" t="s">
        <v>459</v>
      </c>
      <c r="C304" s="165" t="s">
        <v>460</v>
      </c>
      <c r="D304" s="570" t="s">
        <v>102</v>
      </c>
      <c r="E304" s="178" t="s">
        <v>252</v>
      </c>
      <c r="F304" s="178" t="s">
        <v>270</v>
      </c>
      <c r="G304" s="128" t="s">
        <v>373</v>
      </c>
      <c r="H304" s="178" t="s">
        <v>104</v>
      </c>
      <c r="I304" s="565">
        <v>9.69</v>
      </c>
      <c r="J304" s="482">
        <v>1</v>
      </c>
      <c r="K304" s="482">
        <v>1</v>
      </c>
      <c r="L304" s="482">
        <v>1</v>
      </c>
      <c r="M304" s="482">
        <v>1</v>
      </c>
      <c r="N304" s="168">
        <v>255</v>
      </c>
      <c r="O304" s="168"/>
      <c r="P304" s="168"/>
      <c r="Q304" s="168"/>
      <c r="R304" s="169" t="e">
        <f t="shared" si="43"/>
        <v>#DIV/0!</v>
      </c>
      <c r="S304" s="169">
        <f t="shared" si="44"/>
        <v>0</v>
      </c>
      <c r="T304" s="169">
        <f t="shared" si="45"/>
        <v>0</v>
      </c>
      <c r="U304" s="169">
        <f t="shared" si="46"/>
        <v>0</v>
      </c>
      <c r="V304" s="519"/>
      <c r="W304" s="170">
        <f>IF(N304="nio",0,IF(N304&gt;0,VLOOKUP(G304,'3-Productie normen'!A:N,VLOOKUP(N304,'3-Productie normen'!Q:R,2,FALSE),FALSE)))</f>
        <v>0</v>
      </c>
      <c r="X304" s="170">
        <f t="shared" si="40"/>
        <v>0</v>
      </c>
      <c r="Y304" s="170">
        <f t="shared" si="41"/>
        <v>0</v>
      </c>
      <c r="Z304" s="170">
        <f t="shared" si="47"/>
        <v>0</v>
      </c>
      <c r="AA304" s="171">
        <f>VLOOKUP(G304,'3-Productie normen'!A:N,10,FALSE)</f>
        <v>1</v>
      </c>
      <c r="AB304" s="171"/>
      <c r="AD304" s="131">
        <f t="shared" si="42"/>
        <v>2470.9499999999998</v>
      </c>
    </row>
    <row r="305" spans="1:30" ht="14.1" customHeight="1">
      <c r="A305" s="147">
        <v>305</v>
      </c>
      <c r="B305" s="165" t="s">
        <v>459</v>
      </c>
      <c r="C305" s="165" t="s">
        <v>460</v>
      </c>
      <c r="D305" s="570" t="s">
        <v>102</v>
      </c>
      <c r="E305" s="178" t="s">
        <v>254</v>
      </c>
      <c r="F305" s="178" t="s">
        <v>270</v>
      </c>
      <c r="G305" s="128" t="s">
        <v>373</v>
      </c>
      <c r="H305" s="178" t="s">
        <v>104</v>
      </c>
      <c r="I305" s="565">
        <v>9.69</v>
      </c>
      <c r="J305" s="482">
        <v>1</v>
      </c>
      <c r="K305" s="482">
        <v>1</v>
      </c>
      <c r="L305" s="482">
        <v>1</v>
      </c>
      <c r="M305" s="482">
        <v>1</v>
      </c>
      <c r="N305" s="168">
        <v>255</v>
      </c>
      <c r="O305" s="168"/>
      <c r="P305" s="168"/>
      <c r="Q305" s="168"/>
      <c r="R305" s="169" t="e">
        <f t="shared" si="43"/>
        <v>#DIV/0!</v>
      </c>
      <c r="S305" s="169">
        <f t="shared" si="44"/>
        <v>0</v>
      </c>
      <c r="T305" s="169">
        <f t="shared" si="45"/>
        <v>0</v>
      </c>
      <c r="U305" s="169">
        <f t="shared" si="46"/>
        <v>0</v>
      </c>
      <c r="V305" s="519"/>
      <c r="W305" s="170">
        <f>IF(N305="nio",0,IF(N305&gt;0,VLOOKUP(G305,'3-Productie normen'!A:N,VLOOKUP(N305,'3-Productie normen'!Q:R,2,FALSE),FALSE)))</f>
        <v>0</v>
      </c>
      <c r="X305" s="170">
        <f t="shared" si="40"/>
        <v>0</v>
      </c>
      <c r="Y305" s="170">
        <f t="shared" si="41"/>
        <v>0</v>
      </c>
      <c r="Z305" s="170">
        <f t="shared" si="47"/>
        <v>0</v>
      </c>
      <c r="AA305" s="171">
        <f>VLOOKUP(G305,'3-Productie normen'!A:N,10,FALSE)</f>
        <v>1</v>
      </c>
      <c r="AB305" s="171"/>
      <c r="AD305" s="131">
        <f t="shared" si="42"/>
        <v>2470.9499999999998</v>
      </c>
    </row>
    <row r="306" spans="1:30" ht="14.1" customHeight="1">
      <c r="A306" s="147">
        <v>306</v>
      </c>
      <c r="B306" s="165" t="s">
        <v>459</v>
      </c>
      <c r="C306" s="165" t="s">
        <v>460</v>
      </c>
      <c r="D306" s="570" t="s">
        <v>102</v>
      </c>
      <c r="E306" s="178" t="s">
        <v>256</v>
      </c>
      <c r="F306" s="178" t="s">
        <v>270</v>
      </c>
      <c r="G306" s="128" t="s">
        <v>373</v>
      </c>
      <c r="H306" s="178" t="s">
        <v>104</v>
      </c>
      <c r="I306" s="565">
        <v>9.69</v>
      </c>
      <c r="J306" s="482">
        <v>1</v>
      </c>
      <c r="K306" s="482">
        <v>1</v>
      </c>
      <c r="L306" s="482">
        <v>1</v>
      </c>
      <c r="M306" s="482">
        <v>1</v>
      </c>
      <c r="N306" s="168">
        <v>255</v>
      </c>
      <c r="O306" s="168"/>
      <c r="P306" s="168"/>
      <c r="Q306" s="168"/>
      <c r="R306" s="169" t="e">
        <f t="shared" si="43"/>
        <v>#DIV/0!</v>
      </c>
      <c r="S306" s="169">
        <f t="shared" si="44"/>
        <v>0</v>
      </c>
      <c r="T306" s="169">
        <f t="shared" si="45"/>
        <v>0</v>
      </c>
      <c r="U306" s="169">
        <f t="shared" si="46"/>
        <v>0</v>
      </c>
      <c r="V306" s="519"/>
      <c r="W306" s="170">
        <f>IF(N306="nio",0,IF(N306&gt;0,VLOOKUP(G306,'3-Productie normen'!A:N,VLOOKUP(N306,'3-Productie normen'!Q:R,2,FALSE),FALSE)))</f>
        <v>0</v>
      </c>
      <c r="X306" s="170">
        <f t="shared" si="40"/>
        <v>0</v>
      </c>
      <c r="Y306" s="170">
        <f t="shared" si="41"/>
        <v>0</v>
      </c>
      <c r="Z306" s="170">
        <f t="shared" si="47"/>
        <v>0</v>
      </c>
      <c r="AA306" s="171">
        <f>VLOOKUP(G306,'3-Productie normen'!A:N,10,FALSE)</f>
        <v>1</v>
      </c>
      <c r="AB306" s="171"/>
      <c r="AD306" s="131">
        <f t="shared" si="42"/>
        <v>2470.9499999999998</v>
      </c>
    </row>
    <row r="307" spans="1:30" ht="14.1" customHeight="1">
      <c r="A307" s="147">
        <v>307</v>
      </c>
      <c r="B307" s="165" t="s">
        <v>459</v>
      </c>
      <c r="C307" s="165" t="s">
        <v>460</v>
      </c>
      <c r="D307" s="570" t="s">
        <v>102</v>
      </c>
      <c r="E307" s="178" t="s">
        <v>258</v>
      </c>
      <c r="F307" s="178" t="s">
        <v>257</v>
      </c>
      <c r="G307" s="167" t="s">
        <v>17</v>
      </c>
      <c r="H307" s="178" t="s">
        <v>105</v>
      </c>
      <c r="I307" s="565">
        <v>4.62</v>
      </c>
      <c r="J307" s="482">
        <v>1</v>
      </c>
      <c r="K307" s="482">
        <v>1</v>
      </c>
      <c r="L307" s="482">
        <v>1</v>
      </c>
      <c r="M307" s="482">
        <v>1</v>
      </c>
      <c r="N307" s="168">
        <v>255</v>
      </c>
      <c r="O307" s="168"/>
      <c r="P307" s="168"/>
      <c r="Q307" s="168"/>
      <c r="R307" s="169" t="e">
        <f t="shared" si="43"/>
        <v>#DIV/0!</v>
      </c>
      <c r="S307" s="169">
        <f t="shared" si="44"/>
        <v>0</v>
      </c>
      <c r="T307" s="169">
        <f t="shared" si="45"/>
        <v>0</v>
      </c>
      <c r="U307" s="169">
        <f t="shared" si="46"/>
        <v>0</v>
      </c>
      <c r="V307" s="519"/>
      <c r="W307" s="170">
        <f>IF(N307="nio",0,IF(N307&gt;0,VLOOKUP(G307,'3-Productie normen'!A:N,VLOOKUP(N307,'3-Productie normen'!Q:R,2,FALSE),FALSE)))</f>
        <v>0</v>
      </c>
      <c r="X307" s="170">
        <f t="shared" si="40"/>
        <v>0</v>
      </c>
      <c r="Y307" s="170">
        <f t="shared" si="41"/>
        <v>0</v>
      </c>
      <c r="Z307" s="170">
        <f t="shared" si="47"/>
        <v>0</v>
      </c>
      <c r="AA307" s="171">
        <f>VLOOKUP(G307,'3-Productie normen'!A:N,10,FALSE)</f>
        <v>3</v>
      </c>
      <c r="AB307" s="171"/>
      <c r="AD307" s="131">
        <f t="shared" si="42"/>
        <v>1178.1000000000001</v>
      </c>
    </row>
    <row r="308" spans="1:30" ht="14.1" customHeight="1">
      <c r="A308" s="147">
        <v>308</v>
      </c>
      <c r="B308" s="165" t="s">
        <v>459</v>
      </c>
      <c r="C308" s="165" t="s">
        <v>460</v>
      </c>
      <c r="D308" s="570" t="s">
        <v>102</v>
      </c>
      <c r="E308" s="178" t="s">
        <v>259</v>
      </c>
      <c r="F308" s="178" t="s">
        <v>293</v>
      </c>
      <c r="G308" s="128" t="s">
        <v>578</v>
      </c>
      <c r="H308" s="178" t="s">
        <v>104</v>
      </c>
      <c r="I308" s="565">
        <v>6.62</v>
      </c>
      <c r="J308" s="482">
        <v>1</v>
      </c>
      <c r="K308" s="482">
        <v>1</v>
      </c>
      <c r="L308" s="482">
        <v>1</v>
      </c>
      <c r="M308" s="482">
        <v>1</v>
      </c>
      <c r="N308" s="168">
        <v>12</v>
      </c>
      <c r="O308" s="168"/>
      <c r="P308" s="168"/>
      <c r="Q308" s="168"/>
      <c r="R308" s="169" t="e">
        <f t="shared" si="43"/>
        <v>#DIV/0!</v>
      </c>
      <c r="S308" s="169">
        <f t="shared" si="44"/>
        <v>0</v>
      </c>
      <c r="T308" s="169">
        <f t="shared" si="45"/>
        <v>0</v>
      </c>
      <c r="U308" s="169">
        <f t="shared" si="46"/>
        <v>0</v>
      </c>
      <c r="V308" s="519"/>
      <c r="W308" s="170">
        <f>IF(N308="nio",0,IF(N308&gt;0,VLOOKUP(G308,'3-Productie normen'!A:N,VLOOKUP(N308,'3-Productie normen'!Q:R,2,FALSE),FALSE)))</f>
        <v>0</v>
      </c>
      <c r="X308" s="170">
        <f t="shared" si="40"/>
        <v>0</v>
      </c>
      <c r="Y308" s="170">
        <f t="shared" si="41"/>
        <v>0</v>
      </c>
      <c r="Z308" s="170">
        <f t="shared" si="47"/>
        <v>0</v>
      </c>
      <c r="AA308" s="171">
        <f>VLOOKUP(G308,'3-Productie normen'!A:N,10,FALSE)</f>
        <v>4</v>
      </c>
      <c r="AB308" s="171"/>
      <c r="AD308" s="131">
        <f t="shared" si="42"/>
        <v>79.44</v>
      </c>
    </row>
    <row r="309" spans="1:30" ht="14.1" customHeight="1">
      <c r="A309" s="147">
        <v>309</v>
      </c>
      <c r="B309" s="165" t="s">
        <v>459</v>
      </c>
      <c r="C309" s="165" t="s">
        <v>460</v>
      </c>
      <c r="D309" s="570" t="s">
        <v>102</v>
      </c>
      <c r="E309" s="178" t="s">
        <v>261</v>
      </c>
      <c r="F309" s="178" t="s">
        <v>294</v>
      </c>
      <c r="G309" s="177" t="s">
        <v>17</v>
      </c>
      <c r="H309" s="178" t="s">
        <v>104</v>
      </c>
      <c r="I309" s="565">
        <v>3.75</v>
      </c>
      <c r="J309" s="482">
        <v>1</v>
      </c>
      <c r="K309" s="482">
        <v>1</v>
      </c>
      <c r="L309" s="482">
        <v>1</v>
      </c>
      <c r="M309" s="482">
        <v>1</v>
      </c>
      <c r="N309" s="168">
        <v>255</v>
      </c>
      <c r="O309" s="168"/>
      <c r="P309" s="168"/>
      <c r="Q309" s="168"/>
      <c r="R309" s="169" t="e">
        <f t="shared" si="43"/>
        <v>#DIV/0!</v>
      </c>
      <c r="S309" s="169">
        <f t="shared" si="44"/>
        <v>0</v>
      </c>
      <c r="T309" s="169">
        <f t="shared" si="45"/>
        <v>0</v>
      </c>
      <c r="U309" s="169">
        <f t="shared" si="46"/>
        <v>0</v>
      </c>
      <c r="V309" s="519"/>
      <c r="W309" s="170">
        <f>IF(N309="nio",0,IF(N309&gt;0,VLOOKUP(G309,'3-Productie normen'!A:N,VLOOKUP(N309,'3-Productie normen'!Q:R,2,FALSE),FALSE)))</f>
        <v>0</v>
      </c>
      <c r="X309" s="170">
        <f t="shared" si="40"/>
        <v>0</v>
      </c>
      <c r="Y309" s="170">
        <f t="shared" si="41"/>
        <v>0</v>
      </c>
      <c r="Z309" s="170">
        <f t="shared" si="47"/>
        <v>0</v>
      </c>
      <c r="AA309" s="171">
        <f>VLOOKUP(G309,'3-Productie normen'!A:N,10,FALSE)</f>
        <v>3</v>
      </c>
      <c r="AB309" s="171"/>
      <c r="AD309" s="131">
        <f t="shared" si="42"/>
        <v>956.25</v>
      </c>
    </row>
    <row r="310" spans="1:30" ht="14.1" customHeight="1">
      <c r="A310" s="147">
        <v>310</v>
      </c>
      <c r="B310" s="165" t="s">
        <v>459</v>
      </c>
      <c r="C310" s="165" t="s">
        <v>460</v>
      </c>
      <c r="D310" s="570" t="s">
        <v>102</v>
      </c>
      <c r="E310" s="178" t="s">
        <v>263</v>
      </c>
      <c r="F310" s="178" t="s">
        <v>257</v>
      </c>
      <c r="G310" s="167" t="s">
        <v>17</v>
      </c>
      <c r="H310" s="178" t="s">
        <v>105</v>
      </c>
      <c r="I310" s="565">
        <v>1.1299999999999999</v>
      </c>
      <c r="J310" s="482">
        <v>1</v>
      </c>
      <c r="K310" s="482">
        <v>1</v>
      </c>
      <c r="L310" s="482">
        <v>1</v>
      </c>
      <c r="M310" s="482">
        <v>1</v>
      </c>
      <c r="N310" s="168">
        <v>255</v>
      </c>
      <c r="O310" s="168"/>
      <c r="P310" s="168"/>
      <c r="Q310" s="168"/>
      <c r="R310" s="169" t="e">
        <f t="shared" si="43"/>
        <v>#DIV/0!</v>
      </c>
      <c r="S310" s="169">
        <f t="shared" si="44"/>
        <v>0</v>
      </c>
      <c r="T310" s="169">
        <f t="shared" si="45"/>
        <v>0</v>
      </c>
      <c r="U310" s="169">
        <f t="shared" si="46"/>
        <v>0</v>
      </c>
      <c r="V310" s="519"/>
      <c r="W310" s="170">
        <f>IF(N310="nio",0,IF(N310&gt;0,VLOOKUP(G310,'3-Productie normen'!A:N,VLOOKUP(N310,'3-Productie normen'!Q:R,2,FALSE),FALSE)))</f>
        <v>0</v>
      </c>
      <c r="X310" s="170">
        <f t="shared" si="40"/>
        <v>0</v>
      </c>
      <c r="Y310" s="170">
        <f t="shared" si="41"/>
        <v>0</v>
      </c>
      <c r="Z310" s="170">
        <f t="shared" si="47"/>
        <v>0</v>
      </c>
      <c r="AA310" s="171">
        <f>VLOOKUP(G310,'3-Productie normen'!A:N,10,FALSE)</f>
        <v>3</v>
      </c>
      <c r="AB310" s="171"/>
      <c r="AD310" s="131">
        <f t="shared" si="42"/>
        <v>288.14999999999998</v>
      </c>
    </row>
    <row r="311" spans="1:30" ht="14.1" customHeight="1">
      <c r="A311" s="147">
        <v>311</v>
      </c>
      <c r="B311" s="165" t="s">
        <v>459</v>
      </c>
      <c r="C311" s="165" t="s">
        <v>460</v>
      </c>
      <c r="D311" s="570" t="s">
        <v>102</v>
      </c>
      <c r="E311" s="178" t="s">
        <v>265</v>
      </c>
      <c r="F311" s="178" t="s">
        <v>257</v>
      </c>
      <c r="G311" s="167" t="s">
        <v>17</v>
      </c>
      <c r="H311" s="178" t="s">
        <v>105</v>
      </c>
      <c r="I311" s="565">
        <v>1.1299999999999999</v>
      </c>
      <c r="J311" s="482">
        <v>1</v>
      </c>
      <c r="K311" s="482">
        <v>1</v>
      </c>
      <c r="L311" s="482">
        <v>1</v>
      </c>
      <c r="M311" s="482">
        <v>1</v>
      </c>
      <c r="N311" s="168">
        <v>255</v>
      </c>
      <c r="O311" s="168"/>
      <c r="P311" s="168"/>
      <c r="Q311" s="168"/>
      <c r="R311" s="169" t="e">
        <f t="shared" si="43"/>
        <v>#DIV/0!</v>
      </c>
      <c r="S311" s="169">
        <f t="shared" si="44"/>
        <v>0</v>
      </c>
      <c r="T311" s="169">
        <f t="shared" si="45"/>
        <v>0</v>
      </c>
      <c r="U311" s="169">
        <f t="shared" si="46"/>
        <v>0</v>
      </c>
      <c r="V311" s="519"/>
      <c r="W311" s="170">
        <f>IF(N311="nio",0,IF(N311&gt;0,VLOOKUP(G311,'3-Productie normen'!A:N,VLOOKUP(N311,'3-Productie normen'!Q:R,2,FALSE),FALSE)))</f>
        <v>0</v>
      </c>
      <c r="X311" s="170">
        <f t="shared" si="40"/>
        <v>0</v>
      </c>
      <c r="Y311" s="170">
        <f t="shared" si="41"/>
        <v>0</v>
      </c>
      <c r="Z311" s="170">
        <f t="shared" si="47"/>
        <v>0</v>
      </c>
      <c r="AA311" s="171">
        <f>VLOOKUP(G311,'3-Productie normen'!A:N,10,FALSE)</f>
        <v>3</v>
      </c>
      <c r="AB311" s="171"/>
      <c r="AD311" s="131">
        <f t="shared" si="42"/>
        <v>288.14999999999998</v>
      </c>
    </row>
    <row r="312" spans="1:30" ht="14.1" customHeight="1">
      <c r="A312" s="147">
        <v>312</v>
      </c>
      <c r="B312" s="165" t="s">
        <v>459</v>
      </c>
      <c r="C312" s="165" t="s">
        <v>460</v>
      </c>
      <c r="D312" s="570" t="s">
        <v>102</v>
      </c>
      <c r="E312" s="178" t="s">
        <v>461</v>
      </c>
      <c r="F312" s="178" t="s">
        <v>302</v>
      </c>
      <c r="G312" s="165" t="s">
        <v>199</v>
      </c>
      <c r="H312" s="178" t="s">
        <v>105</v>
      </c>
      <c r="I312" s="565">
        <v>0.92</v>
      </c>
      <c r="J312" s="482">
        <v>1</v>
      </c>
      <c r="K312" s="482">
        <v>1</v>
      </c>
      <c r="L312" s="482">
        <v>1</v>
      </c>
      <c r="M312" s="482">
        <v>1</v>
      </c>
      <c r="N312" s="168" t="s">
        <v>199</v>
      </c>
      <c r="O312" s="168"/>
      <c r="P312" s="168"/>
      <c r="Q312" s="168"/>
      <c r="R312" s="169">
        <f t="shared" si="43"/>
        <v>0</v>
      </c>
      <c r="S312" s="169">
        <f t="shared" si="44"/>
        <v>0</v>
      </c>
      <c r="T312" s="169">
        <f t="shared" si="45"/>
        <v>0</v>
      </c>
      <c r="U312" s="169">
        <f t="shared" si="46"/>
        <v>0</v>
      </c>
      <c r="V312" s="519"/>
      <c r="W312" s="170">
        <f>IF(N312="nio",0,IF(N312&gt;0,VLOOKUP(G312,'3-Productie normen'!A:N,VLOOKUP(N312,'3-Productie normen'!Q:R,2,FALSE),FALSE)))</f>
        <v>0</v>
      </c>
      <c r="X312" s="170">
        <f t="shared" si="40"/>
        <v>0</v>
      </c>
      <c r="Y312" s="170">
        <f t="shared" si="41"/>
        <v>0</v>
      </c>
      <c r="Z312" s="170">
        <f t="shared" si="47"/>
        <v>0</v>
      </c>
      <c r="AA312" s="171">
        <f>VLOOKUP(G312,'3-Productie normen'!A:N,10,FALSE)</f>
        <v>0</v>
      </c>
      <c r="AB312" s="171"/>
      <c r="AD312" s="131">
        <f t="shared" si="42"/>
        <v>0</v>
      </c>
    </row>
    <row r="313" spans="1:30" ht="14.1" customHeight="1">
      <c r="A313" s="147">
        <v>313</v>
      </c>
      <c r="B313" s="165" t="s">
        <v>459</v>
      </c>
      <c r="C313" s="165" t="s">
        <v>460</v>
      </c>
      <c r="D313" s="570" t="s">
        <v>102</v>
      </c>
      <c r="E313" s="178" t="s">
        <v>462</v>
      </c>
      <c r="F313" s="178" t="s">
        <v>302</v>
      </c>
      <c r="G313" s="165" t="s">
        <v>199</v>
      </c>
      <c r="H313" s="178" t="s">
        <v>104</v>
      </c>
      <c r="I313" s="565">
        <v>1</v>
      </c>
      <c r="J313" s="482">
        <v>1</v>
      </c>
      <c r="K313" s="482">
        <v>1</v>
      </c>
      <c r="L313" s="482">
        <v>1</v>
      </c>
      <c r="M313" s="482">
        <v>1</v>
      </c>
      <c r="N313" s="168" t="s">
        <v>199</v>
      </c>
      <c r="O313" s="168"/>
      <c r="P313" s="168"/>
      <c r="Q313" s="168"/>
      <c r="R313" s="169">
        <f t="shared" si="43"/>
        <v>0</v>
      </c>
      <c r="S313" s="169">
        <f t="shared" si="44"/>
        <v>0</v>
      </c>
      <c r="T313" s="169">
        <f t="shared" si="45"/>
        <v>0</v>
      </c>
      <c r="U313" s="169">
        <f t="shared" si="46"/>
        <v>0</v>
      </c>
      <c r="V313" s="519"/>
      <c r="W313" s="170">
        <f>IF(N313="nio",0,IF(N313&gt;0,VLOOKUP(G313,'3-Productie normen'!A:N,VLOOKUP(N313,'3-Productie normen'!Q:R,2,FALSE),FALSE)))</f>
        <v>0</v>
      </c>
      <c r="X313" s="170">
        <f t="shared" si="40"/>
        <v>0</v>
      </c>
      <c r="Y313" s="170">
        <f t="shared" si="41"/>
        <v>0</v>
      </c>
      <c r="Z313" s="170">
        <f t="shared" si="47"/>
        <v>0</v>
      </c>
      <c r="AA313" s="171">
        <f>VLOOKUP(G313,'3-Productie normen'!A:N,10,FALSE)</f>
        <v>0</v>
      </c>
      <c r="AB313" s="171"/>
      <c r="AD313" s="131">
        <f t="shared" si="42"/>
        <v>0</v>
      </c>
    </row>
    <row r="314" spans="1:30" ht="14.1" customHeight="1">
      <c r="A314" s="147">
        <v>314</v>
      </c>
      <c r="B314" s="165" t="s">
        <v>459</v>
      </c>
      <c r="C314" s="165" t="s">
        <v>460</v>
      </c>
      <c r="D314" s="570" t="s">
        <v>102</v>
      </c>
      <c r="E314" s="178" t="s">
        <v>286</v>
      </c>
      <c r="F314" s="178" t="s">
        <v>280</v>
      </c>
      <c r="G314" s="167" t="s">
        <v>107</v>
      </c>
      <c r="H314" s="178" t="s">
        <v>104</v>
      </c>
      <c r="I314" s="565">
        <v>38.450000000000003</v>
      </c>
      <c r="J314" s="482">
        <v>1</v>
      </c>
      <c r="K314" s="482">
        <v>1</v>
      </c>
      <c r="L314" s="482">
        <v>1</v>
      </c>
      <c r="M314" s="482">
        <v>1</v>
      </c>
      <c r="N314" s="168">
        <v>255</v>
      </c>
      <c r="O314" s="168"/>
      <c r="P314" s="168"/>
      <c r="Q314" s="168"/>
      <c r="R314" s="169" t="e">
        <f t="shared" si="43"/>
        <v>#DIV/0!</v>
      </c>
      <c r="S314" s="169">
        <f t="shared" si="44"/>
        <v>0</v>
      </c>
      <c r="T314" s="169">
        <f t="shared" si="45"/>
        <v>0</v>
      </c>
      <c r="U314" s="169">
        <f t="shared" si="46"/>
        <v>0</v>
      </c>
      <c r="V314" s="519"/>
      <c r="W314" s="170">
        <f>IF(N314="nio",0,IF(N314&gt;0,VLOOKUP(G314,'3-Productie normen'!A:N,VLOOKUP(N314,'3-Productie normen'!Q:R,2,FALSE),FALSE)))</f>
        <v>0</v>
      </c>
      <c r="X314" s="170">
        <f t="shared" si="40"/>
        <v>0</v>
      </c>
      <c r="Y314" s="170">
        <f t="shared" si="41"/>
        <v>0</v>
      </c>
      <c r="Z314" s="170">
        <f t="shared" si="47"/>
        <v>0</v>
      </c>
      <c r="AA314" s="171">
        <f>VLOOKUP(G314,'3-Productie normen'!A:N,10,FALSE)</f>
        <v>2</v>
      </c>
      <c r="AB314" s="171"/>
      <c r="AD314" s="131">
        <f t="shared" si="42"/>
        <v>9804.75</v>
      </c>
    </row>
    <row r="315" spans="1:30" ht="14.1" customHeight="1">
      <c r="A315" s="147">
        <v>315</v>
      </c>
      <c r="B315" s="165" t="s">
        <v>459</v>
      </c>
      <c r="C315" s="165" t="s">
        <v>460</v>
      </c>
      <c r="D315" s="570" t="s">
        <v>102</v>
      </c>
      <c r="E315" s="178" t="s">
        <v>288</v>
      </c>
      <c r="F315" s="178" t="s">
        <v>281</v>
      </c>
      <c r="G315" s="167" t="s">
        <v>373</v>
      </c>
      <c r="H315" s="178" t="s">
        <v>272</v>
      </c>
      <c r="I315" s="565">
        <v>40.479999999999997</v>
      </c>
      <c r="J315" s="482">
        <v>1</v>
      </c>
      <c r="K315" s="482">
        <v>1</v>
      </c>
      <c r="L315" s="482">
        <v>1</v>
      </c>
      <c r="M315" s="482">
        <v>1</v>
      </c>
      <c r="N315" s="168">
        <v>255</v>
      </c>
      <c r="O315" s="168"/>
      <c r="P315" s="168"/>
      <c r="Q315" s="168"/>
      <c r="R315" s="169" t="e">
        <f t="shared" si="43"/>
        <v>#DIV/0!</v>
      </c>
      <c r="S315" s="169">
        <f t="shared" si="44"/>
        <v>0</v>
      </c>
      <c r="T315" s="169">
        <f t="shared" si="45"/>
        <v>0</v>
      </c>
      <c r="U315" s="169">
        <f t="shared" si="46"/>
        <v>0</v>
      </c>
      <c r="V315" s="519"/>
      <c r="W315" s="170">
        <f>IF(N315="nio",0,IF(N315&gt;0,VLOOKUP(G315,'3-Productie normen'!A:N,VLOOKUP(N315,'3-Productie normen'!Q:R,2,FALSE),FALSE)))</f>
        <v>0</v>
      </c>
      <c r="X315" s="170">
        <f t="shared" si="40"/>
        <v>0</v>
      </c>
      <c r="Y315" s="170">
        <f t="shared" si="41"/>
        <v>0</v>
      </c>
      <c r="Z315" s="170">
        <f t="shared" si="47"/>
        <v>0</v>
      </c>
      <c r="AA315" s="171">
        <f>VLOOKUP(G315,'3-Productie normen'!A:N,10,FALSE)</f>
        <v>1</v>
      </c>
      <c r="AB315" s="171"/>
      <c r="AD315" s="131">
        <f t="shared" si="42"/>
        <v>10322.4</v>
      </c>
    </row>
    <row r="316" spans="1:30" ht="14.1" customHeight="1">
      <c r="A316" s="147">
        <v>316</v>
      </c>
      <c r="B316" s="165" t="s">
        <v>463</v>
      </c>
      <c r="C316" s="165" t="s">
        <v>464</v>
      </c>
      <c r="D316" s="570" t="s">
        <v>102</v>
      </c>
      <c r="E316" s="178" t="s">
        <v>247</v>
      </c>
      <c r="F316" s="545" t="s">
        <v>351</v>
      </c>
      <c r="G316" s="165" t="s">
        <v>579</v>
      </c>
      <c r="H316" s="178" t="s">
        <v>104</v>
      </c>
      <c r="I316" s="565">
        <v>131.5</v>
      </c>
      <c r="J316" s="482">
        <v>1</v>
      </c>
      <c r="K316" s="482">
        <v>1</v>
      </c>
      <c r="L316" s="482">
        <v>1</v>
      </c>
      <c r="M316" s="482">
        <v>1</v>
      </c>
      <c r="N316" s="168">
        <v>255</v>
      </c>
      <c r="O316" s="168"/>
      <c r="P316" s="168"/>
      <c r="Q316" s="168"/>
      <c r="R316" s="169" t="e">
        <f t="shared" si="43"/>
        <v>#DIV/0!</v>
      </c>
      <c r="S316" s="169">
        <f t="shared" si="44"/>
        <v>0</v>
      </c>
      <c r="T316" s="169">
        <f t="shared" si="45"/>
        <v>0</v>
      </c>
      <c r="U316" s="169">
        <f t="shared" si="46"/>
        <v>0</v>
      </c>
      <c r="V316" s="519"/>
      <c r="W316" s="170">
        <f>IF(N316="nio",0,IF(N316&gt;0,VLOOKUP(G316,'3-Productie normen'!A:N,VLOOKUP(N316,'3-Productie normen'!Q:R,2,FALSE),FALSE)))</f>
        <v>0</v>
      </c>
      <c r="X316" s="170">
        <f t="shared" si="40"/>
        <v>0</v>
      </c>
      <c r="Y316" s="170">
        <f t="shared" si="41"/>
        <v>0</v>
      </c>
      <c r="Z316" s="170">
        <f t="shared" si="47"/>
        <v>0</v>
      </c>
      <c r="AA316" s="171">
        <f>VLOOKUP(G316,'3-Productie normen'!A:N,10,FALSE)</f>
        <v>4</v>
      </c>
      <c r="AB316" s="171"/>
      <c r="AD316" s="131">
        <f t="shared" si="42"/>
        <v>33532.5</v>
      </c>
    </row>
    <row r="317" spans="1:30" ht="14.1" customHeight="1">
      <c r="A317" s="147">
        <v>317</v>
      </c>
      <c r="B317" s="165" t="s">
        <v>463</v>
      </c>
      <c r="C317" s="165" t="s">
        <v>464</v>
      </c>
      <c r="D317" s="570" t="s">
        <v>102</v>
      </c>
      <c r="E317" s="178" t="s">
        <v>248</v>
      </c>
      <c r="F317" s="178" t="s">
        <v>251</v>
      </c>
      <c r="G317" s="167" t="s">
        <v>373</v>
      </c>
      <c r="H317" s="178" t="s">
        <v>104</v>
      </c>
      <c r="I317" s="565">
        <v>25.87</v>
      </c>
      <c r="J317" s="482">
        <v>1</v>
      </c>
      <c r="K317" s="482">
        <v>1</v>
      </c>
      <c r="L317" s="482">
        <v>1</v>
      </c>
      <c r="M317" s="482">
        <v>1</v>
      </c>
      <c r="N317" s="168">
        <v>255</v>
      </c>
      <c r="O317" s="168"/>
      <c r="P317" s="168"/>
      <c r="Q317" s="168"/>
      <c r="R317" s="169" t="e">
        <f t="shared" si="43"/>
        <v>#DIV/0!</v>
      </c>
      <c r="S317" s="169">
        <f t="shared" si="44"/>
        <v>0</v>
      </c>
      <c r="T317" s="169">
        <f t="shared" si="45"/>
        <v>0</v>
      </c>
      <c r="U317" s="169">
        <f t="shared" si="46"/>
        <v>0</v>
      </c>
      <c r="V317" s="519"/>
      <c r="W317" s="170">
        <f>IF(N317="nio",0,IF(N317&gt;0,VLOOKUP(G317,'3-Productie normen'!A:N,VLOOKUP(N317,'3-Productie normen'!Q:R,2,FALSE),FALSE)))</f>
        <v>0</v>
      </c>
      <c r="X317" s="170">
        <f t="shared" si="40"/>
        <v>0</v>
      </c>
      <c r="Y317" s="170">
        <f t="shared" si="41"/>
        <v>0</v>
      </c>
      <c r="Z317" s="170">
        <f t="shared" si="47"/>
        <v>0</v>
      </c>
      <c r="AA317" s="171">
        <f>VLOOKUP(G317,'3-Productie normen'!A:N,10,FALSE)</f>
        <v>1</v>
      </c>
      <c r="AB317" s="171"/>
      <c r="AD317" s="131">
        <f t="shared" si="42"/>
        <v>6596.85</v>
      </c>
    </row>
    <row r="318" spans="1:30" ht="14.1" customHeight="1">
      <c r="A318" s="147">
        <v>318</v>
      </c>
      <c r="B318" s="165" t="s">
        <v>463</v>
      </c>
      <c r="C318" s="165" t="s">
        <v>464</v>
      </c>
      <c r="D318" s="570" t="s">
        <v>102</v>
      </c>
      <c r="E318" s="178" t="s">
        <v>250</v>
      </c>
      <c r="F318" s="178" t="s">
        <v>281</v>
      </c>
      <c r="G318" s="167" t="s">
        <v>373</v>
      </c>
      <c r="H318" s="178" t="s">
        <v>272</v>
      </c>
      <c r="I318" s="565">
        <v>36.979999999999997</v>
      </c>
      <c r="J318" s="482">
        <v>1</v>
      </c>
      <c r="K318" s="482">
        <v>1</v>
      </c>
      <c r="L318" s="482">
        <v>1</v>
      </c>
      <c r="M318" s="482">
        <v>1</v>
      </c>
      <c r="N318" s="168">
        <v>255</v>
      </c>
      <c r="O318" s="168"/>
      <c r="P318" s="168"/>
      <c r="Q318" s="168"/>
      <c r="R318" s="169" t="e">
        <f t="shared" si="43"/>
        <v>#DIV/0!</v>
      </c>
      <c r="S318" s="169">
        <f t="shared" si="44"/>
        <v>0</v>
      </c>
      <c r="T318" s="169">
        <f t="shared" si="45"/>
        <v>0</v>
      </c>
      <c r="U318" s="169">
        <f t="shared" si="46"/>
        <v>0</v>
      </c>
      <c r="V318" s="519"/>
      <c r="W318" s="170">
        <f>IF(N318="nio",0,IF(N318&gt;0,VLOOKUP(G318,'3-Productie normen'!A:N,VLOOKUP(N318,'3-Productie normen'!Q:R,2,FALSE),FALSE)))</f>
        <v>0</v>
      </c>
      <c r="X318" s="170">
        <f t="shared" si="40"/>
        <v>0</v>
      </c>
      <c r="Y318" s="170">
        <f t="shared" si="41"/>
        <v>0</v>
      </c>
      <c r="Z318" s="170">
        <f t="shared" si="47"/>
        <v>0</v>
      </c>
      <c r="AA318" s="171">
        <f>VLOOKUP(G318,'3-Productie normen'!A:N,10,FALSE)</f>
        <v>1</v>
      </c>
      <c r="AB318" s="171"/>
      <c r="AD318" s="131">
        <f t="shared" si="42"/>
        <v>9429.9</v>
      </c>
    </row>
    <row r="319" spans="1:30" ht="14.1" customHeight="1">
      <c r="A319" s="147">
        <v>319</v>
      </c>
      <c r="B319" s="165" t="s">
        <v>463</v>
      </c>
      <c r="C319" s="165" t="s">
        <v>464</v>
      </c>
      <c r="D319" s="570" t="s">
        <v>102</v>
      </c>
      <c r="E319" s="178" t="s">
        <v>252</v>
      </c>
      <c r="F319" s="178" t="s">
        <v>280</v>
      </c>
      <c r="G319" s="167" t="s">
        <v>107</v>
      </c>
      <c r="H319" s="178" t="s">
        <v>104</v>
      </c>
      <c r="I319" s="565">
        <v>37.58</v>
      </c>
      <c r="J319" s="482">
        <v>1</v>
      </c>
      <c r="K319" s="482">
        <v>1</v>
      </c>
      <c r="L319" s="482">
        <v>1</v>
      </c>
      <c r="M319" s="482">
        <v>1</v>
      </c>
      <c r="N319" s="168">
        <v>255</v>
      </c>
      <c r="O319" s="168"/>
      <c r="P319" s="168"/>
      <c r="Q319" s="168"/>
      <c r="R319" s="169" t="e">
        <f t="shared" si="43"/>
        <v>#DIV/0!</v>
      </c>
      <c r="S319" s="169">
        <f t="shared" si="44"/>
        <v>0</v>
      </c>
      <c r="T319" s="169">
        <f t="shared" si="45"/>
        <v>0</v>
      </c>
      <c r="U319" s="169">
        <f t="shared" si="46"/>
        <v>0</v>
      </c>
      <c r="V319" s="519"/>
      <c r="W319" s="170">
        <f>IF(N319="nio",0,IF(N319&gt;0,VLOOKUP(G319,'3-Productie normen'!A:N,VLOOKUP(N319,'3-Productie normen'!Q:R,2,FALSE),FALSE)))</f>
        <v>0</v>
      </c>
      <c r="X319" s="170">
        <f t="shared" si="40"/>
        <v>0</v>
      </c>
      <c r="Y319" s="170">
        <f t="shared" si="41"/>
        <v>0</v>
      </c>
      <c r="Z319" s="170">
        <f t="shared" si="47"/>
        <v>0</v>
      </c>
      <c r="AA319" s="171">
        <f>VLOOKUP(G319,'3-Productie normen'!A:N,10,FALSE)</f>
        <v>2</v>
      </c>
      <c r="AB319" s="171"/>
      <c r="AD319" s="131">
        <f t="shared" si="42"/>
        <v>9582.9</v>
      </c>
    </row>
    <row r="320" spans="1:30" ht="14.1" customHeight="1">
      <c r="A320" s="147">
        <v>320</v>
      </c>
      <c r="B320" s="165" t="s">
        <v>463</v>
      </c>
      <c r="C320" s="165" t="s">
        <v>464</v>
      </c>
      <c r="D320" s="570" t="s">
        <v>102</v>
      </c>
      <c r="E320" s="178" t="s">
        <v>254</v>
      </c>
      <c r="F320" s="178" t="s">
        <v>262</v>
      </c>
      <c r="G320" s="128" t="s">
        <v>373</v>
      </c>
      <c r="H320" s="178" t="s">
        <v>104</v>
      </c>
      <c r="I320" s="565">
        <v>12.44</v>
      </c>
      <c r="J320" s="482">
        <v>1</v>
      </c>
      <c r="K320" s="482">
        <v>1</v>
      </c>
      <c r="L320" s="482">
        <v>1</v>
      </c>
      <c r="M320" s="482">
        <v>1</v>
      </c>
      <c r="N320" s="168">
        <v>255</v>
      </c>
      <c r="O320" s="168"/>
      <c r="P320" s="168"/>
      <c r="Q320" s="168"/>
      <c r="R320" s="169" t="e">
        <f t="shared" si="43"/>
        <v>#DIV/0!</v>
      </c>
      <c r="S320" s="169">
        <f t="shared" si="44"/>
        <v>0</v>
      </c>
      <c r="T320" s="169">
        <f t="shared" si="45"/>
        <v>0</v>
      </c>
      <c r="U320" s="169">
        <f t="shared" si="46"/>
        <v>0</v>
      </c>
      <c r="V320" s="519"/>
      <c r="W320" s="170">
        <f>IF(N320="nio",0,IF(N320&gt;0,VLOOKUP(G320,'3-Productie normen'!A:N,VLOOKUP(N320,'3-Productie normen'!Q:R,2,FALSE),FALSE)))</f>
        <v>0</v>
      </c>
      <c r="X320" s="170">
        <f t="shared" si="40"/>
        <v>0</v>
      </c>
      <c r="Y320" s="170">
        <f t="shared" si="41"/>
        <v>0</v>
      </c>
      <c r="Z320" s="170">
        <f t="shared" si="47"/>
        <v>0</v>
      </c>
      <c r="AA320" s="171">
        <f>VLOOKUP(G320,'3-Productie normen'!A:N,10,FALSE)</f>
        <v>1</v>
      </c>
      <c r="AB320" s="171"/>
      <c r="AD320" s="131">
        <f t="shared" si="42"/>
        <v>3172.2</v>
      </c>
    </row>
    <row r="321" spans="1:30" ht="14.1" customHeight="1">
      <c r="A321" s="147">
        <v>321</v>
      </c>
      <c r="B321" s="165" t="s">
        <v>463</v>
      </c>
      <c r="C321" s="165" t="s">
        <v>464</v>
      </c>
      <c r="D321" s="570" t="s">
        <v>102</v>
      </c>
      <c r="E321" s="178" t="s">
        <v>256</v>
      </c>
      <c r="F321" s="178" t="s">
        <v>264</v>
      </c>
      <c r="G321" s="128" t="s">
        <v>373</v>
      </c>
      <c r="H321" s="178" t="s">
        <v>104</v>
      </c>
      <c r="I321" s="565">
        <v>12.44</v>
      </c>
      <c r="J321" s="482">
        <v>1</v>
      </c>
      <c r="K321" s="482">
        <v>1</v>
      </c>
      <c r="L321" s="482">
        <v>1</v>
      </c>
      <c r="M321" s="482">
        <v>1</v>
      </c>
      <c r="N321" s="168">
        <v>255</v>
      </c>
      <c r="O321" s="168"/>
      <c r="P321" s="168"/>
      <c r="Q321" s="168"/>
      <c r="R321" s="169" t="e">
        <f t="shared" si="43"/>
        <v>#DIV/0!</v>
      </c>
      <c r="S321" s="169">
        <f t="shared" si="44"/>
        <v>0</v>
      </c>
      <c r="T321" s="169">
        <f t="shared" si="45"/>
        <v>0</v>
      </c>
      <c r="U321" s="169">
        <f t="shared" si="46"/>
        <v>0</v>
      </c>
      <c r="V321" s="519"/>
      <c r="W321" s="170">
        <f>IF(N321="nio",0,IF(N321&gt;0,VLOOKUP(G321,'3-Productie normen'!A:N,VLOOKUP(N321,'3-Productie normen'!Q:R,2,FALSE),FALSE)))</f>
        <v>0</v>
      </c>
      <c r="X321" s="170">
        <f t="shared" si="40"/>
        <v>0</v>
      </c>
      <c r="Y321" s="170">
        <f t="shared" si="41"/>
        <v>0</v>
      </c>
      <c r="Z321" s="170">
        <f t="shared" si="47"/>
        <v>0</v>
      </c>
      <c r="AA321" s="171">
        <f>VLOOKUP(G321,'3-Productie normen'!A:N,10,FALSE)</f>
        <v>1</v>
      </c>
      <c r="AB321" s="171"/>
      <c r="AD321" s="131">
        <f t="shared" si="42"/>
        <v>3172.2</v>
      </c>
    </row>
    <row r="322" spans="1:30" ht="14.1" customHeight="1">
      <c r="A322" s="147">
        <v>322</v>
      </c>
      <c r="B322" s="165" t="s">
        <v>463</v>
      </c>
      <c r="C322" s="165" t="s">
        <v>464</v>
      </c>
      <c r="D322" s="570" t="s">
        <v>102</v>
      </c>
      <c r="E322" s="178" t="s">
        <v>258</v>
      </c>
      <c r="F322" s="178" t="s">
        <v>266</v>
      </c>
      <c r="G322" s="128" t="s">
        <v>373</v>
      </c>
      <c r="H322" s="178" t="s">
        <v>104</v>
      </c>
      <c r="I322" s="565">
        <v>12.44</v>
      </c>
      <c r="J322" s="482">
        <v>1</v>
      </c>
      <c r="K322" s="482">
        <v>1</v>
      </c>
      <c r="L322" s="482">
        <v>1</v>
      </c>
      <c r="M322" s="482">
        <v>1</v>
      </c>
      <c r="N322" s="168">
        <v>255</v>
      </c>
      <c r="O322" s="168"/>
      <c r="P322" s="168"/>
      <c r="Q322" s="168"/>
      <c r="R322" s="169" t="e">
        <f t="shared" si="43"/>
        <v>#DIV/0!</v>
      </c>
      <c r="S322" s="169">
        <f t="shared" si="44"/>
        <v>0</v>
      </c>
      <c r="T322" s="169">
        <f t="shared" si="45"/>
        <v>0</v>
      </c>
      <c r="U322" s="169">
        <f t="shared" si="46"/>
        <v>0</v>
      </c>
      <c r="V322" s="519"/>
      <c r="W322" s="170">
        <f>IF(N322="nio",0,IF(N322&gt;0,VLOOKUP(G322,'3-Productie normen'!A:N,VLOOKUP(N322,'3-Productie normen'!Q:R,2,FALSE),FALSE)))</f>
        <v>0</v>
      </c>
      <c r="X322" s="170">
        <f t="shared" si="40"/>
        <v>0</v>
      </c>
      <c r="Y322" s="170">
        <f t="shared" si="41"/>
        <v>0</v>
      </c>
      <c r="Z322" s="170">
        <f t="shared" si="47"/>
        <v>0</v>
      </c>
      <c r="AA322" s="171">
        <f>VLOOKUP(G322,'3-Productie normen'!A:N,10,FALSE)</f>
        <v>1</v>
      </c>
      <c r="AB322" s="171"/>
      <c r="AD322" s="131">
        <f t="shared" si="42"/>
        <v>3172.2</v>
      </c>
    </row>
    <row r="323" spans="1:30" ht="14.1" customHeight="1">
      <c r="A323" s="147">
        <v>323</v>
      </c>
      <c r="B323" s="165" t="s">
        <v>463</v>
      </c>
      <c r="C323" s="165" t="s">
        <v>464</v>
      </c>
      <c r="D323" s="570" t="s">
        <v>102</v>
      </c>
      <c r="E323" s="178" t="s">
        <v>259</v>
      </c>
      <c r="F323" s="178" t="s">
        <v>293</v>
      </c>
      <c r="G323" s="128" t="s">
        <v>578</v>
      </c>
      <c r="H323" s="178" t="s">
        <v>104</v>
      </c>
      <c r="I323" s="565">
        <v>9.1</v>
      </c>
      <c r="J323" s="482">
        <v>1</v>
      </c>
      <c r="K323" s="482">
        <v>1</v>
      </c>
      <c r="L323" s="482">
        <v>1</v>
      </c>
      <c r="M323" s="482">
        <v>1</v>
      </c>
      <c r="N323" s="168">
        <v>12</v>
      </c>
      <c r="O323" s="168"/>
      <c r="P323" s="168"/>
      <c r="Q323" s="168"/>
      <c r="R323" s="169" t="e">
        <f t="shared" si="43"/>
        <v>#DIV/0!</v>
      </c>
      <c r="S323" s="169">
        <f t="shared" si="44"/>
        <v>0</v>
      </c>
      <c r="T323" s="169">
        <f t="shared" si="45"/>
        <v>0</v>
      </c>
      <c r="U323" s="169">
        <f t="shared" si="46"/>
        <v>0</v>
      </c>
      <c r="V323" s="519"/>
      <c r="W323" s="170">
        <f>IF(N323="nio",0,IF(N323&gt;0,VLOOKUP(G323,'3-Productie normen'!A:N,VLOOKUP(N323,'3-Productie normen'!Q:R,2,FALSE),FALSE)))</f>
        <v>0</v>
      </c>
      <c r="X323" s="170">
        <f t="shared" si="40"/>
        <v>0</v>
      </c>
      <c r="Y323" s="170">
        <f t="shared" si="41"/>
        <v>0</v>
      </c>
      <c r="Z323" s="170">
        <f t="shared" si="47"/>
        <v>0</v>
      </c>
      <c r="AA323" s="171">
        <f>VLOOKUP(G323,'3-Productie normen'!A:N,10,FALSE)</f>
        <v>4</v>
      </c>
      <c r="AB323" s="171"/>
      <c r="AD323" s="131">
        <f t="shared" si="42"/>
        <v>109.19999999999999</v>
      </c>
    </row>
    <row r="324" spans="1:30" ht="14.1" customHeight="1">
      <c r="A324" s="147">
        <v>324</v>
      </c>
      <c r="B324" s="165" t="s">
        <v>465</v>
      </c>
      <c r="C324" s="165" t="s">
        <v>626</v>
      </c>
      <c r="D324" s="570" t="s">
        <v>102</v>
      </c>
      <c r="E324" s="178"/>
      <c r="F324" s="178" t="s">
        <v>609</v>
      </c>
      <c r="G324" s="525" t="s">
        <v>199</v>
      </c>
      <c r="H324" s="178" t="s">
        <v>415</v>
      </c>
      <c r="I324" s="565">
        <v>5.51</v>
      </c>
      <c r="J324" s="482">
        <v>1</v>
      </c>
      <c r="K324" s="482">
        <v>1</v>
      </c>
      <c r="L324" s="482">
        <v>1</v>
      </c>
      <c r="M324" s="482">
        <v>1</v>
      </c>
      <c r="N324" s="168" t="s">
        <v>199</v>
      </c>
      <c r="O324" s="168"/>
      <c r="P324" s="168"/>
      <c r="Q324" s="168"/>
      <c r="R324" s="169">
        <f t="shared" si="43"/>
        <v>0</v>
      </c>
      <c r="S324" s="169">
        <f t="shared" si="44"/>
        <v>0</v>
      </c>
      <c r="T324" s="169">
        <f t="shared" si="45"/>
        <v>0</v>
      </c>
      <c r="U324" s="169">
        <f t="shared" si="46"/>
        <v>0</v>
      </c>
      <c r="V324" s="519"/>
      <c r="W324" s="170">
        <f>IF(N324="nio",0,IF(N324&gt;0,VLOOKUP(G324,'3-Productie normen'!A:N,VLOOKUP(N324,'3-Productie normen'!Q:R,2,FALSE),FALSE)))</f>
        <v>0</v>
      </c>
      <c r="X324" s="170">
        <f t="shared" si="40"/>
        <v>0</v>
      </c>
      <c r="Y324" s="170">
        <f t="shared" si="41"/>
        <v>0</v>
      </c>
      <c r="Z324" s="170">
        <f t="shared" si="47"/>
        <v>0</v>
      </c>
      <c r="AA324" s="171">
        <f>VLOOKUP(G324,'3-Productie normen'!A:N,10,FALSE)</f>
        <v>0</v>
      </c>
      <c r="AB324" s="171"/>
      <c r="AD324" s="131">
        <f t="shared" si="42"/>
        <v>0</v>
      </c>
    </row>
    <row r="325" spans="1:30" ht="14.1" customHeight="1">
      <c r="A325" s="147"/>
      <c r="B325" s="165" t="s">
        <v>465</v>
      </c>
      <c r="C325" s="165" t="s">
        <v>626</v>
      </c>
      <c r="D325" s="570" t="s">
        <v>102</v>
      </c>
      <c r="E325" s="178"/>
      <c r="F325" s="178" t="s">
        <v>287</v>
      </c>
      <c r="G325" s="603" t="s">
        <v>17</v>
      </c>
      <c r="H325" s="178" t="s">
        <v>105</v>
      </c>
      <c r="I325" s="565">
        <v>7.6</v>
      </c>
      <c r="J325" s="482">
        <v>1</v>
      </c>
      <c r="K325" s="482"/>
      <c r="L325" s="482"/>
      <c r="M325" s="482"/>
      <c r="N325" s="168">
        <v>255</v>
      </c>
      <c r="O325" s="168"/>
      <c r="P325" s="168"/>
      <c r="Q325" s="168"/>
      <c r="R325" s="169" t="e">
        <f t="shared" si="43"/>
        <v>#DIV/0!</v>
      </c>
      <c r="S325" s="169"/>
      <c r="T325" s="169"/>
      <c r="U325" s="169"/>
      <c r="V325" s="519"/>
      <c r="W325" s="170">
        <f>IF(N325="nio",0,IF(N325&gt;0,VLOOKUP(G325,'3-Productie normen'!A:N,VLOOKUP(N325,'3-Productie normen'!Q:R,2,FALSE),FALSE)))</f>
        <v>0</v>
      </c>
      <c r="X325" s="170"/>
      <c r="Y325" s="170"/>
      <c r="Z325" s="170"/>
      <c r="AA325" s="171">
        <f>VLOOKUP(G325,'3-Productie normen'!A:N,10,FALSE)</f>
        <v>3</v>
      </c>
      <c r="AB325" s="171"/>
      <c r="AD325" s="131">
        <f t="shared" ref="AD325" si="48">SUM(N325:P325)*I325</f>
        <v>1938</v>
      </c>
    </row>
    <row r="326" spans="1:30" ht="14.1" customHeight="1">
      <c r="A326" s="147">
        <v>325</v>
      </c>
      <c r="B326" s="165" t="s">
        <v>465</v>
      </c>
      <c r="C326" s="165" t="s">
        <v>626</v>
      </c>
      <c r="D326" s="570" t="s">
        <v>102</v>
      </c>
      <c r="E326" s="178"/>
      <c r="F326" s="178" t="s">
        <v>610</v>
      </c>
      <c r="G326" s="165" t="s">
        <v>579</v>
      </c>
      <c r="H326" s="178" t="s">
        <v>415</v>
      </c>
      <c r="I326" s="565">
        <v>102.24</v>
      </c>
      <c r="J326" s="482">
        <v>1</v>
      </c>
      <c r="K326" s="482">
        <v>1</v>
      </c>
      <c r="L326" s="482">
        <v>1</v>
      </c>
      <c r="M326" s="482">
        <v>1</v>
      </c>
      <c r="N326" s="168">
        <v>255</v>
      </c>
      <c r="O326" s="168"/>
      <c r="P326" s="168"/>
      <c r="Q326" s="168"/>
      <c r="R326" s="169" t="e">
        <f t="shared" si="43"/>
        <v>#DIV/0!</v>
      </c>
      <c r="S326" s="169">
        <f t="shared" si="44"/>
        <v>0</v>
      </c>
      <c r="T326" s="169">
        <f t="shared" si="45"/>
        <v>0</v>
      </c>
      <c r="U326" s="169">
        <f t="shared" si="46"/>
        <v>0</v>
      </c>
      <c r="V326" s="519"/>
      <c r="W326" s="170">
        <f>IF(N326="nio",0,IF(N326&gt;0,VLOOKUP(G326,'3-Productie normen'!A:N,VLOOKUP(N326,'3-Productie normen'!Q:R,2,FALSE),FALSE)))</f>
        <v>0</v>
      </c>
      <c r="X326" s="170">
        <f t="shared" si="40"/>
        <v>0</v>
      </c>
      <c r="Y326" s="170">
        <f t="shared" si="41"/>
        <v>0</v>
      </c>
      <c r="Z326" s="170">
        <f t="shared" si="47"/>
        <v>0</v>
      </c>
      <c r="AA326" s="171">
        <f>VLOOKUP(G326,'3-Productie normen'!A:N,10,FALSE)</f>
        <v>4</v>
      </c>
      <c r="AB326" s="171"/>
      <c r="AD326" s="131">
        <f t="shared" si="42"/>
        <v>26071.199999999997</v>
      </c>
    </row>
    <row r="327" spans="1:30" ht="14.1" customHeight="1">
      <c r="A327" s="147">
        <v>326</v>
      </c>
      <c r="B327" s="165" t="s">
        <v>465</v>
      </c>
      <c r="C327" s="165" t="s">
        <v>626</v>
      </c>
      <c r="D327" s="570" t="s">
        <v>102</v>
      </c>
      <c r="E327" s="178"/>
      <c r="F327" s="178" t="s">
        <v>270</v>
      </c>
      <c r="G327" s="165" t="s">
        <v>373</v>
      </c>
      <c r="H327" s="178" t="s">
        <v>272</v>
      </c>
      <c r="I327" s="565">
        <v>15.5</v>
      </c>
      <c r="J327" s="482">
        <v>1</v>
      </c>
      <c r="K327" s="482">
        <v>1</v>
      </c>
      <c r="L327" s="482">
        <v>1</v>
      </c>
      <c r="M327" s="482">
        <v>1</v>
      </c>
      <c r="N327" s="168">
        <v>255</v>
      </c>
      <c r="O327" s="168"/>
      <c r="P327" s="168"/>
      <c r="Q327" s="168"/>
      <c r="R327" s="169" t="e">
        <f t="shared" si="43"/>
        <v>#DIV/0!</v>
      </c>
      <c r="S327" s="169">
        <f t="shared" si="44"/>
        <v>0</v>
      </c>
      <c r="T327" s="169">
        <f t="shared" si="45"/>
        <v>0</v>
      </c>
      <c r="U327" s="169">
        <f t="shared" si="46"/>
        <v>0</v>
      </c>
      <c r="V327" s="519"/>
      <c r="W327" s="170">
        <f>IF(N327="nio",0,IF(N327&gt;0,VLOOKUP(G327,'3-Productie normen'!A:N,VLOOKUP(N327,'3-Productie normen'!Q:R,2,FALSE),FALSE)))</f>
        <v>0</v>
      </c>
      <c r="X327" s="170">
        <f t="shared" si="40"/>
        <v>0</v>
      </c>
      <c r="Y327" s="170">
        <f t="shared" si="41"/>
        <v>0</v>
      </c>
      <c r="Z327" s="170">
        <f t="shared" si="47"/>
        <v>0</v>
      </c>
      <c r="AA327" s="171">
        <f>VLOOKUP(G327,'3-Productie normen'!A:N,10,FALSE)</f>
        <v>1</v>
      </c>
      <c r="AB327" s="171"/>
      <c r="AD327" s="131">
        <f t="shared" si="42"/>
        <v>3952.5</v>
      </c>
    </row>
    <row r="328" spans="1:30" ht="14.1" customHeight="1">
      <c r="A328" s="147">
        <v>327</v>
      </c>
      <c r="B328" s="165" t="s">
        <v>465</v>
      </c>
      <c r="C328" s="165" t="s">
        <v>626</v>
      </c>
      <c r="D328" s="570" t="s">
        <v>102</v>
      </c>
      <c r="E328" s="178"/>
      <c r="F328" s="178" t="s">
        <v>270</v>
      </c>
      <c r="G328" s="167" t="s">
        <v>373</v>
      </c>
      <c r="H328" s="178" t="s">
        <v>272</v>
      </c>
      <c r="I328" s="565">
        <v>13.5</v>
      </c>
      <c r="J328" s="482">
        <v>1</v>
      </c>
      <c r="K328" s="482">
        <v>1</v>
      </c>
      <c r="L328" s="482">
        <v>1</v>
      </c>
      <c r="M328" s="482">
        <v>1</v>
      </c>
      <c r="N328" s="168">
        <v>255</v>
      </c>
      <c r="O328" s="168"/>
      <c r="P328" s="168"/>
      <c r="Q328" s="168"/>
      <c r="R328" s="169" t="e">
        <f t="shared" si="43"/>
        <v>#DIV/0!</v>
      </c>
      <c r="S328" s="169">
        <f t="shared" si="44"/>
        <v>0</v>
      </c>
      <c r="T328" s="169">
        <f t="shared" si="45"/>
        <v>0</v>
      </c>
      <c r="U328" s="169">
        <f t="shared" si="46"/>
        <v>0</v>
      </c>
      <c r="V328" s="519"/>
      <c r="W328" s="170">
        <f>IF(N328="nio",0,IF(N328&gt;0,VLOOKUP(G328,'3-Productie normen'!A:N,VLOOKUP(N328,'3-Productie normen'!Q:R,2,FALSE),FALSE)))</f>
        <v>0</v>
      </c>
      <c r="X328" s="170">
        <f t="shared" si="40"/>
        <v>0</v>
      </c>
      <c r="Y328" s="170">
        <f t="shared" si="41"/>
        <v>0</v>
      </c>
      <c r="Z328" s="170">
        <f t="shared" si="47"/>
        <v>0</v>
      </c>
      <c r="AA328" s="171">
        <f>VLOOKUP(G328,'3-Productie normen'!A:N,10,FALSE)</f>
        <v>1</v>
      </c>
      <c r="AB328" s="171"/>
      <c r="AD328" s="131">
        <f t="shared" si="42"/>
        <v>3442.5</v>
      </c>
    </row>
    <row r="329" spans="1:30" ht="14.1" customHeight="1">
      <c r="A329" s="147">
        <v>328</v>
      </c>
      <c r="B329" s="165" t="s">
        <v>465</v>
      </c>
      <c r="C329" s="165" t="s">
        <v>626</v>
      </c>
      <c r="D329" s="570" t="s">
        <v>102</v>
      </c>
      <c r="E329" s="178"/>
      <c r="F329" s="178" t="s">
        <v>270</v>
      </c>
      <c r="G329" s="167" t="s">
        <v>373</v>
      </c>
      <c r="H329" s="178" t="s">
        <v>272</v>
      </c>
      <c r="I329" s="565">
        <v>13.5</v>
      </c>
      <c r="J329" s="482">
        <v>1</v>
      </c>
      <c r="K329" s="482">
        <v>1</v>
      </c>
      <c r="L329" s="482">
        <v>1</v>
      </c>
      <c r="M329" s="482">
        <v>1</v>
      </c>
      <c r="N329" s="168">
        <v>255</v>
      </c>
      <c r="O329" s="168"/>
      <c r="P329" s="168"/>
      <c r="Q329" s="168"/>
      <c r="R329" s="169" t="e">
        <f t="shared" si="43"/>
        <v>#DIV/0!</v>
      </c>
      <c r="S329" s="169">
        <f t="shared" si="44"/>
        <v>0</v>
      </c>
      <c r="T329" s="169">
        <f t="shared" si="45"/>
        <v>0</v>
      </c>
      <c r="U329" s="169">
        <f t="shared" si="46"/>
        <v>0</v>
      </c>
      <c r="V329" s="519"/>
      <c r="W329" s="170">
        <f>IF(N329="nio",0,IF(N329&gt;0,VLOOKUP(G329,'3-Productie normen'!A:N,VLOOKUP(N329,'3-Productie normen'!Q:R,2,FALSE),FALSE)))</f>
        <v>0</v>
      </c>
      <c r="X329" s="170">
        <f t="shared" si="40"/>
        <v>0</v>
      </c>
      <c r="Y329" s="170">
        <f t="shared" si="41"/>
        <v>0</v>
      </c>
      <c r="Z329" s="170">
        <f t="shared" si="47"/>
        <v>0</v>
      </c>
      <c r="AA329" s="171">
        <f>VLOOKUP(G329,'3-Productie normen'!A:N,10,FALSE)</f>
        <v>1</v>
      </c>
      <c r="AB329" s="171"/>
      <c r="AD329" s="131">
        <f t="shared" si="42"/>
        <v>3442.5</v>
      </c>
    </row>
    <row r="330" spans="1:30" ht="14.1" customHeight="1">
      <c r="A330" s="147">
        <v>329</v>
      </c>
      <c r="B330" s="165" t="s">
        <v>465</v>
      </c>
      <c r="C330" s="165" t="s">
        <v>626</v>
      </c>
      <c r="D330" s="570" t="s">
        <v>102</v>
      </c>
      <c r="E330" s="178"/>
      <c r="F330" s="178" t="s">
        <v>270</v>
      </c>
      <c r="G330" s="167" t="s">
        <v>373</v>
      </c>
      <c r="H330" s="178" t="s">
        <v>272</v>
      </c>
      <c r="I330" s="565">
        <v>13.5</v>
      </c>
      <c r="J330" s="482">
        <v>1</v>
      </c>
      <c r="K330" s="482">
        <v>1</v>
      </c>
      <c r="L330" s="482">
        <v>1</v>
      </c>
      <c r="M330" s="482">
        <v>1</v>
      </c>
      <c r="N330" s="168">
        <v>255</v>
      </c>
      <c r="O330" s="168"/>
      <c r="P330" s="168"/>
      <c r="Q330" s="168"/>
      <c r="R330" s="169" t="e">
        <f t="shared" si="43"/>
        <v>#DIV/0!</v>
      </c>
      <c r="S330" s="169">
        <f t="shared" si="44"/>
        <v>0</v>
      </c>
      <c r="T330" s="169">
        <f t="shared" si="45"/>
        <v>0</v>
      </c>
      <c r="U330" s="169">
        <f t="shared" si="46"/>
        <v>0</v>
      </c>
      <c r="V330" s="519"/>
      <c r="W330" s="170">
        <f>IF(N330="nio",0,IF(N330&gt;0,VLOOKUP(G330,'3-Productie normen'!A:N,VLOOKUP(N330,'3-Productie normen'!Q:R,2,FALSE),FALSE)))</f>
        <v>0</v>
      </c>
      <c r="X330" s="170">
        <f t="shared" si="40"/>
        <v>0</v>
      </c>
      <c r="Y330" s="170">
        <f t="shared" si="41"/>
        <v>0</v>
      </c>
      <c r="Z330" s="170">
        <f t="shared" si="47"/>
        <v>0</v>
      </c>
      <c r="AA330" s="171">
        <f>VLOOKUP(G330,'3-Productie normen'!A:N,10,FALSE)</f>
        <v>1</v>
      </c>
      <c r="AB330" s="171"/>
      <c r="AD330" s="131">
        <f t="shared" si="42"/>
        <v>3442.5</v>
      </c>
    </row>
    <row r="331" spans="1:30" ht="14.1" customHeight="1">
      <c r="A331" s="147">
        <v>330</v>
      </c>
      <c r="B331" s="165" t="s">
        <v>465</v>
      </c>
      <c r="C331" s="165" t="s">
        <v>626</v>
      </c>
      <c r="D331" s="570" t="s">
        <v>102</v>
      </c>
      <c r="E331" s="178"/>
      <c r="F331" s="178" t="s">
        <v>611</v>
      </c>
      <c r="G331" s="128" t="s">
        <v>583</v>
      </c>
      <c r="H331" s="178" t="s">
        <v>415</v>
      </c>
      <c r="I331" s="565">
        <v>18</v>
      </c>
      <c r="J331" s="482">
        <v>1</v>
      </c>
      <c r="K331" s="482">
        <v>1</v>
      </c>
      <c r="L331" s="482">
        <v>1</v>
      </c>
      <c r="M331" s="482">
        <v>1</v>
      </c>
      <c r="N331" s="168">
        <v>255</v>
      </c>
      <c r="O331" s="168"/>
      <c r="P331" s="168"/>
      <c r="Q331" s="168"/>
      <c r="R331" s="169" t="e">
        <f t="shared" si="43"/>
        <v>#DIV/0!</v>
      </c>
      <c r="S331" s="169">
        <f t="shared" si="44"/>
        <v>0</v>
      </c>
      <c r="T331" s="169">
        <f t="shared" si="45"/>
        <v>0</v>
      </c>
      <c r="U331" s="169">
        <f t="shared" si="46"/>
        <v>0</v>
      </c>
      <c r="V331" s="519"/>
      <c r="W331" s="170">
        <f>IF(N331="nio",0,IF(N331&gt;0,VLOOKUP(G331,'3-Productie normen'!A:N,VLOOKUP(N331,'3-Productie normen'!Q:R,2,FALSE),FALSE)))</f>
        <v>0</v>
      </c>
      <c r="X331" s="170">
        <f t="shared" si="40"/>
        <v>0</v>
      </c>
      <c r="Y331" s="170">
        <f t="shared" si="41"/>
        <v>0</v>
      </c>
      <c r="Z331" s="170">
        <f t="shared" si="47"/>
        <v>0</v>
      </c>
      <c r="AA331" s="171">
        <f>VLOOKUP(G331,'3-Productie normen'!A:N,10,FALSE)</f>
        <v>4</v>
      </c>
      <c r="AB331" s="171"/>
      <c r="AD331" s="131">
        <f t="shared" si="42"/>
        <v>4590</v>
      </c>
    </row>
    <row r="332" spans="1:30" ht="14.1" customHeight="1">
      <c r="A332" s="147">
        <v>331</v>
      </c>
      <c r="B332" s="165" t="s">
        <v>465</v>
      </c>
      <c r="C332" s="165" t="s">
        <v>626</v>
      </c>
      <c r="D332" s="570" t="s">
        <v>102</v>
      </c>
      <c r="E332" s="178"/>
      <c r="F332" s="178" t="s">
        <v>281</v>
      </c>
      <c r="G332" s="525" t="s">
        <v>373</v>
      </c>
      <c r="H332" s="178" t="s">
        <v>272</v>
      </c>
      <c r="I332" s="565">
        <v>34.799999999999997</v>
      </c>
      <c r="J332" s="482">
        <v>1</v>
      </c>
      <c r="K332" s="482">
        <v>1</v>
      </c>
      <c r="L332" s="482">
        <v>1</v>
      </c>
      <c r="M332" s="482">
        <v>1</v>
      </c>
      <c r="N332" s="168">
        <v>255</v>
      </c>
      <c r="O332" s="168"/>
      <c r="P332" s="168"/>
      <c r="Q332" s="168"/>
      <c r="R332" s="169" t="e">
        <f t="shared" si="43"/>
        <v>#DIV/0!</v>
      </c>
      <c r="S332" s="169">
        <f t="shared" si="44"/>
        <v>0</v>
      </c>
      <c r="T332" s="169">
        <f t="shared" si="45"/>
        <v>0</v>
      </c>
      <c r="U332" s="169">
        <f t="shared" si="46"/>
        <v>0</v>
      </c>
      <c r="V332" s="519"/>
      <c r="W332" s="170">
        <f>IF(N332="nio",0,IF(N332&gt;0,VLOOKUP(G332,'3-Productie normen'!A:N,VLOOKUP(N332,'3-Productie normen'!Q:R,2,FALSE),FALSE)))</f>
        <v>0</v>
      </c>
      <c r="X332" s="170">
        <f t="shared" si="40"/>
        <v>0</v>
      </c>
      <c r="Y332" s="170">
        <f t="shared" si="41"/>
        <v>0</v>
      </c>
      <c r="Z332" s="170">
        <f t="shared" si="47"/>
        <v>0</v>
      </c>
      <c r="AA332" s="171">
        <f>VLOOKUP(G332,'3-Productie normen'!A:N,10,FALSE)</f>
        <v>1</v>
      </c>
      <c r="AB332" s="171"/>
      <c r="AD332" s="131">
        <f t="shared" si="42"/>
        <v>8874</v>
      </c>
    </row>
    <row r="333" spans="1:30" ht="14.1" customHeight="1">
      <c r="A333" s="147">
        <v>332</v>
      </c>
      <c r="B333" s="165" t="s">
        <v>465</v>
      </c>
      <c r="C333" s="165" t="s">
        <v>626</v>
      </c>
      <c r="D333" s="570" t="s">
        <v>102</v>
      </c>
      <c r="E333" s="178"/>
      <c r="F333" s="178" t="s">
        <v>612</v>
      </c>
      <c r="G333" s="165" t="s">
        <v>17</v>
      </c>
      <c r="H333" s="178" t="s">
        <v>105</v>
      </c>
      <c r="I333" s="565">
        <v>10.9</v>
      </c>
      <c r="J333" s="482">
        <v>1</v>
      </c>
      <c r="K333" s="482">
        <v>1</v>
      </c>
      <c r="L333" s="482">
        <v>1</v>
      </c>
      <c r="M333" s="482">
        <v>1</v>
      </c>
      <c r="N333" s="168">
        <v>255</v>
      </c>
      <c r="O333" s="168"/>
      <c r="P333" s="168"/>
      <c r="Q333" s="168"/>
      <c r="R333" s="169" t="e">
        <f t="shared" si="43"/>
        <v>#DIV/0!</v>
      </c>
      <c r="S333" s="169">
        <f t="shared" si="44"/>
        <v>0</v>
      </c>
      <c r="T333" s="169">
        <f t="shared" si="45"/>
        <v>0</v>
      </c>
      <c r="U333" s="169">
        <f t="shared" si="46"/>
        <v>0</v>
      </c>
      <c r="V333" s="519"/>
      <c r="W333" s="170">
        <f>IF(N333="nio",0,IF(N333&gt;0,VLOOKUP(G333,'3-Productie normen'!A:N,VLOOKUP(N333,'3-Productie normen'!Q:R,2,FALSE),FALSE)))</f>
        <v>0</v>
      </c>
      <c r="X333" s="170">
        <f t="shared" si="40"/>
        <v>0</v>
      </c>
      <c r="Y333" s="170">
        <f t="shared" si="41"/>
        <v>0</v>
      </c>
      <c r="Z333" s="170">
        <f t="shared" si="47"/>
        <v>0</v>
      </c>
      <c r="AA333" s="171">
        <f>VLOOKUP(G333,'3-Productie normen'!A:N,10,FALSE)</f>
        <v>3</v>
      </c>
      <c r="AB333" s="171"/>
      <c r="AD333" s="131">
        <f t="shared" si="42"/>
        <v>2779.5</v>
      </c>
    </row>
    <row r="334" spans="1:30" ht="14.1" customHeight="1">
      <c r="A334" s="147">
        <v>333</v>
      </c>
      <c r="B334" s="165" t="s">
        <v>465</v>
      </c>
      <c r="C334" s="165" t="s">
        <v>626</v>
      </c>
      <c r="D334" s="570" t="s">
        <v>102</v>
      </c>
      <c r="E334" s="178"/>
      <c r="F334" s="178" t="s">
        <v>613</v>
      </c>
      <c r="G334" s="525" t="s">
        <v>199</v>
      </c>
      <c r="H334" s="178" t="s">
        <v>105</v>
      </c>
      <c r="I334" s="565">
        <v>11.2</v>
      </c>
      <c r="J334" s="482">
        <v>1</v>
      </c>
      <c r="K334" s="482">
        <v>1</v>
      </c>
      <c r="L334" s="482">
        <v>1</v>
      </c>
      <c r="M334" s="482">
        <v>1</v>
      </c>
      <c r="N334" s="168" t="s">
        <v>199</v>
      </c>
      <c r="O334" s="168"/>
      <c r="P334" s="168"/>
      <c r="Q334" s="168"/>
      <c r="R334" s="169">
        <f t="shared" si="43"/>
        <v>0</v>
      </c>
      <c r="S334" s="169">
        <f t="shared" si="44"/>
        <v>0</v>
      </c>
      <c r="T334" s="169">
        <f t="shared" si="45"/>
        <v>0</v>
      </c>
      <c r="U334" s="169">
        <f t="shared" si="46"/>
        <v>0</v>
      </c>
      <c r="V334" s="519"/>
      <c r="W334" s="170">
        <f>IF(N334="nio",0,IF(N334&gt;0,VLOOKUP(G334,'3-Productie normen'!A:N,VLOOKUP(N334,'3-Productie normen'!Q:R,2,FALSE),FALSE)))</f>
        <v>0</v>
      </c>
      <c r="X334" s="170">
        <f t="shared" si="40"/>
        <v>0</v>
      </c>
      <c r="Y334" s="170">
        <f t="shared" si="41"/>
        <v>0</v>
      </c>
      <c r="Z334" s="170">
        <f t="shared" si="47"/>
        <v>0</v>
      </c>
      <c r="AA334" s="171">
        <f>VLOOKUP(G334,'3-Productie normen'!A:N,10,FALSE)</f>
        <v>0</v>
      </c>
      <c r="AB334" s="171"/>
      <c r="AD334" s="131">
        <f t="shared" si="42"/>
        <v>0</v>
      </c>
    </row>
    <row r="335" spans="1:30" ht="14.1" customHeight="1">
      <c r="A335" s="147">
        <v>334</v>
      </c>
      <c r="B335" s="165" t="s">
        <v>465</v>
      </c>
      <c r="C335" s="165" t="s">
        <v>626</v>
      </c>
      <c r="D335" s="570" t="s">
        <v>102</v>
      </c>
      <c r="E335" s="178"/>
      <c r="F335" s="178" t="s">
        <v>605</v>
      </c>
      <c r="G335" s="178" t="s">
        <v>107</v>
      </c>
      <c r="H335" s="178" t="s">
        <v>415</v>
      </c>
      <c r="I335" s="565">
        <v>62.8</v>
      </c>
      <c r="J335" s="482">
        <v>1</v>
      </c>
      <c r="K335" s="482">
        <v>1</v>
      </c>
      <c r="L335" s="482">
        <v>1</v>
      </c>
      <c r="M335" s="482">
        <v>1</v>
      </c>
      <c r="N335" s="168">
        <v>255</v>
      </c>
      <c r="O335" s="168"/>
      <c r="P335" s="168"/>
      <c r="Q335" s="168"/>
      <c r="R335" s="169" t="e">
        <f t="shared" si="43"/>
        <v>#DIV/0!</v>
      </c>
      <c r="S335" s="169">
        <f t="shared" si="44"/>
        <v>0</v>
      </c>
      <c r="T335" s="169">
        <f t="shared" si="45"/>
        <v>0</v>
      </c>
      <c r="U335" s="169">
        <f t="shared" si="46"/>
        <v>0</v>
      </c>
      <c r="V335" s="519"/>
      <c r="W335" s="170">
        <f>IF(N335="nio",0,IF(N335&gt;0,VLOOKUP(G335,'3-Productie normen'!A:N,VLOOKUP(N335,'3-Productie normen'!Q:R,2,FALSE),FALSE)))</f>
        <v>0</v>
      </c>
      <c r="X335" s="170">
        <f t="shared" si="40"/>
        <v>0</v>
      </c>
      <c r="Y335" s="170">
        <f t="shared" si="41"/>
        <v>0</v>
      </c>
      <c r="Z335" s="170">
        <f t="shared" si="47"/>
        <v>0</v>
      </c>
      <c r="AA335" s="171">
        <f>VLOOKUP(G335,'3-Productie normen'!A:N,10,FALSE)</f>
        <v>2</v>
      </c>
      <c r="AB335" s="171"/>
      <c r="AD335" s="131">
        <f t="shared" si="42"/>
        <v>16014</v>
      </c>
    </row>
    <row r="336" spans="1:30" ht="14.1" customHeight="1">
      <c r="A336" s="147">
        <v>335</v>
      </c>
      <c r="B336" s="165" t="s">
        <v>468</v>
      </c>
      <c r="C336" s="165" t="s">
        <v>469</v>
      </c>
      <c r="D336" s="571" t="s">
        <v>102</v>
      </c>
      <c r="E336" s="181" t="s">
        <v>247</v>
      </c>
      <c r="F336" s="181" t="s">
        <v>470</v>
      </c>
      <c r="G336" s="165" t="s">
        <v>579</v>
      </c>
      <c r="H336" s="181" t="s">
        <v>104</v>
      </c>
      <c r="I336" s="566">
        <v>88.63</v>
      </c>
      <c r="J336" s="482">
        <v>1</v>
      </c>
      <c r="K336" s="482">
        <v>1</v>
      </c>
      <c r="L336" s="482">
        <v>1</v>
      </c>
      <c r="M336" s="482">
        <v>1</v>
      </c>
      <c r="N336" s="168">
        <v>255</v>
      </c>
      <c r="O336" s="168"/>
      <c r="P336" s="168"/>
      <c r="Q336" s="168"/>
      <c r="R336" s="169" t="e">
        <f t="shared" ref="R336:R396" si="49">IF(N336="nio",0,IF(N336&gt;0,N336*I336/W336,0))*J336</f>
        <v>#DIV/0!</v>
      </c>
      <c r="S336" s="169">
        <f t="shared" ref="S336:S396" si="50">IF(O336&gt;0,O336*I336/X336,0)*K336</f>
        <v>0</v>
      </c>
      <c r="T336" s="169">
        <f t="shared" ref="T336:T396" si="51">IF(P336&gt;0,P336*I336/Y336,0)*L336</f>
        <v>0</v>
      </c>
      <c r="U336" s="169">
        <f t="shared" ref="U336:U396" si="52">IF(Q336&gt;0,Q336*I336/Z336,0)*M336</f>
        <v>0</v>
      </c>
      <c r="V336" s="519"/>
      <c r="W336" s="170">
        <f>IF(N336="nio",0,IF(N336&gt;0,VLOOKUP(G336,'3-Productie normen'!A:N,VLOOKUP(N336,'3-Productie normen'!Q:R,2,FALSE),FALSE)))</f>
        <v>0</v>
      </c>
      <c r="X336" s="170">
        <f t="shared" ref="X336:X395" si="53">IF(O336&gt;0,W336*$X$8,0)</f>
        <v>0</v>
      </c>
      <c r="Y336" s="170">
        <f t="shared" ref="Y336:Y395" si="54">IF(P336&gt;0,W336*$Y$8,0)</f>
        <v>0</v>
      </c>
      <c r="Z336" s="170">
        <f t="shared" ref="Z336:Z396" si="55">IF(Q336&gt;0,W336*$Z$8,0)</f>
        <v>0</v>
      </c>
      <c r="AA336" s="171">
        <f>VLOOKUP(G336,'3-Productie normen'!A:N,10,FALSE)</f>
        <v>4</v>
      </c>
      <c r="AB336" s="171"/>
      <c r="AD336" s="131">
        <f t="shared" ref="AD336:AD395" si="56">SUM(N336:P336)*I336</f>
        <v>22600.649999999998</v>
      </c>
    </row>
    <row r="337" spans="1:30" ht="14.1" customHeight="1">
      <c r="A337" s="147">
        <v>336</v>
      </c>
      <c r="B337" s="165" t="s">
        <v>468</v>
      </c>
      <c r="C337" s="165" t="s">
        <v>469</v>
      </c>
      <c r="D337" s="571" t="s">
        <v>102</v>
      </c>
      <c r="E337" s="181" t="s">
        <v>248</v>
      </c>
      <c r="F337" s="181" t="s">
        <v>251</v>
      </c>
      <c r="G337" s="165" t="s">
        <v>373</v>
      </c>
      <c r="H337" s="181" t="s">
        <v>104</v>
      </c>
      <c r="I337" s="566">
        <v>19.03</v>
      </c>
      <c r="J337" s="482">
        <v>1</v>
      </c>
      <c r="K337" s="482">
        <v>1</v>
      </c>
      <c r="L337" s="482">
        <v>1</v>
      </c>
      <c r="M337" s="482">
        <v>1</v>
      </c>
      <c r="N337" s="168">
        <v>255</v>
      </c>
      <c r="O337" s="168"/>
      <c r="P337" s="168"/>
      <c r="Q337" s="168"/>
      <c r="R337" s="169" t="e">
        <f t="shared" si="49"/>
        <v>#DIV/0!</v>
      </c>
      <c r="S337" s="169">
        <f t="shared" si="50"/>
        <v>0</v>
      </c>
      <c r="T337" s="169">
        <f t="shared" si="51"/>
        <v>0</v>
      </c>
      <c r="U337" s="169">
        <f t="shared" si="52"/>
        <v>0</v>
      </c>
      <c r="V337" s="519"/>
      <c r="W337" s="170">
        <f>IF(N337="nio",0,IF(N337&gt;0,VLOOKUP(G337,'3-Productie normen'!A:N,VLOOKUP(N337,'3-Productie normen'!Q:R,2,FALSE),FALSE)))</f>
        <v>0</v>
      </c>
      <c r="X337" s="170">
        <f t="shared" si="53"/>
        <v>0</v>
      </c>
      <c r="Y337" s="170">
        <f t="shared" si="54"/>
        <v>0</v>
      </c>
      <c r="Z337" s="170">
        <f t="shared" si="55"/>
        <v>0</v>
      </c>
      <c r="AA337" s="171">
        <f>VLOOKUP(G337,'3-Productie normen'!A:N,10,FALSE)</f>
        <v>1</v>
      </c>
      <c r="AB337" s="171"/>
      <c r="AD337" s="131">
        <f t="shared" si="56"/>
        <v>4852.6500000000005</v>
      </c>
    </row>
    <row r="338" spans="1:30" ht="14.1" customHeight="1">
      <c r="A338" s="147">
        <v>337</v>
      </c>
      <c r="B338" s="165" t="s">
        <v>468</v>
      </c>
      <c r="C338" s="165" t="s">
        <v>469</v>
      </c>
      <c r="D338" s="571" t="s">
        <v>102</v>
      </c>
      <c r="E338" s="181" t="s">
        <v>250</v>
      </c>
      <c r="F338" s="181" t="s">
        <v>281</v>
      </c>
      <c r="G338" s="167" t="s">
        <v>373</v>
      </c>
      <c r="H338" s="181" t="s">
        <v>272</v>
      </c>
      <c r="I338" s="566">
        <v>14.49</v>
      </c>
      <c r="J338" s="482">
        <v>1</v>
      </c>
      <c r="K338" s="482">
        <v>1</v>
      </c>
      <c r="L338" s="482">
        <v>1</v>
      </c>
      <c r="M338" s="482">
        <v>1</v>
      </c>
      <c r="N338" s="168">
        <v>255</v>
      </c>
      <c r="O338" s="168"/>
      <c r="P338" s="168"/>
      <c r="Q338" s="168"/>
      <c r="R338" s="169" t="e">
        <f t="shared" si="49"/>
        <v>#DIV/0!</v>
      </c>
      <c r="S338" s="169">
        <f t="shared" si="50"/>
        <v>0</v>
      </c>
      <c r="T338" s="169">
        <f t="shared" si="51"/>
        <v>0</v>
      </c>
      <c r="U338" s="169">
        <f t="shared" si="52"/>
        <v>0</v>
      </c>
      <c r="V338" s="519"/>
      <c r="W338" s="170">
        <f>IF(N338="nio",0,IF(N338&gt;0,VLOOKUP(G338,'3-Productie normen'!A:N,VLOOKUP(N338,'3-Productie normen'!Q:R,2,FALSE),FALSE)))</f>
        <v>0</v>
      </c>
      <c r="X338" s="170">
        <f t="shared" si="53"/>
        <v>0</v>
      </c>
      <c r="Y338" s="170">
        <f t="shared" si="54"/>
        <v>0</v>
      </c>
      <c r="Z338" s="170">
        <f t="shared" si="55"/>
        <v>0</v>
      </c>
      <c r="AA338" s="171">
        <f>VLOOKUP(G338,'3-Productie normen'!A:N,10,FALSE)</f>
        <v>1</v>
      </c>
      <c r="AB338" s="171"/>
      <c r="AD338" s="131">
        <f t="shared" si="56"/>
        <v>3694.9500000000003</v>
      </c>
    </row>
    <row r="339" spans="1:30" ht="14.1" customHeight="1">
      <c r="A339" s="147">
        <v>338</v>
      </c>
      <c r="B339" s="165" t="s">
        <v>468</v>
      </c>
      <c r="C339" s="165" t="s">
        <v>469</v>
      </c>
      <c r="D339" s="571" t="s">
        <v>102</v>
      </c>
      <c r="E339" s="181" t="s">
        <v>252</v>
      </c>
      <c r="F339" s="181" t="s">
        <v>280</v>
      </c>
      <c r="G339" s="167" t="s">
        <v>107</v>
      </c>
      <c r="H339" s="181" t="s">
        <v>104</v>
      </c>
      <c r="I339" s="566">
        <v>17.75</v>
      </c>
      <c r="J339" s="482">
        <v>1</v>
      </c>
      <c r="K339" s="482">
        <v>1</v>
      </c>
      <c r="L339" s="482">
        <v>1</v>
      </c>
      <c r="M339" s="482">
        <v>1</v>
      </c>
      <c r="N339" s="168">
        <v>255</v>
      </c>
      <c r="O339" s="168"/>
      <c r="P339" s="168"/>
      <c r="Q339" s="168"/>
      <c r="R339" s="169" t="e">
        <f t="shared" si="49"/>
        <v>#DIV/0!</v>
      </c>
      <c r="S339" s="169">
        <f t="shared" si="50"/>
        <v>0</v>
      </c>
      <c r="T339" s="169">
        <f t="shared" si="51"/>
        <v>0</v>
      </c>
      <c r="U339" s="169">
        <f t="shared" si="52"/>
        <v>0</v>
      </c>
      <c r="V339" s="519"/>
      <c r="W339" s="170">
        <f>IF(N339="nio",0,IF(N339&gt;0,VLOOKUP(G339,'3-Productie normen'!A:N,VLOOKUP(N339,'3-Productie normen'!Q:R,2,FALSE),FALSE)))</f>
        <v>0</v>
      </c>
      <c r="X339" s="170">
        <f t="shared" si="53"/>
        <v>0</v>
      </c>
      <c r="Y339" s="170">
        <f t="shared" si="54"/>
        <v>0</v>
      </c>
      <c r="Z339" s="170">
        <f t="shared" si="55"/>
        <v>0</v>
      </c>
      <c r="AA339" s="171">
        <f>VLOOKUP(G339,'3-Productie normen'!A:N,10,FALSE)</f>
        <v>2</v>
      </c>
      <c r="AB339" s="171"/>
      <c r="AD339" s="131">
        <f t="shared" si="56"/>
        <v>4526.25</v>
      </c>
    </row>
    <row r="340" spans="1:30" ht="14.1" customHeight="1">
      <c r="A340" s="147">
        <v>339</v>
      </c>
      <c r="B340" s="165" t="s">
        <v>468</v>
      </c>
      <c r="C340" s="165" t="s">
        <v>469</v>
      </c>
      <c r="D340" s="571" t="s">
        <v>102</v>
      </c>
      <c r="E340" s="181" t="s">
        <v>254</v>
      </c>
      <c r="F340" s="181" t="s">
        <v>257</v>
      </c>
      <c r="G340" s="167" t="s">
        <v>17</v>
      </c>
      <c r="H340" s="181" t="s">
        <v>105</v>
      </c>
      <c r="I340" s="566">
        <v>2.16</v>
      </c>
      <c r="J340" s="482">
        <v>1</v>
      </c>
      <c r="K340" s="482">
        <v>1</v>
      </c>
      <c r="L340" s="482">
        <v>1</v>
      </c>
      <c r="M340" s="482">
        <v>1</v>
      </c>
      <c r="N340" s="168">
        <v>255</v>
      </c>
      <c r="O340" s="168"/>
      <c r="P340" s="168"/>
      <c r="Q340" s="168"/>
      <c r="R340" s="169" t="e">
        <f t="shared" si="49"/>
        <v>#DIV/0!</v>
      </c>
      <c r="S340" s="169">
        <f t="shared" si="50"/>
        <v>0</v>
      </c>
      <c r="T340" s="169">
        <f t="shared" si="51"/>
        <v>0</v>
      </c>
      <c r="U340" s="169">
        <f t="shared" si="52"/>
        <v>0</v>
      </c>
      <c r="V340" s="519"/>
      <c r="W340" s="170">
        <f>IF(N340="nio",0,IF(N340&gt;0,VLOOKUP(G340,'3-Productie normen'!A:N,VLOOKUP(N340,'3-Productie normen'!Q:R,2,FALSE),FALSE)))</f>
        <v>0</v>
      </c>
      <c r="X340" s="170">
        <f t="shared" si="53"/>
        <v>0</v>
      </c>
      <c r="Y340" s="170">
        <f t="shared" si="54"/>
        <v>0</v>
      </c>
      <c r="Z340" s="170">
        <f t="shared" si="55"/>
        <v>0</v>
      </c>
      <c r="AA340" s="171">
        <f>VLOOKUP(G340,'3-Productie normen'!A:N,10,FALSE)</f>
        <v>3</v>
      </c>
      <c r="AB340" s="171"/>
      <c r="AD340" s="131">
        <f t="shared" si="56"/>
        <v>550.80000000000007</v>
      </c>
    </row>
    <row r="341" spans="1:30" ht="14.1" customHeight="1">
      <c r="A341" s="147">
        <v>340</v>
      </c>
      <c r="B341" s="165" t="s">
        <v>468</v>
      </c>
      <c r="C341" s="165" t="s">
        <v>469</v>
      </c>
      <c r="D341" s="571" t="s">
        <v>102</v>
      </c>
      <c r="E341" s="181" t="s">
        <v>256</v>
      </c>
      <c r="F341" s="181" t="s">
        <v>279</v>
      </c>
      <c r="G341" s="525" t="s">
        <v>583</v>
      </c>
      <c r="H341" s="181" t="s">
        <v>104</v>
      </c>
      <c r="I341" s="566">
        <v>2.75</v>
      </c>
      <c r="J341" s="482">
        <v>1</v>
      </c>
      <c r="K341" s="482">
        <v>1</v>
      </c>
      <c r="L341" s="482">
        <v>1</v>
      </c>
      <c r="M341" s="482">
        <v>1</v>
      </c>
      <c r="N341" s="168">
        <v>255</v>
      </c>
      <c r="O341" s="168"/>
      <c r="P341" s="168"/>
      <c r="Q341" s="168"/>
      <c r="R341" s="169" t="e">
        <f t="shared" si="49"/>
        <v>#DIV/0!</v>
      </c>
      <c r="S341" s="169">
        <f t="shared" si="50"/>
        <v>0</v>
      </c>
      <c r="T341" s="169">
        <f t="shared" si="51"/>
        <v>0</v>
      </c>
      <c r="U341" s="169">
        <f t="shared" si="52"/>
        <v>0</v>
      </c>
      <c r="V341" s="519"/>
      <c r="W341" s="170">
        <f>IF(N341="nio",0,IF(N341&gt;0,VLOOKUP(G341,'3-Productie normen'!A:N,VLOOKUP(N341,'3-Productie normen'!Q:R,2,FALSE),FALSE)))</f>
        <v>0</v>
      </c>
      <c r="X341" s="170">
        <f t="shared" si="53"/>
        <v>0</v>
      </c>
      <c r="Y341" s="170">
        <f t="shared" si="54"/>
        <v>0</v>
      </c>
      <c r="Z341" s="170">
        <f t="shared" si="55"/>
        <v>0</v>
      </c>
      <c r="AA341" s="171">
        <f>VLOOKUP(G341,'3-Productie normen'!A:N,10,FALSE)</f>
        <v>4</v>
      </c>
      <c r="AB341" s="171"/>
      <c r="AD341" s="131">
        <f t="shared" si="56"/>
        <v>701.25</v>
      </c>
    </row>
    <row r="342" spans="1:30" ht="14.1" customHeight="1">
      <c r="A342" s="147">
        <v>341</v>
      </c>
      <c r="B342" s="165" t="s">
        <v>468</v>
      </c>
      <c r="C342" s="165" t="s">
        <v>469</v>
      </c>
      <c r="D342" s="571" t="s">
        <v>102</v>
      </c>
      <c r="E342" s="181" t="s">
        <v>258</v>
      </c>
      <c r="F342" s="181" t="s">
        <v>253</v>
      </c>
      <c r="G342" s="167" t="s">
        <v>17</v>
      </c>
      <c r="H342" s="181" t="s">
        <v>105</v>
      </c>
      <c r="I342" s="566">
        <v>3.63</v>
      </c>
      <c r="J342" s="482">
        <v>1</v>
      </c>
      <c r="K342" s="482">
        <v>1</v>
      </c>
      <c r="L342" s="482">
        <v>1</v>
      </c>
      <c r="M342" s="482">
        <v>1</v>
      </c>
      <c r="N342" s="168">
        <v>255</v>
      </c>
      <c r="O342" s="168"/>
      <c r="P342" s="168"/>
      <c r="Q342" s="168"/>
      <c r="R342" s="169" t="e">
        <f t="shared" si="49"/>
        <v>#DIV/0!</v>
      </c>
      <c r="S342" s="169">
        <f t="shared" si="50"/>
        <v>0</v>
      </c>
      <c r="T342" s="169">
        <f t="shared" si="51"/>
        <v>0</v>
      </c>
      <c r="U342" s="169">
        <f t="shared" si="52"/>
        <v>0</v>
      </c>
      <c r="V342" s="519"/>
      <c r="W342" s="170">
        <f>IF(N342="nio",0,IF(N342&gt;0,VLOOKUP(G342,'3-Productie normen'!A:N,VLOOKUP(N342,'3-Productie normen'!Q:R,2,FALSE),FALSE)))</f>
        <v>0</v>
      </c>
      <c r="X342" s="170">
        <f t="shared" si="53"/>
        <v>0</v>
      </c>
      <c r="Y342" s="170">
        <f t="shared" si="54"/>
        <v>0</v>
      </c>
      <c r="Z342" s="170">
        <f t="shared" si="55"/>
        <v>0</v>
      </c>
      <c r="AA342" s="171">
        <f>VLOOKUP(G342,'3-Productie normen'!A:N,10,FALSE)</f>
        <v>3</v>
      </c>
      <c r="AB342" s="171"/>
      <c r="AD342" s="131">
        <f t="shared" si="56"/>
        <v>925.65</v>
      </c>
    </row>
    <row r="343" spans="1:30" ht="14.1" customHeight="1">
      <c r="A343" s="147">
        <v>342</v>
      </c>
      <c r="B343" s="165" t="s">
        <v>468</v>
      </c>
      <c r="C343" s="165" t="s">
        <v>469</v>
      </c>
      <c r="D343" s="571" t="s">
        <v>102</v>
      </c>
      <c r="E343" s="181" t="s">
        <v>259</v>
      </c>
      <c r="F343" s="181" t="s">
        <v>270</v>
      </c>
      <c r="G343" s="128" t="s">
        <v>373</v>
      </c>
      <c r="H343" s="181" t="s">
        <v>104</v>
      </c>
      <c r="I343" s="566">
        <v>11.44</v>
      </c>
      <c r="J343" s="482">
        <v>1</v>
      </c>
      <c r="K343" s="482">
        <v>1</v>
      </c>
      <c r="L343" s="482">
        <v>1</v>
      </c>
      <c r="M343" s="482">
        <v>1</v>
      </c>
      <c r="N343" s="168">
        <v>255</v>
      </c>
      <c r="O343" s="168"/>
      <c r="P343" s="168"/>
      <c r="Q343" s="168"/>
      <c r="R343" s="169" t="e">
        <f t="shared" si="49"/>
        <v>#DIV/0!</v>
      </c>
      <c r="S343" s="169">
        <f t="shared" si="50"/>
        <v>0</v>
      </c>
      <c r="T343" s="169">
        <f t="shared" si="51"/>
        <v>0</v>
      </c>
      <c r="U343" s="169">
        <f t="shared" si="52"/>
        <v>0</v>
      </c>
      <c r="V343" s="519"/>
      <c r="W343" s="170">
        <f>IF(N343="nio",0,IF(N343&gt;0,VLOOKUP(G343,'3-Productie normen'!A:N,VLOOKUP(N343,'3-Productie normen'!Q:R,2,FALSE),FALSE)))</f>
        <v>0</v>
      </c>
      <c r="X343" s="170">
        <f t="shared" si="53"/>
        <v>0</v>
      </c>
      <c r="Y343" s="170">
        <f t="shared" si="54"/>
        <v>0</v>
      </c>
      <c r="Z343" s="170">
        <f t="shared" si="55"/>
        <v>0</v>
      </c>
      <c r="AA343" s="171">
        <f>VLOOKUP(G343,'3-Productie normen'!A:N,10,FALSE)</f>
        <v>1</v>
      </c>
      <c r="AB343" s="171"/>
      <c r="AD343" s="131">
        <f t="shared" si="56"/>
        <v>2917.2</v>
      </c>
    </row>
    <row r="344" spans="1:30" ht="14.1" customHeight="1">
      <c r="A344" s="147">
        <v>343</v>
      </c>
      <c r="B344" s="165" t="s">
        <v>468</v>
      </c>
      <c r="C344" s="165" t="s">
        <v>469</v>
      </c>
      <c r="D344" s="571" t="s">
        <v>102</v>
      </c>
      <c r="E344" s="181" t="s">
        <v>261</v>
      </c>
      <c r="F344" s="181" t="s">
        <v>270</v>
      </c>
      <c r="G344" s="128" t="s">
        <v>373</v>
      </c>
      <c r="H344" s="181" t="s">
        <v>104</v>
      </c>
      <c r="I344" s="566">
        <v>11.01</v>
      </c>
      <c r="J344" s="482">
        <v>1</v>
      </c>
      <c r="K344" s="482">
        <v>1</v>
      </c>
      <c r="L344" s="482">
        <v>1</v>
      </c>
      <c r="M344" s="482">
        <v>1</v>
      </c>
      <c r="N344" s="168">
        <v>255</v>
      </c>
      <c r="O344" s="168"/>
      <c r="P344" s="168"/>
      <c r="Q344" s="168"/>
      <c r="R344" s="169" t="e">
        <f t="shared" si="49"/>
        <v>#DIV/0!</v>
      </c>
      <c r="S344" s="169">
        <f t="shared" si="50"/>
        <v>0</v>
      </c>
      <c r="T344" s="169">
        <f t="shared" si="51"/>
        <v>0</v>
      </c>
      <c r="U344" s="169">
        <f t="shared" si="52"/>
        <v>0</v>
      </c>
      <c r="V344" s="519"/>
      <c r="W344" s="170">
        <f>IF(N344="nio",0,IF(N344&gt;0,VLOOKUP(G344,'3-Productie normen'!A:N,VLOOKUP(N344,'3-Productie normen'!Q:R,2,FALSE),FALSE)))</f>
        <v>0</v>
      </c>
      <c r="X344" s="170">
        <f t="shared" si="53"/>
        <v>0</v>
      </c>
      <c r="Y344" s="170">
        <f t="shared" si="54"/>
        <v>0</v>
      </c>
      <c r="Z344" s="170">
        <f t="shared" si="55"/>
        <v>0</v>
      </c>
      <c r="AA344" s="171">
        <f>VLOOKUP(G344,'3-Productie normen'!A:N,10,FALSE)</f>
        <v>1</v>
      </c>
      <c r="AB344" s="171"/>
      <c r="AD344" s="131">
        <f t="shared" si="56"/>
        <v>2807.5499999999997</v>
      </c>
    </row>
    <row r="345" spans="1:30" ht="14.1" customHeight="1">
      <c r="A345" s="147">
        <v>344</v>
      </c>
      <c r="B345" s="165" t="s">
        <v>468</v>
      </c>
      <c r="C345" s="165" t="s">
        <v>469</v>
      </c>
      <c r="D345" s="571" t="s">
        <v>102</v>
      </c>
      <c r="E345" s="181" t="s">
        <v>263</v>
      </c>
      <c r="F345" s="181" t="s">
        <v>270</v>
      </c>
      <c r="G345" s="128" t="s">
        <v>373</v>
      </c>
      <c r="H345" s="181" t="s">
        <v>104</v>
      </c>
      <c r="I345" s="566">
        <v>10.63</v>
      </c>
      <c r="J345" s="482">
        <v>1</v>
      </c>
      <c r="K345" s="482">
        <v>1</v>
      </c>
      <c r="L345" s="482">
        <v>1</v>
      </c>
      <c r="M345" s="482">
        <v>1</v>
      </c>
      <c r="N345" s="168">
        <v>255</v>
      </c>
      <c r="O345" s="168"/>
      <c r="P345" s="168"/>
      <c r="Q345" s="168"/>
      <c r="R345" s="169" t="e">
        <f t="shared" si="49"/>
        <v>#DIV/0!</v>
      </c>
      <c r="S345" s="169">
        <f t="shared" si="50"/>
        <v>0</v>
      </c>
      <c r="T345" s="169">
        <f t="shared" si="51"/>
        <v>0</v>
      </c>
      <c r="U345" s="169">
        <f t="shared" si="52"/>
        <v>0</v>
      </c>
      <c r="V345" s="519"/>
      <c r="W345" s="170">
        <f>IF(N345="nio",0,IF(N345&gt;0,VLOOKUP(G345,'3-Productie normen'!A:N,VLOOKUP(N345,'3-Productie normen'!Q:R,2,FALSE),FALSE)))</f>
        <v>0</v>
      </c>
      <c r="X345" s="170">
        <f t="shared" si="53"/>
        <v>0</v>
      </c>
      <c r="Y345" s="170">
        <f t="shared" si="54"/>
        <v>0</v>
      </c>
      <c r="Z345" s="170">
        <f t="shared" si="55"/>
        <v>0</v>
      </c>
      <c r="AA345" s="171">
        <f>VLOOKUP(G345,'3-Productie normen'!A:N,10,FALSE)</f>
        <v>1</v>
      </c>
      <c r="AB345" s="171"/>
      <c r="AD345" s="131">
        <f t="shared" si="56"/>
        <v>2710.65</v>
      </c>
    </row>
    <row r="346" spans="1:30" ht="14.1" customHeight="1">
      <c r="A346" s="147">
        <v>345</v>
      </c>
      <c r="B346" s="165" t="s">
        <v>471</v>
      </c>
      <c r="C346" s="165" t="s">
        <v>472</v>
      </c>
      <c r="D346" s="571" t="s">
        <v>102</v>
      </c>
      <c r="E346" s="181" t="s">
        <v>473</v>
      </c>
      <c r="F346" s="181" t="s">
        <v>474</v>
      </c>
      <c r="G346" s="525" t="s">
        <v>583</v>
      </c>
      <c r="H346" s="181" t="s">
        <v>450</v>
      </c>
      <c r="I346" s="566">
        <v>4.2</v>
      </c>
      <c r="J346" s="482">
        <v>1</v>
      </c>
      <c r="K346" s="482">
        <v>1</v>
      </c>
      <c r="L346" s="482">
        <v>1</v>
      </c>
      <c r="M346" s="482">
        <v>1</v>
      </c>
      <c r="N346" s="168">
        <v>255</v>
      </c>
      <c r="O346" s="168"/>
      <c r="P346" s="168"/>
      <c r="Q346" s="168"/>
      <c r="R346" s="169" t="e">
        <f t="shared" si="49"/>
        <v>#DIV/0!</v>
      </c>
      <c r="S346" s="169">
        <f t="shared" si="50"/>
        <v>0</v>
      </c>
      <c r="T346" s="169">
        <f t="shared" si="51"/>
        <v>0</v>
      </c>
      <c r="U346" s="169">
        <f t="shared" si="52"/>
        <v>0</v>
      </c>
      <c r="V346" s="519"/>
      <c r="W346" s="170">
        <f>IF(N346="nio",0,IF(N346&gt;0,VLOOKUP(G346,'3-Productie normen'!A:N,VLOOKUP(N346,'3-Productie normen'!Q:R,2,FALSE),FALSE)))</f>
        <v>0</v>
      </c>
      <c r="X346" s="170">
        <f t="shared" si="53"/>
        <v>0</v>
      </c>
      <c r="Y346" s="170">
        <f t="shared" si="54"/>
        <v>0</v>
      </c>
      <c r="Z346" s="170">
        <f t="shared" si="55"/>
        <v>0</v>
      </c>
      <c r="AA346" s="171">
        <f>VLOOKUP(G346,'3-Productie normen'!A:N,10,FALSE)</f>
        <v>4</v>
      </c>
      <c r="AB346" s="171"/>
      <c r="AD346" s="131">
        <f t="shared" si="56"/>
        <v>1071</v>
      </c>
    </row>
    <row r="347" spans="1:30" ht="14.1" customHeight="1">
      <c r="A347" s="147">
        <v>346</v>
      </c>
      <c r="B347" s="165" t="s">
        <v>471</v>
      </c>
      <c r="C347" s="165" t="s">
        <v>472</v>
      </c>
      <c r="D347" s="571" t="s">
        <v>102</v>
      </c>
      <c r="E347" s="181" t="s">
        <v>247</v>
      </c>
      <c r="F347" s="181" t="s">
        <v>475</v>
      </c>
      <c r="G347" s="165" t="s">
        <v>579</v>
      </c>
      <c r="H347" s="181" t="s">
        <v>451</v>
      </c>
      <c r="I347" s="566">
        <v>26.6</v>
      </c>
      <c r="J347" s="482">
        <v>1</v>
      </c>
      <c r="K347" s="482">
        <v>1</v>
      </c>
      <c r="L347" s="482">
        <v>1</v>
      </c>
      <c r="M347" s="482">
        <v>1</v>
      </c>
      <c r="N347" s="168">
        <v>255</v>
      </c>
      <c r="O347" s="168"/>
      <c r="P347" s="168"/>
      <c r="Q347" s="168"/>
      <c r="R347" s="169" t="e">
        <f t="shared" si="49"/>
        <v>#DIV/0!</v>
      </c>
      <c r="S347" s="169">
        <f t="shared" si="50"/>
        <v>0</v>
      </c>
      <c r="T347" s="169">
        <f t="shared" si="51"/>
        <v>0</v>
      </c>
      <c r="U347" s="169">
        <f t="shared" si="52"/>
        <v>0</v>
      </c>
      <c r="V347" s="519"/>
      <c r="W347" s="170">
        <f>IF(N347="nio",0,IF(N347&gt;0,VLOOKUP(G347,'3-Productie normen'!A:N,VLOOKUP(N347,'3-Productie normen'!Q:R,2,FALSE),FALSE)))</f>
        <v>0</v>
      </c>
      <c r="X347" s="170">
        <f t="shared" si="53"/>
        <v>0</v>
      </c>
      <c r="Y347" s="170">
        <f t="shared" si="54"/>
        <v>0</v>
      </c>
      <c r="Z347" s="170">
        <f t="shared" si="55"/>
        <v>0</v>
      </c>
      <c r="AA347" s="171">
        <f>VLOOKUP(G347,'3-Productie normen'!A:N,10,FALSE)</f>
        <v>4</v>
      </c>
      <c r="AB347" s="171"/>
      <c r="AD347" s="131">
        <f t="shared" si="56"/>
        <v>6783</v>
      </c>
    </row>
    <row r="348" spans="1:30" ht="14.1" customHeight="1">
      <c r="A348" s="147">
        <v>347</v>
      </c>
      <c r="B348" s="165" t="s">
        <v>471</v>
      </c>
      <c r="C348" s="165" t="s">
        <v>472</v>
      </c>
      <c r="D348" s="571" t="s">
        <v>102</v>
      </c>
      <c r="E348" s="181" t="s">
        <v>476</v>
      </c>
      <c r="F348" s="181" t="s">
        <v>249</v>
      </c>
      <c r="G348" s="165" t="s">
        <v>579</v>
      </c>
      <c r="H348" s="181" t="s">
        <v>451</v>
      </c>
      <c r="I348" s="566">
        <v>74.599999999999994</v>
      </c>
      <c r="J348" s="482">
        <v>1</v>
      </c>
      <c r="K348" s="482">
        <v>1</v>
      </c>
      <c r="L348" s="482">
        <v>1</v>
      </c>
      <c r="M348" s="482">
        <v>1</v>
      </c>
      <c r="N348" s="168">
        <v>255</v>
      </c>
      <c r="O348" s="168"/>
      <c r="P348" s="168"/>
      <c r="Q348" s="168"/>
      <c r="R348" s="169" t="e">
        <f t="shared" si="49"/>
        <v>#DIV/0!</v>
      </c>
      <c r="S348" s="169">
        <f t="shared" si="50"/>
        <v>0</v>
      </c>
      <c r="T348" s="169">
        <f t="shared" si="51"/>
        <v>0</v>
      </c>
      <c r="U348" s="169">
        <f t="shared" si="52"/>
        <v>0</v>
      </c>
      <c r="V348" s="519"/>
      <c r="W348" s="170">
        <f>IF(N348="nio",0,IF(N348&gt;0,VLOOKUP(G348,'3-Productie normen'!A:N,VLOOKUP(N348,'3-Productie normen'!Q:R,2,FALSE),FALSE)))</f>
        <v>0</v>
      </c>
      <c r="X348" s="170">
        <f t="shared" si="53"/>
        <v>0</v>
      </c>
      <c r="Y348" s="170">
        <f t="shared" si="54"/>
        <v>0</v>
      </c>
      <c r="Z348" s="170">
        <f t="shared" si="55"/>
        <v>0</v>
      </c>
      <c r="AA348" s="171">
        <f>VLOOKUP(G348,'3-Productie normen'!A:N,10,FALSE)</f>
        <v>4</v>
      </c>
      <c r="AB348" s="171"/>
      <c r="AD348" s="131">
        <f t="shared" si="56"/>
        <v>19023</v>
      </c>
    </row>
    <row r="349" spans="1:30" ht="14.1" customHeight="1">
      <c r="A349" s="147">
        <v>348</v>
      </c>
      <c r="B349" s="165" t="s">
        <v>471</v>
      </c>
      <c r="C349" s="165" t="s">
        <v>472</v>
      </c>
      <c r="D349" s="571" t="s">
        <v>102</v>
      </c>
      <c r="E349" s="178" t="s">
        <v>248</v>
      </c>
      <c r="F349" s="178" t="s">
        <v>425</v>
      </c>
      <c r="G349" s="165" t="s">
        <v>17</v>
      </c>
      <c r="H349" s="178" t="s">
        <v>105</v>
      </c>
      <c r="I349" s="565">
        <v>3.8</v>
      </c>
      <c r="J349" s="482">
        <v>1</v>
      </c>
      <c r="K349" s="482">
        <v>1</v>
      </c>
      <c r="L349" s="482">
        <v>1</v>
      </c>
      <c r="M349" s="482">
        <v>1</v>
      </c>
      <c r="N349" s="168">
        <v>255</v>
      </c>
      <c r="O349" s="168"/>
      <c r="P349" s="168"/>
      <c r="Q349" s="168"/>
      <c r="R349" s="169" t="e">
        <f t="shared" si="49"/>
        <v>#DIV/0!</v>
      </c>
      <c r="S349" s="169">
        <f t="shared" si="50"/>
        <v>0</v>
      </c>
      <c r="T349" s="169">
        <f t="shared" si="51"/>
        <v>0</v>
      </c>
      <c r="U349" s="169">
        <f t="shared" si="52"/>
        <v>0</v>
      </c>
      <c r="V349" s="519"/>
      <c r="W349" s="170">
        <f>IF(N349="nio",0,IF(N349&gt;0,VLOOKUP(G349,'3-Productie normen'!A:N,VLOOKUP(N349,'3-Productie normen'!Q:R,2,FALSE),FALSE)))</f>
        <v>0</v>
      </c>
      <c r="X349" s="170">
        <f t="shared" si="53"/>
        <v>0</v>
      </c>
      <c r="Y349" s="170">
        <f t="shared" si="54"/>
        <v>0</v>
      </c>
      <c r="Z349" s="170">
        <f t="shared" si="55"/>
        <v>0</v>
      </c>
      <c r="AA349" s="171">
        <f>VLOOKUP(G349,'3-Productie normen'!A:N,10,FALSE)</f>
        <v>3</v>
      </c>
      <c r="AB349" s="171"/>
      <c r="AD349" s="131">
        <f t="shared" si="56"/>
        <v>969</v>
      </c>
    </row>
    <row r="350" spans="1:30" ht="14.1" customHeight="1">
      <c r="A350" s="147">
        <v>349</v>
      </c>
      <c r="B350" s="165" t="s">
        <v>471</v>
      </c>
      <c r="C350" s="165" t="s">
        <v>472</v>
      </c>
      <c r="D350" s="571" t="s">
        <v>102</v>
      </c>
      <c r="E350" s="178" t="s">
        <v>250</v>
      </c>
      <c r="F350" s="178" t="s">
        <v>443</v>
      </c>
      <c r="G350" s="178" t="s">
        <v>199</v>
      </c>
      <c r="H350" s="178" t="s">
        <v>105</v>
      </c>
      <c r="I350" s="565">
        <v>2.85</v>
      </c>
      <c r="J350" s="482">
        <v>1</v>
      </c>
      <c r="K350" s="482">
        <v>1</v>
      </c>
      <c r="L350" s="482">
        <v>1</v>
      </c>
      <c r="M350" s="482">
        <v>1</v>
      </c>
      <c r="N350" s="168" t="s">
        <v>199</v>
      </c>
      <c r="O350" s="168"/>
      <c r="P350" s="168"/>
      <c r="Q350" s="168"/>
      <c r="R350" s="169">
        <f t="shared" si="49"/>
        <v>0</v>
      </c>
      <c r="S350" s="169">
        <f t="shared" si="50"/>
        <v>0</v>
      </c>
      <c r="T350" s="169">
        <f t="shared" si="51"/>
        <v>0</v>
      </c>
      <c r="U350" s="169">
        <f t="shared" si="52"/>
        <v>0</v>
      </c>
      <c r="V350" s="519"/>
      <c r="W350" s="170">
        <f>IF(N350="nio",0,IF(N350&gt;0,VLOOKUP(G350,'3-Productie normen'!A:N,VLOOKUP(N350,'3-Productie normen'!Q:R,2,FALSE),FALSE)))</f>
        <v>0</v>
      </c>
      <c r="X350" s="170">
        <f t="shared" si="53"/>
        <v>0</v>
      </c>
      <c r="Y350" s="170">
        <f t="shared" si="54"/>
        <v>0</v>
      </c>
      <c r="Z350" s="170">
        <f t="shared" si="55"/>
        <v>0</v>
      </c>
      <c r="AA350" s="171">
        <f>VLOOKUP(G350,'3-Productie normen'!A:N,10,FALSE)</f>
        <v>0</v>
      </c>
      <c r="AB350" s="171"/>
      <c r="AD350" s="131">
        <f t="shared" si="56"/>
        <v>0</v>
      </c>
    </row>
    <row r="351" spans="1:30" ht="14.1" customHeight="1">
      <c r="A351" s="147">
        <v>350</v>
      </c>
      <c r="B351" s="165" t="s">
        <v>471</v>
      </c>
      <c r="C351" s="165" t="s">
        <v>472</v>
      </c>
      <c r="D351" s="571" t="s">
        <v>102</v>
      </c>
      <c r="E351" s="178" t="s">
        <v>252</v>
      </c>
      <c r="F351" s="178" t="s">
        <v>430</v>
      </c>
      <c r="G351" s="128" t="s">
        <v>373</v>
      </c>
      <c r="H351" s="178" t="s">
        <v>272</v>
      </c>
      <c r="I351" s="565">
        <v>6</v>
      </c>
      <c r="J351" s="482">
        <v>1</v>
      </c>
      <c r="K351" s="482">
        <v>1</v>
      </c>
      <c r="L351" s="482">
        <v>1</v>
      </c>
      <c r="M351" s="482">
        <v>1</v>
      </c>
      <c r="N351" s="168">
        <v>255</v>
      </c>
      <c r="O351" s="168"/>
      <c r="P351" s="168"/>
      <c r="Q351" s="168"/>
      <c r="R351" s="169" t="e">
        <f t="shared" si="49"/>
        <v>#DIV/0!</v>
      </c>
      <c r="S351" s="169">
        <f t="shared" si="50"/>
        <v>0</v>
      </c>
      <c r="T351" s="169">
        <f t="shared" si="51"/>
        <v>0</v>
      </c>
      <c r="U351" s="169">
        <f t="shared" si="52"/>
        <v>0</v>
      </c>
      <c r="V351" s="519"/>
      <c r="W351" s="170">
        <f>IF(N351="nio",0,IF(N351&gt;0,VLOOKUP(G351,'3-Productie normen'!A:N,VLOOKUP(N351,'3-Productie normen'!Q:R,2,FALSE),FALSE)))</f>
        <v>0</v>
      </c>
      <c r="X351" s="170">
        <f t="shared" si="53"/>
        <v>0</v>
      </c>
      <c r="Y351" s="170">
        <f t="shared" si="54"/>
        <v>0</v>
      </c>
      <c r="Z351" s="170">
        <f t="shared" si="55"/>
        <v>0</v>
      </c>
      <c r="AA351" s="171">
        <f>VLOOKUP(G351,'3-Productie normen'!A:N,10,FALSE)</f>
        <v>1</v>
      </c>
      <c r="AB351" s="171"/>
      <c r="AD351" s="131">
        <f t="shared" si="56"/>
        <v>1530</v>
      </c>
    </row>
    <row r="352" spans="1:30" ht="14.1" customHeight="1">
      <c r="A352" s="147">
        <v>351</v>
      </c>
      <c r="B352" s="165" t="s">
        <v>471</v>
      </c>
      <c r="C352" s="165" t="s">
        <v>472</v>
      </c>
      <c r="D352" s="571" t="s">
        <v>102</v>
      </c>
      <c r="E352" s="178" t="s">
        <v>254</v>
      </c>
      <c r="F352" s="178" t="s">
        <v>432</v>
      </c>
      <c r="G352" s="128" t="s">
        <v>373</v>
      </c>
      <c r="H352" s="178" t="s">
        <v>272</v>
      </c>
      <c r="I352" s="565">
        <v>6</v>
      </c>
      <c r="J352" s="482">
        <v>1</v>
      </c>
      <c r="K352" s="482">
        <v>1</v>
      </c>
      <c r="L352" s="482">
        <v>1</v>
      </c>
      <c r="M352" s="482">
        <v>1</v>
      </c>
      <c r="N352" s="168">
        <v>255</v>
      </c>
      <c r="O352" s="168"/>
      <c r="P352" s="168"/>
      <c r="Q352" s="168"/>
      <c r="R352" s="169" t="e">
        <f t="shared" si="49"/>
        <v>#DIV/0!</v>
      </c>
      <c r="S352" s="169">
        <f t="shared" si="50"/>
        <v>0</v>
      </c>
      <c r="T352" s="169">
        <f t="shared" si="51"/>
        <v>0</v>
      </c>
      <c r="U352" s="169">
        <f t="shared" si="52"/>
        <v>0</v>
      </c>
      <c r="V352" s="519"/>
      <c r="W352" s="170">
        <f>IF(N352="nio",0,IF(N352&gt;0,VLOOKUP(G352,'3-Productie normen'!A:N,VLOOKUP(N352,'3-Productie normen'!Q:R,2,FALSE),FALSE)))</f>
        <v>0</v>
      </c>
      <c r="X352" s="170">
        <f t="shared" si="53"/>
        <v>0</v>
      </c>
      <c r="Y352" s="170">
        <f t="shared" si="54"/>
        <v>0</v>
      </c>
      <c r="Z352" s="170">
        <f t="shared" si="55"/>
        <v>0</v>
      </c>
      <c r="AA352" s="171">
        <f>VLOOKUP(G352,'3-Productie normen'!A:N,10,FALSE)</f>
        <v>1</v>
      </c>
      <c r="AB352" s="171"/>
      <c r="AD352" s="131">
        <f t="shared" si="56"/>
        <v>1530</v>
      </c>
    </row>
    <row r="353" spans="1:30" ht="14.1" customHeight="1">
      <c r="A353" s="147">
        <v>352</v>
      </c>
      <c r="B353" s="165" t="s">
        <v>471</v>
      </c>
      <c r="C353" s="165" t="s">
        <v>472</v>
      </c>
      <c r="D353" s="571" t="s">
        <v>102</v>
      </c>
      <c r="E353" s="178" t="s">
        <v>256</v>
      </c>
      <c r="F353" s="178" t="s">
        <v>434</v>
      </c>
      <c r="G353" s="128" t="s">
        <v>373</v>
      </c>
      <c r="H353" s="178" t="s">
        <v>272</v>
      </c>
      <c r="I353" s="565">
        <v>6</v>
      </c>
      <c r="J353" s="482">
        <v>1</v>
      </c>
      <c r="K353" s="482">
        <v>1</v>
      </c>
      <c r="L353" s="482">
        <v>1</v>
      </c>
      <c r="M353" s="482">
        <v>1</v>
      </c>
      <c r="N353" s="168">
        <v>255</v>
      </c>
      <c r="O353" s="168"/>
      <c r="P353" s="168"/>
      <c r="Q353" s="168"/>
      <c r="R353" s="169" t="e">
        <f t="shared" si="49"/>
        <v>#DIV/0!</v>
      </c>
      <c r="S353" s="169">
        <f t="shared" si="50"/>
        <v>0</v>
      </c>
      <c r="T353" s="169">
        <f t="shared" si="51"/>
        <v>0</v>
      </c>
      <c r="U353" s="169">
        <f t="shared" si="52"/>
        <v>0</v>
      </c>
      <c r="V353" s="519"/>
      <c r="W353" s="170">
        <f>IF(N353="nio",0,IF(N353&gt;0,VLOOKUP(G353,'3-Productie normen'!A:N,VLOOKUP(N353,'3-Productie normen'!Q:R,2,FALSE),FALSE)))</f>
        <v>0</v>
      </c>
      <c r="X353" s="170">
        <f t="shared" si="53"/>
        <v>0</v>
      </c>
      <c r="Y353" s="170">
        <f t="shared" si="54"/>
        <v>0</v>
      </c>
      <c r="Z353" s="170">
        <f t="shared" si="55"/>
        <v>0</v>
      </c>
      <c r="AA353" s="171">
        <f>VLOOKUP(G353,'3-Productie normen'!A:N,10,FALSE)</f>
        <v>1</v>
      </c>
      <c r="AB353" s="171"/>
      <c r="AD353" s="131">
        <f t="shared" si="56"/>
        <v>1530</v>
      </c>
    </row>
    <row r="354" spans="1:30" ht="14.1" customHeight="1">
      <c r="A354" s="147">
        <v>353</v>
      </c>
      <c r="B354" s="165" t="s">
        <v>471</v>
      </c>
      <c r="C354" s="165" t="s">
        <v>472</v>
      </c>
      <c r="D354" s="571" t="s">
        <v>102</v>
      </c>
      <c r="E354" s="178" t="s">
        <v>258</v>
      </c>
      <c r="F354" s="178" t="s">
        <v>436</v>
      </c>
      <c r="G354" s="128" t="s">
        <v>373</v>
      </c>
      <c r="H354" s="178" t="s">
        <v>272</v>
      </c>
      <c r="I354" s="565">
        <v>6</v>
      </c>
      <c r="J354" s="482">
        <v>1</v>
      </c>
      <c r="K354" s="482">
        <v>1</v>
      </c>
      <c r="L354" s="482">
        <v>1</v>
      </c>
      <c r="M354" s="482">
        <v>1</v>
      </c>
      <c r="N354" s="168">
        <v>255</v>
      </c>
      <c r="O354" s="168"/>
      <c r="P354" s="168"/>
      <c r="Q354" s="168"/>
      <c r="R354" s="169" t="e">
        <f t="shared" si="49"/>
        <v>#DIV/0!</v>
      </c>
      <c r="S354" s="169">
        <f t="shared" si="50"/>
        <v>0</v>
      </c>
      <c r="T354" s="169">
        <f t="shared" si="51"/>
        <v>0</v>
      </c>
      <c r="U354" s="169">
        <f t="shared" si="52"/>
        <v>0</v>
      </c>
      <c r="V354" s="519"/>
      <c r="W354" s="170">
        <f>IF(N354="nio",0,IF(N354&gt;0,VLOOKUP(G354,'3-Productie normen'!A:N,VLOOKUP(N354,'3-Productie normen'!Q:R,2,FALSE),FALSE)))</f>
        <v>0</v>
      </c>
      <c r="X354" s="170">
        <f t="shared" si="53"/>
        <v>0</v>
      </c>
      <c r="Y354" s="170">
        <f t="shared" si="54"/>
        <v>0</v>
      </c>
      <c r="Z354" s="170">
        <f t="shared" si="55"/>
        <v>0</v>
      </c>
      <c r="AA354" s="171">
        <f>VLOOKUP(G354,'3-Productie normen'!A:N,10,FALSE)</f>
        <v>1</v>
      </c>
      <c r="AB354" s="171"/>
      <c r="AD354" s="131">
        <f t="shared" si="56"/>
        <v>1530</v>
      </c>
    </row>
    <row r="355" spans="1:30" ht="14.1" customHeight="1">
      <c r="A355" s="147">
        <v>354</v>
      </c>
      <c r="B355" s="165" t="s">
        <v>471</v>
      </c>
      <c r="C355" s="165" t="s">
        <v>472</v>
      </c>
      <c r="D355" s="571" t="s">
        <v>102</v>
      </c>
      <c r="E355" s="178" t="s">
        <v>259</v>
      </c>
      <c r="F355" s="178" t="s">
        <v>477</v>
      </c>
      <c r="G355" s="525" t="s">
        <v>583</v>
      </c>
      <c r="H355" s="178" t="s">
        <v>272</v>
      </c>
      <c r="I355" s="565">
        <v>12.5</v>
      </c>
      <c r="J355" s="482">
        <v>1</v>
      </c>
      <c r="K355" s="482">
        <v>1</v>
      </c>
      <c r="L355" s="482">
        <v>1</v>
      </c>
      <c r="M355" s="482">
        <v>1</v>
      </c>
      <c r="N355" s="168">
        <v>255</v>
      </c>
      <c r="O355" s="168"/>
      <c r="P355" s="168"/>
      <c r="Q355" s="168"/>
      <c r="R355" s="169" t="e">
        <f t="shared" si="49"/>
        <v>#DIV/0!</v>
      </c>
      <c r="S355" s="169">
        <f t="shared" si="50"/>
        <v>0</v>
      </c>
      <c r="T355" s="169">
        <f t="shared" si="51"/>
        <v>0</v>
      </c>
      <c r="U355" s="169">
        <f t="shared" si="52"/>
        <v>0</v>
      </c>
      <c r="V355" s="519"/>
      <c r="W355" s="170">
        <f>IF(N355="nio",0,IF(N355&gt;0,VLOOKUP(G355,'3-Productie normen'!A:N,VLOOKUP(N355,'3-Productie normen'!Q:R,2,FALSE),FALSE)))</f>
        <v>0</v>
      </c>
      <c r="X355" s="170">
        <f t="shared" si="53"/>
        <v>0</v>
      </c>
      <c r="Y355" s="170">
        <f t="shared" si="54"/>
        <v>0</v>
      </c>
      <c r="Z355" s="170">
        <f t="shared" si="55"/>
        <v>0</v>
      </c>
      <c r="AA355" s="171">
        <f>VLOOKUP(G355,'3-Productie normen'!A:N,10,FALSE)</f>
        <v>4</v>
      </c>
      <c r="AB355" s="171"/>
      <c r="AD355" s="131">
        <f t="shared" si="56"/>
        <v>3187.5</v>
      </c>
    </row>
    <row r="356" spans="1:30" ht="14.1" customHeight="1">
      <c r="A356" s="147">
        <v>355</v>
      </c>
      <c r="B356" s="165" t="s">
        <v>471</v>
      </c>
      <c r="C356" s="165" t="s">
        <v>472</v>
      </c>
      <c r="D356" s="571" t="s">
        <v>102</v>
      </c>
      <c r="E356" s="178" t="s">
        <v>261</v>
      </c>
      <c r="F356" s="178" t="s">
        <v>279</v>
      </c>
      <c r="G356" s="525" t="s">
        <v>583</v>
      </c>
      <c r="H356" s="178" t="s">
        <v>451</v>
      </c>
      <c r="I356" s="565">
        <v>12</v>
      </c>
      <c r="J356" s="482">
        <v>1</v>
      </c>
      <c r="K356" s="482">
        <v>1</v>
      </c>
      <c r="L356" s="482">
        <v>1</v>
      </c>
      <c r="M356" s="482">
        <v>1</v>
      </c>
      <c r="N356" s="168">
        <v>255</v>
      </c>
      <c r="O356" s="168"/>
      <c r="P356" s="168"/>
      <c r="Q356" s="168"/>
      <c r="R356" s="169" t="e">
        <f t="shared" si="49"/>
        <v>#DIV/0!</v>
      </c>
      <c r="S356" s="169">
        <f t="shared" si="50"/>
        <v>0</v>
      </c>
      <c r="T356" s="169">
        <f t="shared" si="51"/>
        <v>0</v>
      </c>
      <c r="U356" s="169">
        <f t="shared" si="52"/>
        <v>0</v>
      </c>
      <c r="V356" s="519"/>
      <c r="W356" s="170">
        <f>IF(N356="nio",0,IF(N356&gt;0,VLOOKUP(G356,'3-Productie normen'!A:N,VLOOKUP(N356,'3-Productie normen'!Q:R,2,FALSE),FALSE)))</f>
        <v>0</v>
      </c>
      <c r="X356" s="170">
        <f t="shared" si="53"/>
        <v>0</v>
      </c>
      <c r="Y356" s="170">
        <f t="shared" si="54"/>
        <v>0</v>
      </c>
      <c r="Z356" s="170">
        <f t="shared" si="55"/>
        <v>0</v>
      </c>
      <c r="AA356" s="171">
        <f>VLOOKUP(G356,'3-Productie normen'!A:N,10,FALSE)</f>
        <v>4</v>
      </c>
      <c r="AB356" s="171"/>
      <c r="AD356" s="131">
        <f t="shared" si="56"/>
        <v>3060</v>
      </c>
    </row>
    <row r="357" spans="1:30" ht="14.1" customHeight="1">
      <c r="A357" s="147">
        <v>356</v>
      </c>
      <c r="B357" s="165" t="s">
        <v>471</v>
      </c>
      <c r="C357" s="165" t="s">
        <v>472</v>
      </c>
      <c r="D357" s="571" t="s">
        <v>102</v>
      </c>
      <c r="E357" s="178" t="s">
        <v>263</v>
      </c>
      <c r="F357" s="178" t="s">
        <v>478</v>
      </c>
      <c r="G357" s="167" t="s">
        <v>107</v>
      </c>
      <c r="H357" s="178" t="s">
        <v>482</v>
      </c>
      <c r="I357" s="565">
        <v>22.5</v>
      </c>
      <c r="J357" s="482">
        <v>1</v>
      </c>
      <c r="K357" s="482">
        <v>1</v>
      </c>
      <c r="L357" s="482">
        <v>1</v>
      </c>
      <c r="M357" s="482">
        <v>1</v>
      </c>
      <c r="N357" s="168">
        <v>255</v>
      </c>
      <c r="O357" s="168"/>
      <c r="P357" s="168"/>
      <c r="Q357" s="168"/>
      <c r="R357" s="169" t="e">
        <f t="shared" si="49"/>
        <v>#DIV/0!</v>
      </c>
      <c r="S357" s="169">
        <f t="shared" si="50"/>
        <v>0</v>
      </c>
      <c r="T357" s="169">
        <f t="shared" si="51"/>
        <v>0</v>
      </c>
      <c r="U357" s="169">
        <f t="shared" si="52"/>
        <v>0</v>
      </c>
      <c r="V357" s="519"/>
      <c r="W357" s="170">
        <f>IF(N357="nio",0,IF(N357&gt;0,VLOOKUP(G357,'3-Productie normen'!A:N,VLOOKUP(N357,'3-Productie normen'!Q:R,2,FALSE),FALSE)))</f>
        <v>0</v>
      </c>
      <c r="X357" s="170">
        <f t="shared" si="53"/>
        <v>0</v>
      </c>
      <c r="Y357" s="170">
        <f t="shared" si="54"/>
        <v>0</v>
      </c>
      <c r="Z357" s="170">
        <f t="shared" si="55"/>
        <v>0</v>
      </c>
      <c r="AA357" s="171">
        <f>VLOOKUP(G357,'3-Productie normen'!A:N,10,FALSE)</f>
        <v>2</v>
      </c>
      <c r="AB357" s="171"/>
      <c r="AD357" s="131">
        <f t="shared" si="56"/>
        <v>5737.5</v>
      </c>
    </row>
    <row r="358" spans="1:30" ht="14.1" customHeight="1">
      <c r="A358" s="147">
        <v>357</v>
      </c>
      <c r="B358" s="165" t="s">
        <v>471</v>
      </c>
      <c r="C358" s="165" t="s">
        <v>472</v>
      </c>
      <c r="D358" s="571" t="s">
        <v>102</v>
      </c>
      <c r="E358" s="178" t="s">
        <v>265</v>
      </c>
      <c r="F358" s="178" t="s">
        <v>444</v>
      </c>
      <c r="G358" s="167" t="s">
        <v>17</v>
      </c>
      <c r="H358" s="178" t="s">
        <v>105</v>
      </c>
      <c r="I358" s="565">
        <v>1.4</v>
      </c>
      <c r="J358" s="482">
        <v>1</v>
      </c>
      <c r="K358" s="482">
        <v>1</v>
      </c>
      <c r="L358" s="482">
        <v>1</v>
      </c>
      <c r="M358" s="482">
        <v>1</v>
      </c>
      <c r="N358" s="168">
        <v>255</v>
      </c>
      <c r="O358" s="168"/>
      <c r="P358" s="168"/>
      <c r="Q358" s="168"/>
      <c r="R358" s="169" t="e">
        <f t="shared" si="49"/>
        <v>#DIV/0!</v>
      </c>
      <c r="S358" s="169">
        <f t="shared" si="50"/>
        <v>0</v>
      </c>
      <c r="T358" s="169">
        <f t="shared" si="51"/>
        <v>0</v>
      </c>
      <c r="U358" s="169">
        <f t="shared" si="52"/>
        <v>0</v>
      </c>
      <c r="V358" s="519"/>
      <c r="W358" s="170">
        <f>IF(N358="nio",0,IF(N358&gt;0,VLOOKUP(G358,'3-Productie normen'!A:N,VLOOKUP(N358,'3-Productie normen'!Q:R,2,FALSE),FALSE)))</f>
        <v>0</v>
      </c>
      <c r="X358" s="170">
        <f t="shared" si="53"/>
        <v>0</v>
      </c>
      <c r="Y358" s="170">
        <f t="shared" si="54"/>
        <v>0</v>
      </c>
      <c r="Z358" s="170">
        <f t="shared" si="55"/>
        <v>0</v>
      </c>
      <c r="AA358" s="171">
        <f>VLOOKUP(G358,'3-Productie normen'!A:N,10,FALSE)</f>
        <v>3</v>
      </c>
      <c r="AB358" s="171"/>
      <c r="AD358" s="131">
        <f t="shared" si="56"/>
        <v>357</v>
      </c>
    </row>
    <row r="359" spans="1:30" ht="14.1" customHeight="1">
      <c r="A359" s="147">
        <v>358</v>
      </c>
      <c r="B359" s="165" t="s">
        <v>471</v>
      </c>
      <c r="C359" s="165" t="s">
        <v>472</v>
      </c>
      <c r="D359" s="571" t="s">
        <v>102</v>
      </c>
      <c r="E359" s="178" t="s">
        <v>267</v>
      </c>
      <c r="F359" s="178" t="s">
        <v>445</v>
      </c>
      <c r="G359" s="167" t="s">
        <v>17</v>
      </c>
      <c r="H359" s="178" t="s">
        <v>105</v>
      </c>
      <c r="I359" s="565">
        <v>1.4</v>
      </c>
      <c r="J359" s="482">
        <v>1</v>
      </c>
      <c r="K359" s="482">
        <v>1</v>
      </c>
      <c r="L359" s="482">
        <v>1</v>
      </c>
      <c r="M359" s="482">
        <v>1</v>
      </c>
      <c r="N359" s="168">
        <v>255</v>
      </c>
      <c r="O359" s="168"/>
      <c r="P359" s="168"/>
      <c r="Q359" s="168"/>
      <c r="R359" s="169" t="e">
        <f t="shared" si="49"/>
        <v>#DIV/0!</v>
      </c>
      <c r="S359" s="169">
        <f t="shared" si="50"/>
        <v>0</v>
      </c>
      <c r="T359" s="169">
        <f t="shared" si="51"/>
        <v>0</v>
      </c>
      <c r="U359" s="169">
        <f t="shared" si="52"/>
        <v>0</v>
      </c>
      <c r="V359" s="519"/>
      <c r="W359" s="170">
        <f>IF(N359="nio",0,IF(N359&gt;0,VLOOKUP(G359,'3-Productie normen'!A:N,VLOOKUP(N359,'3-Productie normen'!Q:R,2,FALSE),FALSE)))</f>
        <v>0</v>
      </c>
      <c r="X359" s="170">
        <f t="shared" si="53"/>
        <v>0</v>
      </c>
      <c r="Y359" s="170">
        <f t="shared" si="54"/>
        <v>0</v>
      </c>
      <c r="Z359" s="170">
        <f t="shared" si="55"/>
        <v>0</v>
      </c>
      <c r="AA359" s="171">
        <f>VLOOKUP(G359,'3-Productie normen'!A:N,10,FALSE)</f>
        <v>3</v>
      </c>
      <c r="AB359" s="171"/>
      <c r="AD359" s="131">
        <f t="shared" si="56"/>
        <v>357</v>
      </c>
    </row>
    <row r="360" spans="1:30" ht="14.1" customHeight="1">
      <c r="A360" s="147">
        <v>359</v>
      </c>
      <c r="B360" s="165" t="s">
        <v>471</v>
      </c>
      <c r="C360" s="165" t="s">
        <v>472</v>
      </c>
      <c r="D360" s="571" t="s">
        <v>102</v>
      </c>
      <c r="E360" s="178" t="s">
        <v>286</v>
      </c>
      <c r="F360" s="178" t="s">
        <v>353</v>
      </c>
      <c r="G360" s="177" t="s">
        <v>17</v>
      </c>
      <c r="H360" s="178" t="s">
        <v>105</v>
      </c>
      <c r="I360" s="565">
        <v>2.8</v>
      </c>
      <c r="J360" s="482">
        <v>1</v>
      </c>
      <c r="K360" s="482">
        <v>1</v>
      </c>
      <c r="L360" s="482">
        <v>1</v>
      </c>
      <c r="M360" s="482">
        <v>1</v>
      </c>
      <c r="N360" s="168">
        <v>255</v>
      </c>
      <c r="O360" s="168"/>
      <c r="P360" s="168"/>
      <c r="Q360" s="168"/>
      <c r="R360" s="169" t="e">
        <f t="shared" si="49"/>
        <v>#DIV/0!</v>
      </c>
      <c r="S360" s="169">
        <f t="shared" si="50"/>
        <v>0</v>
      </c>
      <c r="T360" s="169">
        <f t="shared" si="51"/>
        <v>0</v>
      </c>
      <c r="U360" s="169">
        <f t="shared" si="52"/>
        <v>0</v>
      </c>
      <c r="V360" s="519"/>
      <c r="W360" s="170">
        <f>IF(N360="nio",0,IF(N360&gt;0,VLOOKUP(G360,'3-Productie normen'!A:N,VLOOKUP(N360,'3-Productie normen'!Q:R,2,FALSE),FALSE)))</f>
        <v>0</v>
      </c>
      <c r="X360" s="170">
        <f t="shared" si="53"/>
        <v>0</v>
      </c>
      <c r="Y360" s="170">
        <f t="shared" si="54"/>
        <v>0</v>
      </c>
      <c r="Z360" s="170">
        <f t="shared" si="55"/>
        <v>0</v>
      </c>
      <c r="AA360" s="171">
        <f>VLOOKUP(G360,'3-Productie normen'!A:N,10,FALSE)</f>
        <v>3</v>
      </c>
      <c r="AB360" s="171"/>
      <c r="AD360" s="131">
        <f t="shared" si="56"/>
        <v>714</v>
      </c>
    </row>
    <row r="361" spans="1:30" ht="14.1" customHeight="1">
      <c r="A361" s="147">
        <v>360</v>
      </c>
      <c r="B361" s="165" t="s">
        <v>471</v>
      </c>
      <c r="C361" s="165" t="s">
        <v>472</v>
      </c>
      <c r="D361" s="571" t="s">
        <v>102</v>
      </c>
      <c r="E361" s="178" t="s">
        <v>288</v>
      </c>
      <c r="F361" s="178" t="s">
        <v>479</v>
      </c>
      <c r="G361" s="178" t="s">
        <v>199</v>
      </c>
      <c r="H361" s="178" t="s">
        <v>483</v>
      </c>
      <c r="I361" s="565">
        <v>3.1</v>
      </c>
      <c r="J361" s="482">
        <v>1</v>
      </c>
      <c r="K361" s="482">
        <v>1</v>
      </c>
      <c r="L361" s="482">
        <v>1</v>
      </c>
      <c r="M361" s="482">
        <v>1</v>
      </c>
      <c r="N361" s="168" t="s">
        <v>199</v>
      </c>
      <c r="O361" s="168"/>
      <c r="P361" s="168"/>
      <c r="Q361" s="168"/>
      <c r="R361" s="169">
        <f t="shared" si="49"/>
        <v>0</v>
      </c>
      <c r="S361" s="169">
        <f t="shared" si="50"/>
        <v>0</v>
      </c>
      <c r="T361" s="169">
        <f t="shared" si="51"/>
        <v>0</v>
      </c>
      <c r="U361" s="169">
        <f t="shared" si="52"/>
        <v>0</v>
      </c>
      <c r="V361" s="519"/>
      <c r="W361" s="170">
        <f>IF(N361="nio",0,IF(N361&gt;0,VLOOKUP(G361,'3-Productie normen'!A:N,VLOOKUP(N361,'3-Productie normen'!Q:R,2,FALSE),FALSE)))</f>
        <v>0</v>
      </c>
      <c r="X361" s="170">
        <f t="shared" si="53"/>
        <v>0</v>
      </c>
      <c r="Y361" s="170">
        <f t="shared" si="54"/>
        <v>0</v>
      </c>
      <c r="Z361" s="170">
        <f t="shared" si="55"/>
        <v>0</v>
      </c>
      <c r="AA361" s="171">
        <f>VLOOKUP(G361,'3-Productie normen'!A:N,10,FALSE)</f>
        <v>0</v>
      </c>
      <c r="AB361" s="171"/>
      <c r="AD361" s="131">
        <f t="shared" si="56"/>
        <v>0</v>
      </c>
    </row>
    <row r="362" spans="1:30" ht="14.1" customHeight="1">
      <c r="A362" s="147">
        <v>361</v>
      </c>
      <c r="B362" s="165" t="s">
        <v>471</v>
      </c>
      <c r="C362" s="165" t="s">
        <v>472</v>
      </c>
      <c r="D362" s="571" t="s">
        <v>102</v>
      </c>
      <c r="E362" s="178" t="s">
        <v>289</v>
      </c>
      <c r="F362" s="178" t="s">
        <v>480</v>
      </c>
      <c r="G362" s="178" t="s">
        <v>373</v>
      </c>
      <c r="H362" s="178" t="s">
        <v>484</v>
      </c>
      <c r="I362" s="565">
        <v>25.4</v>
      </c>
      <c r="J362" s="482">
        <v>1</v>
      </c>
      <c r="K362" s="482">
        <v>1</v>
      </c>
      <c r="L362" s="482">
        <v>1</v>
      </c>
      <c r="M362" s="482">
        <v>1</v>
      </c>
      <c r="N362" s="168">
        <v>255</v>
      </c>
      <c r="O362" s="168"/>
      <c r="P362" s="168"/>
      <c r="Q362" s="168"/>
      <c r="R362" s="169" t="e">
        <f t="shared" si="49"/>
        <v>#DIV/0!</v>
      </c>
      <c r="S362" s="169">
        <f t="shared" si="50"/>
        <v>0</v>
      </c>
      <c r="T362" s="169">
        <f t="shared" si="51"/>
        <v>0</v>
      </c>
      <c r="U362" s="169">
        <f t="shared" si="52"/>
        <v>0</v>
      </c>
      <c r="V362" s="519"/>
      <c r="W362" s="170">
        <f>IF(N362="nio",0,IF(N362&gt;0,VLOOKUP(G362,'3-Productie normen'!A:N,VLOOKUP(N362,'3-Productie normen'!Q:R,2,FALSE),FALSE)))</f>
        <v>0</v>
      </c>
      <c r="X362" s="170">
        <f t="shared" si="53"/>
        <v>0</v>
      </c>
      <c r="Y362" s="170">
        <f t="shared" si="54"/>
        <v>0</v>
      </c>
      <c r="Z362" s="170">
        <f t="shared" si="55"/>
        <v>0</v>
      </c>
      <c r="AA362" s="171">
        <f>VLOOKUP(G362,'3-Productie normen'!A:N,10,FALSE)</f>
        <v>1</v>
      </c>
      <c r="AB362" s="171"/>
      <c r="AD362" s="131">
        <f t="shared" si="56"/>
        <v>6477</v>
      </c>
    </row>
    <row r="363" spans="1:30" ht="14.1" customHeight="1">
      <c r="A363" s="147">
        <v>362</v>
      </c>
      <c r="B363" s="165" t="s">
        <v>471</v>
      </c>
      <c r="C363" s="165" t="s">
        <v>472</v>
      </c>
      <c r="D363" s="571" t="s">
        <v>102</v>
      </c>
      <c r="E363" s="178" t="s">
        <v>314</v>
      </c>
      <c r="F363" s="178" t="s">
        <v>481</v>
      </c>
      <c r="G363" s="178" t="s">
        <v>373</v>
      </c>
      <c r="H363" s="178" t="s">
        <v>272</v>
      </c>
      <c r="I363" s="565">
        <v>8</v>
      </c>
      <c r="J363" s="482">
        <v>1</v>
      </c>
      <c r="K363" s="482">
        <v>1</v>
      </c>
      <c r="L363" s="482">
        <v>1</v>
      </c>
      <c r="M363" s="482">
        <v>1</v>
      </c>
      <c r="N363" s="168">
        <v>255</v>
      </c>
      <c r="O363" s="168"/>
      <c r="P363" s="168"/>
      <c r="Q363" s="168"/>
      <c r="R363" s="169" t="e">
        <f t="shared" si="49"/>
        <v>#DIV/0!</v>
      </c>
      <c r="S363" s="169">
        <f t="shared" si="50"/>
        <v>0</v>
      </c>
      <c r="T363" s="169">
        <f t="shared" si="51"/>
        <v>0</v>
      </c>
      <c r="U363" s="169">
        <f t="shared" si="52"/>
        <v>0</v>
      </c>
      <c r="V363" s="519"/>
      <c r="W363" s="170">
        <f>IF(N363="nio",0,IF(N363&gt;0,VLOOKUP(G363,'3-Productie normen'!A:N,VLOOKUP(N363,'3-Productie normen'!Q:R,2,FALSE),FALSE)))</f>
        <v>0</v>
      </c>
      <c r="X363" s="170">
        <f t="shared" si="53"/>
        <v>0</v>
      </c>
      <c r="Y363" s="170">
        <f t="shared" si="54"/>
        <v>0</v>
      </c>
      <c r="Z363" s="170">
        <f t="shared" si="55"/>
        <v>0</v>
      </c>
      <c r="AA363" s="171">
        <f>VLOOKUP(G363,'3-Productie normen'!A:N,10,FALSE)</f>
        <v>1</v>
      </c>
      <c r="AB363" s="171"/>
      <c r="AD363" s="131">
        <f t="shared" si="56"/>
        <v>2040</v>
      </c>
    </row>
    <row r="364" spans="1:30" ht="14.1" customHeight="1">
      <c r="A364" s="147">
        <v>363</v>
      </c>
      <c r="B364" s="165" t="s">
        <v>485</v>
      </c>
      <c r="C364" s="165" t="s">
        <v>486</v>
      </c>
      <c r="D364" s="570" t="s">
        <v>102</v>
      </c>
      <c r="E364" s="178" t="s">
        <v>247</v>
      </c>
      <c r="F364" s="178" t="s">
        <v>103</v>
      </c>
      <c r="G364" s="525" t="s">
        <v>583</v>
      </c>
      <c r="H364" s="178" t="s">
        <v>104</v>
      </c>
      <c r="I364" s="565">
        <v>4.59</v>
      </c>
      <c r="J364" s="482">
        <v>1</v>
      </c>
      <c r="K364" s="482">
        <v>1</v>
      </c>
      <c r="L364" s="482">
        <v>1</v>
      </c>
      <c r="M364" s="482">
        <v>1</v>
      </c>
      <c r="N364" s="168">
        <v>255</v>
      </c>
      <c r="O364" s="168"/>
      <c r="P364" s="168"/>
      <c r="Q364" s="168"/>
      <c r="R364" s="169" t="e">
        <f t="shared" si="49"/>
        <v>#DIV/0!</v>
      </c>
      <c r="S364" s="169">
        <f t="shared" si="50"/>
        <v>0</v>
      </c>
      <c r="T364" s="169">
        <f t="shared" si="51"/>
        <v>0</v>
      </c>
      <c r="U364" s="169">
        <f t="shared" si="52"/>
        <v>0</v>
      </c>
      <c r="V364" s="519"/>
      <c r="W364" s="170">
        <f>IF(N364="nio",0,IF(N364&gt;0,VLOOKUP(G364,'3-Productie normen'!A:N,VLOOKUP(N364,'3-Productie normen'!Q:R,2,FALSE),FALSE)))</f>
        <v>0</v>
      </c>
      <c r="X364" s="170">
        <f t="shared" si="53"/>
        <v>0</v>
      </c>
      <c r="Y364" s="170">
        <f t="shared" si="54"/>
        <v>0</v>
      </c>
      <c r="Z364" s="170">
        <f t="shared" si="55"/>
        <v>0</v>
      </c>
      <c r="AA364" s="171">
        <f>VLOOKUP(G364,'3-Productie normen'!A:N,10,FALSE)</f>
        <v>4</v>
      </c>
      <c r="AB364" s="171"/>
      <c r="AD364" s="131">
        <f t="shared" si="56"/>
        <v>1170.45</v>
      </c>
    </row>
    <row r="365" spans="1:30" ht="14.1" customHeight="1">
      <c r="A365" s="147">
        <v>364</v>
      </c>
      <c r="B365" s="165" t="s">
        <v>485</v>
      </c>
      <c r="C365" s="165" t="s">
        <v>486</v>
      </c>
      <c r="D365" s="570" t="s">
        <v>102</v>
      </c>
      <c r="E365" s="178" t="s">
        <v>248</v>
      </c>
      <c r="F365" s="178" t="s">
        <v>487</v>
      </c>
      <c r="G365" s="165" t="s">
        <v>579</v>
      </c>
      <c r="H365" s="178" t="s">
        <v>104</v>
      </c>
      <c r="I365" s="565">
        <v>98.48</v>
      </c>
      <c r="J365" s="482">
        <v>1</v>
      </c>
      <c r="K365" s="482">
        <v>1</v>
      </c>
      <c r="L365" s="482">
        <v>1</v>
      </c>
      <c r="M365" s="482">
        <v>1</v>
      </c>
      <c r="N365" s="168">
        <v>255</v>
      </c>
      <c r="O365" s="168"/>
      <c r="P365" s="168"/>
      <c r="Q365" s="168"/>
      <c r="R365" s="169" t="e">
        <f t="shared" si="49"/>
        <v>#DIV/0!</v>
      </c>
      <c r="S365" s="169">
        <f t="shared" si="50"/>
        <v>0</v>
      </c>
      <c r="T365" s="169">
        <f t="shared" si="51"/>
        <v>0</v>
      </c>
      <c r="U365" s="169">
        <f t="shared" si="52"/>
        <v>0</v>
      </c>
      <c r="V365" s="519"/>
      <c r="W365" s="170">
        <f>IF(N365="nio",0,IF(N365&gt;0,VLOOKUP(G365,'3-Productie normen'!A:N,VLOOKUP(N365,'3-Productie normen'!Q:R,2,FALSE),FALSE)))</f>
        <v>0</v>
      </c>
      <c r="X365" s="170">
        <f t="shared" si="53"/>
        <v>0</v>
      </c>
      <c r="Y365" s="170">
        <f t="shared" si="54"/>
        <v>0</v>
      </c>
      <c r="Z365" s="170">
        <f t="shared" si="55"/>
        <v>0</v>
      </c>
      <c r="AA365" s="171">
        <f>VLOOKUP(G365,'3-Productie normen'!A:N,10,FALSE)</f>
        <v>4</v>
      </c>
      <c r="AB365" s="171"/>
      <c r="AD365" s="131">
        <f t="shared" si="56"/>
        <v>25112.400000000001</v>
      </c>
    </row>
    <row r="366" spans="1:30" ht="14.1" customHeight="1">
      <c r="A366" s="147">
        <v>365</v>
      </c>
      <c r="B366" s="165" t="s">
        <v>485</v>
      </c>
      <c r="C366" s="165" t="s">
        <v>486</v>
      </c>
      <c r="D366" s="570" t="s">
        <v>102</v>
      </c>
      <c r="E366" s="178" t="s">
        <v>250</v>
      </c>
      <c r="F366" s="178" t="s">
        <v>266</v>
      </c>
      <c r="G366" s="128" t="s">
        <v>373</v>
      </c>
      <c r="H366" s="178" t="s">
        <v>104</v>
      </c>
      <c r="I366" s="565">
        <v>18.8</v>
      </c>
      <c r="J366" s="482">
        <v>1</v>
      </c>
      <c r="K366" s="482">
        <v>1</v>
      </c>
      <c r="L366" s="482">
        <v>1</v>
      </c>
      <c r="M366" s="482">
        <v>1</v>
      </c>
      <c r="N366" s="168">
        <v>255</v>
      </c>
      <c r="O366" s="168"/>
      <c r="P366" s="168"/>
      <c r="Q366" s="168"/>
      <c r="R366" s="169" t="e">
        <f t="shared" si="49"/>
        <v>#DIV/0!</v>
      </c>
      <c r="S366" s="169">
        <f t="shared" si="50"/>
        <v>0</v>
      </c>
      <c r="T366" s="169">
        <f t="shared" si="51"/>
        <v>0</v>
      </c>
      <c r="U366" s="169">
        <f t="shared" si="52"/>
        <v>0</v>
      </c>
      <c r="V366" s="519"/>
      <c r="W366" s="170">
        <f>IF(N366="nio",0,IF(N366&gt;0,VLOOKUP(G366,'3-Productie normen'!A:N,VLOOKUP(N366,'3-Productie normen'!Q:R,2,FALSE),FALSE)))</f>
        <v>0</v>
      </c>
      <c r="X366" s="170">
        <f t="shared" si="53"/>
        <v>0</v>
      </c>
      <c r="Y366" s="170">
        <f t="shared" si="54"/>
        <v>0</v>
      </c>
      <c r="Z366" s="170">
        <f t="shared" si="55"/>
        <v>0</v>
      </c>
      <c r="AA366" s="171">
        <f>VLOOKUP(G366,'3-Productie normen'!A:N,10,FALSE)</f>
        <v>1</v>
      </c>
      <c r="AB366" s="171"/>
      <c r="AD366" s="131">
        <f t="shared" si="56"/>
        <v>4794</v>
      </c>
    </row>
    <row r="367" spans="1:30" ht="14.1" customHeight="1">
      <c r="A367" s="147">
        <v>366</v>
      </c>
      <c r="B367" s="165" t="s">
        <v>485</v>
      </c>
      <c r="C367" s="165" t="s">
        <v>486</v>
      </c>
      <c r="D367" s="570" t="s">
        <v>102</v>
      </c>
      <c r="E367" s="178" t="s">
        <v>252</v>
      </c>
      <c r="F367" s="178" t="s">
        <v>488</v>
      </c>
      <c r="G367" s="167" t="s">
        <v>17</v>
      </c>
      <c r="H367" s="178" t="s">
        <v>105</v>
      </c>
      <c r="I367" s="565">
        <v>7.01</v>
      </c>
      <c r="J367" s="482">
        <v>1</v>
      </c>
      <c r="K367" s="482">
        <v>1</v>
      </c>
      <c r="L367" s="482">
        <v>1</v>
      </c>
      <c r="M367" s="482">
        <v>1</v>
      </c>
      <c r="N367" s="168">
        <v>255</v>
      </c>
      <c r="O367" s="168"/>
      <c r="P367" s="168"/>
      <c r="Q367" s="168"/>
      <c r="R367" s="169" t="e">
        <f t="shared" si="49"/>
        <v>#DIV/0!</v>
      </c>
      <c r="S367" s="169">
        <f t="shared" si="50"/>
        <v>0</v>
      </c>
      <c r="T367" s="169">
        <f t="shared" si="51"/>
        <v>0</v>
      </c>
      <c r="U367" s="169">
        <f t="shared" si="52"/>
        <v>0</v>
      </c>
      <c r="V367" s="519"/>
      <c r="W367" s="170">
        <f>IF(N367="nio",0,IF(N367&gt;0,VLOOKUP(G367,'3-Productie normen'!A:N,VLOOKUP(N367,'3-Productie normen'!Q:R,2,FALSE),FALSE)))</f>
        <v>0</v>
      </c>
      <c r="X367" s="170">
        <f t="shared" si="53"/>
        <v>0</v>
      </c>
      <c r="Y367" s="170">
        <f t="shared" si="54"/>
        <v>0</v>
      </c>
      <c r="Z367" s="170">
        <f t="shared" si="55"/>
        <v>0</v>
      </c>
      <c r="AA367" s="171">
        <f>VLOOKUP(G367,'3-Productie normen'!A:N,10,FALSE)</f>
        <v>3</v>
      </c>
      <c r="AB367" s="171"/>
      <c r="AD367" s="131">
        <f t="shared" si="56"/>
        <v>1787.55</v>
      </c>
    </row>
    <row r="368" spans="1:30" ht="14.1" customHeight="1">
      <c r="A368" s="147">
        <v>367</v>
      </c>
      <c r="B368" s="165" t="s">
        <v>485</v>
      </c>
      <c r="C368" s="165" t="s">
        <v>486</v>
      </c>
      <c r="D368" s="570" t="s">
        <v>102</v>
      </c>
      <c r="E368" s="178" t="s">
        <v>254</v>
      </c>
      <c r="F368" s="178" t="s">
        <v>279</v>
      </c>
      <c r="G368" s="525" t="s">
        <v>583</v>
      </c>
      <c r="H368" s="178" t="s">
        <v>104</v>
      </c>
      <c r="I368" s="565">
        <v>9.33</v>
      </c>
      <c r="J368" s="482">
        <v>1</v>
      </c>
      <c r="K368" s="482">
        <v>1</v>
      </c>
      <c r="L368" s="482">
        <v>1</v>
      </c>
      <c r="M368" s="482">
        <v>1</v>
      </c>
      <c r="N368" s="168">
        <v>255</v>
      </c>
      <c r="O368" s="168"/>
      <c r="P368" s="168"/>
      <c r="Q368" s="168"/>
      <c r="R368" s="169" t="e">
        <f t="shared" si="49"/>
        <v>#DIV/0!</v>
      </c>
      <c r="S368" s="169">
        <f t="shared" si="50"/>
        <v>0</v>
      </c>
      <c r="T368" s="169">
        <f t="shared" si="51"/>
        <v>0</v>
      </c>
      <c r="U368" s="169">
        <f t="shared" si="52"/>
        <v>0</v>
      </c>
      <c r="V368" s="519"/>
      <c r="W368" s="170">
        <f>IF(N368="nio",0,IF(N368&gt;0,VLOOKUP(G368,'3-Productie normen'!A:N,VLOOKUP(N368,'3-Productie normen'!Q:R,2,FALSE),FALSE)))</f>
        <v>0</v>
      </c>
      <c r="X368" s="170">
        <f t="shared" si="53"/>
        <v>0</v>
      </c>
      <c r="Y368" s="170">
        <f t="shared" si="54"/>
        <v>0</v>
      </c>
      <c r="Z368" s="170">
        <f t="shared" si="55"/>
        <v>0</v>
      </c>
      <c r="AA368" s="171">
        <f>VLOOKUP(G368,'3-Productie normen'!A:N,10,FALSE)</f>
        <v>4</v>
      </c>
      <c r="AB368" s="171"/>
      <c r="AD368" s="131">
        <f t="shared" si="56"/>
        <v>2379.15</v>
      </c>
    </row>
    <row r="369" spans="1:30" ht="14.1" customHeight="1">
      <c r="A369" s="147">
        <v>368</v>
      </c>
      <c r="B369" s="165" t="s">
        <v>485</v>
      </c>
      <c r="C369" s="165" t="s">
        <v>486</v>
      </c>
      <c r="D369" s="570" t="s">
        <v>102</v>
      </c>
      <c r="E369" s="178" t="s">
        <v>256</v>
      </c>
      <c r="F369" s="178" t="s">
        <v>264</v>
      </c>
      <c r="G369" s="128" t="s">
        <v>373</v>
      </c>
      <c r="H369" s="178" t="s">
        <v>104</v>
      </c>
      <c r="I369" s="565">
        <v>12.36</v>
      </c>
      <c r="J369" s="482">
        <v>1</v>
      </c>
      <c r="K369" s="482">
        <v>1</v>
      </c>
      <c r="L369" s="482">
        <v>1</v>
      </c>
      <c r="M369" s="482">
        <v>1</v>
      </c>
      <c r="N369" s="168">
        <v>255</v>
      </c>
      <c r="O369" s="168"/>
      <c r="P369" s="168"/>
      <c r="Q369" s="168"/>
      <c r="R369" s="169" t="e">
        <f t="shared" si="49"/>
        <v>#DIV/0!</v>
      </c>
      <c r="S369" s="169">
        <f t="shared" si="50"/>
        <v>0</v>
      </c>
      <c r="T369" s="169">
        <f t="shared" si="51"/>
        <v>0</v>
      </c>
      <c r="U369" s="169">
        <f t="shared" si="52"/>
        <v>0</v>
      </c>
      <c r="V369" s="519"/>
      <c r="W369" s="170">
        <f>IF(N369="nio",0,IF(N369&gt;0,VLOOKUP(G369,'3-Productie normen'!A:N,VLOOKUP(N369,'3-Productie normen'!Q:R,2,FALSE),FALSE)))</f>
        <v>0</v>
      </c>
      <c r="X369" s="170">
        <f t="shared" si="53"/>
        <v>0</v>
      </c>
      <c r="Y369" s="170">
        <f t="shared" si="54"/>
        <v>0</v>
      </c>
      <c r="Z369" s="170">
        <f t="shared" si="55"/>
        <v>0</v>
      </c>
      <c r="AA369" s="171">
        <f>VLOOKUP(G369,'3-Productie normen'!A:N,10,FALSE)</f>
        <v>1</v>
      </c>
      <c r="AB369" s="171"/>
      <c r="AD369" s="131">
        <f t="shared" si="56"/>
        <v>3151.7999999999997</v>
      </c>
    </row>
    <row r="370" spans="1:30" ht="14.1" customHeight="1">
      <c r="A370" s="147">
        <v>369</v>
      </c>
      <c r="B370" s="165" t="s">
        <v>485</v>
      </c>
      <c r="C370" s="165" t="s">
        <v>486</v>
      </c>
      <c r="D370" s="570" t="s">
        <v>102</v>
      </c>
      <c r="E370" s="178" t="s">
        <v>258</v>
      </c>
      <c r="F370" s="178" t="s">
        <v>251</v>
      </c>
      <c r="G370" s="165" t="s">
        <v>373</v>
      </c>
      <c r="H370" s="178" t="s">
        <v>104</v>
      </c>
      <c r="I370" s="565">
        <v>22</v>
      </c>
      <c r="J370" s="482">
        <v>1</v>
      </c>
      <c r="K370" s="482">
        <v>1</v>
      </c>
      <c r="L370" s="482">
        <v>1</v>
      </c>
      <c r="M370" s="482">
        <v>1</v>
      </c>
      <c r="N370" s="168">
        <v>255</v>
      </c>
      <c r="O370" s="168"/>
      <c r="P370" s="168"/>
      <c r="Q370" s="168"/>
      <c r="R370" s="169" t="e">
        <f t="shared" si="49"/>
        <v>#DIV/0!</v>
      </c>
      <c r="S370" s="169">
        <f t="shared" si="50"/>
        <v>0</v>
      </c>
      <c r="T370" s="169">
        <f t="shared" si="51"/>
        <v>0</v>
      </c>
      <c r="U370" s="169">
        <f t="shared" si="52"/>
        <v>0</v>
      </c>
      <c r="V370" s="519"/>
      <c r="W370" s="170">
        <f>IF(N370="nio",0,IF(N370&gt;0,VLOOKUP(G370,'3-Productie normen'!A:N,VLOOKUP(N370,'3-Productie normen'!Q:R,2,FALSE),FALSE)))</f>
        <v>0</v>
      </c>
      <c r="X370" s="170">
        <f t="shared" si="53"/>
        <v>0</v>
      </c>
      <c r="Y370" s="170">
        <f t="shared" si="54"/>
        <v>0</v>
      </c>
      <c r="Z370" s="170">
        <f t="shared" si="55"/>
        <v>0</v>
      </c>
      <c r="AA370" s="171">
        <f>VLOOKUP(G370,'3-Productie normen'!A:N,10,FALSE)</f>
        <v>1</v>
      </c>
      <c r="AB370" s="171"/>
      <c r="AD370" s="131">
        <f t="shared" si="56"/>
        <v>5610</v>
      </c>
    </row>
    <row r="371" spans="1:30" ht="14.1" customHeight="1">
      <c r="A371" s="147">
        <v>370</v>
      </c>
      <c r="B371" s="165" t="s">
        <v>485</v>
      </c>
      <c r="C371" s="165" t="s">
        <v>486</v>
      </c>
      <c r="D371" s="570" t="s">
        <v>102</v>
      </c>
      <c r="E371" s="178" t="s">
        <v>259</v>
      </c>
      <c r="F371" s="178" t="s">
        <v>489</v>
      </c>
      <c r="G371" s="525" t="s">
        <v>583</v>
      </c>
      <c r="H371" s="178" t="s">
        <v>104</v>
      </c>
      <c r="I371" s="565">
        <v>14.86</v>
      </c>
      <c r="J371" s="482">
        <v>1</v>
      </c>
      <c r="K371" s="482">
        <v>1</v>
      </c>
      <c r="L371" s="482">
        <v>1</v>
      </c>
      <c r="M371" s="482">
        <v>1</v>
      </c>
      <c r="N371" s="168">
        <v>255</v>
      </c>
      <c r="O371" s="168"/>
      <c r="P371" s="168"/>
      <c r="Q371" s="168"/>
      <c r="R371" s="169" t="e">
        <f t="shared" si="49"/>
        <v>#DIV/0!</v>
      </c>
      <c r="S371" s="169">
        <f t="shared" si="50"/>
        <v>0</v>
      </c>
      <c r="T371" s="169">
        <f t="shared" si="51"/>
        <v>0</v>
      </c>
      <c r="U371" s="169">
        <f t="shared" si="52"/>
        <v>0</v>
      </c>
      <c r="V371" s="519"/>
      <c r="W371" s="170">
        <f>IF(N371="nio",0,IF(N371&gt;0,VLOOKUP(G371,'3-Productie normen'!A:N,VLOOKUP(N371,'3-Productie normen'!Q:R,2,FALSE),FALSE)))</f>
        <v>0</v>
      </c>
      <c r="X371" s="170">
        <f t="shared" si="53"/>
        <v>0</v>
      </c>
      <c r="Y371" s="170">
        <f t="shared" si="54"/>
        <v>0</v>
      </c>
      <c r="Z371" s="170">
        <f t="shared" si="55"/>
        <v>0</v>
      </c>
      <c r="AA371" s="171">
        <f>VLOOKUP(G371,'3-Productie normen'!A:N,10,FALSE)</f>
        <v>4</v>
      </c>
      <c r="AB371" s="171"/>
      <c r="AD371" s="131">
        <f t="shared" si="56"/>
        <v>3789.2999999999997</v>
      </c>
    </row>
    <row r="372" spans="1:30" ht="14.1" customHeight="1">
      <c r="A372" s="147">
        <v>371</v>
      </c>
      <c r="B372" s="165" t="s">
        <v>485</v>
      </c>
      <c r="C372" s="165" t="s">
        <v>486</v>
      </c>
      <c r="D372" s="570" t="s">
        <v>102</v>
      </c>
      <c r="E372" s="178" t="s">
        <v>261</v>
      </c>
      <c r="F372" s="178" t="s">
        <v>262</v>
      </c>
      <c r="G372" s="128" t="s">
        <v>373</v>
      </c>
      <c r="H372" s="178" t="s">
        <v>104</v>
      </c>
      <c r="I372" s="565">
        <v>10.57</v>
      </c>
      <c r="J372" s="482">
        <v>1</v>
      </c>
      <c r="K372" s="482">
        <v>1</v>
      </c>
      <c r="L372" s="482">
        <v>1</v>
      </c>
      <c r="M372" s="482">
        <v>1</v>
      </c>
      <c r="N372" s="168">
        <v>255</v>
      </c>
      <c r="O372" s="168"/>
      <c r="P372" s="168"/>
      <c r="Q372" s="168"/>
      <c r="R372" s="169" t="e">
        <f t="shared" si="49"/>
        <v>#DIV/0!</v>
      </c>
      <c r="S372" s="169">
        <f t="shared" si="50"/>
        <v>0</v>
      </c>
      <c r="T372" s="169">
        <f t="shared" si="51"/>
        <v>0</v>
      </c>
      <c r="U372" s="169">
        <f t="shared" si="52"/>
        <v>0</v>
      </c>
      <c r="V372" s="519"/>
      <c r="W372" s="170">
        <f>IF(N372="nio",0,IF(N372&gt;0,VLOOKUP(G372,'3-Productie normen'!A:N,VLOOKUP(N372,'3-Productie normen'!Q:R,2,FALSE),FALSE)))</f>
        <v>0</v>
      </c>
      <c r="X372" s="170">
        <f t="shared" si="53"/>
        <v>0</v>
      </c>
      <c r="Y372" s="170">
        <f t="shared" si="54"/>
        <v>0</v>
      </c>
      <c r="Z372" s="170">
        <f t="shared" si="55"/>
        <v>0</v>
      </c>
      <c r="AA372" s="171">
        <f>VLOOKUP(G372,'3-Productie normen'!A:N,10,FALSE)</f>
        <v>1</v>
      </c>
      <c r="AB372" s="171"/>
      <c r="AD372" s="131">
        <f t="shared" si="56"/>
        <v>2695.35</v>
      </c>
    </row>
    <row r="373" spans="1:30" ht="14.1" customHeight="1">
      <c r="A373" s="147">
        <v>372</v>
      </c>
      <c r="B373" s="165" t="s">
        <v>485</v>
      </c>
      <c r="C373" s="165" t="s">
        <v>486</v>
      </c>
      <c r="D373" s="570" t="s">
        <v>102</v>
      </c>
      <c r="E373" s="178" t="s">
        <v>263</v>
      </c>
      <c r="F373" s="178" t="s">
        <v>490</v>
      </c>
      <c r="G373" s="167" t="s">
        <v>17</v>
      </c>
      <c r="H373" s="178" t="s">
        <v>105</v>
      </c>
      <c r="I373" s="565">
        <v>1.26</v>
      </c>
      <c r="J373" s="482">
        <v>1</v>
      </c>
      <c r="K373" s="482">
        <v>1</v>
      </c>
      <c r="L373" s="482">
        <v>1</v>
      </c>
      <c r="M373" s="482">
        <v>1</v>
      </c>
      <c r="N373" s="168">
        <v>255</v>
      </c>
      <c r="O373" s="168"/>
      <c r="P373" s="168"/>
      <c r="Q373" s="168"/>
      <c r="R373" s="169" t="e">
        <f t="shared" si="49"/>
        <v>#DIV/0!</v>
      </c>
      <c r="S373" s="169">
        <f t="shared" si="50"/>
        <v>0</v>
      </c>
      <c r="T373" s="169">
        <f t="shared" si="51"/>
        <v>0</v>
      </c>
      <c r="U373" s="169">
        <f t="shared" si="52"/>
        <v>0</v>
      </c>
      <c r="V373" s="519"/>
      <c r="W373" s="170">
        <f>IF(N373="nio",0,IF(N373&gt;0,VLOOKUP(G373,'3-Productie normen'!A:N,VLOOKUP(N373,'3-Productie normen'!Q:R,2,FALSE),FALSE)))</f>
        <v>0</v>
      </c>
      <c r="X373" s="170">
        <f t="shared" si="53"/>
        <v>0</v>
      </c>
      <c r="Y373" s="170">
        <f t="shared" si="54"/>
        <v>0</v>
      </c>
      <c r="Z373" s="170">
        <f t="shared" si="55"/>
        <v>0</v>
      </c>
      <c r="AA373" s="171">
        <f>VLOOKUP(G373,'3-Productie normen'!A:N,10,FALSE)</f>
        <v>3</v>
      </c>
      <c r="AB373" s="171"/>
      <c r="AD373" s="131">
        <f t="shared" si="56"/>
        <v>321.3</v>
      </c>
    </row>
    <row r="374" spans="1:30" ht="14.1" customHeight="1">
      <c r="A374" s="147">
        <v>373</v>
      </c>
      <c r="B374" s="165" t="s">
        <v>485</v>
      </c>
      <c r="C374" s="165" t="s">
        <v>486</v>
      </c>
      <c r="D374" s="570" t="s">
        <v>102</v>
      </c>
      <c r="E374" s="178" t="s">
        <v>265</v>
      </c>
      <c r="F374" s="178" t="s">
        <v>489</v>
      </c>
      <c r="G374" s="525" t="s">
        <v>583</v>
      </c>
      <c r="H374" s="178" t="s">
        <v>104</v>
      </c>
      <c r="I374" s="565">
        <v>27.94</v>
      </c>
      <c r="J374" s="482">
        <v>1</v>
      </c>
      <c r="K374" s="482">
        <v>1</v>
      </c>
      <c r="L374" s="482">
        <v>1</v>
      </c>
      <c r="M374" s="482">
        <v>1</v>
      </c>
      <c r="N374" s="168">
        <v>255</v>
      </c>
      <c r="O374" s="168"/>
      <c r="P374" s="168"/>
      <c r="Q374" s="168"/>
      <c r="R374" s="169" t="e">
        <f t="shared" si="49"/>
        <v>#DIV/0!</v>
      </c>
      <c r="S374" s="169">
        <f t="shared" si="50"/>
        <v>0</v>
      </c>
      <c r="T374" s="169">
        <f t="shared" si="51"/>
        <v>0</v>
      </c>
      <c r="U374" s="169">
        <f t="shared" si="52"/>
        <v>0</v>
      </c>
      <c r="V374" s="519"/>
      <c r="W374" s="170">
        <f>IF(N374="nio",0,IF(N374&gt;0,VLOOKUP(G374,'3-Productie normen'!A:N,VLOOKUP(N374,'3-Productie normen'!Q:R,2,FALSE),FALSE)))</f>
        <v>0</v>
      </c>
      <c r="X374" s="170">
        <f t="shared" si="53"/>
        <v>0</v>
      </c>
      <c r="Y374" s="170">
        <f t="shared" si="54"/>
        <v>0</v>
      </c>
      <c r="Z374" s="170">
        <f t="shared" si="55"/>
        <v>0</v>
      </c>
      <c r="AA374" s="171">
        <f>VLOOKUP(G374,'3-Productie normen'!A:N,10,FALSE)</f>
        <v>4</v>
      </c>
      <c r="AB374" s="171"/>
      <c r="AD374" s="131">
        <f t="shared" si="56"/>
        <v>7124.7000000000007</v>
      </c>
    </row>
    <row r="375" spans="1:30" ht="14.1" customHeight="1">
      <c r="A375" s="147">
        <v>374</v>
      </c>
      <c r="B375" s="165" t="s">
        <v>485</v>
      </c>
      <c r="C375" s="165" t="s">
        <v>486</v>
      </c>
      <c r="D375" s="570" t="s">
        <v>102</v>
      </c>
      <c r="E375" s="178" t="s">
        <v>267</v>
      </c>
      <c r="F375" s="178" t="s">
        <v>371</v>
      </c>
      <c r="G375" s="178" t="s">
        <v>107</v>
      </c>
      <c r="H375" s="178" t="s">
        <v>104</v>
      </c>
      <c r="I375" s="565">
        <v>28.14</v>
      </c>
      <c r="J375" s="482">
        <v>1</v>
      </c>
      <c r="K375" s="482">
        <v>1</v>
      </c>
      <c r="L375" s="482">
        <v>1</v>
      </c>
      <c r="M375" s="482">
        <v>1</v>
      </c>
      <c r="N375" s="168">
        <v>255</v>
      </c>
      <c r="O375" s="168"/>
      <c r="P375" s="168"/>
      <c r="Q375" s="168"/>
      <c r="R375" s="169" t="e">
        <f t="shared" si="49"/>
        <v>#DIV/0!</v>
      </c>
      <c r="S375" s="169">
        <f t="shared" si="50"/>
        <v>0</v>
      </c>
      <c r="T375" s="169">
        <f t="shared" si="51"/>
        <v>0</v>
      </c>
      <c r="U375" s="169">
        <f t="shared" si="52"/>
        <v>0</v>
      </c>
      <c r="V375" s="519"/>
      <c r="W375" s="170">
        <f>IF(N375="nio",0,IF(N375&gt;0,VLOOKUP(G375,'3-Productie normen'!A:N,VLOOKUP(N375,'3-Productie normen'!Q:R,2,FALSE),FALSE)))</f>
        <v>0</v>
      </c>
      <c r="X375" s="170">
        <f t="shared" si="53"/>
        <v>0</v>
      </c>
      <c r="Y375" s="170">
        <f t="shared" si="54"/>
        <v>0</v>
      </c>
      <c r="Z375" s="170">
        <f t="shared" si="55"/>
        <v>0</v>
      </c>
      <c r="AA375" s="171">
        <f>VLOOKUP(G375,'3-Productie normen'!A:N,10,FALSE)</f>
        <v>2</v>
      </c>
      <c r="AB375" s="171"/>
      <c r="AD375" s="131">
        <f t="shared" si="56"/>
        <v>7175.7</v>
      </c>
    </row>
    <row r="376" spans="1:30" ht="14.1" customHeight="1">
      <c r="A376" s="147">
        <v>375</v>
      </c>
      <c r="B376" s="165" t="s">
        <v>485</v>
      </c>
      <c r="C376" s="165" t="s">
        <v>486</v>
      </c>
      <c r="D376" s="570" t="s">
        <v>102</v>
      </c>
      <c r="E376" s="178" t="s">
        <v>286</v>
      </c>
      <c r="F376" s="178" t="s">
        <v>491</v>
      </c>
      <c r="G376" s="167" t="s">
        <v>17</v>
      </c>
      <c r="H376" s="178" t="s">
        <v>105</v>
      </c>
      <c r="I376" s="565">
        <v>1.26</v>
      </c>
      <c r="J376" s="482">
        <v>1</v>
      </c>
      <c r="K376" s="482">
        <v>1</v>
      </c>
      <c r="L376" s="482">
        <v>1</v>
      </c>
      <c r="M376" s="482">
        <v>1</v>
      </c>
      <c r="N376" s="168">
        <v>255</v>
      </c>
      <c r="O376" s="168"/>
      <c r="P376" s="168"/>
      <c r="Q376" s="168"/>
      <c r="R376" s="169" t="e">
        <f t="shared" si="49"/>
        <v>#DIV/0!</v>
      </c>
      <c r="S376" s="169">
        <f t="shared" si="50"/>
        <v>0</v>
      </c>
      <c r="T376" s="169">
        <f t="shared" si="51"/>
        <v>0</v>
      </c>
      <c r="U376" s="169">
        <f t="shared" si="52"/>
        <v>0</v>
      </c>
      <c r="V376" s="519"/>
      <c r="W376" s="170">
        <f>IF(N376="nio",0,IF(N376&gt;0,VLOOKUP(G376,'3-Productie normen'!A:N,VLOOKUP(N376,'3-Productie normen'!Q:R,2,FALSE),FALSE)))</f>
        <v>0</v>
      </c>
      <c r="X376" s="170">
        <f t="shared" si="53"/>
        <v>0</v>
      </c>
      <c r="Y376" s="170">
        <f t="shared" si="54"/>
        <v>0</v>
      </c>
      <c r="Z376" s="170">
        <f t="shared" si="55"/>
        <v>0</v>
      </c>
      <c r="AA376" s="171">
        <f>VLOOKUP(G376,'3-Productie normen'!A:N,10,FALSE)</f>
        <v>3</v>
      </c>
      <c r="AB376" s="171"/>
      <c r="AD376" s="131">
        <f t="shared" si="56"/>
        <v>321.3</v>
      </c>
    </row>
    <row r="377" spans="1:30" ht="14.1" customHeight="1">
      <c r="A377" s="147">
        <v>376</v>
      </c>
      <c r="B377" s="165" t="s">
        <v>485</v>
      </c>
      <c r="C377" s="165" t="s">
        <v>486</v>
      </c>
      <c r="D377" s="570" t="s">
        <v>102</v>
      </c>
      <c r="E377" s="178" t="s">
        <v>288</v>
      </c>
      <c r="F377" s="178" t="s">
        <v>280</v>
      </c>
      <c r="G377" s="167" t="s">
        <v>107</v>
      </c>
      <c r="H377" s="178" t="s">
        <v>104</v>
      </c>
      <c r="I377" s="565">
        <v>27.44</v>
      </c>
      <c r="J377" s="482">
        <v>1</v>
      </c>
      <c r="K377" s="482">
        <v>1</v>
      </c>
      <c r="L377" s="482">
        <v>1</v>
      </c>
      <c r="M377" s="482">
        <v>1</v>
      </c>
      <c r="N377" s="168">
        <v>255</v>
      </c>
      <c r="O377" s="168"/>
      <c r="P377" s="168"/>
      <c r="Q377" s="168"/>
      <c r="R377" s="169" t="e">
        <f t="shared" si="49"/>
        <v>#DIV/0!</v>
      </c>
      <c r="S377" s="169">
        <f t="shared" si="50"/>
        <v>0</v>
      </c>
      <c r="T377" s="169">
        <f t="shared" si="51"/>
        <v>0</v>
      </c>
      <c r="U377" s="169">
        <f t="shared" si="52"/>
        <v>0</v>
      </c>
      <c r="V377" s="519"/>
      <c r="W377" s="170">
        <f>IF(N377="nio",0,IF(N377&gt;0,VLOOKUP(G377,'3-Productie normen'!A:N,VLOOKUP(N377,'3-Productie normen'!Q:R,2,FALSE),FALSE)))</f>
        <v>0</v>
      </c>
      <c r="X377" s="170">
        <f t="shared" si="53"/>
        <v>0</v>
      </c>
      <c r="Y377" s="170">
        <f t="shared" si="54"/>
        <v>0</v>
      </c>
      <c r="Z377" s="170">
        <f t="shared" si="55"/>
        <v>0</v>
      </c>
      <c r="AA377" s="171">
        <f>VLOOKUP(G377,'3-Productie normen'!A:N,10,FALSE)</f>
        <v>2</v>
      </c>
      <c r="AB377" s="171"/>
      <c r="AD377" s="131">
        <f t="shared" si="56"/>
        <v>6997.2000000000007</v>
      </c>
    </row>
    <row r="378" spans="1:30" ht="14.1" customHeight="1">
      <c r="A378" s="147">
        <v>377</v>
      </c>
      <c r="B378" s="165" t="s">
        <v>485</v>
      </c>
      <c r="C378" s="165" t="s">
        <v>486</v>
      </c>
      <c r="D378" s="570" t="s">
        <v>102</v>
      </c>
      <c r="E378" s="178" t="s">
        <v>289</v>
      </c>
      <c r="F378" s="178" t="s">
        <v>281</v>
      </c>
      <c r="G378" s="167" t="s">
        <v>373</v>
      </c>
      <c r="H378" s="178" t="s">
        <v>272</v>
      </c>
      <c r="I378" s="565">
        <v>42.19</v>
      </c>
      <c r="J378" s="482">
        <v>1</v>
      </c>
      <c r="K378" s="482">
        <v>1</v>
      </c>
      <c r="L378" s="482">
        <v>1</v>
      </c>
      <c r="M378" s="482">
        <v>1</v>
      </c>
      <c r="N378" s="168">
        <v>255</v>
      </c>
      <c r="O378" s="168"/>
      <c r="P378" s="168"/>
      <c r="Q378" s="168"/>
      <c r="R378" s="169" t="e">
        <f t="shared" si="49"/>
        <v>#DIV/0!</v>
      </c>
      <c r="S378" s="169">
        <f t="shared" si="50"/>
        <v>0</v>
      </c>
      <c r="T378" s="169">
        <f t="shared" si="51"/>
        <v>0</v>
      </c>
      <c r="U378" s="169">
        <f t="shared" si="52"/>
        <v>0</v>
      </c>
      <c r="V378" s="519"/>
      <c r="W378" s="170">
        <f>IF(N378="nio",0,IF(N378&gt;0,VLOOKUP(G378,'3-Productie normen'!A:N,VLOOKUP(N378,'3-Productie normen'!Q:R,2,FALSE),FALSE)))</f>
        <v>0</v>
      </c>
      <c r="X378" s="170">
        <f t="shared" si="53"/>
        <v>0</v>
      </c>
      <c r="Y378" s="170">
        <f t="shared" si="54"/>
        <v>0</v>
      </c>
      <c r="Z378" s="170">
        <f t="shared" si="55"/>
        <v>0</v>
      </c>
      <c r="AA378" s="171">
        <f>VLOOKUP(G378,'3-Productie normen'!A:N,10,FALSE)</f>
        <v>1</v>
      </c>
      <c r="AB378" s="171"/>
      <c r="AD378" s="131">
        <f t="shared" si="56"/>
        <v>10758.449999999999</v>
      </c>
    </row>
    <row r="379" spans="1:30" ht="14.1" customHeight="1">
      <c r="A379" s="147">
        <v>378</v>
      </c>
      <c r="B379" s="165" t="s">
        <v>485</v>
      </c>
      <c r="C379" s="165" t="s">
        <v>486</v>
      </c>
      <c r="D379" s="570" t="s">
        <v>102</v>
      </c>
      <c r="E379" s="178" t="s">
        <v>314</v>
      </c>
      <c r="F379" s="178" t="s">
        <v>492</v>
      </c>
      <c r="G379" s="525" t="s">
        <v>583</v>
      </c>
      <c r="H379" s="178" t="s">
        <v>104</v>
      </c>
      <c r="I379" s="565">
        <v>1.9</v>
      </c>
      <c r="J379" s="482">
        <v>1</v>
      </c>
      <c r="K379" s="482">
        <v>1</v>
      </c>
      <c r="L379" s="482">
        <v>1</v>
      </c>
      <c r="M379" s="482">
        <v>1</v>
      </c>
      <c r="N379" s="168">
        <v>255</v>
      </c>
      <c r="O379" s="168"/>
      <c r="P379" s="168"/>
      <c r="Q379" s="168"/>
      <c r="R379" s="169" t="e">
        <f t="shared" si="49"/>
        <v>#DIV/0!</v>
      </c>
      <c r="S379" s="169">
        <f t="shared" si="50"/>
        <v>0</v>
      </c>
      <c r="T379" s="169">
        <f t="shared" si="51"/>
        <v>0</v>
      </c>
      <c r="U379" s="169">
        <f t="shared" si="52"/>
        <v>0</v>
      </c>
      <c r="V379" s="519"/>
      <c r="W379" s="170">
        <f>IF(N379="nio",0,IF(N379&gt;0,VLOOKUP(G379,'3-Productie normen'!A:N,VLOOKUP(N379,'3-Productie normen'!Q:R,2,FALSE),FALSE)))</f>
        <v>0</v>
      </c>
      <c r="X379" s="170">
        <f t="shared" si="53"/>
        <v>0</v>
      </c>
      <c r="Y379" s="170">
        <f t="shared" si="54"/>
        <v>0</v>
      </c>
      <c r="Z379" s="170">
        <f t="shared" si="55"/>
        <v>0</v>
      </c>
      <c r="AA379" s="171">
        <f>VLOOKUP(G379,'3-Productie normen'!A:N,10,FALSE)</f>
        <v>4</v>
      </c>
      <c r="AB379" s="171"/>
      <c r="AD379" s="131">
        <f t="shared" si="56"/>
        <v>484.5</v>
      </c>
    </row>
    <row r="380" spans="1:30" ht="14.1" customHeight="1">
      <c r="A380" s="147">
        <v>379</v>
      </c>
      <c r="B380" s="165" t="s">
        <v>485</v>
      </c>
      <c r="C380" s="165" t="s">
        <v>486</v>
      </c>
      <c r="D380" s="570" t="s">
        <v>102</v>
      </c>
      <c r="E380" s="178" t="s">
        <v>315</v>
      </c>
      <c r="F380" s="178" t="s">
        <v>493</v>
      </c>
      <c r="G380" s="525" t="s">
        <v>583</v>
      </c>
      <c r="H380" s="178" t="s">
        <v>104</v>
      </c>
      <c r="I380" s="565">
        <v>1.9</v>
      </c>
      <c r="J380" s="482">
        <v>1</v>
      </c>
      <c r="K380" s="482">
        <v>1</v>
      </c>
      <c r="L380" s="482">
        <v>1</v>
      </c>
      <c r="M380" s="482">
        <v>1</v>
      </c>
      <c r="N380" s="168">
        <v>255</v>
      </c>
      <c r="O380" s="168"/>
      <c r="P380" s="168"/>
      <c r="Q380" s="168"/>
      <c r="R380" s="169" t="e">
        <f t="shared" si="49"/>
        <v>#DIV/0!</v>
      </c>
      <c r="S380" s="169">
        <f t="shared" si="50"/>
        <v>0</v>
      </c>
      <c r="T380" s="169">
        <f t="shared" si="51"/>
        <v>0</v>
      </c>
      <c r="U380" s="169">
        <f t="shared" si="52"/>
        <v>0</v>
      </c>
      <c r="V380" s="519"/>
      <c r="W380" s="170">
        <f>IF(N380="nio",0,IF(N380&gt;0,VLOOKUP(G380,'3-Productie normen'!A:N,VLOOKUP(N380,'3-Productie normen'!Q:R,2,FALSE),FALSE)))</f>
        <v>0</v>
      </c>
      <c r="X380" s="170">
        <f t="shared" si="53"/>
        <v>0</v>
      </c>
      <c r="Y380" s="170">
        <f t="shared" si="54"/>
        <v>0</v>
      </c>
      <c r="Z380" s="170">
        <f t="shared" si="55"/>
        <v>0</v>
      </c>
      <c r="AA380" s="171">
        <f>VLOOKUP(G380,'3-Productie normen'!A:N,10,FALSE)</f>
        <v>4</v>
      </c>
      <c r="AB380" s="171"/>
      <c r="AD380" s="131">
        <f t="shared" si="56"/>
        <v>484.5</v>
      </c>
    </row>
    <row r="381" spans="1:30" ht="14.1" customHeight="1">
      <c r="A381" s="147">
        <v>380</v>
      </c>
      <c r="B381" s="165" t="s">
        <v>485</v>
      </c>
      <c r="C381" s="165" t="s">
        <v>486</v>
      </c>
      <c r="D381" s="570" t="s">
        <v>102</v>
      </c>
      <c r="E381" s="178" t="s">
        <v>317</v>
      </c>
      <c r="F381" s="178" t="s">
        <v>302</v>
      </c>
      <c r="G381" s="165" t="s">
        <v>199</v>
      </c>
      <c r="H381" s="178" t="s">
        <v>104</v>
      </c>
      <c r="I381" s="565">
        <v>1.9</v>
      </c>
      <c r="J381" s="482">
        <v>1</v>
      </c>
      <c r="K381" s="482">
        <v>1</v>
      </c>
      <c r="L381" s="482">
        <v>1</v>
      </c>
      <c r="M381" s="482">
        <v>1</v>
      </c>
      <c r="N381" s="168" t="s">
        <v>199</v>
      </c>
      <c r="O381" s="168"/>
      <c r="P381" s="168"/>
      <c r="Q381" s="168"/>
      <c r="R381" s="169">
        <f t="shared" si="49"/>
        <v>0</v>
      </c>
      <c r="S381" s="169">
        <f t="shared" si="50"/>
        <v>0</v>
      </c>
      <c r="T381" s="169">
        <f t="shared" si="51"/>
        <v>0</v>
      </c>
      <c r="U381" s="169">
        <f t="shared" si="52"/>
        <v>0</v>
      </c>
      <c r="V381" s="519"/>
      <c r="W381" s="170">
        <f>IF(N381="nio",0,IF(N381&gt;0,VLOOKUP(G381,'3-Productie normen'!A:N,VLOOKUP(N381,'3-Productie normen'!Q:R,2,FALSE),FALSE)))</f>
        <v>0</v>
      </c>
      <c r="X381" s="170">
        <f t="shared" si="53"/>
        <v>0</v>
      </c>
      <c r="Y381" s="170">
        <f t="shared" si="54"/>
        <v>0</v>
      </c>
      <c r="Z381" s="170">
        <f t="shared" si="55"/>
        <v>0</v>
      </c>
      <c r="AA381" s="171">
        <f>VLOOKUP(G381,'3-Productie normen'!A:N,10,FALSE)</f>
        <v>0</v>
      </c>
      <c r="AB381" s="171"/>
      <c r="AD381" s="131">
        <f t="shared" si="56"/>
        <v>0</v>
      </c>
    </row>
    <row r="382" spans="1:30" ht="14.1" customHeight="1">
      <c r="A382" s="147">
        <v>381</v>
      </c>
      <c r="B382" s="165" t="s">
        <v>494</v>
      </c>
      <c r="C382" s="165" t="s">
        <v>495</v>
      </c>
      <c r="D382" s="570" t="s">
        <v>102</v>
      </c>
      <c r="E382" s="178" t="s">
        <v>247</v>
      </c>
      <c r="F382" s="178" t="s">
        <v>103</v>
      </c>
      <c r="G382" s="525" t="s">
        <v>583</v>
      </c>
      <c r="H382" s="178" t="s">
        <v>272</v>
      </c>
      <c r="I382" s="565">
        <v>6.92</v>
      </c>
      <c r="J382" s="482">
        <v>1</v>
      </c>
      <c r="K382" s="482">
        <v>1</v>
      </c>
      <c r="L382" s="482">
        <v>1</v>
      </c>
      <c r="M382" s="482">
        <v>1</v>
      </c>
      <c r="N382" s="168">
        <v>255</v>
      </c>
      <c r="O382" s="168"/>
      <c r="P382" s="168"/>
      <c r="Q382" s="168"/>
      <c r="R382" s="169" t="e">
        <f t="shared" si="49"/>
        <v>#DIV/0!</v>
      </c>
      <c r="S382" s="169">
        <f t="shared" si="50"/>
        <v>0</v>
      </c>
      <c r="T382" s="169">
        <f t="shared" si="51"/>
        <v>0</v>
      </c>
      <c r="U382" s="169">
        <f t="shared" si="52"/>
        <v>0</v>
      </c>
      <c r="V382" s="519"/>
      <c r="W382" s="170">
        <f>IF(N382="nio",0,IF(N382&gt;0,VLOOKUP(G382,'3-Productie normen'!A:N,VLOOKUP(N382,'3-Productie normen'!Q:R,2,FALSE),FALSE)))</f>
        <v>0</v>
      </c>
      <c r="X382" s="170">
        <f t="shared" si="53"/>
        <v>0</v>
      </c>
      <c r="Y382" s="170">
        <f t="shared" si="54"/>
        <v>0</v>
      </c>
      <c r="Z382" s="170">
        <f t="shared" si="55"/>
        <v>0</v>
      </c>
      <c r="AA382" s="171">
        <f>VLOOKUP(G382,'3-Productie normen'!A:N,10,FALSE)</f>
        <v>4</v>
      </c>
      <c r="AB382" s="171"/>
      <c r="AD382" s="131">
        <f t="shared" si="56"/>
        <v>1764.6</v>
      </c>
    </row>
    <row r="383" spans="1:30" ht="14.1" customHeight="1">
      <c r="A383" s="147">
        <v>382</v>
      </c>
      <c r="B383" s="165" t="s">
        <v>494</v>
      </c>
      <c r="C383" s="165" t="s">
        <v>495</v>
      </c>
      <c r="D383" s="570" t="s">
        <v>102</v>
      </c>
      <c r="E383" s="178" t="s">
        <v>248</v>
      </c>
      <c r="F383" s="178" t="s">
        <v>249</v>
      </c>
      <c r="G383" s="165" t="s">
        <v>579</v>
      </c>
      <c r="H383" s="178" t="s">
        <v>104</v>
      </c>
      <c r="I383" s="565">
        <v>78.010000000000005</v>
      </c>
      <c r="J383" s="482">
        <v>1</v>
      </c>
      <c r="K383" s="482">
        <v>1</v>
      </c>
      <c r="L383" s="482">
        <v>1</v>
      </c>
      <c r="M383" s="482">
        <v>1</v>
      </c>
      <c r="N383" s="168">
        <v>255</v>
      </c>
      <c r="O383" s="168"/>
      <c r="P383" s="168"/>
      <c r="Q383" s="168"/>
      <c r="R383" s="169" t="e">
        <f t="shared" si="49"/>
        <v>#DIV/0!</v>
      </c>
      <c r="S383" s="169">
        <f t="shared" si="50"/>
        <v>0</v>
      </c>
      <c r="T383" s="169">
        <f t="shared" si="51"/>
        <v>0</v>
      </c>
      <c r="U383" s="169">
        <f t="shared" si="52"/>
        <v>0</v>
      </c>
      <c r="V383" s="519"/>
      <c r="W383" s="170">
        <f>IF(N383="nio",0,IF(N383&gt;0,VLOOKUP(G383,'3-Productie normen'!A:N,VLOOKUP(N383,'3-Productie normen'!Q:R,2,FALSE),FALSE)))</f>
        <v>0</v>
      </c>
      <c r="X383" s="170">
        <f t="shared" si="53"/>
        <v>0</v>
      </c>
      <c r="Y383" s="170">
        <f t="shared" si="54"/>
        <v>0</v>
      </c>
      <c r="Z383" s="170">
        <f t="shared" si="55"/>
        <v>0</v>
      </c>
      <c r="AA383" s="171">
        <f>VLOOKUP(G383,'3-Productie normen'!A:N,10,FALSE)</f>
        <v>4</v>
      </c>
      <c r="AB383" s="171"/>
      <c r="AD383" s="131">
        <f t="shared" si="56"/>
        <v>19892.550000000003</v>
      </c>
    </row>
    <row r="384" spans="1:30" ht="14.1" customHeight="1">
      <c r="A384" s="147">
        <v>383</v>
      </c>
      <c r="B384" s="165" t="s">
        <v>494</v>
      </c>
      <c r="C384" s="165" t="s">
        <v>495</v>
      </c>
      <c r="D384" s="570" t="s">
        <v>102</v>
      </c>
      <c r="E384" s="178" t="s">
        <v>250</v>
      </c>
      <c r="F384" s="178" t="s">
        <v>251</v>
      </c>
      <c r="G384" s="165" t="s">
        <v>373</v>
      </c>
      <c r="H384" s="178" t="s">
        <v>104</v>
      </c>
      <c r="I384" s="565">
        <v>15.61</v>
      </c>
      <c r="J384" s="482">
        <v>1</v>
      </c>
      <c r="K384" s="482">
        <v>1</v>
      </c>
      <c r="L384" s="482">
        <v>1</v>
      </c>
      <c r="M384" s="482">
        <v>1</v>
      </c>
      <c r="N384" s="168">
        <v>255</v>
      </c>
      <c r="O384" s="168"/>
      <c r="P384" s="168"/>
      <c r="Q384" s="168"/>
      <c r="R384" s="169" t="e">
        <f t="shared" si="49"/>
        <v>#DIV/0!</v>
      </c>
      <c r="S384" s="169">
        <f t="shared" si="50"/>
        <v>0</v>
      </c>
      <c r="T384" s="169">
        <f t="shared" si="51"/>
        <v>0</v>
      </c>
      <c r="U384" s="169">
        <f t="shared" si="52"/>
        <v>0</v>
      </c>
      <c r="V384" s="519"/>
      <c r="W384" s="170">
        <f>IF(N384="nio",0,IF(N384&gt;0,VLOOKUP(G384,'3-Productie normen'!A:N,VLOOKUP(N384,'3-Productie normen'!Q:R,2,FALSE),FALSE)))</f>
        <v>0</v>
      </c>
      <c r="X384" s="170">
        <f t="shared" si="53"/>
        <v>0</v>
      </c>
      <c r="Y384" s="170">
        <f t="shared" si="54"/>
        <v>0</v>
      </c>
      <c r="Z384" s="170">
        <f t="shared" si="55"/>
        <v>0</v>
      </c>
      <c r="AA384" s="171">
        <f>VLOOKUP(G384,'3-Productie normen'!A:N,10,FALSE)</f>
        <v>1</v>
      </c>
      <c r="AB384" s="171"/>
      <c r="AD384" s="131">
        <f t="shared" si="56"/>
        <v>3980.5499999999997</v>
      </c>
    </row>
    <row r="385" spans="1:30" ht="14.1" customHeight="1">
      <c r="A385" s="147">
        <v>384</v>
      </c>
      <c r="B385" s="165" t="s">
        <v>494</v>
      </c>
      <c r="C385" s="165" t="s">
        <v>495</v>
      </c>
      <c r="D385" s="570" t="s">
        <v>102</v>
      </c>
      <c r="E385" s="178" t="s">
        <v>252</v>
      </c>
      <c r="F385" s="178" t="s">
        <v>281</v>
      </c>
      <c r="G385" s="167" t="s">
        <v>373</v>
      </c>
      <c r="H385" s="178" t="s">
        <v>272</v>
      </c>
      <c r="I385" s="565">
        <v>48.76</v>
      </c>
      <c r="J385" s="482">
        <v>1</v>
      </c>
      <c r="K385" s="482">
        <v>1</v>
      </c>
      <c r="L385" s="482">
        <v>1</v>
      </c>
      <c r="M385" s="482">
        <v>1</v>
      </c>
      <c r="N385" s="168">
        <v>255</v>
      </c>
      <c r="O385" s="168"/>
      <c r="P385" s="168"/>
      <c r="Q385" s="168"/>
      <c r="R385" s="169" t="e">
        <f t="shared" si="49"/>
        <v>#DIV/0!</v>
      </c>
      <c r="S385" s="169">
        <f t="shared" si="50"/>
        <v>0</v>
      </c>
      <c r="T385" s="169">
        <f t="shared" si="51"/>
        <v>0</v>
      </c>
      <c r="U385" s="169">
        <f t="shared" si="52"/>
        <v>0</v>
      </c>
      <c r="V385" s="519"/>
      <c r="W385" s="170">
        <f>IF(N385="nio",0,IF(N385&gt;0,VLOOKUP(G385,'3-Productie normen'!A:N,VLOOKUP(N385,'3-Productie normen'!Q:R,2,FALSE),FALSE)))</f>
        <v>0</v>
      </c>
      <c r="X385" s="170">
        <f t="shared" si="53"/>
        <v>0</v>
      </c>
      <c r="Y385" s="170">
        <f t="shared" si="54"/>
        <v>0</v>
      </c>
      <c r="Z385" s="170">
        <f t="shared" si="55"/>
        <v>0</v>
      </c>
      <c r="AA385" s="171">
        <f>VLOOKUP(G385,'3-Productie normen'!A:N,10,FALSE)</f>
        <v>1</v>
      </c>
      <c r="AB385" s="171"/>
      <c r="AD385" s="131">
        <f t="shared" si="56"/>
        <v>12433.8</v>
      </c>
    </row>
    <row r="386" spans="1:30" ht="14.1" customHeight="1">
      <c r="A386" s="147">
        <v>385</v>
      </c>
      <c r="B386" s="165" t="s">
        <v>494</v>
      </c>
      <c r="C386" s="165" t="s">
        <v>495</v>
      </c>
      <c r="D386" s="570" t="s">
        <v>102</v>
      </c>
      <c r="E386" s="178" t="s">
        <v>254</v>
      </c>
      <c r="F386" s="178" t="s">
        <v>280</v>
      </c>
      <c r="G386" s="167" t="s">
        <v>107</v>
      </c>
      <c r="H386" s="178" t="s">
        <v>104</v>
      </c>
      <c r="I386" s="565">
        <v>35.869999999999997</v>
      </c>
      <c r="J386" s="482">
        <v>1</v>
      </c>
      <c r="K386" s="482">
        <v>1</v>
      </c>
      <c r="L386" s="482">
        <v>1</v>
      </c>
      <c r="M386" s="482">
        <v>1</v>
      </c>
      <c r="N386" s="168">
        <v>255</v>
      </c>
      <c r="O386" s="168"/>
      <c r="P386" s="168"/>
      <c r="Q386" s="168"/>
      <c r="R386" s="169" t="e">
        <f t="shared" si="49"/>
        <v>#DIV/0!</v>
      </c>
      <c r="S386" s="169">
        <f t="shared" si="50"/>
        <v>0</v>
      </c>
      <c r="T386" s="169">
        <f t="shared" si="51"/>
        <v>0</v>
      </c>
      <c r="U386" s="169">
        <f t="shared" si="52"/>
        <v>0</v>
      </c>
      <c r="V386" s="519"/>
      <c r="W386" s="170">
        <f>IF(N386="nio",0,IF(N386&gt;0,VLOOKUP(G386,'3-Productie normen'!A:N,VLOOKUP(N386,'3-Productie normen'!Q:R,2,FALSE),FALSE)))</f>
        <v>0</v>
      </c>
      <c r="X386" s="170">
        <f t="shared" si="53"/>
        <v>0</v>
      </c>
      <c r="Y386" s="170">
        <f t="shared" si="54"/>
        <v>0</v>
      </c>
      <c r="Z386" s="170">
        <f t="shared" si="55"/>
        <v>0</v>
      </c>
      <c r="AA386" s="171">
        <f>VLOOKUP(G386,'3-Productie normen'!A:N,10,FALSE)</f>
        <v>2</v>
      </c>
      <c r="AB386" s="171"/>
      <c r="AD386" s="131">
        <f t="shared" si="56"/>
        <v>9146.8499999999985</v>
      </c>
    </row>
    <row r="387" spans="1:30" ht="14.1" customHeight="1">
      <c r="A387" s="147">
        <v>386</v>
      </c>
      <c r="B387" s="165" t="s">
        <v>494</v>
      </c>
      <c r="C387" s="165" t="s">
        <v>495</v>
      </c>
      <c r="D387" s="570" t="s">
        <v>102</v>
      </c>
      <c r="E387" s="178" t="s">
        <v>256</v>
      </c>
      <c r="F387" s="178" t="s">
        <v>260</v>
      </c>
      <c r="G387" s="128" t="s">
        <v>578</v>
      </c>
      <c r="H387" s="178" t="s">
        <v>272</v>
      </c>
      <c r="I387" s="565">
        <v>8.3699999999999992</v>
      </c>
      <c r="J387" s="482">
        <v>1</v>
      </c>
      <c r="K387" s="482">
        <v>1</v>
      </c>
      <c r="L387" s="482">
        <v>1</v>
      </c>
      <c r="M387" s="482">
        <v>1</v>
      </c>
      <c r="N387" s="168">
        <v>12</v>
      </c>
      <c r="O387" s="168"/>
      <c r="P387" s="168"/>
      <c r="Q387" s="168"/>
      <c r="R387" s="169" t="e">
        <f t="shared" si="49"/>
        <v>#DIV/0!</v>
      </c>
      <c r="S387" s="169">
        <f t="shared" si="50"/>
        <v>0</v>
      </c>
      <c r="T387" s="169">
        <f t="shared" si="51"/>
        <v>0</v>
      </c>
      <c r="U387" s="169">
        <f t="shared" si="52"/>
        <v>0</v>
      </c>
      <c r="V387" s="519"/>
      <c r="W387" s="170">
        <f>IF(N387="nio",0,IF(N387&gt;0,VLOOKUP(G387,'3-Productie normen'!A:N,VLOOKUP(N387,'3-Productie normen'!Q:R,2,FALSE),FALSE)))</f>
        <v>0</v>
      </c>
      <c r="X387" s="170">
        <f t="shared" si="53"/>
        <v>0</v>
      </c>
      <c r="Y387" s="170">
        <f t="shared" si="54"/>
        <v>0</v>
      </c>
      <c r="Z387" s="170">
        <f t="shared" si="55"/>
        <v>0</v>
      </c>
      <c r="AA387" s="171">
        <f>VLOOKUP(G387,'3-Productie normen'!A:N,10,FALSE)</f>
        <v>4</v>
      </c>
      <c r="AB387" s="171"/>
      <c r="AD387" s="131">
        <f t="shared" si="56"/>
        <v>100.44</v>
      </c>
    </row>
    <row r="388" spans="1:30" ht="14.1" customHeight="1">
      <c r="A388" s="147">
        <v>387</v>
      </c>
      <c r="B388" s="165" t="s">
        <v>494</v>
      </c>
      <c r="C388" s="165" t="s">
        <v>495</v>
      </c>
      <c r="D388" s="570" t="s">
        <v>102</v>
      </c>
      <c r="E388" s="178" t="s">
        <v>258</v>
      </c>
      <c r="F388" s="178" t="s">
        <v>262</v>
      </c>
      <c r="G388" s="128" t="s">
        <v>373</v>
      </c>
      <c r="H388" s="178" t="s">
        <v>104</v>
      </c>
      <c r="I388" s="565">
        <v>12.18</v>
      </c>
      <c r="J388" s="482">
        <v>1</v>
      </c>
      <c r="K388" s="482">
        <v>1</v>
      </c>
      <c r="L388" s="482">
        <v>1</v>
      </c>
      <c r="M388" s="482">
        <v>1</v>
      </c>
      <c r="N388" s="168">
        <v>255</v>
      </c>
      <c r="O388" s="168"/>
      <c r="P388" s="168"/>
      <c r="Q388" s="168"/>
      <c r="R388" s="169" t="e">
        <f t="shared" si="49"/>
        <v>#DIV/0!</v>
      </c>
      <c r="S388" s="169">
        <f t="shared" si="50"/>
        <v>0</v>
      </c>
      <c r="T388" s="169">
        <f t="shared" si="51"/>
        <v>0</v>
      </c>
      <c r="U388" s="169">
        <f t="shared" si="52"/>
        <v>0</v>
      </c>
      <c r="V388" s="519"/>
      <c r="W388" s="170">
        <f>IF(N388="nio",0,IF(N388&gt;0,VLOOKUP(G388,'3-Productie normen'!A:N,VLOOKUP(N388,'3-Productie normen'!Q:R,2,FALSE),FALSE)))</f>
        <v>0</v>
      </c>
      <c r="X388" s="170">
        <f t="shared" si="53"/>
        <v>0</v>
      </c>
      <c r="Y388" s="170">
        <f t="shared" si="54"/>
        <v>0</v>
      </c>
      <c r="Z388" s="170">
        <f t="shared" si="55"/>
        <v>0</v>
      </c>
      <c r="AA388" s="171">
        <f>VLOOKUP(G388,'3-Productie normen'!A:N,10,FALSE)</f>
        <v>1</v>
      </c>
      <c r="AB388" s="171"/>
      <c r="AD388" s="131">
        <f t="shared" si="56"/>
        <v>3105.9</v>
      </c>
    </row>
    <row r="389" spans="1:30" ht="14.1" customHeight="1">
      <c r="A389" s="147">
        <v>388</v>
      </c>
      <c r="B389" s="165" t="s">
        <v>494</v>
      </c>
      <c r="C389" s="165" t="s">
        <v>495</v>
      </c>
      <c r="D389" s="570" t="s">
        <v>102</v>
      </c>
      <c r="E389" s="178" t="s">
        <v>259</v>
      </c>
      <c r="F389" s="178" t="s">
        <v>264</v>
      </c>
      <c r="G389" s="128" t="s">
        <v>373</v>
      </c>
      <c r="H389" s="178" t="s">
        <v>104</v>
      </c>
      <c r="I389" s="565">
        <v>11.05</v>
      </c>
      <c r="J389" s="482">
        <v>1</v>
      </c>
      <c r="K389" s="482">
        <v>1</v>
      </c>
      <c r="L389" s="482">
        <v>1</v>
      </c>
      <c r="M389" s="482">
        <v>1</v>
      </c>
      <c r="N389" s="168">
        <v>255</v>
      </c>
      <c r="O389" s="168"/>
      <c r="P389" s="168"/>
      <c r="Q389" s="168"/>
      <c r="R389" s="169" t="e">
        <f t="shared" si="49"/>
        <v>#DIV/0!</v>
      </c>
      <c r="S389" s="169">
        <f t="shared" si="50"/>
        <v>0</v>
      </c>
      <c r="T389" s="169">
        <f t="shared" si="51"/>
        <v>0</v>
      </c>
      <c r="U389" s="169">
        <f t="shared" si="52"/>
        <v>0</v>
      </c>
      <c r="V389" s="519"/>
      <c r="W389" s="170">
        <f>IF(N389="nio",0,IF(N389&gt;0,VLOOKUP(G389,'3-Productie normen'!A:N,VLOOKUP(N389,'3-Productie normen'!Q:R,2,FALSE),FALSE)))</f>
        <v>0</v>
      </c>
      <c r="X389" s="170">
        <f t="shared" si="53"/>
        <v>0</v>
      </c>
      <c r="Y389" s="170">
        <f t="shared" si="54"/>
        <v>0</v>
      </c>
      <c r="Z389" s="170">
        <f t="shared" si="55"/>
        <v>0</v>
      </c>
      <c r="AA389" s="171">
        <f>VLOOKUP(G389,'3-Productie normen'!A:N,10,FALSE)</f>
        <v>1</v>
      </c>
      <c r="AB389" s="171"/>
      <c r="AD389" s="131">
        <f t="shared" si="56"/>
        <v>2817.75</v>
      </c>
    </row>
    <row r="390" spans="1:30" ht="14.1" customHeight="1">
      <c r="A390" s="147">
        <v>389</v>
      </c>
      <c r="B390" s="165" t="s">
        <v>494</v>
      </c>
      <c r="C390" s="165" t="s">
        <v>495</v>
      </c>
      <c r="D390" s="570" t="s">
        <v>102</v>
      </c>
      <c r="E390" s="178" t="s">
        <v>261</v>
      </c>
      <c r="F390" s="178" t="s">
        <v>257</v>
      </c>
      <c r="G390" s="167" t="s">
        <v>17</v>
      </c>
      <c r="H390" s="178" t="s">
        <v>105</v>
      </c>
      <c r="I390" s="565">
        <v>5.46</v>
      </c>
      <c r="J390" s="482">
        <v>1</v>
      </c>
      <c r="K390" s="482">
        <v>1</v>
      </c>
      <c r="L390" s="482">
        <v>1</v>
      </c>
      <c r="M390" s="482">
        <v>1</v>
      </c>
      <c r="N390" s="168">
        <v>255</v>
      </c>
      <c r="O390" s="168"/>
      <c r="P390" s="168"/>
      <c r="Q390" s="168"/>
      <c r="R390" s="169" t="e">
        <f t="shared" si="49"/>
        <v>#DIV/0!</v>
      </c>
      <c r="S390" s="169">
        <f t="shared" si="50"/>
        <v>0</v>
      </c>
      <c r="T390" s="169">
        <f t="shared" si="51"/>
        <v>0</v>
      </c>
      <c r="U390" s="169">
        <f t="shared" si="52"/>
        <v>0</v>
      </c>
      <c r="V390" s="519"/>
      <c r="W390" s="170">
        <f>IF(N390="nio",0,IF(N390&gt;0,VLOOKUP(G390,'3-Productie normen'!A:N,VLOOKUP(N390,'3-Productie normen'!Q:R,2,FALSE),FALSE)))</f>
        <v>0</v>
      </c>
      <c r="X390" s="170">
        <f t="shared" si="53"/>
        <v>0</v>
      </c>
      <c r="Y390" s="170">
        <f t="shared" si="54"/>
        <v>0</v>
      </c>
      <c r="Z390" s="170">
        <f t="shared" si="55"/>
        <v>0</v>
      </c>
      <c r="AA390" s="171">
        <f>VLOOKUP(G390,'3-Productie normen'!A:N,10,FALSE)</f>
        <v>3</v>
      </c>
      <c r="AB390" s="171"/>
      <c r="AD390" s="131">
        <f t="shared" si="56"/>
        <v>1392.3</v>
      </c>
    </row>
    <row r="391" spans="1:30" ht="14.1" customHeight="1">
      <c r="A391" s="147">
        <v>390</v>
      </c>
      <c r="B391" s="165" t="s">
        <v>494</v>
      </c>
      <c r="C391" s="165" t="s">
        <v>495</v>
      </c>
      <c r="D391" s="570" t="s">
        <v>102</v>
      </c>
      <c r="E391" s="178" t="s">
        <v>263</v>
      </c>
      <c r="F391" s="178" t="s">
        <v>253</v>
      </c>
      <c r="G391" s="167" t="s">
        <v>17</v>
      </c>
      <c r="H391" s="178" t="s">
        <v>105</v>
      </c>
      <c r="I391" s="565">
        <v>4.08</v>
      </c>
      <c r="J391" s="482">
        <v>1</v>
      </c>
      <c r="K391" s="482">
        <v>1</v>
      </c>
      <c r="L391" s="482">
        <v>1</v>
      </c>
      <c r="M391" s="482">
        <v>1</v>
      </c>
      <c r="N391" s="168">
        <v>255</v>
      </c>
      <c r="O391" s="168"/>
      <c r="P391" s="168"/>
      <c r="Q391" s="168"/>
      <c r="R391" s="169" t="e">
        <f t="shared" si="49"/>
        <v>#DIV/0!</v>
      </c>
      <c r="S391" s="169">
        <f t="shared" si="50"/>
        <v>0</v>
      </c>
      <c r="T391" s="169">
        <f t="shared" si="51"/>
        <v>0</v>
      </c>
      <c r="U391" s="169">
        <f t="shared" si="52"/>
        <v>0</v>
      </c>
      <c r="V391" s="519"/>
      <c r="W391" s="170">
        <f>IF(N391="nio",0,IF(N391&gt;0,VLOOKUP(G391,'3-Productie normen'!A:N,VLOOKUP(N391,'3-Productie normen'!Q:R,2,FALSE),FALSE)))</f>
        <v>0</v>
      </c>
      <c r="X391" s="170">
        <f t="shared" si="53"/>
        <v>0</v>
      </c>
      <c r="Y391" s="170">
        <f t="shared" si="54"/>
        <v>0</v>
      </c>
      <c r="Z391" s="170">
        <f t="shared" si="55"/>
        <v>0</v>
      </c>
      <c r="AA391" s="171">
        <f>VLOOKUP(G391,'3-Productie normen'!A:N,10,FALSE)</f>
        <v>3</v>
      </c>
      <c r="AB391" s="171"/>
      <c r="AD391" s="131">
        <f t="shared" si="56"/>
        <v>1040.4000000000001</v>
      </c>
    </row>
    <row r="392" spans="1:30" ht="14.1" customHeight="1">
      <c r="A392" s="147">
        <v>391</v>
      </c>
      <c r="B392" s="165" t="s">
        <v>494</v>
      </c>
      <c r="C392" s="165" t="s">
        <v>495</v>
      </c>
      <c r="D392" s="570" t="s">
        <v>102</v>
      </c>
      <c r="E392" s="178" t="s">
        <v>265</v>
      </c>
      <c r="F392" s="178" t="s">
        <v>266</v>
      </c>
      <c r="G392" s="128" t="s">
        <v>373</v>
      </c>
      <c r="H392" s="178" t="s">
        <v>104</v>
      </c>
      <c r="I392" s="565">
        <v>13.49</v>
      </c>
      <c r="J392" s="482">
        <v>1</v>
      </c>
      <c r="K392" s="482">
        <v>1</v>
      </c>
      <c r="L392" s="482">
        <v>1</v>
      </c>
      <c r="M392" s="482">
        <v>1</v>
      </c>
      <c r="N392" s="168">
        <v>255</v>
      </c>
      <c r="O392" s="168"/>
      <c r="P392" s="168"/>
      <c r="Q392" s="168"/>
      <c r="R392" s="169" t="e">
        <f t="shared" si="49"/>
        <v>#DIV/0!</v>
      </c>
      <c r="S392" s="169">
        <f t="shared" si="50"/>
        <v>0</v>
      </c>
      <c r="T392" s="169">
        <f t="shared" si="51"/>
        <v>0</v>
      </c>
      <c r="U392" s="169">
        <f t="shared" si="52"/>
        <v>0</v>
      </c>
      <c r="V392" s="519"/>
      <c r="W392" s="170">
        <f>IF(N392="nio",0,IF(N392&gt;0,VLOOKUP(G392,'3-Productie normen'!A:N,VLOOKUP(N392,'3-Productie normen'!Q:R,2,FALSE),FALSE)))</f>
        <v>0</v>
      </c>
      <c r="X392" s="170">
        <f t="shared" si="53"/>
        <v>0</v>
      </c>
      <c r="Y392" s="170">
        <f t="shared" si="54"/>
        <v>0</v>
      </c>
      <c r="Z392" s="170">
        <f t="shared" si="55"/>
        <v>0</v>
      </c>
      <c r="AA392" s="171">
        <f>VLOOKUP(G392,'3-Productie normen'!A:N,10,FALSE)</f>
        <v>1</v>
      </c>
      <c r="AB392" s="171"/>
      <c r="AD392" s="131">
        <f t="shared" si="56"/>
        <v>3439.9500000000003</v>
      </c>
    </row>
    <row r="393" spans="1:30" ht="14.1" customHeight="1">
      <c r="A393" s="147">
        <v>392</v>
      </c>
      <c r="B393" s="165" t="s">
        <v>496</v>
      </c>
      <c r="C393" s="165" t="s">
        <v>497</v>
      </c>
      <c r="D393" s="570" t="s">
        <v>102</v>
      </c>
      <c r="E393" s="178" t="s">
        <v>247</v>
      </c>
      <c r="F393" s="178" t="s">
        <v>103</v>
      </c>
      <c r="G393" s="525" t="s">
        <v>583</v>
      </c>
      <c r="H393" s="178" t="s">
        <v>272</v>
      </c>
      <c r="I393" s="565">
        <v>8.2899999999999991</v>
      </c>
      <c r="J393" s="482">
        <v>1</v>
      </c>
      <c r="K393" s="482">
        <v>1</v>
      </c>
      <c r="L393" s="482">
        <v>1</v>
      </c>
      <c r="M393" s="482">
        <v>1</v>
      </c>
      <c r="N393" s="168">
        <v>205</v>
      </c>
      <c r="O393" s="168"/>
      <c r="P393" s="168"/>
      <c r="Q393" s="168"/>
      <c r="R393" s="169" t="e">
        <f t="shared" si="49"/>
        <v>#DIV/0!</v>
      </c>
      <c r="S393" s="169">
        <f t="shared" si="50"/>
        <v>0</v>
      </c>
      <c r="T393" s="169">
        <f t="shared" si="51"/>
        <v>0</v>
      </c>
      <c r="U393" s="169">
        <f t="shared" si="52"/>
        <v>0</v>
      </c>
      <c r="V393" s="519"/>
      <c r="W393" s="170">
        <f>IF(N393="nio",0,IF(N393&gt;0,VLOOKUP(G393,'3-Productie normen'!A:N,VLOOKUP(N393,'3-Productie normen'!Q:R,2,FALSE),FALSE)))</f>
        <v>0</v>
      </c>
      <c r="X393" s="170">
        <f t="shared" si="53"/>
        <v>0</v>
      </c>
      <c r="Y393" s="170">
        <f t="shared" si="54"/>
        <v>0</v>
      </c>
      <c r="Z393" s="170">
        <f t="shared" si="55"/>
        <v>0</v>
      </c>
      <c r="AA393" s="171">
        <f>VLOOKUP(G393,'3-Productie normen'!A:N,10,FALSE)</f>
        <v>4</v>
      </c>
      <c r="AB393" s="171"/>
      <c r="AD393" s="131">
        <f t="shared" si="56"/>
        <v>1699.4499999999998</v>
      </c>
    </row>
    <row r="394" spans="1:30" ht="14.1" customHeight="1">
      <c r="A394" s="147">
        <v>393</v>
      </c>
      <c r="B394" s="165" t="s">
        <v>496</v>
      </c>
      <c r="C394" s="165" t="s">
        <v>497</v>
      </c>
      <c r="D394" s="570" t="s">
        <v>102</v>
      </c>
      <c r="E394" s="178" t="s">
        <v>248</v>
      </c>
      <c r="F394" s="178" t="s">
        <v>249</v>
      </c>
      <c r="G394" s="165" t="s">
        <v>579</v>
      </c>
      <c r="H394" s="178" t="s">
        <v>104</v>
      </c>
      <c r="I394" s="565">
        <v>101.08</v>
      </c>
      <c r="J394" s="482">
        <v>1</v>
      </c>
      <c r="K394" s="482">
        <v>1</v>
      </c>
      <c r="L394" s="482">
        <v>1</v>
      </c>
      <c r="M394" s="482">
        <v>1</v>
      </c>
      <c r="N394" s="168">
        <v>205</v>
      </c>
      <c r="O394" s="168"/>
      <c r="P394" s="168"/>
      <c r="Q394" s="168"/>
      <c r="R394" s="169" t="e">
        <f t="shared" si="49"/>
        <v>#DIV/0!</v>
      </c>
      <c r="S394" s="169">
        <f t="shared" si="50"/>
        <v>0</v>
      </c>
      <c r="T394" s="169">
        <f t="shared" si="51"/>
        <v>0</v>
      </c>
      <c r="U394" s="169">
        <f t="shared" si="52"/>
        <v>0</v>
      </c>
      <c r="V394" s="519"/>
      <c r="W394" s="170">
        <f>IF(N394="nio",0,IF(N394&gt;0,VLOOKUP(G394,'3-Productie normen'!A:N,VLOOKUP(N394,'3-Productie normen'!Q:R,2,FALSE),FALSE)))</f>
        <v>0</v>
      </c>
      <c r="X394" s="170">
        <f t="shared" si="53"/>
        <v>0</v>
      </c>
      <c r="Y394" s="170">
        <f t="shared" si="54"/>
        <v>0</v>
      </c>
      <c r="Z394" s="170">
        <f t="shared" si="55"/>
        <v>0</v>
      </c>
      <c r="AA394" s="171">
        <f>VLOOKUP(G394,'3-Productie normen'!A:N,10,FALSE)</f>
        <v>4</v>
      </c>
      <c r="AB394" s="171"/>
      <c r="AD394" s="131">
        <f t="shared" si="56"/>
        <v>20721.400000000001</v>
      </c>
    </row>
    <row r="395" spans="1:30" ht="14.1" customHeight="1">
      <c r="A395" s="147">
        <v>394</v>
      </c>
      <c r="B395" s="165" t="s">
        <v>496</v>
      </c>
      <c r="C395" s="165" t="s">
        <v>497</v>
      </c>
      <c r="D395" s="570" t="s">
        <v>102</v>
      </c>
      <c r="E395" s="178" t="s">
        <v>250</v>
      </c>
      <c r="F395" s="178" t="s">
        <v>266</v>
      </c>
      <c r="G395" s="128" t="s">
        <v>373</v>
      </c>
      <c r="H395" s="178" t="s">
        <v>104</v>
      </c>
      <c r="I395" s="565">
        <v>10.1</v>
      </c>
      <c r="J395" s="482">
        <v>1</v>
      </c>
      <c r="K395" s="482">
        <v>1</v>
      </c>
      <c r="L395" s="482">
        <v>1</v>
      </c>
      <c r="M395" s="482">
        <v>1</v>
      </c>
      <c r="N395" s="168">
        <v>205</v>
      </c>
      <c r="O395" s="168"/>
      <c r="P395" s="168"/>
      <c r="Q395" s="168"/>
      <c r="R395" s="169" t="e">
        <f t="shared" si="49"/>
        <v>#DIV/0!</v>
      </c>
      <c r="S395" s="169">
        <f t="shared" si="50"/>
        <v>0</v>
      </c>
      <c r="T395" s="169">
        <f t="shared" si="51"/>
        <v>0</v>
      </c>
      <c r="U395" s="169">
        <f t="shared" si="52"/>
        <v>0</v>
      </c>
      <c r="V395" s="519"/>
      <c r="W395" s="170">
        <f>IF(N395="nio",0,IF(N395&gt;0,VLOOKUP(G395,'3-Productie normen'!A:N,VLOOKUP(N395,'3-Productie normen'!Q:R,2,FALSE),FALSE)))</f>
        <v>0</v>
      </c>
      <c r="X395" s="170">
        <f t="shared" si="53"/>
        <v>0</v>
      </c>
      <c r="Y395" s="170">
        <f t="shared" si="54"/>
        <v>0</v>
      </c>
      <c r="Z395" s="170">
        <f t="shared" si="55"/>
        <v>0</v>
      </c>
      <c r="AA395" s="171">
        <f>VLOOKUP(G395,'3-Productie normen'!A:N,10,FALSE)</f>
        <v>1</v>
      </c>
      <c r="AB395" s="171"/>
      <c r="AD395" s="131">
        <f t="shared" si="56"/>
        <v>2070.5</v>
      </c>
    </row>
    <row r="396" spans="1:30" s="47" customFormat="1" ht="14.1" customHeight="1">
      <c r="A396" s="147">
        <v>395</v>
      </c>
      <c r="B396" s="165" t="s">
        <v>496</v>
      </c>
      <c r="C396" s="165" t="s">
        <v>497</v>
      </c>
      <c r="D396" s="570" t="s">
        <v>102</v>
      </c>
      <c r="E396" s="178" t="s">
        <v>252</v>
      </c>
      <c r="F396" s="178" t="s">
        <v>498</v>
      </c>
      <c r="G396" s="128" t="s">
        <v>373</v>
      </c>
      <c r="H396" s="178" t="s">
        <v>104</v>
      </c>
      <c r="I396" s="565">
        <v>11.5</v>
      </c>
      <c r="J396" s="482">
        <v>1</v>
      </c>
      <c r="K396" s="482">
        <v>1</v>
      </c>
      <c r="L396" s="482">
        <v>1</v>
      </c>
      <c r="M396" s="482">
        <v>1</v>
      </c>
      <c r="N396" s="168">
        <v>205</v>
      </c>
      <c r="O396" s="168"/>
      <c r="P396" s="168"/>
      <c r="Q396" s="168"/>
      <c r="R396" s="169" t="e">
        <f t="shared" si="49"/>
        <v>#DIV/0!</v>
      </c>
      <c r="S396" s="169">
        <f t="shared" si="50"/>
        <v>0</v>
      </c>
      <c r="T396" s="169">
        <f t="shared" si="51"/>
        <v>0</v>
      </c>
      <c r="U396" s="169">
        <f t="shared" si="52"/>
        <v>0</v>
      </c>
      <c r="V396" s="519"/>
      <c r="W396" s="170">
        <f>IF(N396="nio",0,IF(N396&gt;0,VLOOKUP(G396,'3-Productie normen'!A:N,VLOOKUP(N396,'3-Productie normen'!Q:R,2,FALSE),FALSE)))</f>
        <v>0</v>
      </c>
      <c r="X396" s="170">
        <f t="shared" ref="X396:X406" si="57">IF(O396&gt;0,W396*$X$8,0)</f>
        <v>0</v>
      </c>
      <c r="Y396" s="170">
        <f t="shared" ref="Y396:Y406" si="58">IF(P396&gt;0,W396*$Y$8,0)</f>
        <v>0</v>
      </c>
      <c r="Z396" s="170">
        <f t="shared" si="55"/>
        <v>0</v>
      </c>
      <c r="AA396" s="171">
        <f>VLOOKUP(G396,'3-Productie normen'!A:N,10,FALSE)</f>
        <v>1</v>
      </c>
      <c r="AB396" s="171"/>
      <c r="AC396" s="4"/>
      <c r="AD396" s="131">
        <f t="shared" ref="AD396:AD406" si="59">SUM(N396:P396)*I396</f>
        <v>2357.5</v>
      </c>
    </row>
    <row r="397" spans="1:30" ht="14.1" customHeight="1">
      <c r="A397" s="147">
        <v>396</v>
      </c>
      <c r="B397" s="165" t="s">
        <v>496</v>
      </c>
      <c r="C397" s="165" t="s">
        <v>497</v>
      </c>
      <c r="D397" s="570" t="s">
        <v>102</v>
      </c>
      <c r="E397" s="178" t="s">
        <v>254</v>
      </c>
      <c r="F397" s="178" t="s">
        <v>499</v>
      </c>
      <c r="G397" s="545" t="s">
        <v>199</v>
      </c>
      <c r="H397" s="178" t="s">
        <v>104</v>
      </c>
      <c r="I397" s="565">
        <v>6.61</v>
      </c>
      <c r="J397" s="482">
        <v>1</v>
      </c>
      <c r="K397" s="482">
        <v>1</v>
      </c>
      <c r="L397" s="482">
        <v>1</v>
      </c>
      <c r="M397" s="482">
        <v>1</v>
      </c>
      <c r="N397" s="168" t="s">
        <v>199</v>
      </c>
      <c r="O397" s="168"/>
      <c r="P397" s="168"/>
      <c r="Q397" s="168"/>
      <c r="R397" s="169">
        <f t="shared" ref="R397:R406" si="60">IF(N397="nio",0,IF(N397&gt;0,N397*I397/W397,0))*J397</f>
        <v>0</v>
      </c>
      <c r="S397" s="169">
        <f t="shared" ref="S397:S406" si="61">IF(O397&gt;0,O397*I397/X397,0)*K397</f>
        <v>0</v>
      </c>
      <c r="T397" s="169">
        <f t="shared" ref="T397:T406" si="62">IF(P397&gt;0,P397*I397/Y397,0)*L397</f>
        <v>0</v>
      </c>
      <c r="U397" s="169">
        <f t="shared" ref="U397:U406" si="63">IF(Q397&gt;0,Q397*I397/Z397,0)*M397</f>
        <v>0</v>
      </c>
      <c r="V397" s="519"/>
      <c r="W397" s="170">
        <f>IF(N397="nio",0,IF(N397&gt;0,VLOOKUP(G397,'3-Productie normen'!A:N,VLOOKUP(N397,'3-Productie normen'!Q:R,2,FALSE),FALSE)))</f>
        <v>0</v>
      </c>
      <c r="X397" s="170">
        <f t="shared" si="57"/>
        <v>0</v>
      </c>
      <c r="Y397" s="170">
        <f t="shared" si="58"/>
        <v>0</v>
      </c>
      <c r="Z397" s="170">
        <f t="shared" ref="Z397:Z406" si="64">IF(Q397&gt;0,W397*$Z$8,0)</f>
        <v>0</v>
      </c>
      <c r="AA397" s="171">
        <f>VLOOKUP(G397,'3-Productie normen'!A:N,10,FALSE)</f>
        <v>0</v>
      </c>
      <c r="AB397" s="171"/>
      <c r="AD397" s="131">
        <f t="shared" si="59"/>
        <v>0</v>
      </c>
    </row>
    <row r="398" spans="1:30" ht="14.1" customHeight="1">
      <c r="A398" s="147">
        <v>397</v>
      </c>
      <c r="B398" s="165" t="s">
        <v>496</v>
      </c>
      <c r="C398" s="165" t="s">
        <v>497</v>
      </c>
      <c r="D398" s="570" t="s">
        <v>102</v>
      </c>
      <c r="E398" s="178" t="s">
        <v>256</v>
      </c>
      <c r="F398" s="178" t="s">
        <v>262</v>
      </c>
      <c r="G398" s="128" t="s">
        <v>373</v>
      </c>
      <c r="H398" s="178" t="s">
        <v>104</v>
      </c>
      <c r="I398" s="565">
        <v>15</v>
      </c>
      <c r="J398" s="482">
        <v>1</v>
      </c>
      <c r="K398" s="482">
        <v>1</v>
      </c>
      <c r="L398" s="482">
        <v>1</v>
      </c>
      <c r="M398" s="482">
        <v>1</v>
      </c>
      <c r="N398" s="168">
        <v>205</v>
      </c>
      <c r="O398" s="168"/>
      <c r="P398" s="168"/>
      <c r="Q398" s="168"/>
      <c r="R398" s="169" t="e">
        <f t="shared" si="60"/>
        <v>#DIV/0!</v>
      </c>
      <c r="S398" s="169">
        <f t="shared" si="61"/>
        <v>0</v>
      </c>
      <c r="T398" s="169">
        <f t="shared" si="62"/>
        <v>0</v>
      </c>
      <c r="U398" s="169">
        <f t="shared" si="63"/>
        <v>0</v>
      </c>
      <c r="V398" s="519"/>
      <c r="W398" s="170">
        <f>IF(N398="nio",0,IF(N398&gt;0,VLOOKUP(G398,'3-Productie normen'!A:N,VLOOKUP(N398,'3-Productie normen'!Q:R,2,FALSE),FALSE)))</f>
        <v>0</v>
      </c>
      <c r="X398" s="170">
        <f t="shared" si="57"/>
        <v>0</v>
      </c>
      <c r="Y398" s="170">
        <f t="shared" si="58"/>
        <v>0</v>
      </c>
      <c r="Z398" s="170">
        <f t="shared" si="64"/>
        <v>0</v>
      </c>
      <c r="AA398" s="171">
        <f>VLOOKUP(G398,'3-Productie normen'!A:N,10,FALSE)</f>
        <v>1</v>
      </c>
      <c r="AB398" s="171"/>
      <c r="AD398" s="131">
        <f t="shared" si="59"/>
        <v>3075</v>
      </c>
    </row>
    <row r="399" spans="1:30" ht="14.1" customHeight="1">
      <c r="A399" s="147">
        <v>398</v>
      </c>
      <c r="B399" s="165" t="s">
        <v>496</v>
      </c>
      <c r="C399" s="165" t="s">
        <v>497</v>
      </c>
      <c r="D399" s="570" t="s">
        <v>102</v>
      </c>
      <c r="E399" s="178" t="s">
        <v>258</v>
      </c>
      <c r="F399" s="178" t="s">
        <v>293</v>
      </c>
      <c r="G399" s="128" t="s">
        <v>578</v>
      </c>
      <c r="H399" s="178" t="s">
        <v>104</v>
      </c>
      <c r="I399" s="565">
        <v>4.37</v>
      </c>
      <c r="J399" s="482">
        <v>1</v>
      </c>
      <c r="K399" s="482">
        <v>1</v>
      </c>
      <c r="L399" s="482">
        <v>1</v>
      </c>
      <c r="M399" s="482">
        <v>1</v>
      </c>
      <c r="N399" s="168">
        <v>12</v>
      </c>
      <c r="O399" s="168"/>
      <c r="P399" s="168"/>
      <c r="Q399" s="168"/>
      <c r="R399" s="169" t="e">
        <f t="shared" si="60"/>
        <v>#DIV/0!</v>
      </c>
      <c r="S399" s="169">
        <f t="shared" si="61"/>
        <v>0</v>
      </c>
      <c r="T399" s="169">
        <f t="shared" si="62"/>
        <v>0</v>
      </c>
      <c r="U399" s="169">
        <f t="shared" si="63"/>
        <v>0</v>
      </c>
      <c r="V399" s="519"/>
      <c r="W399" s="170">
        <f>IF(N399="nio",0,IF(N399&gt;0,VLOOKUP(G399,'3-Productie normen'!A:N,VLOOKUP(N399,'3-Productie normen'!Q:R,2,FALSE),FALSE)))</f>
        <v>0</v>
      </c>
      <c r="X399" s="170">
        <f t="shared" si="57"/>
        <v>0</v>
      </c>
      <c r="Y399" s="170">
        <f t="shared" si="58"/>
        <v>0</v>
      </c>
      <c r="Z399" s="170">
        <f t="shared" si="64"/>
        <v>0</v>
      </c>
      <c r="AA399" s="171">
        <f>VLOOKUP(G399,'3-Productie normen'!A:N,10,FALSE)</f>
        <v>4</v>
      </c>
      <c r="AB399" s="171"/>
      <c r="AD399" s="131">
        <f t="shared" si="59"/>
        <v>52.44</v>
      </c>
    </row>
    <row r="400" spans="1:30" ht="14.1" customHeight="1">
      <c r="A400" s="147">
        <v>399</v>
      </c>
      <c r="B400" s="165" t="s">
        <v>496</v>
      </c>
      <c r="C400" s="165" t="s">
        <v>497</v>
      </c>
      <c r="D400" s="570" t="s">
        <v>102</v>
      </c>
      <c r="E400" s="178" t="s">
        <v>259</v>
      </c>
      <c r="F400" s="178" t="s">
        <v>253</v>
      </c>
      <c r="G400" s="167" t="s">
        <v>17</v>
      </c>
      <c r="H400" s="178" t="s">
        <v>105</v>
      </c>
      <c r="I400" s="565">
        <v>3.34</v>
      </c>
      <c r="J400" s="482">
        <v>1</v>
      </c>
      <c r="K400" s="482">
        <v>1</v>
      </c>
      <c r="L400" s="482">
        <v>1</v>
      </c>
      <c r="M400" s="482">
        <v>1</v>
      </c>
      <c r="N400" s="168">
        <v>205</v>
      </c>
      <c r="O400" s="168"/>
      <c r="P400" s="168"/>
      <c r="Q400" s="168"/>
      <c r="R400" s="169" t="e">
        <f t="shared" si="60"/>
        <v>#DIV/0!</v>
      </c>
      <c r="S400" s="169">
        <f t="shared" si="61"/>
        <v>0</v>
      </c>
      <c r="T400" s="169">
        <f t="shared" si="62"/>
        <v>0</v>
      </c>
      <c r="U400" s="169">
        <f t="shared" si="63"/>
        <v>0</v>
      </c>
      <c r="V400" s="519"/>
      <c r="W400" s="170">
        <f>IF(N400="nio",0,IF(N400&gt;0,VLOOKUP(G400,'3-Productie normen'!A:N,VLOOKUP(N400,'3-Productie normen'!Q:R,2,FALSE),FALSE)))</f>
        <v>0</v>
      </c>
      <c r="X400" s="170">
        <f t="shared" si="57"/>
        <v>0</v>
      </c>
      <c r="Y400" s="170">
        <f t="shared" si="58"/>
        <v>0</v>
      </c>
      <c r="Z400" s="170">
        <f t="shared" si="64"/>
        <v>0</v>
      </c>
      <c r="AA400" s="171">
        <f>VLOOKUP(G400,'3-Productie normen'!A:N,10,FALSE)</f>
        <v>3</v>
      </c>
      <c r="AB400" s="171"/>
      <c r="AD400" s="131">
        <f t="shared" si="59"/>
        <v>684.69999999999993</v>
      </c>
    </row>
    <row r="401" spans="1:30" ht="14.1" customHeight="1">
      <c r="A401" s="147">
        <v>400</v>
      </c>
      <c r="B401" s="165" t="s">
        <v>496</v>
      </c>
      <c r="C401" s="165" t="s">
        <v>497</v>
      </c>
      <c r="D401" s="570" t="s">
        <v>102</v>
      </c>
      <c r="E401" s="178" t="s">
        <v>261</v>
      </c>
      <c r="F401" s="178" t="s">
        <v>353</v>
      </c>
      <c r="G401" s="177" t="s">
        <v>17</v>
      </c>
      <c r="H401" s="178" t="s">
        <v>105</v>
      </c>
      <c r="I401" s="565">
        <v>3.01</v>
      </c>
      <c r="J401" s="482">
        <v>1</v>
      </c>
      <c r="K401" s="482">
        <v>1</v>
      </c>
      <c r="L401" s="482">
        <v>1</v>
      </c>
      <c r="M401" s="482">
        <v>1</v>
      </c>
      <c r="N401" s="168">
        <v>205</v>
      </c>
      <c r="O401" s="168"/>
      <c r="P401" s="168"/>
      <c r="Q401" s="168"/>
      <c r="R401" s="169" t="e">
        <f t="shared" si="60"/>
        <v>#DIV/0!</v>
      </c>
      <c r="S401" s="169">
        <f t="shared" si="61"/>
        <v>0</v>
      </c>
      <c r="T401" s="169">
        <f t="shared" si="62"/>
        <v>0</v>
      </c>
      <c r="U401" s="169">
        <f t="shared" si="63"/>
        <v>0</v>
      </c>
      <c r="V401" s="519"/>
      <c r="W401" s="170">
        <f>IF(N401="nio",0,IF(N401&gt;0,VLOOKUP(G401,'3-Productie normen'!A:N,VLOOKUP(N401,'3-Productie normen'!Q:R,2,FALSE),FALSE)))</f>
        <v>0</v>
      </c>
      <c r="X401" s="170">
        <f t="shared" si="57"/>
        <v>0</v>
      </c>
      <c r="Y401" s="170">
        <f t="shared" si="58"/>
        <v>0</v>
      </c>
      <c r="Z401" s="170">
        <f t="shared" si="64"/>
        <v>0</v>
      </c>
      <c r="AA401" s="171">
        <f>VLOOKUP(G401,'3-Productie normen'!A:N,10,FALSE)</f>
        <v>3</v>
      </c>
      <c r="AB401" s="171"/>
      <c r="AD401" s="131">
        <f t="shared" si="59"/>
        <v>617.04999999999995</v>
      </c>
    </row>
    <row r="402" spans="1:30" ht="14.1" customHeight="1">
      <c r="A402" s="147">
        <v>401</v>
      </c>
      <c r="B402" s="165" t="s">
        <v>496</v>
      </c>
      <c r="C402" s="165" t="s">
        <v>497</v>
      </c>
      <c r="D402" s="570" t="s">
        <v>102</v>
      </c>
      <c r="E402" s="178" t="s">
        <v>263</v>
      </c>
      <c r="F402" s="178" t="s">
        <v>257</v>
      </c>
      <c r="G402" s="167" t="s">
        <v>17</v>
      </c>
      <c r="H402" s="178" t="s">
        <v>105</v>
      </c>
      <c r="I402" s="565">
        <v>1.31</v>
      </c>
      <c r="J402" s="482">
        <v>1</v>
      </c>
      <c r="K402" s="482">
        <v>1</v>
      </c>
      <c r="L402" s="482">
        <v>1</v>
      </c>
      <c r="M402" s="482">
        <v>1</v>
      </c>
      <c r="N402" s="168">
        <v>205</v>
      </c>
      <c r="O402" s="168"/>
      <c r="P402" s="168"/>
      <c r="Q402" s="168"/>
      <c r="R402" s="169" t="e">
        <f t="shared" si="60"/>
        <v>#DIV/0!</v>
      </c>
      <c r="S402" s="169">
        <f t="shared" si="61"/>
        <v>0</v>
      </c>
      <c r="T402" s="169">
        <f t="shared" si="62"/>
        <v>0</v>
      </c>
      <c r="U402" s="169">
        <f t="shared" si="63"/>
        <v>0</v>
      </c>
      <c r="V402" s="519"/>
      <c r="W402" s="170">
        <f>IF(N402="nio",0,IF(N402&gt;0,VLOOKUP(G402,'3-Productie normen'!A:N,VLOOKUP(N402,'3-Productie normen'!Q:R,2,FALSE),FALSE)))</f>
        <v>0</v>
      </c>
      <c r="X402" s="170">
        <f t="shared" si="57"/>
        <v>0</v>
      </c>
      <c r="Y402" s="170">
        <f t="shared" si="58"/>
        <v>0</v>
      </c>
      <c r="Z402" s="170">
        <f t="shared" si="64"/>
        <v>0</v>
      </c>
      <c r="AA402" s="171">
        <f>VLOOKUP(G402,'3-Productie normen'!A:N,10,FALSE)</f>
        <v>3</v>
      </c>
      <c r="AB402" s="171"/>
      <c r="AD402" s="131">
        <f t="shared" si="59"/>
        <v>268.55</v>
      </c>
    </row>
    <row r="403" spans="1:30" ht="14.1" customHeight="1">
      <c r="A403" s="147">
        <v>402</v>
      </c>
      <c r="B403" s="165" t="s">
        <v>496</v>
      </c>
      <c r="C403" s="165" t="s">
        <v>497</v>
      </c>
      <c r="D403" s="570" t="s">
        <v>102</v>
      </c>
      <c r="E403" s="178" t="s">
        <v>265</v>
      </c>
      <c r="F403" s="178" t="s">
        <v>257</v>
      </c>
      <c r="G403" s="167" t="s">
        <v>17</v>
      </c>
      <c r="H403" s="178" t="s">
        <v>105</v>
      </c>
      <c r="I403" s="565">
        <v>1.31</v>
      </c>
      <c r="J403" s="482">
        <v>1</v>
      </c>
      <c r="K403" s="482">
        <v>1</v>
      </c>
      <c r="L403" s="482">
        <v>1</v>
      </c>
      <c r="M403" s="482">
        <v>1</v>
      </c>
      <c r="N403" s="168">
        <v>205</v>
      </c>
      <c r="O403" s="168"/>
      <c r="P403" s="168"/>
      <c r="Q403" s="168"/>
      <c r="R403" s="169" t="e">
        <f t="shared" si="60"/>
        <v>#DIV/0!</v>
      </c>
      <c r="S403" s="169">
        <f t="shared" si="61"/>
        <v>0</v>
      </c>
      <c r="T403" s="169">
        <f t="shared" si="62"/>
        <v>0</v>
      </c>
      <c r="U403" s="169">
        <f t="shared" si="63"/>
        <v>0</v>
      </c>
      <c r="V403" s="519"/>
      <c r="W403" s="170">
        <f>IF(N403="nio",0,IF(N403&gt;0,VLOOKUP(G403,'3-Productie normen'!A:N,VLOOKUP(N403,'3-Productie normen'!Q:R,2,FALSE),FALSE)))</f>
        <v>0</v>
      </c>
      <c r="X403" s="170">
        <f t="shared" si="57"/>
        <v>0</v>
      </c>
      <c r="Y403" s="170">
        <f t="shared" si="58"/>
        <v>0</v>
      </c>
      <c r="Z403" s="170">
        <f t="shared" si="64"/>
        <v>0</v>
      </c>
      <c r="AA403" s="171">
        <f>VLOOKUP(G403,'3-Productie normen'!A:N,10,FALSE)</f>
        <v>3</v>
      </c>
      <c r="AB403" s="171"/>
      <c r="AD403" s="131">
        <f t="shared" si="59"/>
        <v>268.55</v>
      </c>
    </row>
    <row r="404" spans="1:30" ht="14.1" customHeight="1">
      <c r="A404" s="147">
        <v>403</v>
      </c>
      <c r="B404" s="165" t="s">
        <v>496</v>
      </c>
      <c r="C404" s="165" t="s">
        <v>497</v>
      </c>
      <c r="D404" s="570" t="s">
        <v>102</v>
      </c>
      <c r="E404" s="178" t="s">
        <v>267</v>
      </c>
      <c r="F404" s="178" t="s">
        <v>280</v>
      </c>
      <c r="G404" s="167" t="s">
        <v>107</v>
      </c>
      <c r="H404" s="178" t="s">
        <v>104</v>
      </c>
      <c r="I404" s="565">
        <v>24</v>
      </c>
      <c r="J404" s="482">
        <v>1</v>
      </c>
      <c r="K404" s="482">
        <v>1</v>
      </c>
      <c r="L404" s="482">
        <v>1</v>
      </c>
      <c r="M404" s="482">
        <v>1</v>
      </c>
      <c r="N404" s="168">
        <v>205</v>
      </c>
      <c r="O404" s="168"/>
      <c r="P404" s="168"/>
      <c r="Q404" s="168"/>
      <c r="R404" s="169" t="e">
        <f t="shared" si="60"/>
        <v>#DIV/0!</v>
      </c>
      <c r="S404" s="169">
        <f t="shared" si="61"/>
        <v>0</v>
      </c>
      <c r="T404" s="169">
        <f t="shared" si="62"/>
        <v>0</v>
      </c>
      <c r="U404" s="169">
        <f t="shared" si="63"/>
        <v>0</v>
      </c>
      <c r="V404" s="519"/>
      <c r="W404" s="170">
        <f>IF(N404="nio",0,IF(N404&gt;0,VLOOKUP(G404,'3-Productie normen'!A:N,VLOOKUP(N404,'3-Productie normen'!Q:R,2,FALSE),FALSE)))</f>
        <v>0</v>
      </c>
      <c r="X404" s="170">
        <f t="shared" si="57"/>
        <v>0</v>
      </c>
      <c r="Y404" s="170">
        <f t="shared" si="58"/>
        <v>0</v>
      </c>
      <c r="Z404" s="170">
        <f t="shared" si="64"/>
        <v>0</v>
      </c>
      <c r="AA404" s="171">
        <f>VLOOKUP(G404,'3-Productie normen'!A:N,10,FALSE)</f>
        <v>2</v>
      </c>
      <c r="AB404" s="171"/>
      <c r="AD404" s="131">
        <f t="shared" si="59"/>
        <v>4920</v>
      </c>
    </row>
    <row r="405" spans="1:30" ht="14.1" customHeight="1">
      <c r="A405" s="147">
        <v>404</v>
      </c>
      <c r="B405" s="165" t="s">
        <v>496</v>
      </c>
      <c r="C405" s="165" t="s">
        <v>497</v>
      </c>
      <c r="D405" s="570" t="s">
        <v>102</v>
      </c>
      <c r="E405" s="178" t="s">
        <v>286</v>
      </c>
      <c r="F405" s="178" t="s">
        <v>281</v>
      </c>
      <c r="G405" s="167" t="s">
        <v>373</v>
      </c>
      <c r="H405" s="178" t="s">
        <v>272</v>
      </c>
      <c r="I405" s="565">
        <v>32</v>
      </c>
      <c r="J405" s="482">
        <v>1</v>
      </c>
      <c r="K405" s="482">
        <v>1</v>
      </c>
      <c r="L405" s="482">
        <v>1</v>
      </c>
      <c r="M405" s="482">
        <v>1</v>
      </c>
      <c r="N405" s="168">
        <v>205</v>
      </c>
      <c r="O405" s="168"/>
      <c r="P405" s="168"/>
      <c r="Q405" s="168"/>
      <c r="R405" s="169" t="e">
        <f t="shared" si="60"/>
        <v>#DIV/0!</v>
      </c>
      <c r="S405" s="169">
        <f t="shared" si="61"/>
        <v>0</v>
      </c>
      <c r="T405" s="169">
        <f t="shared" si="62"/>
        <v>0</v>
      </c>
      <c r="U405" s="169">
        <f t="shared" si="63"/>
        <v>0</v>
      </c>
      <c r="V405" s="519"/>
      <c r="W405" s="170">
        <f>IF(N405="nio",0,IF(N405&gt;0,VLOOKUP(G405,'3-Productie normen'!A:N,VLOOKUP(N405,'3-Productie normen'!Q:R,2,FALSE),FALSE)))</f>
        <v>0</v>
      </c>
      <c r="X405" s="170">
        <f t="shared" si="57"/>
        <v>0</v>
      </c>
      <c r="Y405" s="170">
        <f t="shared" si="58"/>
        <v>0</v>
      </c>
      <c r="Z405" s="170">
        <f t="shared" si="64"/>
        <v>0</v>
      </c>
      <c r="AA405" s="171">
        <f>VLOOKUP(G405,'3-Productie normen'!A:N,10,FALSE)</f>
        <v>1</v>
      </c>
      <c r="AB405" s="171"/>
      <c r="AD405" s="131">
        <f t="shared" si="59"/>
        <v>6560</v>
      </c>
    </row>
    <row r="406" spans="1:30" ht="14.1" customHeight="1">
      <c r="A406" s="147">
        <v>405</v>
      </c>
      <c r="B406" s="165" t="s">
        <v>496</v>
      </c>
      <c r="C406" s="165" t="s">
        <v>497</v>
      </c>
      <c r="D406" s="570" t="s">
        <v>102</v>
      </c>
      <c r="E406" s="178" t="s">
        <v>288</v>
      </c>
      <c r="F406" s="178" t="s">
        <v>251</v>
      </c>
      <c r="G406" s="167" t="s">
        <v>373</v>
      </c>
      <c r="H406" s="178" t="s">
        <v>104</v>
      </c>
      <c r="I406" s="565">
        <v>15.19</v>
      </c>
      <c r="J406" s="482">
        <v>1</v>
      </c>
      <c r="K406" s="482">
        <v>1</v>
      </c>
      <c r="L406" s="482">
        <v>1</v>
      </c>
      <c r="M406" s="482">
        <v>1</v>
      </c>
      <c r="N406" s="168">
        <v>205</v>
      </c>
      <c r="O406" s="168"/>
      <c r="P406" s="168"/>
      <c r="Q406" s="168"/>
      <c r="R406" s="169" t="e">
        <f t="shared" si="60"/>
        <v>#DIV/0!</v>
      </c>
      <c r="S406" s="169">
        <f t="shared" si="61"/>
        <v>0</v>
      </c>
      <c r="T406" s="169">
        <f t="shared" si="62"/>
        <v>0</v>
      </c>
      <c r="U406" s="169">
        <f t="shared" si="63"/>
        <v>0</v>
      </c>
      <c r="V406" s="519"/>
      <c r="W406" s="170">
        <f>IF(N406="nio",0,IF(N406&gt;0,VLOOKUP(G406,'3-Productie normen'!A:N,VLOOKUP(N406,'3-Productie normen'!Q:R,2,FALSE),FALSE)))</f>
        <v>0</v>
      </c>
      <c r="X406" s="170">
        <f t="shared" si="57"/>
        <v>0</v>
      </c>
      <c r="Y406" s="170">
        <f t="shared" si="58"/>
        <v>0</v>
      </c>
      <c r="Z406" s="170">
        <f t="shared" si="64"/>
        <v>0</v>
      </c>
      <c r="AA406" s="171">
        <f>VLOOKUP(G406,'3-Productie normen'!A:N,10,FALSE)</f>
        <v>1</v>
      </c>
      <c r="AB406" s="171"/>
      <c r="AD406" s="131">
        <f t="shared" si="59"/>
        <v>3113.95</v>
      </c>
    </row>
    <row r="407" spans="1:30" ht="14.1" customHeight="1">
      <c r="A407" s="147">
        <v>406</v>
      </c>
      <c r="B407" s="523" t="s">
        <v>500</v>
      </c>
      <c r="C407" s="523" t="s">
        <v>501</v>
      </c>
      <c r="D407" s="570" t="s">
        <v>102</v>
      </c>
      <c r="E407" s="178" t="s">
        <v>247</v>
      </c>
      <c r="F407" s="178" t="s">
        <v>474</v>
      </c>
      <c r="G407" s="525" t="s">
        <v>583</v>
      </c>
      <c r="H407" s="178" t="s">
        <v>450</v>
      </c>
      <c r="I407" s="565">
        <v>4.2</v>
      </c>
      <c r="J407" s="482">
        <v>1</v>
      </c>
      <c r="K407" s="482">
        <v>1</v>
      </c>
      <c r="L407" s="482">
        <v>1</v>
      </c>
      <c r="M407" s="482">
        <v>1</v>
      </c>
      <c r="N407" s="524">
        <v>255</v>
      </c>
      <c r="O407" s="524"/>
      <c r="P407" s="524"/>
      <c r="Q407" s="524"/>
      <c r="R407" s="169" t="e">
        <f t="shared" ref="R407:R470" si="65">IF(N407="nio",0,IF(N407&gt;0,N407*I407/W407,0))*J407</f>
        <v>#DIV/0!</v>
      </c>
      <c r="S407" s="169">
        <f t="shared" ref="S407:S470" si="66">IF(O407&gt;0,O407*I407/X407,0)*K407</f>
        <v>0</v>
      </c>
      <c r="T407" s="169">
        <f t="shared" ref="T407:T470" si="67">IF(P407&gt;0,P407*I407/Y407,0)*L407</f>
        <v>0</v>
      </c>
      <c r="U407" s="169">
        <f t="shared" ref="U407:U470" si="68">IF(Q407&gt;0,Q407*I407/Z407,0)*M407</f>
        <v>0</v>
      </c>
      <c r="V407" s="519"/>
      <c r="W407" s="170">
        <f>IF(N407="nio",0,IF(N407&gt;0,VLOOKUP(G407,'3-Productie normen'!A:N,VLOOKUP(N407,'3-Productie normen'!Q:R,2,FALSE),FALSE)))</f>
        <v>0</v>
      </c>
      <c r="X407" s="170">
        <f t="shared" ref="X407:X470" si="69">IF(O407&gt;0,W407*$X$8,0)</f>
        <v>0</v>
      </c>
      <c r="Y407" s="170">
        <f t="shared" ref="Y407:Y470" si="70">IF(P407&gt;0,W407*$Y$8,0)</f>
        <v>0</v>
      </c>
      <c r="Z407" s="170">
        <f t="shared" ref="Z407:Z470" si="71">IF(Q407&gt;0,W407*$Z$8,0)</f>
        <v>0</v>
      </c>
      <c r="AA407" s="171">
        <f>VLOOKUP(G407,'3-Productie normen'!A:N,10,FALSE)</f>
        <v>4</v>
      </c>
      <c r="AB407" s="171"/>
      <c r="AD407" s="131">
        <f t="shared" ref="AD407:AD470" si="72">SUM(N407:P407)*I407</f>
        <v>1071</v>
      </c>
    </row>
    <row r="408" spans="1:30" ht="14.1" customHeight="1">
      <c r="A408" s="147">
        <v>407</v>
      </c>
      <c r="B408" s="523" t="s">
        <v>500</v>
      </c>
      <c r="C408" s="523" t="s">
        <v>501</v>
      </c>
      <c r="D408" s="570" t="s">
        <v>102</v>
      </c>
      <c r="E408" s="178" t="s">
        <v>248</v>
      </c>
      <c r="F408" s="178" t="s">
        <v>249</v>
      </c>
      <c r="G408" s="165" t="s">
        <v>579</v>
      </c>
      <c r="H408" s="178" t="s">
        <v>451</v>
      </c>
      <c r="I408" s="565">
        <v>86.5</v>
      </c>
      <c r="J408" s="482">
        <v>1</v>
      </c>
      <c r="K408" s="482">
        <v>1</v>
      </c>
      <c r="L408" s="482">
        <v>1</v>
      </c>
      <c r="M408" s="482">
        <v>1</v>
      </c>
      <c r="N408" s="524">
        <v>255</v>
      </c>
      <c r="O408" s="524"/>
      <c r="P408" s="524"/>
      <c r="Q408" s="524"/>
      <c r="R408" s="169" t="e">
        <f t="shared" si="65"/>
        <v>#DIV/0!</v>
      </c>
      <c r="S408" s="169">
        <f t="shared" si="66"/>
        <v>0</v>
      </c>
      <c r="T408" s="169">
        <f t="shared" si="67"/>
        <v>0</v>
      </c>
      <c r="U408" s="169">
        <f t="shared" si="68"/>
        <v>0</v>
      </c>
      <c r="V408" s="519"/>
      <c r="W408" s="170">
        <f>IF(N408="nio",0,IF(N408&gt;0,VLOOKUP(G408,'3-Productie normen'!A:N,VLOOKUP(N408,'3-Productie normen'!Q:R,2,FALSE),FALSE)))</f>
        <v>0</v>
      </c>
      <c r="X408" s="170">
        <f t="shared" si="69"/>
        <v>0</v>
      </c>
      <c r="Y408" s="170">
        <f t="shared" si="70"/>
        <v>0</v>
      </c>
      <c r="Z408" s="170">
        <f t="shared" si="71"/>
        <v>0</v>
      </c>
      <c r="AA408" s="171">
        <f>VLOOKUP(G408,'3-Productie normen'!A:N,10,FALSE)</f>
        <v>4</v>
      </c>
      <c r="AB408" s="171"/>
      <c r="AD408" s="131">
        <f t="shared" si="72"/>
        <v>22057.5</v>
      </c>
    </row>
    <row r="409" spans="1:30" ht="14.1" customHeight="1">
      <c r="A409" s="147">
        <v>408</v>
      </c>
      <c r="B409" s="523" t="s">
        <v>500</v>
      </c>
      <c r="C409" s="523" t="s">
        <v>501</v>
      </c>
      <c r="D409" s="570" t="s">
        <v>102</v>
      </c>
      <c r="E409" s="178" t="s">
        <v>250</v>
      </c>
      <c r="F409" s="178" t="s">
        <v>502</v>
      </c>
      <c r="G409" s="128" t="s">
        <v>373</v>
      </c>
      <c r="H409" s="178" t="s">
        <v>272</v>
      </c>
      <c r="I409" s="565">
        <v>25.2</v>
      </c>
      <c r="J409" s="482">
        <v>1</v>
      </c>
      <c r="K409" s="482">
        <v>1</v>
      </c>
      <c r="L409" s="482">
        <v>1</v>
      </c>
      <c r="M409" s="482">
        <v>1</v>
      </c>
      <c r="N409" s="524">
        <v>255</v>
      </c>
      <c r="O409" s="524"/>
      <c r="P409" s="524"/>
      <c r="Q409" s="524"/>
      <c r="R409" s="169" t="e">
        <f t="shared" si="65"/>
        <v>#DIV/0!</v>
      </c>
      <c r="S409" s="169">
        <f t="shared" si="66"/>
        <v>0</v>
      </c>
      <c r="T409" s="169">
        <f t="shared" si="67"/>
        <v>0</v>
      </c>
      <c r="U409" s="169">
        <f t="shared" si="68"/>
        <v>0</v>
      </c>
      <c r="V409" s="519"/>
      <c r="W409" s="170">
        <f>IF(N409="nio",0,IF(N409&gt;0,VLOOKUP(G409,'3-Productie normen'!A:N,VLOOKUP(N409,'3-Productie normen'!Q:R,2,FALSE),FALSE)))</f>
        <v>0</v>
      </c>
      <c r="X409" s="170">
        <f t="shared" si="69"/>
        <v>0</v>
      </c>
      <c r="Y409" s="170">
        <f t="shared" si="70"/>
        <v>0</v>
      </c>
      <c r="Z409" s="170">
        <f t="shared" si="71"/>
        <v>0</v>
      </c>
      <c r="AA409" s="171">
        <f>VLOOKUP(G409,'3-Productie normen'!A:N,10,FALSE)</f>
        <v>1</v>
      </c>
      <c r="AB409" s="171"/>
      <c r="AD409" s="131">
        <f t="shared" si="72"/>
        <v>6426</v>
      </c>
    </row>
    <row r="410" spans="1:30" ht="14.1" customHeight="1">
      <c r="A410" s="147">
        <v>409</v>
      </c>
      <c r="B410" s="523" t="s">
        <v>500</v>
      </c>
      <c r="C410" s="523" t="s">
        <v>501</v>
      </c>
      <c r="D410" s="570" t="s">
        <v>102</v>
      </c>
      <c r="E410" s="178" t="s">
        <v>252</v>
      </c>
      <c r="F410" s="178" t="s">
        <v>503</v>
      </c>
      <c r="G410" s="525" t="s">
        <v>583</v>
      </c>
      <c r="H410" s="178" t="s">
        <v>272</v>
      </c>
      <c r="I410" s="565">
        <v>36.200000000000003</v>
      </c>
      <c r="J410" s="482">
        <v>1</v>
      </c>
      <c r="K410" s="482">
        <v>1</v>
      </c>
      <c r="L410" s="482">
        <v>1</v>
      </c>
      <c r="M410" s="482">
        <v>1</v>
      </c>
      <c r="N410" s="524">
        <v>255</v>
      </c>
      <c r="O410" s="524"/>
      <c r="P410" s="524"/>
      <c r="Q410" s="524"/>
      <c r="R410" s="169" t="e">
        <f t="shared" si="65"/>
        <v>#DIV/0!</v>
      </c>
      <c r="S410" s="169">
        <f t="shared" si="66"/>
        <v>0</v>
      </c>
      <c r="T410" s="169">
        <f t="shared" si="67"/>
        <v>0</v>
      </c>
      <c r="U410" s="169">
        <f t="shared" si="68"/>
        <v>0</v>
      </c>
      <c r="V410" s="519"/>
      <c r="W410" s="170">
        <f>IF(N410="nio",0,IF(N410&gt;0,VLOOKUP(G410,'3-Productie normen'!A:N,VLOOKUP(N410,'3-Productie normen'!Q:R,2,FALSE),FALSE)))</f>
        <v>0</v>
      </c>
      <c r="X410" s="170">
        <f t="shared" si="69"/>
        <v>0</v>
      </c>
      <c r="Y410" s="170">
        <f t="shared" si="70"/>
        <v>0</v>
      </c>
      <c r="Z410" s="170">
        <f t="shared" si="71"/>
        <v>0</v>
      </c>
      <c r="AA410" s="171">
        <f>VLOOKUP(G410,'3-Productie normen'!A:N,10,FALSE)</f>
        <v>4</v>
      </c>
      <c r="AB410" s="171"/>
      <c r="AD410" s="131">
        <f t="shared" si="72"/>
        <v>9231</v>
      </c>
    </row>
    <row r="411" spans="1:30" ht="14.1" customHeight="1">
      <c r="A411" s="147">
        <v>410</v>
      </c>
      <c r="B411" s="523" t="s">
        <v>500</v>
      </c>
      <c r="C411" s="523" t="s">
        <v>501</v>
      </c>
      <c r="D411" s="570" t="s">
        <v>102</v>
      </c>
      <c r="E411" s="178" t="s">
        <v>254</v>
      </c>
      <c r="F411" s="178" t="s">
        <v>257</v>
      </c>
      <c r="G411" s="167" t="s">
        <v>17</v>
      </c>
      <c r="H411" s="178" t="s">
        <v>105</v>
      </c>
      <c r="I411" s="565">
        <v>3</v>
      </c>
      <c r="J411" s="482">
        <v>1</v>
      </c>
      <c r="K411" s="482">
        <v>1</v>
      </c>
      <c r="L411" s="482">
        <v>1</v>
      </c>
      <c r="M411" s="482">
        <v>1</v>
      </c>
      <c r="N411" s="524">
        <v>255</v>
      </c>
      <c r="O411" s="524"/>
      <c r="P411" s="524"/>
      <c r="Q411" s="524"/>
      <c r="R411" s="169" t="e">
        <f t="shared" si="65"/>
        <v>#DIV/0!</v>
      </c>
      <c r="S411" s="169">
        <f t="shared" si="66"/>
        <v>0</v>
      </c>
      <c r="T411" s="169">
        <f t="shared" si="67"/>
        <v>0</v>
      </c>
      <c r="U411" s="169">
        <f t="shared" si="68"/>
        <v>0</v>
      </c>
      <c r="V411" s="519"/>
      <c r="W411" s="170">
        <f>IF(N411="nio",0,IF(N411&gt;0,VLOOKUP(G411,'3-Productie normen'!A:N,VLOOKUP(N411,'3-Productie normen'!Q:R,2,FALSE),FALSE)))</f>
        <v>0</v>
      </c>
      <c r="X411" s="170">
        <f t="shared" si="69"/>
        <v>0</v>
      </c>
      <c r="Y411" s="170">
        <f t="shared" si="70"/>
        <v>0</v>
      </c>
      <c r="Z411" s="170">
        <f t="shared" si="71"/>
        <v>0</v>
      </c>
      <c r="AA411" s="171">
        <f>VLOOKUP(G411,'3-Productie normen'!A:N,10,FALSE)</f>
        <v>3</v>
      </c>
      <c r="AB411" s="171"/>
      <c r="AD411" s="131">
        <f t="shared" si="72"/>
        <v>765</v>
      </c>
    </row>
    <row r="412" spans="1:30" ht="14.1" customHeight="1">
      <c r="A412" s="147">
        <v>411</v>
      </c>
      <c r="B412" s="523" t="s">
        <v>500</v>
      </c>
      <c r="C412" s="523" t="s">
        <v>501</v>
      </c>
      <c r="D412" s="570" t="s">
        <v>102</v>
      </c>
      <c r="E412" s="178" t="s">
        <v>256</v>
      </c>
      <c r="F412" s="178" t="s">
        <v>425</v>
      </c>
      <c r="G412" s="165" t="s">
        <v>17</v>
      </c>
      <c r="H412" s="178" t="s">
        <v>105</v>
      </c>
      <c r="I412" s="565">
        <v>4.0999999999999996</v>
      </c>
      <c r="J412" s="482">
        <v>1</v>
      </c>
      <c r="K412" s="482">
        <v>1</v>
      </c>
      <c r="L412" s="482">
        <v>1</v>
      </c>
      <c r="M412" s="482">
        <v>1</v>
      </c>
      <c r="N412" s="524">
        <v>255</v>
      </c>
      <c r="O412" s="524"/>
      <c r="P412" s="524"/>
      <c r="Q412" s="524"/>
      <c r="R412" s="169" t="e">
        <f t="shared" si="65"/>
        <v>#DIV/0!</v>
      </c>
      <c r="S412" s="169">
        <f t="shared" si="66"/>
        <v>0</v>
      </c>
      <c r="T412" s="169">
        <f t="shared" si="67"/>
        <v>0</v>
      </c>
      <c r="U412" s="169">
        <f t="shared" si="68"/>
        <v>0</v>
      </c>
      <c r="V412" s="519"/>
      <c r="W412" s="170">
        <f>IF(N412="nio",0,IF(N412&gt;0,VLOOKUP(G412,'3-Productie normen'!A:N,VLOOKUP(N412,'3-Productie normen'!Q:R,2,FALSE),FALSE)))</f>
        <v>0</v>
      </c>
      <c r="X412" s="170">
        <f t="shared" si="69"/>
        <v>0</v>
      </c>
      <c r="Y412" s="170">
        <f t="shared" si="70"/>
        <v>0</v>
      </c>
      <c r="Z412" s="170">
        <f t="shared" si="71"/>
        <v>0</v>
      </c>
      <c r="AA412" s="171">
        <f>VLOOKUP(G412,'3-Productie normen'!A:N,10,FALSE)</f>
        <v>3</v>
      </c>
      <c r="AB412" s="171"/>
      <c r="AD412" s="131">
        <f t="shared" si="72"/>
        <v>1045.5</v>
      </c>
    </row>
    <row r="413" spans="1:30" ht="14.1" customHeight="1">
      <c r="A413" s="147">
        <v>412</v>
      </c>
      <c r="B413" s="523" t="s">
        <v>500</v>
      </c>
      <c r="C413" s="523" t="s">
        <v>501</v>
      </c>
      <c r="D413" s="570" t="s">
        <v>102</v>
      </c>
      <c r="E413" s="178" t="s">
        <v>258</v>
      </c>
      <c r="F413" s="178" t="s">
        <v>371</v>
      </c>
      <c r="G413" s="178" t="s">
        <v>107</v>
      </c>
      <c r="H413" s="178" t="s">
        <v>272</v>
      </c>
      <c r="I413" s="565">
        <v>9.8000000000000007</v>
      </c>
      <c r="J413" s="482">
        <v>1</v>
      </c>
      <c r="K413" s="482">
        <v>1</v>
      </c>
      <c r="L413" s="482">
        <v>1</v>
      </c>
      <c r="M413" s="482">
        <v>1</v>
      </c>
      <c r="N413" s="524">
        <v>255</v>
      </c>
      <c r="O413" s="524"/>
      <c r="P413" s="524"/>
      <c r="Q413" s="524"/>
      <c r="R413" s="169" t="e">
        <f t="shared" si="65"/>
        <v>#DIV/0!</v>
      </c>
      <c r="S413" s="169">
        <f t="shared" si="66"/>
        <v>0</v>
      </c>
      <c r="T413" s="169">
        <f t="shared" si="67"/>
        <v>0</v>
      </c>
      <c r="U413" s="169">
        <f t="shared" si="68"/>
        <v>0</v>
      </c>
      <c r="V413" s="519"/>
      <c r="W413" s="170">
        <f>IF(N413="nio",0,IF(N413&gt;0,VLOOKUP(G413,'3-Productie normen'!A:N,VLOOKUP(N413,'3-Productie normen'!Q:R,2,FALSE),FALSE)))</f>
        <v>0</v>
      </c>
      <c r="X413" s="170">
        <f t="shared" si="69"/>
        <v>0</v>
      </c>
      <c r="Y413" s="170">
        <f t="shared" si="70"/>
        <v>0</v>
      </c>
      <c r="Z413" s="170">
        <f t="shared" si="71"/>
        <v>0</v>
      </c>
      <c r="AA413" s="171">
        <f>VLOOKUP(G413,'3-Productie normen'!A:N,10,FALSE)</f>
        <v>2</v>
      </c>
      <c r="AB413" s="171"/>
      <c r="AD413" s="131">
        <f t="shared" si="72"/>
        <v>2499</v>
      </c>
    </row>
    <row r="414" spans="1:30" ht="14.1" customHeight="1">
      <c r="A414" s="147">
        <v>413</v>
      </c>
      <c r="B414" s="523" t="s">
        <v>500</v>
      </c>
      <c r="C414" s="523" t="s">
        <v>501</v>
      </c>
      <c r="D414" s="570" t="s">
        <v>102</v>
      </c>
      <c r="E414" s="178" t="s">
        <v>259</v>
      </c>
      <c r="F414" s="178" t="s">
        <v>504</v>
      </c>
      <c r="G414" s="178" t="s">
        <v>373</v>
      </c>
      <c r="H414" s="178" t="s">
        <v>272</v>
      </c>
      <c r="I414" s="565">
        <v>11</v>
      </c>
      <c r="J414" s="482">
        <v>1</v>
      </c>
      <c r="K414" s="482">
        <v>1</v>
      </c>
      <c r="L414" s="482">
        <v>1</v>
      </c>
      <c r="M414" s="482">
        <v>1</v>
      </c>
      <c r="N414" s="524">
        <v>255</v>
      </c>
      <c r="O414" s="524"/>
      <c r="P414" s="524"/>
      <c r="Q414" s="524"/>
      <c r="R414" s="169" t="e">
        <f t="shared" si="65"/>
        <v>#DIV/0!</v>
      </c>
      <c r="S414" s="169">
        <f t="shared" si="66"/>
        <v>0</v>
      </c>
      <c r="T414" s="169">
        <f t="shared" si="67"/>
        <v>0</v>
      </c>
      <c r="U414" s="169">
        <f t="shared" si="68"/>
        <v>0</v>
      </c>
      <c r="V414" s="519"/>
      <c r="W414" s="170">
        <f>IF(N414="nio",0,IF(N414&gt;0,VLOOKUP(G414,'3-Productie normen'!A:N,VLOOKUP(N414,'3-Productie normen'!Q:R,2,FALSE),FALSE)))</f>
        <v>0</v>
      </c>
      <c r="X414" s="170">
        <f t="shared" si="69"/>
        <v>0</v>
      </c>
      <c r="Y414" s="170">
        <f t="shared" si="70"/>
        <v>0</v>
      </c>
      <c r="Z414" s="170">
        <f t="shared" si="71"/>
        <v>0</v>
      </c>
      <c r="AA414" s="171">
        <f>VLOOKUP(G414,'3-Productie normen'!A:N,10,FALSE)</f>
        <v>1</v>
      </c>
      <c r="AB414" s="171"/>
      <c r="AD414" s="131">
        <f t="shared" si="72"/>
        <v>2805</v>
      </c>
    </row>
    <row r="415" spans="1:30" ht="14.1" customHeight="1">
      <c r="A415" s="147">
        <v>414</v>
      </c>
      <c r="B415" s="523" t="s">
        <v>500</v>
      </c>
      <c r="C415" s="523" t="s">
        <v>501</v>
      </c>
      <c r="D415" s="570" t="s">
        <v>102</v>
      </c>
      <c r="E415" s="178" t="s">
        <v>261</v>
      </c>
      <c r="F415" s="178" t="s">
        <v>504</v>
      </c>
      <c r="G415" s="178" t="s">
        <v>373</v>
      </c>
      <c r="H415" s="178" t="s">
        <v>272</v>
      </c>
      <c r="I415" s="565">
        <v>31</v>
      </c>
      <c r="J415" s="482">
        <v>1</v>
      </c>
      <c r="K415" s="482">
        <v>1</v>
      </c>
      <c r="L415" s="482">
        <v>1</v>
      </c>
      <c r="M415" s="482">
        <v>1</v>
      </c>
      <c r="N415" s="524">
        <v>255</v>
      </c>
      <c r="O415" s="524"/>
      <c r="P415" s="524"/>
      <c r="Q415" s="524"/>
      <c r="R415" s="169" t="e">
        <f t="shared" si="65"/>
        <v>#DIV/0!</v>
      </c>
      <c r="S415" s="169">
        <f t="shared" si="66"/>
        <v>0</v>
      </c>
      <c r="T415" s="169">
        <f t="shared" si="67"/>
        <v>0</v>
      </c>
      <c r="U415" s="169">
        <f t="shared" si="68"/>
        <v>0</v>
      </c>
      <c r="V415" s="519"/>
      <c r="W415" s="170">
        <f>IF(N415="nio",0,IF(N415&gt;0,VLOOKUP(G415,'3-Productie normen'!A:N,VLOOKUP(N415,'3-Productie normen'!Q:R,2,FALSE),FALSE)))</f>
        <v>0</v>
      </c>
      <c r="X415" s="170">
        <f t="shared" si="69"/>
        <v>0</v>
      </c>
      <c r="Y415" s="170">
        <f t="shared" si="70"/>
        <v>0</v>
      </c>
      <c r="Z415" s="170">
        <f t="shared" si="71"/>
        <v>0</v>
      </c>
      <c r="AA415" s="171">
        <f>VLOOKUP(G415,'3-Productie normen'!A:N,10,FALSE)</f>
        <v>1</v>
      </c>
      <c r="AB415" s="171"/>
      <c r="AD415" s="131">
        <f t="shared" si="72"/>
        <v>7905</v>
      </c>
    </row>
    <row r="416" spans="1:30" ht="14.1" customHeight="1">
      <c r="A416" s="147">
        <v>415</v>
      </c>
      <c r="B416" s="523" t="s">
        <v>500</v>
      </c>
      <c r="C416" s="523" t="s">
        <v>501</v>
      </c>
      <c r="D416" s="570" t="s">
        <v>102</v>
      </c>
      <c r="E416" s="178" t="s">
        <v>263</v>
      </c>
      <c r="F416" s="178" t="s">
        <v>502</v>
      </c>
      <c r="G416" s="128" t="s">
        <v>373</v>
      </c>
      <c r="H416" s="178" t="s">
        <v>272</v>
      </c>
      <c r="I416" s="565">
        <v>19</v>
      </c>
      <c r="J416" s="482">
        <v>1</v>
      </c>
      <c r="K416" s="482">
        <v>1</v>
      </c>
      <c r="L416" s="482">
        <v>1</v>
      </c>
      <c r="M416" s="482">
        <v>1</v>
      </c>
      <c r="N416" s="524">
        <v>255</v>
      </c>
      <c r="O416" s="524"/>
      <c r="P416" s="524"/>
      <c r="Q416" s="524"/>
      <c r="R416" s="169" t="e">
        <f t="shared" si="65"/>
        <v>#DIV/0!</v>
      </c>
      <c r="S416" s="169">
        <f t="shared" si="66"/>
        <v>0</v>
      </c>
      <c r="T416" s="169">
        <f t="shared" si="67"/>
        <v>0</v>
      </c>
      <c r="U416" s="169">
        <f t="shared" si="68"/>
        <v>0</v>
      </c>
      <c r="V416" s="519"/>
      <c r="W416" s="170">
        <f>IF(N416="nio",0,IF(N416&gt;0,VLOOKUP(G416,'3-Productie normen'!A:N,VLOOKUP(N416,'3-Productie normen'!Q:R,2,FALSE),FALSE)))</f>
        <v>0</v>
      </c>
      <c r="X416" s="170">
        <f t="shared" si="69"/>
        <v>0</v>
      </c>
      <c r="Y416" s="170">
        <f t="shared" si="70"/>
        <v>0</v>
      </c>
      <c r="Z416" s="170">
        <f t="shared" si="71"/>
        <v>0</v>
      </c>
      <c r="AA416" s="171">
        <f>VLOOKUP(G416,'3-Productie normen'!A:N,10,FALSE)</f>
        <v>1</v>
      </c>
      <c r="AB416" s="171"/>
      <c r="AD416" s="131">
        <f t="shared" si="72"/>
        <v>4845</v>
      </c>
    </row>
    <row r="417" spans="1:30" ht="14.1" customHeight="1">
      <c r="A417" s="147">
        <v>416</v>
      </c>
      <c r="B417" s="523" t="s">
        <v>516</v>
      </c>
      <c r="C417" s="523" t="s">
        <v>517</v>
      </c>
      <c r="D417" s="570" t="s">
        <v>102</v>
      </c>
      <c r="E417" s="178" t="s">
        <v>247</v>
      </c>
      <c r="F417" s="178" t="s">
        <v>474</v>
      </c>
      <c r="G417" s="525" t="s">
        <v>583</v>
      </c>
      <c r="H417" s="178" t="s">
        <v>272</v>
      </c>
      <c r="I417" s="565">
        <v>3.64</v>
      </c>
      <c r="J417" s="482">
        <v>1</v>
      </c>
      <c r="K417" s="482">
        <v>1</v>
      </c>
      <c r="L417" s="482">
        <v>1</v>
      </c>
      <c r="M417" s="482">
        <v>1</v>
      </c>
      <c r="N417" s="524">
        <v>255</v>
      </c>
      <c r="O417" s="524"/>
      <c r="P417" s="524"/>
      <c r="Q417" s="524"/>
      <c r="R417" s="169" t="e">
        <f t="shared" si="65"/>
        <v>#DIV/0!</v>
      </c>
      <c r="S417" s="169">
        <f t="shared" si="66"/>
        <v>0</v>
      </c>
      <c r="T417" s="169">
        <f t="shared" si="67"/>
        <v>0</v>
      </c>
      <c r="U417" s="169">
        <f t="shared" si="68"/>
        <v>0</v>
      </c>
      <c r="V417" s="519"/>
      <c r="W417" s="170">
        <f>IF(N417="nio",0,IF(N417&gt;0,VLOOKUP(G417,'3-Productie normen'!A:N,VLOOKUP(N417,'3-Productie normen'!Q:R,2,FALSE),FALSE)))</f>
        <v>0</v>
      </c>
      <c r="X417" s="170">
        <f t="shared" si="69"/>
        <v>0</v>
      </c>
      <c r="Y417" s="170">
        <f t="shared" si="70"/>
        <v>0</v>
      </c>
      <c r="Z417" s="170">
        <f t="shared" si="71"/>
        <v>0</v>
      </c>
      <c r="AA417" s="171">
        <f>VLOOKUP(G417,'3-Productie normen'!A:N,10,FALSE)</f>
        <v>4</v>
      </c>
      <c r="AB417" s="171"/>
      <c r="AD417" s="131">
        <f t="shared" si="72"/>
        <v>928.2</v>
      </c>
    </row>
    <row r="418" spans="1:30" ht="14.1" customHeight="1">
      <c r="A418" s="147">
        <v>417</v>
      </c>
      <c r="B418" s="523" t="s">
        <v>516</v>
      </c>
      <c r="C418" s="523" t="s">
        <v>517</v>
      </c>
      <c r="D418" s="570" t="s">
        <v>102</v>
      </c>
      <c r="E418" s="178" t="s">
        <v>248</v>
      </c>
      <c r="F418" s="178" t="s">
        <v>249</v>
      </c>
      <c r="G418" s="165" t="s">
        <v>579</v>
      </c>
      <c r="H418" s="178" t="s">
        <v>104</v>
      </c>
      <c r="I418" s="565">
        <v>41.6</v>
      </c>
      <c r="J418" s="482">
        <v>1</v>
      </c>
      <c r="K418" s="482">
        <v>1</v>
      </c>
      <c r="L418" s="482">
        <v>1</v>
      </c>
      <c r="M418" s="482">
        <v>1</v>
      </c>
      <c r="N418" s="524">
        <v>255</v>
      </c>
      <c r="O418" s="524"/>
      <c r="P418" s="524"/>
      <c r="Q418" s="524"/>
      <c r="R418" s="169" t="e">
        <f t="shared" si="65"/>
        <v>#DIV/0!</v>
      </c>
      <c r="S418" s="169">
        <f t="shared" si="66"/>
        <v>0</v>
      </c>
      <c r="T418" s="169">
        <f t="shared" si="67"/>
        <v>0</v>
      </c>
      <c r="U418" s="169">
        <f t="shared" si="68"/>
        <v>0</v>
      </c>
      <c r="V418" s="519"/>
      <c r="W418" s="170">
        <f>IF(N418="nio",0,IF(N418&gt;0,VLOOKUP(G418,'3-Productie normen'!A:N,VLOOKUP(N418,'3-Productie normen'!Q:R,2,FALSE),FALSE)))</f>
        <v>0</v>
      </c>
      <c r="X418" s="170">
        <f t="shared" si="69"/>
        <v>0</v>
      </c>
      <c r="Y418" s="170">
        <f t="shared" si="70"/>
        <v>0</v>
      </c>
      <c r="Z418" s="170">
        <f t="shared" si="71"/>
        <v>0</v>
      </c>
      <c r="AA418" s="171">
        <f>VLOOKUP(G418,'3-Productie normen'!A:N,10,FALSE)</f>
        <v>4</v>
      </c>
      <c r="AB418" s="171"/>
      <c r="AD418" s="131">
        <f t="shared" si="72"/>
        <v>10608</v>
      </c>
    </row>
    <row r="419" spans="1:30" ht="14.1" customHeight="1">
      <c r="A419" s="147">
        <v>418</v>
      </c>
      <c r="B419" s="523" t="s">
        <v>516</v>
      </c>
      <c r="C419" s="523" t="s">
        <v>517</v>
      </c>
      <c r="D419" s="570" t="s">
        <v>102</v>
      </c>
      <c r="E419" s="178" t="s">
        <v>250</v>
      </c>
      <c r="F419" s="178" t="s">
        <v>505</v>
      </c>
      <c r="G419" s="167" t="s">
        <v>373</v>
      </c>
      <c r="H419" s="178" t="s">
        <v>104</v>
      </c>
      <c r="I419" s="565">
        <v>10.93</v>
      </c>
      <c r="J419" s="482">
        <v>1</v>
      </c>
      <c r="K419" s="482">
        <v>1</v>
      </c>
      <c r="L419" s="482">
        <v>1</v>
      </c>
      <c r="M419" s="482">
        <v>1</v>
      </c>
      <c r="N419" s="524">
        <v>255</v>
      </c>
      <c r="O419" s="524"/>
      <c r="P419" s="524"/>
      <c r="Q419" s="524"/>
      <c r="R419" s="169" t="e">
        <f t="shared" si="65"/>
        <v>#DIV/0!</v>
      </c>
      <c r="S419" s="169">
        <f t="shared" si="66"/>
        <v>0</v>
      </c>
      <c r="T419" s="169">
        <f t="shared" si="67"/>
        <v>0</v>
      </c>
      <c r="U419" s="169">
        <f t="shared" si="68"/>
        <v>0</v>
      </c>
      <c r="V419" s="519"/>
      <c r="W419" s="170">
        <f>IF(N419="nio",0,IF(N419&gt;0,VLOOKUP(G419,'3-Productie normen'!A:N,VLOOKUP(N419,'3-Productie normen'!Q:R,2,FALSE),FALSE)))</f>
        <v>0</v>
      </c>
      <c r="X419" s="170">
        <f t="shared" si="69"/>
        <v>0</v>
      </c>
      <c r="Y419" s="170">
        <f t="shared" si="70"/>
        <v>0</v>
      </c>
      <c r="Z419" s="170">
        <f t="shared" si="71"/>
        <v>0</v>
      </c>
      <c r="AA419" s="171">
        <f>VLOOKUP(G419,'3-Productie normen'!A:N,10,FALSE)</f>
        <v>1</v>
      </c>
      <c r="AB419" s="171"/>
      <c r="AD419" s="131">
        <f t="shared" si="72"/>
        <v>2787.15</v>
      </c>
    </row>
    <row r="420" spans="1:30" ht="14.1" customHeight="1">
      <c r="A420" s="147">
        <v>419</v>
      </c>
      <c r="B420" s="523" t="s">
        <v>516</v>
      </c>
      <c r="C420" s="523" t="s">
        <v>517</v>
      </c>
      <c r="D420" s="570" t="s">
        <v>102</v>
      </c>
      <c r="E420" s="178" t="s">
        <v>252</v>
      </c>
      <c r="F420" s="178" t="s">
        <v>279</v>
      </c>
      <c r="G420" s="525" t="s">
        <v>583</v>
      </c>
      <c r="H420" s="178" t="s">
        <v>104</v>
      </c>
      <c r="I420" s="565">
        <v>15.08</v>
      </c>
      <c r="J420" s="482">
        <v>1</v>
      </c>
      <c r="K420" s="482">
        <v>1</v>
      </c>
      <c r="L420" s="482">
        <v>1</v>
      </c>
      <c r="M420" s="482">
        <v>1</v>
      </c>
      <c r="N420" s="524">
        <v>255</v>
      </c>
      <c r="O420" s="524"/>
      <c r="P420" s="524"/>
      <c r="Q420" s="524"/>
      <c r="R420" s="169" t="e">
        <f t="shared" si="65"/>
        <v>#DIV/0!</v>
      </c>
      <c r="S420" s="169">
        <f t="shared" si="66"/>
        <v>0</v>
      </c>
      <c r="T420" s="169">
        <f t="shared" si="67"/>
        <v>0</v>
      </c>
      <c r="U420" s="169">
        <f t="shared" si="68"/>
        <v>0</v>
      </c>
      <c r="V420" s="519"/>
      <c r="W420" s="170">
        <f>IF(N420="nio",0,IF(N420&gt;0,VLOOKUP(G420,'3-Productie normen'!A:N,VLOOKUP(N420,'3-Productie normen'!Q:R,2,FALSE),FALSE)))</f>
        <v>0</v>
      </c>
      <c r="X420" s="170">
        <f t="shared" si="69"/>
        <v>0</v>
      </c>
      <c r="Y420" s="170">
        <f t="shared" si="70"/>
        <v>0</v>
      </c>
      <c r="Z420" s="170">
        <f t="shared" si="71"/>
        <v>0</v>
      </c>
      <c r="AA420" s="171">
        <f>VLOOKUP(G420,'3-Productie normen'!A:N,10,FALSE)</f>
        <v>4</v>
      </c>
      <c r="AB420" s="171"/>
      <c r="AD420" s="131">
        <f t="shared" si="72"/>
        <v>3845.4</v>
      </c>
    </row>
    <row r="421" spans="1:30" ht="14.1" customHeight="1">
      <c r="A421" s="147">
        <v>420</v>
      </c>
      <c r="B421" s="523" t="s">
        <v>516</v>
      </c>
      <c r="C421" s="523" t="s">
        <v>517</v>
      </c>
      <c r="D421" s="570" t="s">
        <v>102</v>
      </c>
      <c r="E421" s="178" t="s">
        <v>254</v>
      </c>
      <c r="F421" s="178" t="s">
        <v>490</v>
      </c>
      <c r="G421" s="167" t="s">
        <v>17</v>
      </c>
      <c r="H421" s="178" t="s">
        <v>105</v>
      </c>
      <c r="I421" s="565">
        <v>4.3600000000000003</v>
      </c>
      <c r="J421" s="482">
        <v>1</v>
      </c>
      <c r="K421" s="482">
        <v>1</v>
      </c>
      <c r="L421" s="482">
        <v>1</v>
      </c>
      <c r="M421" s="482">
        <v>1</v>
      </c>
      <c r="N421" s="524">
        <v>255</v>
      </c>
      <c r="O421" s="524"/>
      <c r="P421" s="524"/>
      <c r="Q421" s="524"/>
      <c r="R421" s="169" t="e">
        <f t="shared" si="65"/>
        <v>#DIV/0!</v>
      </c>
      <c r="S421" s="169">
        <f t="shared" si="66"/>
        <v>0</v>
      </c>
      <c r="T421" s="169">
        <f t="shared" si="67"/>
        <v>0</v>
      </c>
      <c r="U421" s="169">
        <f t="shared" si="68"/>
        <v>0</v>
      </c>
      <c r="V421" s="519"/>
      <c r="W421" s="170">
        <f>IF(N421="nio",0,IF(N421&gt;0,VLOOKUP(G421,'3-Productie normen'!A:N,VLOOKUP(N421,'3-Productie normen'!Q:R,2,FALSE),FALSE)))</f>
        <v>0</v>
      </c>
      <c r="X421" s="170">
        <f t="shared" si="69"/>
        <v>0</v>
      </c>
      <c r="Y421" s="170">
        <f t="shared" si="70"/>
        <v>0</v>
      </c>
      <c r="Z421" s="170">
        <f t="shared" si="71"/>
        <v>0</v>
      </c>
      <c r="AA421" s="171">
        <f>VLOOKUP(G421,'3-Productie normen'!A:N,10,FALSE)</f>
        <v>3</v>
      </c>
      <c r="AB421" s="171"/>
      <c r="AD421" s="131">
        <f t="shared" si="72"/>
        <v>1111.8000000000002</v>
      </c>
    </row>
    <row r="422" spans="1:30" ht="14.1" customHeight="1">
      <c r="A422" s="147">
        <v>421</v>
      </c>
      <c r="B422" s="523" t="s">
        <v>516</v>
      </c>
      <c r="C422" s="523" t="s">
        <v>517</v>
      </c>
      <c r="D422" s="570" t="s">
        <v>102</v>
      </c>
      <c r="E422" s="178" t="s">
        <v>256</v>
      </c>
      <c r="F422" s="178" t="s">
        <v>506</v>
      </c>
      <c r="G422" s="167" t="s">
        <v>17</v>
      </c>
      <c r="H422" s="178" t="s">
        <v>105</v>
      </c>
      <c r="I422" s="565">
        <v>4.68</v>
      </c>
      <c r="J422" s="482">
        <v>1</v>
      </c>
      <c r="K422" s="482">
        <v>1</v>
      </c>
      <c r="L422" s="482">
        <v>1</v>
      </c>
      <c r="M422" s="482">
        <v>1</v>
      </c>
      <c r="N422" s="524">
        <v>255</v>
      </c>
      <c r="O422" s="524"/>
      <c r="P422" s="524"/>
      <c r="Q422" s="524"/>
      <c r="R422" s="169" t="e">
        <f t="shared" si="65"/>
        <v>#DIV/0!</v>
      </c>
      <c r="S422" s="169">
        <f t="shared" si="66"/>
        <v>0</v>
      </c>
      <c r="T422" s="169">
        <f t="shared" si="67"/>
        <v>0</v>
      </c>
      <c r="U422" s="169">
        <f t="shared" si="68"/>
        <v>0</v>
      </c>
      <c r="V422" s="519"/>
      <c r="W422" s="170">
        <f>IF(N422="nio",0,IF(N422&gt;0,VLOOKUP(G422,'3-Productie normen'!A:N,VLOOKUP(N422,'3-Productie normen'!Q:R,2,FALSE),FALSE)))</f>
        <v>0</v>
      </c>
      <c r="X422" s="170">
        <f t="shared" si="69"/>
        <v>0</v>
      </c>
      <c r="Y422" s="170">
        <f t="shared" si="70"/>
        <v>0</v>
      </c>
      <c r="Z422" s="170">
        <f t="shared" si="71"/>
        <v>0</v>
      </c>
      <c r="AA422" s="171">
        <f>VLOOKUP(G422,'3-Productie normen'!A:N,10,FALSE)</f>
        <v>3</v>
      </c>
      <c r="AB422" s="171"/>
      <c r="AD422" s="131">
        <f t="shared" si="72"/>
        <v>1193.3999999999999</v>
      </c>
    </row>
    <row r="423" spans="1:30" ht="14.1" customHeight="1">
      <c r="A423" s="147">
        <v>422</v>
      </c>
      <c r="B423" s="523" t="s">
        <v>516</v>
      </c>
      <c r="C423" s="523" t="s">
        <v>517</v>
      </c>
      <c r="D423" s="570" t="s">
        <v>102</v>
      </c>
      <c r="E423" s="178" t="s">
        <v>258</v>
      </c>
      <c r="F423" s="178" t="s">
        <v>507</v>
      </c>
      <c r="G423" s="167" t="s">
        <v>373</v>
      </c>
      <c r="H423" s="178" t="s">
        <v>104</v>
      </c>
      <c r="I423" s="565">
        <v>9.93</v>
      </c>
      <c r="J423" s="482">
        <v>1</v>
      </c>
      <c r="K423" s="482">
        <v>1</v>
      </c>
      <c r="L423" s="482">
        <v>1</v>
      </c>
      <c r="M423" s="482">
        <v>1</v>
      </c>
      <c r="N423" s="524">
        <v>255</v>
      </c>
      <c r="O423" s="524"/>
      <c r="P423" s="524"/>
      <c r="Q423" s="524"/>
      <c r="R423" s="169" t="e">
        <f t="shared" si="65"/>
        <v>#DIV/0!</v>
      </c>
      <c r="S423" s="169">
        <f t="shared" si="66"/>
        <v>0</v>
      </c>
      <c r="T423" s="169">
        <f t="shared" si="67"/>
        <v>0</v>
      </c>
      <c r="U423" s="169">
        <f t="shared" si="68"/>
        <v>0</v>
      </c>
      <c r="V423" s="519"/>
      <c r="W423" s="170">
        <f>IF(N423="nio",0,IF(N423&gt;0,VLOOKUP(G423,'3-Productie normen'!A:N,VLOOKUP(N423,'3-Productie normen'!Q:R,2,FALSE),FALSE)))</f>
        <v>0</v>
      </c>
      <c r="X423" s="170">
        <f t="shared" si="69"/>
        <v>0</v>
      </c>
      <c r="Y423" s="170">
        <f t="shared" si="70"/>
        <v>0</v>
      </c>
      <c r="Z423" s="170">
        <f t="shared" si="71"/>
        <v>0</v>
      </c>
      <c r="AA423" s="171">
        <f>VLOOKUP(G423,'3-Productie normen'!A:N,10,FALSE)</f>
        <v>1</v>
      </c>
      <c r="AB423" s="171"/>
      <c r="AD423" s="131">
        <f t="shared" si="72"/>
        <v>2532.15</v>
      </c>
    </row>
    <row r="424" spans="1:30" ht="14.1" customHeight="1">
      <c r="A424" s="147">
        <v>423</v>
      </c>
      <c r="B424" s="523" t="s">
        <v>516</v>
      </c>
      <c r="C424" s="523" t="s">
        <v>517</v>
      </c>
      <c r="D424" s="570" t="s">
        <v>102</v>
      </c>
      <c r="E424" s="178" t="s">
        <v>259</v>
      </c>
      <c r="F424" s="178" t="s">
        <v>508</v>
      </c>
      <c r="G424" s="128" t="s">
        <v>373</v>
      </c>
      <c r="H424" s="178" t="s">
        <v>104</v>
      </c>
      <c r="I424" s="565">
        <v>7.05</v>
      </c>
      <c r="J424" s="482">
        <v>1</v>
      </c>
      <c r="K424" s="482">
        <v>1</v>
      </c>
      <c r="L424" s="482">
        <v>1</v>
      </c>
      <c r="M424" s="482">
        <v>1</v>
      </c>
      <c r="N424" s="524">
        <v>255</v>
      </c>
      <c r="O424" s="524"/>
      <c r="P424" s="524"/>
      <c r="Q424" s="524"/>
      <c r="R424" s="169" t="e">
        <f t="shared" si="65"/>
        <v>#DIV/0!</v>
      </c>
      <c r="S424" s="169">
        <f t="shared" si="66"/>
        <v>0</v>
      </c>
      <c r="T424" s="169">
        <f t="shared" si="67"/>
        <v>0</v>
      </c>
      <c r="U424" s="169">
        <f t="shared" si="68"/>
        <v>0</v>
      </c>
      <c r="V424" s="519"/>
      <c r="W424" s="170">
        <f>IF(N424="nio",0,IF(N424&gt;0,VLOOKUP(G424,'3-Productie normen'!A:N,VLOOKUP(N424,'3-Productie normen'!Q:R,2,FALSE),FALSE)))</f>
        <v>0</v>
      </c>
      <c r="X424" s="170">
        <f t="shared" si="69"/>
        <v>0</v>
      </c>
      <c r="Y424" s="170">
        <f t="shared" si="70"/>
        <v>0</v>
      </c>
      <c r="Z424" s="170">
        <f t="shared" si="71"/>
        <v>0</v>
      </c>
      <c r="AA424" s="171">
        <f>VLOOKUP(G424,'3-Productie normen'!A:N,10,FALSE)</f>
        <v>1</v>
      </c>
      <c r="AB424" s="171"/>
      <c r="AD424" s="131">
        <f t="shared" si="72"/>
        <v>1797.75</v>
      </c>
    </row>
    <row r="425" spans="1:30" ht="14.1" customHeight="1">
      <c r="A425" s="147">
        <v>424</v>
      </c>
      <c r="B425" s="523" t="s">
        <v>516</v>
      </c>
      <c r="C425" s="523" t="s">
        <v>517</v>
      </c>
      <c r="D425" s="570" t="s">
        <v>102</v>
      </c>
      <c r="E425" s="178" t="s">
        <v>261</v>
      </c>
      <c r="F425" s="178" t="s">
        <v>270</v>
      </c>
      <c r="G425" s="128" t="s">
        <v>373</v>
      </c>
      <c r="H425" s="178" t="s">
        <v>104</v>
      </c>
      <c r="I425" s="565">
        <v>10.61</v>
      </c>
      <c r="J425" s="482">
        <v>1</v>
      </c>
      <c r="K425" s="482">
        <v>1</v>
      </c>
      <c r="L425" s="482">
        <v>1</v>
      </c>
      <c r="M425" s="482">
        <v>1</v>
      </c>
      <c r="N425" s="524">
        <v>255</v>
      </c>
      <c r="O425" s="524"/>
      <c r="P425" s="524"/>
      <c r="Q425" s="524"/>
      <c r="R425" s="169" t="e">
        <f t="shared" si="65"/>
        <v>#DIV/0!</v>
      </c>
      <c r="S425" s="169">
        <f t="shared" si="66"/>
        <v>0</v>
      </c>
      <c r="T425" s="169">
        <f t="shared" si="67"/>
        <v>0</v>
      </c>
      <c r="U425" s="169">
        <f t="shared" si="68"/>
        <v>0</v>
      </c>
      <c r="V425" s="519"/>
      <c r="W425" s="170">
        <f>IF(N425="nio",0,IF(N425&gt;0,VLOOKUP(G425,'3-Productie normen'!A:N,VLOOKUP(N425,'3-Productie normen'!Q:R,2,FALSE),FALSE)))</f>
        <v>0</v>
      </c>
      <c r="X425" s="170">
        <f t="shared" si="69"/>
        <v>0</v>
      </c>
      <c r="Y425" s="170">
        <f t="shared" si="70"/>
        <v>0</v>
      </c>
      <c r="Z425" s="170">
        <f t="shared" si="71"/>
        <v>0</v>
      </c>
      <c r="AA425" s="171">
        <f>VLOOKUP(G425,'3-Productie normen'!A:N,10,FALSE)</f>
        <v>1</v>
      </c>
      <c r="AB425" s="171"/>
      <c r="AD425" s="131">
        <f t="shared" si="72"/>
        <v>2705.5499999999997</v>
      </c>
    </row>
    <row r="426" spans="1:30" ht="14.1" customHeight="1">
      <c r="A426" s="147">
        <v>425</v>
      </c>
      <c r="B426" s="523" t="s">
        <v>516</v>
      </c>
      <c r="C426" s="523" t="s">
        <v>517</v>
      </c>
      <c r="D426" s="570" t="s">
        <v>102</v>
      </c>
      <c r="E426" s="178" t="s">
        <v>263</v>
      </c>
      <c r="F426" s="178" t="s">
        <v>509</v>
      </c>
      <c r="G426" s="525" t="s">
        <v>583</v>
      </c>
      <c r="H426" s="178" t="s">
        <v>272</v>
      </c>
      <c r="I426" s="565">
        <v>2.82</v>
      </c>
      <c r="J426" s="482">
        <v>1</v>
      </c>
      <c r="K426" s="482">
        <v>1</v>
      </c>
      <c r="L426" s="482">
        <v>1</v>
      </c>
      <c r="M426" s="482">
        <v>1</v>
      </c>
      <c r="N426" s="524">
        <v>255</v>
      </c>
      <c r="O426" s="524"/>
      <c r="P426" s="524"/>
      <c r="Q426" s="524"/>
      <c r="R426" s="169" t="e">
        <f t="shared" si="65"/>
        <v>#DIV/0!</v>
      </c>
      <c r="S426" s="169">
        <f t="shared" si="66"/>
        <v>0</v>
      </c>
      <c r="T426" s="169">
        <f t="shared" si="67"/>
        <v>0</v>
      </c>
      <c r="U426" s="169">
        <f t="shared" si="68"/>
        <v>0</v>
      </c>
      <c r="V426" s="519"/>
      <c r="W426" s="170">
        <f>IF(N426="nio",0,IF(N426&gt;0,VLOOKUP(G426,'3-Productie normen'!A:N,VLOOKUP(N426,'3-Productie normen'!Q:R,2,FALSE),FALSE)))</f>
        <v>0</v>
      </c>
      <c r="X426" s="170">
        <f t="shared" si="69"/>
        <v>0</v>
      </c>
      <c r="Y426" s="170">
        <f t="shared" si="70"/>
        <v>0</v>
      </c>
      <c r="Z426" s="170">
        <f t="shared" si="71"/>
        <v>0</v>
      </c>
      <c r="AA426" s="171">
        <f>VLOOKUP(G426,'3-Productie normen'!A:N,10,FALSE)</f>
        <v>4</v>
      </c>
      <c r="AB426" s="171"/>
      <c r="AD426" s="131">
        <f t="shared" si="72"/>
        <v>719.09999999999991</v>
      </c>
    </row>
    <row r="427" spans="1:30" ht="14.1" customHeight="1">
      <c r="A427" s="147">
        <v>426</v>
      </c>
      <c r="B427" s="523" t="s">
        <v>516</v>
      </c>
      <c r="C427" s="523" t="s">
        <v>517</v>
      </c>
      <c r="D427" s="570" t="s">
        <v>102</v>
      </c>
      <c r="E427" s="178" t="s">
        <v>265</v>
      </c>
      <c r="F427" s="178" t="s">
        <v>279</v>
      </c>
      <c r="G427" s="525" t="s">
        <v>583</v>
      </c>
      <c r="H427" s="178" t="s">
        <v>104</v>
      </c>
      <c r="I427" s="565">
        <v>19.78</v>
      </c>
      <c r="J427" s="482">
        <v>1</v>
      </c>
      <c r="K427" s="482">
        <v>1</v>
      </c>
      <c r="L427" s="482">
        <v>1</v>
      </c>
      <c r="M427" s="482">
        <v>1</v>
      </c>
      <c r="N427" s="524">
        <v>255</v>
      </c>
      <c r="O427" s="524"/>
      <c r="P427" s="524"/>
      <c r="Q427" s="524"/>
      <c r="R427" s="169" t="e">
        <f t="shared" si="65"/>
        <v>#DIV/0!</v>
      </c>
      <c r="S427" s="169">
        <f t="shared" si="66"/>
        <v>0</v>
      </c>
      <c r="T427" s="169">
        <f t="shared" si="67"/>
        <v>0</v>
      </c>
      <c r="U427" s="169">
        <f t="shared" si="68"/>
        <v>0</v>
      </c>
      <c r="V427" s="519"/>
      <c r="W427" s="170">
        <f>IF(N427="nio",0,IF(N427&gt;0,VLOOKUP(G427,'3-Productie normen'!A:N,VLOOKUP(N427,'3-Productie normen'!Q:R,2,FALSE),FALSE)))</f>
        <v>0</v>
      </c>
      <c r="X427" s="170">
        <f t="shared" si="69"/>
        <v>0</v>
      </c>
      <c r="Y427" s="170">
        <f t="shared" si="70"/>
        <v>0</v>
      </c>
      <c r="Z427" s="170">
        <f t="shared" si="71"/>
        <v>0</v>
      </c>
      <c r="AA427" s="171">
        <f>VLOOKUP(G427,'3-Productie normen'!A:N,10,FALSE)</f>
        <v>4</v>
      </c>
      <c r="AB427" s="171"/>
      <c r="AD427" s="131">
        <f t="shared" si="72"/>
        <v>5043.9000000000005</v>
      </c>
    </row>
    <row r="428" spans="1:30" ht="14.1" customHeight="1">
      <c r="A428" s="147">
        <v>427</v>
      </c>
      <c r="B428" s="523" t="s">
        <v>516</v>
      </c>
      <c r="C428" s="523" t="s">
        <v>517</v>
      </c>
      <c r="D428" s="570" t="s">
        <v>102</v>
      </c>
      <c r="E428" s="178" t="s">
        <v>267</v>
      </c>
      <c r="F428" s="178" t="s">
        <v>270</v>
      </c>
      <c r="G428" s="128" t="s">
        <v>373</v>
      </c>
      <c r="H428" s="178" t="s">
        <v>104</v>
      </c>
      <c r="I428" s="565">
        <v>15.35</v>
      </c>
      <c r="J428" s="482">
        <v>1</v>
      </c>
      <c r="K428" s="482">
        <v>1</v>
      </c>
      <c r="L428" s="482">
        <v>1</v>
      </c>
      <c r="M428" s="482">
        <v>1</v>
      </c>
      <c r="N428" s="524">
        <v>255</v>
      </c>
      <c r="O428" s="524"/>
      <c r="P428" s="524"/>
      <c r="Q428" s="524"/>
      <c r="R428" s="169" t="e">
        <f t="shared" si="65"/>
        <v>#DIV/0!</v>
      </c>
      <c r="S428" s="169">
        <f t="shared" si="66"/>
        <v>0</v>
      </c>
      <c r="T428" s="169">
        <f t="shared" si="67"/>
        <v>0</v>
      </c>
      <c r="U428" s="169">
        <f t="shared" si="68"/>
        <v>0</v>
      </c>
      <c r="V428" s="519"/>
      <c r="W428" s="170">
        <f>IF(N428="nio",0,IF(N428&gt;0,VLOOKUP(G428,'3-Productie normen'!A:N,VLOOKUP(N428,'3-Productie normen'!Q:R,2,FALSE),FALSE)))</f>
        <v>0</v>
      </c>
      <c r="X428" s="170">
        <f t="shared" si="69"/>
        <v>0</v>
      </c>
      <c r="Y428" s="170">
        <f t="shared" si="70"/>
        <v>0</v>
      </c>
      <c r="Z428" s="170">
        <f t="shared" si="71"/>
        <v>0</v>
      </c>
      <c r="AA428" s="171">
        <f>VLOOKUP(G428,'3-Productie normen'!A:N,10,FALSE)</f>
        <v>1</v>
      </c>
      <c r="AB428" s="171"/>
      <c r="AD428" s="131">
        <f t="shared" si="72"/>
        <v>3914.25</v>
      </c>
    </row>
    <row r="429" spans="1:30" ht="14.1" customHeight="1">
      <c r="A429" s="147">
        <v>428</v>
      </c>
      <c r="B429" s="523" t="s">
        <v>516</v>
      </c>
      <c r="C429" s="523" t="s">
        <v>517</v>
      </c>
      <c r="D429" s="570" t="s">
        <v>102</v>
      </c>
      <c r="E429" s="178" t="s">
        <v>286</v>
      </c>
      <c r="F429" s="178" t="s">
        <v>270</v>
      </c>
      <c r="G429" s="128" t="s">
        <v>373</v>
      </c>
      <c r="H429" s="178" t="s">
        <v>104</v>
      </c>
      <c r="I429" s="565">
        <v>12.15</v>
      </c>
      <c r="J429" s="482">
        <v>1</v>
      </c>
      <c r="K429" s="482">
        <v>1</v>
      </c>
      <c r="L429" s="482">
        <v>1</v>
      </c>
      <c r="M429" s="482">
        <v>1</v>
      </c>
      <c r="N429" s="524">
        <v>255</v>
      </c>
      <c r="O429" s="524"/>
      <c r="P429" s="524"/>
      <c r="Q429" s="524"/>
      <c r="R429" s="169" t="e">
        <f t="shared" si="65"/>
        <v>#DIV/0!</v>
      </c>
      <c r="S429" s="169">
        <f t="shared" si="66"/>
        <v>0</v>
      </c>
      <c r="T429" s="169">
        <f t="shared" si="67"/>
        <v>0</v>
      </c>
      <c r="U429" s="169">
        <f t="shared" si="68"/>
        <v>0</v>
      </c>
      <c r="V429" s="519"/>
      <c r="W429" s="170">
        <f>IF(N429="nio",0,IF(N429&gt;0,VLOOKUP(G429,'3-Productie normen'!A:N,VLOOKUP(N429,'3-Productie normen'!Q:R,2,FALSE),FALSE)))</f>
        <v>0</v>
      </c>
      <c r="X429" s="170">
        <f t="shared" si="69"/>
        <v>0</v>
      </c>
      <c r="Y429" s="170">
        <f t="shared" si="70"/>
        <v>0</v>
      </c>
      <c r="Z429" s="170">
        <f t="shared" si="71"/>
        <v>0</v>
      </c>
      <c r="AA429" s="171">
        <f>VLOOKUP(G429,'3-Productie normen'!A:N,10,FALSE)</f>
        <v>1</v>
      </c>
      <c r="AB429" s="171"/>
      <c r="AD429" s="131">
        <f t="shared" si="72"/>
        <v>3098.25</v>
      </c>
    </row>
    <row r="430" spans="1:30" ht="14.1" customHeight="1">
      <c r="A430" s="147">
        <v>429</v>
      </c>
      <c r="B430" s="523" t="s">
        <v>516</v>
      </c>
      <c r="C430" s="523" t="s">
        <v>517</v>
      </c>
      <c r="D430" s="570" t="s">
        <v>102</v>
      </c>
      <c r="E430" s="178" t="s">
        <v>288</v>
      </c>
      <c r="F430" s="178" t="s">
        <v>270</v>
      </c>
      <c r="G430" s="128" t="s">
        <v>373</v>
      </c>
      <c r="H430" s="178" t="s">
        <v>104</v>
      </c>
      <c r="I430" s="565">
        <v>9.82</v>
      </c>
      <c r="J430" s="482">
        <v>1</v>
      </c>
      <c r="K430" s="482">
        <v>1</v>
      </c>
      <c r="L430" s="482">
        <v>1</v>
      </c>
      <c r="M430" s="482">
        <v>1</v>
      </c>
      <c r="N430" s="524">
        <v>255</v>
      </c>
      <c r="O430" s="524"/>
      <c r="P430" s="524"/>
      <c r="Q430" s="524"/>
      <c r="R430" s="169" t="e">
        <f t="shared" si="65"/>
        <v>#DIV/0!</v>
      </c>
      <c r="S430" s="169">
        <f t="shared" si="66"/>
        <v>0</v>
      </c>
      <c r="T430" s="169">
        <f t="shared" si="67"/>
        <v>0</v>
      </c>
      <c r="U430" s="169">
        <f t="shared" si="68"/>
        <v>0</v>
      </c>
      <c r="V430" s="519"/>
      <c r="W430" s="170">
        <f>IF(N430="nio",0,IF(N430&gt;0,VLOOKUP(G430,'3-Productie normen'!A:N,VLOOKUP(N430,'3-Productie normen'!Q:R,2,FALSE),FALSE)))</f>
        <v>0</v>
      </c>
      <c r="X430" s="170">
        <f t="shared" si="69"/>
        <v>0</v>
      </c>
      <c r="Y430" s="170">
        <f t="shared" si="70"/>
        <v>0</v>
      </c>
      <c r="Z430" s="170">
        <f t="shared" si="71"/>
        <v>0</v>
      </c>
      <c r="AA430" s="171">
        <f>VLOOKUP(G430,'3-Productie normen'!A:N,10,FALSE)</f>
        <v>1</v>
      </c>
      <c r="AB430" s="171"/>
      <c r="AD430" s="131">
        <f t="shared" si="72"/>
        <v>2504.1</v>
      </c>
    </row>
    <row r="431" spans="1:30" ht="14.1" customHeight="1">
      <c r="A431" s="147">
        <v>430</v>
      </c>
      <c r="B431" s="523" t="s">
        <v>516</v>
      </c>
      <c r="C431" s="523" t="s">
        <v>517</v>
      </c>
      <c r="D431" s="570" t="s">
        <v>102</v>
      </c>
      <c r="E431" s="178" t="s">
        <v>289</v>
      </c>
      <c r="F431" s="178" t="s">
        <v>357</v>
      </c>
      <c r="G431" s="178" t="s">
        <v>373</v>
      </c>
      <c r="H431" s="178" t="s">
        <v>104</v>
      </c>
      <c r="I431" s="565">
        <v>4.3899999999999997</v>
      </c>
      <c r="J431" s="482">
        <v>1</v>
      </c>
      <c r="K431" s="482">
        <v>1</v>
      </c>
      <c r="L431" s="482">
        <v>1</v>
      </c>
      <c r="M431" s="482">
        <v>1</v>
      </c>
      <c r="N431" s="524">
        <v>255</v>
      </c>
      <c r="O431" s="524"/>
      <c r="P431" s="524"/>
      <c r="Q431" s="524"/>
      <c r="R431" s="169" t="e">
        <f t="shared" si="65"/>
        <v>#DIV/0!</v>
      </c>
      <c r="S431" s="169">
        <f t="shared" si="66"/>
        <v>0</v>
      </c>
      <c r="T431" s="169">
        <f t="shared" si="67"/>
        <v>0</v>
      </c>
      <c r="U431" s="169">
        <f t="shared" si="68"/>
        <v>0</v>
      </c>
      <c r="V431" s="519"/>
      <c r="W431" s="170">
        <f>IF(N431="nio",0,IF(N431&gt;0,VLOOKUP(G431,'3-Productie normen'!A:N,VLOOKUP(N431,'3-Productie normen'!Q:R,2,FALSE),FALSE)))</f>
        <v>0</v>
      </c>
      <c r="X431" s="170">
        <f t="shared" si="69"/>
        <v>0</v>
      </c>
      <c r="Y431" s="170">
        <f t="shared" si="70"/>
        <v>0</v>
      </c>
      <c r="Z431" s="170">
        <f t="shared" si="71"/>
        <v>0</v>
      </c>
      <c r="AA431" s="171">
        <f>VLOOKUP(G431,'3-Productie normen'!A:N,10,FALSE)</f>
        <v>1</v>
      </c>
      <c r="AB431" s="171"/>
      <c r="AD431" s="131">
        <f t="shared" si="72"/>
        <v>1119.4499999999998</v>
      </c>
    </row>
    <row r="432" spans="1:30" ht="14.1" customHeight="1">
      <c r="A432" s="147">
        <v>431</v>
      </c>
      <c r="B432" s="523" t="s">
        <v>516</v>
      </c>
      <c r="C432" s="523" t="s">
        <v>517</v>
      </c>
      <c r="D432" s="570" t="s">
        <v>102</v>
      </c>
      <c r="E432" s="178" t="s">
        <v>314</v>
      </c>
      <c r="F432" s="178" t="s">
        <v>419</v>
      </c>
      <c r="G432" s="128" t="s">
        <v>580</v>
      </c>
      <c r="H432" s="178" t="s">
        <v>518</v>
      </c>
      <c r="I432" s="565">
        <v>1.66</v>
      </c>
      <c r="J432" s="482">
        <v>1</v>
      </c>
      <c r="K432" s="482">
        <v>1</v>
      </c>
      <c r="L432" s="482">
        <v>1</v>
      </c>
      <c r="M432" s="482">
        <v>1</v>
      </c>
      <c r="N432" s="524">
        <v>255</v>
      </c>
      <c r="O432" s="524"/>
      <c r="P432" s="524"/>
      <c r="Q432" s="524"/>
      <c r="R432" s="169" t="e">
        <f t="shared" si="65"/>
        <v>#DIV/0!</v>
      </c>
      <c r="S432" s="169">
        <f t="shared" si="66"/>
        <v>0</v>
      </c>
      <c r="T432" s="169">
        <f t="shared" si="67"/>
        <v>0</v>
      </c>
      <c r="U432" s="169">
        <f t="shared" si="68"/>
        <v>0</v>
      </c>
      <c r="V432" s="519"/>
      <c r="W432" s="170">
        <f>IF(N432="nio",0,IF(N432&gt;0,VLOOKUP(G432,'3-Productie normen'!A:N,VLOOKUP(N432,'3-Productie normen'!Q:R,2,FALSE),FALSE)))</f>
        <v>0</v>
      </c>
      <c r="X432" s="170">
        <f t="shared" si="69"/>
        <v>0</v>
      </c>
      <c r="Y432" s="170">
        <f t="shared" si="70"/>
        <v>0</v>
      </c>
      <c r="Z432" s="170">
        <f t="shared" si="71"/>
        <v>0</v>
      </c>
      <c r="AA432" s="171">
        <f>VLOOKUP(G432,'3-Productie normen'!A:N,10,FALSE)</f>
        <v>4</v>
      </c>
      <c r="AB432" s="171"/>
      <c r="AD432" s="131">
        <f t="shared" si="72"/>
        <v>423.29999999999995</v>
      </c>
    </row>
    <row r="433" spans="1:30" ht="14.1" customHeight="1">
      <c r="A433" s="147">
        <v>432</v>
      </c>
      <c r="B433" s="523" t="s">
        <v>516</v>
      </c>
      <c r="C433" s="523" t="s">
        <v>517</v>
      </c>
      <c r="D433" s="570" t="s">
        <v>102</v>
      </c>
      <c r="E433" s="178" t="s">
        <v>315</v>
      </c>
      <c r="F433" s="178" t="s">
        <v>510</v>
      </c>
      <c r="G433" s="167" t="s">
        <v>373</v>
      </c>
      <c r="H433" s="178" t="s">
        <v>104</v>
      </c>
      <c r="I433" s="565">
        <v>4.34</v>
      </c>
      <c r="J433" s="482">
        <v>1</v>
      </c>
      <c r="K433" s="482">
        <v>1</v>
      </c>
      <c r="L433" s="482">
        <v>1</v>
      </c>
      <c r="M433" s="482">
        <v>1</v>
      </c>
      <c r="N433" s="524">
        <v>255</v>
      </c>
      <c r="O433" s="524"/>
      <c r="P433" s="524"/>
      <c r="Q433" s="524"/>
      <c r="R433" s="169" t="e">
        <f t="shared" si="65"/>
        <v>#DIV/0!</v>
      </c>
      <c r="S433" s="169">
        <f t="shared" si="66"/>
        <v>0</v>
      </c>
      <c r="T433" s="169">
        <f t="shared" si="67"/>
        <v>0</v>
      </c>
      <c r="U433" s="169">
        <f t="shared" si="68"/>
        <v>0</v>
      </c>
      <c r="V433" s="519"/>
      <c r="W433" s="170">
        <f>IF(N433="nio",0,IF(N433&gt;0,VLOOKUP(G433,'3-Productie normen'!A:N,VLOOKUP(N433,'3-Productie normen'!Q:R,2,FALSE),FALSE)))</f>
        <v>0</v>
      </c>
      <c r="X433" s="170">
        <f t="shared" si="69"/>
        <v>0</v>
      </c>
      <c r="Y433" s="170">
        <f t="shared" si="70"/>
        <v>0</v>
      </c>
      <c r="Z433" s="170">
        <f t="shared" si="71"/>
        <v>0</v>
      </c>
      <c r="AA433" s="171">
        <f>VLOOKUP(G433,'3-Productie normen'!A:N,10,FALSE)</f>
        <v>1</v>
      </c>
      <c r="AB433" s="171"/>
      <c r="AD433" s="131">
        <f t="shared" si="72"/>
        <v>1106.7</v>
      </c>
    </row>
    <row r="434" spans="1:30" ht="14.1" customHeight="1">
      <c r="A434" s="147">
        <v>433</v>
      </c>
      <c r="B434" s="523" t="s">
        <v>516</v>
      </c>
      <c r="C434" s="523" t="s">
        <v>517</v>
      </c>
      <c r="D434" s="570" t="s">
        <v>102</v>
      </c>
      <c r="E434" s="178" t="s">
        <v>317</v>
      </c>
      <c r="F434" s="178" t="s">
        <v>249</v>
      </c>
      <c r="G434" s="165" t="s">
        <v>579</v>
      </c>
      <c r="H434" s="178" t="s">
        <v>104</v>
      </c>
      <c r="I434" s="565">
        <v>37.450000000000003</v>
      </c>
      <c r="J434" s="482">
        <v>1</v>
      </c>
      <c r="K434" s="482">
        <v>1</v>
      </c>
      <c r="L434" s="482">
        <v>1</v>
      </c>
      <c r="M434" s="482">
        <v>1</v>
      </c>
      <c r="N434" s="524">
        <v>255</v>
      </c>
      <c r="O434" s="524"/>
      <c r="P434" s="524"/>
      <c r="Q434" s="524"/>
      <c r="R434" s="169" t="e">
        <f t="shared" si="65"/>
        <v>#DIV/0!</v>
      </c>
      <c r="S434" s="169">
        <f t="shared" si="66"/>
        <v>0</v>
      </c>
      <c r="T434" s="169">
        <f t="shared" si="67"/>
        <v>0</v>
      </c>
      <c r="U434" s="169">
        <f t="shared" si="68"/>
        <v>0</v>
      </c>
      <c r="V434" s="519"/>
      <c r="W434" s="170">
        <f>IF(N434="nio",0,IF(N434&gt;0,VLOOKUP(G434,'3-Productie normen'!A:N,VLOOKUP(N434,'3-Productie normen'!Q:R,2,FALSE),FALSE)))</f>
        <v>0</v>
      </c>
      <c r="X434" s="170">
        <f t="shared" si="69"/>
        <v>0</v>
      </c>
      <c r="Y434" s="170">
        <f t="shared" si="70"/>
        <v>0</v>
      </c>
      <c r="Z434" s="170">
        <f t="shared" si="71"/>
        <v>0</v>
      </c>
      <c r="AA434" s="171">
        <f>VLOOKUP(G434,'3-Productie normen'!A:N,10,FALSE)</f>
        <v>4</v>
      </c>
      <c r="AB434" s="171"/>
      <c r="AD434" s="131">
        <f t="shared" si="72"/>
        <v>9549.75</v>
      </c>
    </row>
    <row r="435" spans="1:30" ht="14.1" customHeight="1">
      <c r="A435" s="147">
        <v>434</v>
      </c>
      <c r="B435" s="523" t="s">
        <v>516</v>
      </c>
      <c r="C435" s="523" t="s">
        <v>517</v>
      </c>
      <c r="D435" s="570" t="s">
        <v>102</v>
      </c>
      <c r="E435" s="178" t="s">
        <v>375</v>
      </c>
      <c r="F435" s="178" t="s">
        <v>419</v>
      </c>
      <c r="G435" s="128" t="s">
        <v>580</v>
      </c>
      <c r="H435" s="178" t="s">
        <v>518</v>
      </c>
      <c r="I435" s="565">
        <v>4.75</v>
      </c>
      <c r="J435" s="482">
        <v>1</v>
      </c>
      <c r="K435" s="482">
        <v>1</v>
      </c>
      <c r="L435" s="482">
        <v>1</v>
      </c>
      <c r="M435" s="482">
        <v>1</v>
      </c>
      <c r="N435" s="524">
        <v>255</v>
      </c>
      <c r="O435" s="524"/>
      <c r="P435" s="524"/>
      <c r="Q435" s="524"/>
      <c r="R435" s="169" t="e">
        <f t="shared" si="65"/>
        <v>#DIV/0!</v>
      </c>
      <c r="S435" s="169">
        <f t="shared" si="66"/>
        <v>0</v>
      </c>
      <c r="T435" s="169">
        <f t="shared" si="67"/>
        <v>0</v>
      </c>
      <c r="U435" s="169">
        <f t="shared" si="68"/>
        <v>0</v>
      </c>
      <c r="V435" s="519"/>
      <c r="W435" s="170">
        <f>IF(N435="nio",0,IF(N435&gt;0,VLOOKUP(G435,'3-Productie normen'!A:N,VLOOKUP(N435,'3-Productie normen'!Q:R,2,FALSE),FALSE)))</f>
        <v>0</v>
      </c>
      <c r="X435" s="170">
        <f t="shared" si="69"/>
        <v>0</v>
      </c>
      <c r="Y435" s="170">
        <f t="shared" si="70"/>
        <v>0</v>
      </c>
      <c r="Z435" s="170">
        <f t="shared" si="71"/>
        <v>0</v>
      </c>
      <c r="AA435" s="171">
        <f>VLOOKUP(G435,'3-Productie normen'!A:N,10,FALSE)</f>
        <v>4</v>
      </c>
      <c r="AB435" s="171"/>
      <c r="AD435" s="131">
        <f t="shared" si="72"/>
        <v>1211.25</v>
      </c>
    </row>
    <row r="436" spans="1:30" ht="14.1" customHeight="1">
      <c r="A436" s="147">
        <v>435</v>
      </c>
      <c r="B436" s="523" t="s">
        <v>516</v>
      </c>
      <c r="C436" s="523" t="s">
        <v>517</v>
      </c>
      <c r="D436" s="570" t="s">
        <v>102</v>
      </c>
      <c r="E436" s="178" t="s">
        <v>376</v>
      </c>
      <c r="F436" s="178" t="s">
        <v>279</v>
      </c>
      <c r="G436" s="525" t="s">
        <v>583</v>
      </c>
      <c r="H436" s="178" t="s">
        <v>272</v>
      </c>
      <c r="I436" s="565">
        <v>27.3</v>
      </c>
      <c r="J436" s="482">
        <v>1</v>
      </c>
      <c r="K436" s="482">
        <v>1</v>
      </c>
      <c r="L436" s="482">
        <v>1</v>
      </c>
      <c r="M436" s="482">
        <v>1</v>
      </c>
      <c r="N436" s="524">
        <v>255</v>
      </c>
      <c r="O436" s="524"/>
      <c r="P436" s="524"/>
      <c r="Q436" s="524"/>
      <c r="R436" s="169" t="e">
        <f t="shared" si="65"/>
        <v>#DIV/0!</v>
      </c>
      <c r="S436" s="169">
        <f t="shared" si="66"/>
        <v>0</v>
      </c>
      <c r="T436" s="169">
        <f t="shared" si="67"/>
        <v>0</v>
      </c>
      <c r="U436" s="169">
        <f t="shared" si="68"/>
        <v>0</v>
      </c>
      <c r="V436" s="519"/>
      <c r="W436" s="170">
        <f>IF(N436="nio",0,IF(N436&gt;0,VLOOKUP(G436,'3-Productie normen'!A:N,VLOOKUP(N436,'3-Productie normen'!Q:R,2,FALSE),FALSE)))</f>
        <v>0</v>
      </c>
      <c r="X436" s="170">
        <f t="shared" si="69"/>
        <v>0</v>
      </c>
      <c r="Y436" s="170">
        <f t="shared" si="70"/>
        <v>0</v>
      </c>
      <c r="Z436" s="170">
        <f t="shared" si="71"/>
        <v>0</v>
      </c>
      <c r="AA436" s="171">
        <f>VLOOKUP(G436,'3-Productie normen'!A:N,10,FALSE)</f>
        <v>4</v>
      </c>
      <c r="AB436" s="171"/>
      <c r="AD436" s="131">
        <f t="shared" si="72"/>
        <v>6961.5</v>
      </c>
    </row>
    <row r="437" spans="1:30" ht="14.1" customHeight="1">
      <c r="A437" s="147">
        <v>436</v>
      </c>
      <c r="B437" s="523" t="s">
        <v>516</v>
      </c>
      <c r="C437" s="523" t="s">
        <v>517</v>
      </c>
      <c r="D437" s="570" t="s">
        <v>102</v>
      </c>
      <c r="E437" s="178" t="s">
        <v>378</v>
      </c>
      <c r="F437" s="178" t="s">
        <v>270</v>
      </c>
      <c r="G437" s="128" t="s">
        <v>373</v>
      </c>
      <c r="H437" s="178" t="s">
        <v>272</v>
      </c>
      <c r="I437" s="565">
        <v>7.96</v>
      </c>
      <c r="J437" s="482">
        <v>1</v>
      </c>
      <c r="K437" s="482">
        <v>1</v>
      </c>
      <c r="L437" s="482">
        <v>1</v>
      </c>
      <c r="M437" s="482">
        <v>1</v>
      </c>
      <c r="N437" s="524">
        <v>255</v>
      </c>
      <c r="O437" s="524"/>
      <c r="P437" s="524"/>
      <c r="Q437" s="524"/>
      <c r="R437" s="169" t="e">
        <f t="shared" si="65"/>
        <v>#DIV/0!</v>
      </c>
      <c r="S437" s="169">
        <f t="shared" si="66"/>
        <v>0</v>
      </c>
      <c r="T437" s="169">
        <f t="shared" si="67"/>
        <v>0</v>
      </c>
      <c r="U437" s="169">
        <f t="shared" si="68"/>
        <v>0</v>
      </c>
      <c r="V437" s="519"/>
      <c r="W437" s="170">
        <f>IF(N437="nio",0,IF(N437&gt;0,VLOOKUP(G437,'3-Productie normen'!A:N,VLOOKUP(N437,'3-Productie normen'!Q:R,2,FALSE),FALSE)))</f>
        <v>0</v>
      </c>
      <c r="X437" s="170">
        <f t="shared" si="69"/>
        <v>0</v>
      </c>
      <c r="Y437" s="170">
        <f t="shared" si="70"/>
        <v>0</v>
      </c>
      <c r="Z437" s="170">
        <f t="shared" si="71"/>
        <v>0</v>
      </c>
      <c r="AA437" s="171">
        <f>VLOOKUP(G437,'3-Productie normen'!A:N,10,FALSE)</f>
        <v>1</v>
      </c>
      <c r="AB437" s="171"/>
      <c r="AD437" s="131">
        <f t="shared" si="72"/>
        <v>2029.8</v>
      </c>
    </row>
    <row r="438" spans="1:30" ht="14.1" customHeight="1">
      <c r="A438" s="147">
        <v>437</v>
      </c>
      <c r="B438" s="523" t="s">
        <v>516</v>
      </c>
      <c r="C438" s="523" t="s">
        <v>517</v>
      </c>
      <c r="D438" s="570" t="s">
        <v>102</v>
      </c>
      <c r="E438" s="178" t="s">
        <v>511</v>
      </c>
      <c r="F438" s="178" t="s">
        <v>270</v>
      </c>
      <c r="G438" s="128" t="s">
        <v>373</v>
      </c>
      <c r="H438" s="178" t="s">
        <v>272</v>
      </c>
      <c r="I438" s="565">
        <v>7.62</v>
      </c>
      <c r="J438" s="482">
        <v>1</v>
      </c>
      <c r="K438" s="482">
        <v>1</v>
      </c>
      <c r="L438" s="482">
        <v>1</v>
      </c>
      <c r="M438" s="482">
        <v>1</v>
      </c>
      <c r="N438" s="524">
        <v>255</v>
      </c>
      <c r="O438" s="524"/>
      <c r="P438" s="524"/>
      <c r="Q438" s="524"/>
      <c r="R438" s="169" t="e">
        <f t="shared" si="65"/>
        <v>#DIV/0!</v>
      </c>
      <c r="S438" s="169">
        <f t="shared" si="66"/>
        <v>0</v>
      </c>
      <c r="T438" s="169">
        <f t="shared" si="67"/>
        <v>0</v>
      </c>
      <c r="U438" s="169">
        <f t="shared" si="68"/>
        <v>0</v>
      </c>
      <c r="V438" s="519"/>
      <c r="W438" s="170">
        <f>IF(N438="nio",0,IF(N438&gt;0,VLOOKUP(G438,'3-Productie normen'!A:N,VLOOKUP(N438,'3-Productie normen'!Q:R,2,FALSE),FALSE)))</f>
        <v>0</v>
      </c>
      <c r="X438" s="170">
        <f t="shared" si="69"/>
        <v>0</v>
      </c>
      <c r="Y438" s="170">
        <f t="shared" si="70"/>
        <v>0</v>
      </c>
      <c r="Z438" s="170">
        <f t="shared" si="71"/>
        <v>0</v>
      </c>
      <c r="AA438" s="171">
        <f>VLOOKUP(G438,'3-Productie normen'!A:N,10,FALSE)</f>
        <v>1</v>
      </c>
      <c r="AB438" s="171"/>
      <c r="AD438" s="131">
        <f t="shared" si="72"/>
        <v>1943.1000000000001</v>
      </c>
    </row>
    <row r="439" spans="1:30" ht="14.1" customHeight="1">
      <c r="A439" s="147">
        <v>438</v>
      </c>
      <c r="B439" s="523" t="s">
        <v>516</v>
      </c>
      <c r="C439" s="523" t="s">
        <v>517</v>
      </c>
      <c r="D439" s="570" t="s">
        <v>102</v>
      </c>
      <c r="E439" s="178" t="s">
        <v>383</v>
      </c>
      <c r="F439" s="178" t="s">
        <v>270</v>
      </c>
      <c r="G439" s="128" t="s">
        <v>373</v>
      </c>
      <c r="H439" s="178" t="s">
        <v>272</v>
      </c>
      <c r="I439" s="565">
        <v>12.02</v>
      </c>
      <c r="J439" s="482">
        <v>1</v>
      </c>
      <c r="K439" s="482">
        <v>1</v>
      </c>
      <c r="L439" s="482">
        <v>1</v>
      </c>
      <c r="M439" s="482">
        <v>1</v>
      </c>
      <c r="N439" s="524">
        <v>255</v>
      </c>
      <c r="O439" s="524"/>
      <c r="P439" s="524"/>
      <c r="Q439" s="524"/>
      <c r="R439" s="169" t="e">
        <f t="shared" si="65"/>
        <v>#DIV/0!</v>
      </c>
      <c r="S439" s="169">
        <f t="shared" si="66"/>
        <v>0</v>
      </c>
      <c r="T439" s="169">
        <f t="shared" si="67"/>
        <v>0</v>
      </c>
      <c r="U439" s="169">
        <f t="shared" si="68"/>
        <v>0</v>
      </c>
      <c r="V439" s="519"/>
      <c r="W439" s="170">
        <f>IF(N439="nio",0,IF(N439&gt;0,VLOOKUP(G439,'3-Productie normen'!A:N,VLOOKUP(N439,'3-Productie normen'!Q:R,2,FALSE),FALSE)))</f>
        <v>0</v>
      </c>
      <c r="X439" s="170">
        <f t="shared" si="69"/>
        <v>0</v>
      </c>
      <c r="Y439" s="170">
        <f t="shared" si="70"/>
        <v>0</v>
      </c>
      <c r="Z439" s="170">
        <f t="shared" si="71"/>
        <v>0</v>
      </c>
      <c r="AA439" s="171">
        <f>VLOOKUP(G439,'3-Productie normen'!A:N,10,FALSE)</f>
        <v>1</v>
      </c>
      <c r="AB439" s="171"/>
      <c r="AD439" s="131">
        <f t="shared" si="72"/>
        <v>3065.1</v>
      </c>
    </row>
    <row r="440" spans="1:30" ht="14.1" customHeight="1">
      <c r="A440" s="147">
        <v>439</v>
      </c>
      <c r="B440" s="523" t="s">
        <v>516</v>
      </c>
      <c r="C440" s="523" t="s">
        <v>517</v>
      </c>
      <c r="D440" s="570" t="s">
        <v>102</v>
      </c>
      <c r="E440" s="178" t="s">
        <v>385</v>
      </c>
      <c r="F440" s="178" t="s">
        <v>281</v>
      </c>
      <c r="G440" s="167" t="s">
        <v>373</v>
      </c>
      <c r="H440" s="178" t="s">
        <v>272</v>
      </c>
      <c r="I440" s="565">
        <v>32.72</v>
      </c>
      <c r="J440" s="482">
        <v>1</v>
      </c>
      <c r="K440" s="482">
        <v>1</v>
      </c>
      <c r="L440" s="482">
        <v>1</v>
      </c>
      <c r="M440" s="482">
        <v>1</v>
      </c>
      <c r="N440" s="524">
        <v>255</v>
      </c>
      <c r="O440" s="524"/>
      <c r="P440" s="524"/>
      <c r="Q440" s="524"/>
      <c r="R440" s="169" t="e">
        <f t="shared" si="65"/>
        <v>#DIV/0!</v>
      </c>
      <c r="S440" s="169">
        <f t="shared" si="66"/>
        <v>0</v>
      </c>
      <c r="T440" s="169">
        <f t="shared" si="67"/>
        <v>0</v>
      </c>
      <c r="U440" s="169">
        <f t="shared" si="68"/>
        <v>0</v>
      </c>
      <c r="V440" s="519"/>
      <c r="W440" s="170">
        <f>IF(N440="nio",0,IF(N440&gt;0,VLOOKUP(G440,'3-Productie normen'!A:N,VLOOKUP(N440,'3-Productie normen'!Q:R,2,FALSE),FALSE)))</f>
        <v>0</v>
      </c>
      <c r="X440" s="170">
        <f t="shared" si="69"/>
        <v>0</v>
      </c>
      <c r="Y440" s="170">
        <f t="shared" si="70"/>
        <v>0</v>
      </c>
      <c r="Z440" s="170">
        <f t="shared" si="71"/>
        <v>0</v>
      </c>
      <c r="AA440" s="171">
        <f>VLOOKUP(G440,'3-Productie normen'!A:N,10,FALSE)</f>
        <v>1</v>
      </c>
      <c r="AB440" s="171"/>
      <c r="AD440" s="131">
        <f t="shared" si="72"/>
        <v>8343.6</v>
      </c>
    </row>
    <row r="441" spans="1:30" ht="14.1" customHeight="1">
      <c r="A441" s="147">
        <v>440</v>
      </c>
      <c r="B441" s="523" t="s">
        <v>516</v>
      </c>
      <c r="C441" s="523" t="s">
        <v>517</v>
      </c>
      <c r="D441" s="570" t="s">
        <v>102</v>
      </c>
      <c r="E441" s="178" t="s">
        <v>387</v>
      </c>
      <c r="F441" s="178" t="s">
        <v>371</v>
      </c>
      <c r="G441" s="178" t="s">
        <v>107</v>
      </c>
      <c r="H441" s="178" t="s">
        <v>104</v>
      </c>
      <c r="I441" s="565">
        <v>3.57</v>
      </c>
      <c r="J441" s="482">
        <v>1</v>
      </c>
      <c r="K441" s="482">
        <v>1</v>
      </c>
      <c r="L441" s="482">
        <v>1</v>
      </c>
      <c r="M441" s="482">
        <v>1</v>
      </c>
      <c r="N441" s="524">
        <v>255</v>
      </c>
      <c r="O441" s="524"/>
      <c r="P441" s="524"/>
      <c r="Q441" s="524"/>
      <c r="R441" s="169" t="e">
        <f t="shared" si="65"/>
        <v>#DIV/0!</v>
      </c>
      <c r="S441" s="169">
        <f t="shared" si="66"/>
        <v>0</v>
      </c>
      <c r="T441" s="169">
        <f t="shared" si="67"/>
        <v>0</v>
      </c>
      <c r="U441" s="169">
        <f t="shared" si="68"/>
        <v>0</v>
      </c>
      <c r="V441" s="519"/>
      <c r="W441" s="170">
        <f>IF(N441="nio",0,IF(N441&gt;0,VLOOKUP(G441,'3-Productie normen'!A:N,VLOOKUP(N441,'3-Productie normen'!Q:R,2,FALSE),FALSE)))</f>
        <v>0</v>
      </c>
      <c r="X441" s="170">
        <f t="shared" si="69"/>
        <v>0</v>
      </c>
      <c r="Y441" s="170">
        <f t="shared" si="70"/>
        <v>0</v>
      </c>
      <c r="Z441" s="170">
        <f t="shared" si="71"/>
        <v>0</v>
      </c>
      <c r="AA441" s="171">
        <f>VLOOKUP(G441,'3-Productie normen'!A:N,10,FALSE)</f>
        <v>2</v>
      </c>
      <c r="AB441" s="171"/>
      <c r="AD441" s="131">
        <f t="shared" si="72"/>
        <v>910.34999999999991</v>
      </c>
    </row>
    <row r="442" spans="1:30" ht="14.1" customHeight="1">
      <c r="A442" s="147">
        <v>441</v>
      </c>
      <c r="B442" s="523" t="s">
        <v>516</v>
      </c>
      <c r="C442" s="523" t="s">
        <v>517</v>
      </c>
      <c r="D442" s="570" t="s">
        <v>102</v>
      </c>
      <c r="E442" s="178" t="s">
        <v>389</v>
      </c>
      <c r="F442" s="178" t="s">
        <v>340</v>
      </c>
      <c r="G442" s="173" t="s">
        <v>209</v>
      </c>
      <c r="H442" s="178" t="s">
        <v>272</v>
      </c>
      <c r="I442" s="565">
        <v>38.49</v>
      </c>
      <c r="J442" s="482">
        <v>1</v>
      </c>
      <c r="K442" s="482">
        <v>1</v>
      </c>
      <c r="L442" s="482">
        <v>1</v>
      </c>
      <c r="M442" s="482">
        <v>1</v>
      </c>
      <c r="N442" s="524">
        <v>255</v>
      </c>
      <c r="O442" s="524"/>
      <c r="P442" s="524"/>
      <c r="Q442" s="524"/>
      <c r="R442" s="169" t="e">
        <f t="shared" si="65"/>
        <v>#DIV/0!</v>
      </c>
      <c r="S442" s="169">
        <f t="shared" si="66"/>
        <v>0</v>
      </c>
      <c r="T442" s="169">
        <f t="shared" si="67"/>
        <v>0</v>
      </c>
      <c r="U442" s="169">
        <f t="shared" si="68"/>
        <v>0</v>
      </c>
      <c r="V442" s="519"/>
      <c r="W442" s="170">
        <f>IF(N442="nio",0,IF(N442&gt;0,VLOOKUP(G442,'3-Productie normen'!A:N,VLOOKUP(N442,'3-Productie normen'!Q:R,2,FALSE),FALSE)))</f>
        <v>0</v>
      </c>
      <c r="X442" s="170">
        <f t="shared" si="69"/>
        <v>0</v>
      </c>
      <c r="Y442" s="170">
        <f t="shared" si="70"/>
        <v>0</v>
      </c>
      <c r="Z442" s="170">
        <f t="shared" si="71"/>
        <v>0</v>
      </c>
      <c r="AA442" s="171">
        <f>VLOOKUP(G442,'3-Productie normen'!A:N,10,FALSE)</f>
        <v>1</v>
      </c>
      <c r="AB442" s="171"/>
      <c r="AD442" s="131">
        <f t="shared" si="72"/>
        <v>9814.9500000000007</v>
      </c>
    </row>
    <row r="443" spans="1:30" ht="14.1" customHeight="1">
      <c r="A443" s="147">
        <v>442</v>
      </c>
      <c r="B443" s="523" t="s">
        <v>516</v>
      </c>
      <c r="C443" s="523" t="s">
        <v>517</v>
      </c>
      <c r="D443" s="570" t="s">
        <v>102</v>
      </c>
      <c r="E443" s="178" t="s">
        <v>512</v>
      </c>
      <c r="F443" s="178" t="s">
        <v>490</v>
      </c>
      <c r="G443" s="167" t="s">
        <v>17</v>
      </c>
      <c r="H443" s="178" t="s">
        <v>105</v>
      </c>
      <c r="I443" s="565">
        <v>2.35</v>
      </c>
      <c r="J443" s="482">
        <v>1</v>
      </c>
      <c r="K443" s="482">
        <v>1</v>
      </c>
      <c r="L443" s="482">
        <v>1</v>
      </c>
      <c r="M443" s="482">
        <v>1</v>
      </c>
      <c r="N443" s="524">
        <v>255</v>
      </c>
      <c r="O443" s="524"/>
      <c r="P443" s="524"/>
      <c r="Q443" s="524"/>
      <c r="R443" s="169" t="e">
        <f t="shared" si="65"/>
        <v>#DIV/0!</v>
      </c>
      <c r="S443" s="169">
        <f t="shared" si="66"/>
        <v>0</v>
      </c>
      <c r="T443" s="169">
        <f t="shared" si="67"/>
        <v>0</v>
      </c>
      <c r="U443" s="169">
        <f t="shared" si="68"/>
        <v>0</v>
      </c>
      <c r="V443" s="519"/>
      <c r="W443" s="170">
        <f>IF(N443="nio",0,IF(N443&gt;0,VLOOKUP(G443,'3-Productie normen'!A:N,VLOOKUP(N443,'3-Productie normen'!Q:R,2,FALSE),FALSE)))</f>
        <v>0</v>
      </c>
      <c r="X443" s="170">
        <f t="shared" si="69"/>
        <v>0</v>
      </c>
      <c r="Y443" s="170">
        <f t="shared" si="70"/>
        <v>0</v>
      </c>
      <c r="Z443" s="170">
        <f t="shared" si="71"/>
        <v>0</v>
      </c>
      <c r="AA443" s="171">
        <f>VLOOKUP(G443,'3-Productie normen'!A:N,10,FALSE)</f>
        <v>3</v>
      </c>
      <c r="AB443" s="171"/>
      <c r="AD443" s="131">
        <f t="shared" si="72"/>
        <v>599.25</v>
      </c>
    </row>
    <row r="444" spans="1:30" ht="14.1" customHeight="1">
      <c r="A444" s="147">
        <v>443</v>
      </c>
      <c r="B444" s="523" t="s">
        <v>516</v>
      </c>
      <c r="C444" s="523" t="s">
        <v>517</v>
      </c>
      <c r="D444" s="570" t="s">
        <v>102</v>
      </c>
      <c r="E444" s="178" t="s">
        <v>392</v>
      </c>
      <c r="F444" s="178" t="s">
        <v>294</v>
      </c>
      <c r="G444" s="177" t="s">
        <v>17</v>
      </c>
      <c r="H444" s="178" t="s">
        <v>105</v>
      </c>
      <c r="I444" s="565">
        <v>4.4400000000000004</v>
      </c>
      <c r="J444" s="482">
        <v>1</v>
      </c>
      <c r="K444" s="482">
        <v>1</v>
      </c>
      <c r="L444" s="482">
        <v>1</v>
      </c>
      <c r="M444" s="482">
        <v>1</v>
      </c>
      <c r="N444" s="524">
        <v>255</v>
      </c>
      <c r="O444" s="524"/>
      <c r="P444" s="524"/>
      <c r="Q444" s="524"/>
      <c r="R444" s="169" t="e">
        <f t="shared" si="65"/>
        <v>#DIV/0!</v>
      </c>
      <c r="S444" s="169">
        <f t="shared" si="66"/>
        <v>0</v>
      </c>
      <c r="T444" s="169">
        <f t="shared" si="67"/>
        <v>0</v>
      </c>
      <c r="U444" s="169">
        <f t="shared" si="68"/>
        <v>0</v>
      </c>
      <c r="V444" s="519"/>
      <c r="W444" s="170">
        <f>IF(N444="nio",0,IF(N444&gt;0,VLOOKUP(G444,'3-Productie normen'!A:N,VLOOKUP(N444,'3-Productie normen'!Q:R,2,FALSE),FALSE)))</f>
        <v>0</v>
      </c>
      <c r="X444" s="170">
        <f t="shared" si="69"/>
        <v>0</v>
      </c>
      <c r="Y444" s="170">
        <f t="shared" si="70"/>
        <v>0</v>
      </c>
      <c r="Z444" s="170">
        <f t="shared" si="71"/>
        <v>0</v>
      </c>
      <c r="AA444" s="171">
        <f>VLOOKUP(G444,'3-Productie normen'!A:N,10,FALSE)</f>
        <v>3</v>
      </c>
      <c r="AB444" s="171"/>
      <c r="AD444" s="131">
        <f t="shared" si="72"/>
        <v>1132.2</v>
      </c>
    </row>
    <row r="445" spans="1:30" ht="14.1" customHeight="1">
      <c r="A445" s="147">
        <v>444</v>
      </c>
      <c r="B445" s="523" t="s">
        <v>516</v>
      </c>
      <c r="C445" s="523" t="s">
        <v>517</v>
      </c>
      <c r="D445" s="570" t="s">
        <v>102</v>
      </c>
      <c r="E445" s="178" t="s">
        <v>393</v>
      </c>
      <c r="F445" s="178" t="s">
        <v>513</v>
      </c>
      <c r="G445" s="167" t="s">
        <v>17</v>
      </c>
      <c r="H445" s="178" t="s">
        <v>105</v>
      </c>
      <c r="I445" s="565">
        <v>2.0699999999999998</v>
      </c>
      <c r="J445" s="482">
        <v>1</v>
      </c>
      <c r="K445" s="482">
        <v>1</v>
      </c>
      <c r="L445" s="482">
        <v>1</v>
      </c>
      <c r="M445" s="482">
        <v>1</v>
      </c>
      <c r="N445" s="524">
        <v>255</v>
      </c>
      <c r="O445" s="524"/>
      <c r="P445" s="524"/>
      <c r="Q445" s="524"/>
      <c r="R445" s="169" t="e">
        <f t="shared" si="65"/>
        <v>#DIV/0!</v>
      </c>
      <c r="S445" s="169">
        <f t="shared" si="66"/>
        <v>0</v>
      </c>
      <c r="T445" s="169">
        <f t="shared" si="67"/>
        <v>0</v>
      </c>
      <c r="U445" s="169">
        <f t="shared" si="68"/>
        <v>0</v>
      </c>
      <c r="V445" s="519"/>
      <c r="W445" s="170">
        <f>IF(N445="nio",0,IF(N445&gt;0,VLOOKUP(G445,'3-Productie normen'!A:N,VLOOKUP(N445,'3-Productie normen'!Q:R,2,FALSE),FALSE)))</f>
        <v>0</v>
      </c>
      <c r="X445" s="170">
        <f t="shared" si="69"/>
        <v>0</v>
      </c>
      <c r="Y445" s="170">
        <f t="shared" si="70"/>
        <v>0</v>
      </c>
      <c r="Z445" s="170">
        <f t="shared" si="71"/>
        <v>0</v>
      </c>
      <c r="AA445" s="171">
        <f>VLOOKUP(G445,'3-Productie normen'!A:N,10,FALSE)</f>
        <v>3</v>
      </c>
      <c r="AB445" s="171"/>
      <c r="AD445" s="131">
        <f t="shared" si="72"/>
        <v>527.84999999999991</v>
      </c>
    </row>
    <row r="446" spans="1:30" ht="14.1" customHeight="1">
      <c r="A446" s="147">
        <v>445</v>
      </c>
      <c r="B446" s="523" t="s">
        <v>516</v>
      </c>
      <c r="C446" s="523" t="s">
        <v>517</v>
      </c>
      <c r="D446" s="570" t="s">
        <v>102</v>
      </c>
      <c r="E446" s="178" t="s">
        <v>514</v>
      </c>
      <c r="F446" s="178" t="s">
        <v>260</v>
      </c>
      <c r="G446" s="128" t="s">
        <v>199</v>
      </c>
      <c r="H446" s="178"/>
      <c r="I446" s="565">
        <v>2.86</v>
      </c>
      <c r="J446" s="482">
        <v>1</v>
      </c>
      <c r="K446" s="482">
        <v>1</v>
      </c>
      <c r="L446" s="482">
        <v>1</v>
      </c>
      <c r="M446" s="482">
        <v>1</v>
      </c>
      <c r="N446" s="524" t="s">
        <v>199</v>
      </c>
      <c r="O446" s="524"/>
      <c r="P446" s="524"/>
      <c r="Q446" s="524"/>
      <c r="R446" s="169">
        <f t="shared" si="65"/>
        <v>0</v>
      </c>
      <c r="S446" s="169">
        <f t="shared" si="66"/>
        <v>0</v>
      </c>
      <c r="T446" s="169">
        <f t="shared" si="67"/>
        <v>0</v>
      </c>
      <c r="U446" s="169">
        <f t="shared" si="68"/>
        <v>0</v>
      </c>
      <c r="V446" s="519"/>
      <c r="W446" s="170">
        <f>IF(N446="nio",0,IF(N446&gt;0,VLOOKUP(G446,'3-Productie normen'!A:N,VLOOKUP(N446,'3-Productie normen'!Q:R,2,FALSE),FALSE)))</f>
        <v>0</v>
      </c>
      <c r="X446" s="170">
        <f t="shared" si="69"/>
        <v>0</v>
      </c>
      <c r="Y446" s="170">
        <f t="shared" si="70"/>
        <v>0</v>
      </c>
      <c r="Z446" s="170">
        <f t="shared" si="71"/>
        <v>0</v>
      </c>
      <c r="AA446" s="171">
        <f>VLOOKUP(G446,'3-Productie normen'!A:N,10,FALSE)</f>
        <v>0</v>
      </c>
      <c r="AB446" s="171"/>
      <c r="AD446" s="131">
        <f t="shared" si="72"/>
        <v>0</v>
      </c>
    </row>
    <row r="447" spans="1:30" ht="14.1" customHeight="1">
      <c r="A447" s="147">
        <v>446</v>
      </c>
      <c r="B447" s="523" t="s">
        <v>516</v>
      </c>
      <c r="C447" s="523" t="s">
        <v>517</v>
      </c>
      <c r="D447" s="570" t="s">
        <v>102</v>
      </c>
      <c r="E447" s="178" t="s">
        <v>273</v>
      </c>
      <c r="F447" s="178" t="s">
        <v>515</v>
      </c>
      <c r="G447" s="167" t="s">
        <v>373</v>
      </c>
      <c r="H447" s="178" t="s">
        <v>272</v>
      </c>
      <c r="I447" s="565">
        <v>34.47</v>
      </c>
      <c r="J447" s="482">
        <v>1</v>
      </c>
      <c r="K447" s="482">
        <v>1</v>
      </c>
      <c r="L447" s="482">
        <v>1</v>
      </c>
      <c r="M447" s="482">
        <v>1</v>
      </c>
      <c r="N447" s="524">
        <v>255</v>
      </c>
      <c r="O447" s="524"/>
      <c r="P447" s="524"/>
      <c r="Q447" s="524"/>
      <c r="R447" s="169" t="e">
        <f t="shared" si="65"/>
        <v>#DIV/0!</v>
      </c>
      <c r="S447" s="169">
        <f t="shared" si="66"/>
        <v>0</v>
      </c>
      <c r="T447" s="169">
        <f t="shared" si="67"/>
        <v>0</v>
      </c>
      <c r="U447" s="169">
        <f t="shared" si="68"/>
        <v>0</v>
      </c>
      <c r="V447" s="519"/>
      <c r="W447" s="170">
        <f>IF(N447="nio",0,IF(N447&gt;0,VLOOKUP(G447,'3-Productie normen'!A:N,VLOOKUP(N447,'3-Productie normen'!Q:R,2,FALSE),FALSE)))</f>
        <v>0</v>
      </c>
      <c r="X447" s="170">
        <f t="shared" si="69"/>
        <v>0</v>
      </c>
      <c r="Y447" s="170">
        <f t="shared" si="70"/>
        <v>0</v>
      </c>
      <c r="Z447" s="170">
        <f t="shared" si="71"/>
        <v>0</v>
      </c>
      <c r="AA447" s="171">
        <f>VLOOKUP(G447,'3-Productie normen'!A:N,10,FALSE)</f>
        <v>1</v>
      </c>
      <c r="AB447" s="171"/>
      <c r="AD447" s="131">
        <f t="shared" si="72"/>
        <v>8789.85</v>
      </c>
    </row>
    <row r="448" spans="1:30" ht="14.1" customHeight="1">
      <c r="A448" s="147">
        <v>447</v>
      </c>
      <c r="B448" s="523" t="s">
        <v>516</v>
      </c>
      <c r="C448" s="523" t="s">
        <v>517</v>
      </c>
      <c r="D448" s="570" t="s">
        <v>102</v>
      </c>
      <c r="E448" s="178" t="s">
        <v>274</v>
      </c>
      <c r="F448" s="178" t="s">
        <v>515</v>
      </c>
      <c r="G448" s="167" t="s">
        <v>373</v>
      </c>
      <c r="H448" s="178" t="s">
        <v>272</v>
      </c>
      <c r="I448" s="565">
        <v>12.6</v>
      </c>
      <c r="J448" s="482">
        <v>1</v>
      </c>
      <c r="K448" s="482">
        <v>1</v>
      </c>
      <c r="L448" s="482">
        <v>1</v>
      </c>
      <c r="M448" s="482">
        <v>1</v>
      </c>
      <c r="N448" s="524">
        <v>255</v>
      </c>
      <c r="O448" s="524"/>
      <c r="P448" s="524"/>
      <c r="Q448" s="524"/>
      <c r="R448" s="169" t="e">
        <f t="shared" si="65"/>
        <v>#DIV/0!</v>
      </c>
      <c r="S448" s="169">
        <f t="shared" si="66"/>
        <v>0</v>
      </c>
      <c r="T448" s="169">
        <f t="shared" si="67"/>
        <v>0</v>
      </c>
      <c r="U448" s="169">
        <f t="shared" si="68"/>
        <v>0</v>
      </c>
      <c r="V448" s="519"/>
      <c r="W448" s="170">
        <f>IF(N448="nio",0,IF(N448&gt;0,VLOOKUP(G448,'3-Productie normen'!A:N,VLOOKUP(N448,'3-Productie normen'!Q:R,2,FALSE),FALSE)))</f>
        <v>0</v>
      </c>
      <c r="X448" s="170">
        <f t="shared" si="69"/>
        <v>0</v>
      </c>
      <c r="Y448" s="170">
        <f t="shared" si="70"/>
        <v>0</v>
      </c>
      <c r="Z448" s="170">
        <f t="shared" si="71"/>
        <v>0</v>
      </c>
      <c r="AA448" s="171">
        <f>VLOOKUP(G448,'3-Productie normen'!A:N,10,FALSE)</f>
        <v>1</v>
      </c>
      <c r="AB448" s="171"/>
      <c r="AD448" s="131">
        <f t="shared" si="72"/>
        <v>3213</v>
      </c>
    </row>
    <row r="449" spans="1:30" ht="14.1" customHeight="1">
      <c r="A449" s="147">
        <v>448</v>
      </c>
      <c r="B449" s="523" t="s">
        <v>519</v>
      </c>
      <c r="C449" s="523" t="s">
        <v>520</v>
      </c>
      <c r="D449" s="570" t="s">
        <v>102</v>
      </c>
      <c r="E449" s="178" t="s">
        <v>247</v>
      </c>
      <c r="F449" s="178" t="s">
        <v>521</v>
      </c>
      <c r="G449" s="167" t="s">
        <v>17</v>
      </c>
      <c r="H449" s="178" t="s">
        <v>105</v>
      </c>
      <c r="I449" s="565">
        <v>3.65</v>
      </c>
      <c r="J449" s="482">
        <v>1</v>
      </c>
      <c r="K449" s="482">
        <v>1</v>
      </c>
      <c r="L449" s="482">
        <v>1</v>
      </c>
      <c r="M449" s="482">
        <v>1</v>
      </c>
      <c r="N449" s="524">
        <v>255</v>
      </c>
      <c r="O449" s="524"/>
      <c r="P449" s="524"/>
      <c r="Q449" s="524"/>
      <c r="R449" s="169" t="e">
        <f t="shared" si="65"/>
        <v>#DIV/0!</v>
      </c>
      <c r="S449" s="169">
        <f t="shared" si="66"/>
        <v>0</v>
      </c>
      <c r="T449" s="169">
        <f t="shared" si="67"/>
        <v>0</v>
      </c>
      <c r="U449" s="169">
        <f t="shared" si="68"/>
        <v>0</v>
      </c>
      <c r="V449" s="519"/>
      <c r="W449" s="170">
        <f>IF(N449="nio",0,IF(N449&gt;0,VLOOKUP(G449,'3-Productie normen'!A:N,VLOOKUP(N449,'3-Productie normen'!Q:R,2,FALSE),FALSE)))</f>
        <v>0</v>
      </c>
      <c r="X449" s="170">
        <f t="shared" si="69"/>
        <v>0</v>
      </c>
      <c r="Y449" s="170">
        <f t="shared" si="70"/>
        <v>0</v>
      </c>
      <c r="Z449" s="170">
        <f t="shared" si="71"/>
        <v>0</v>
      </c>
      <c r="AA449" s="171">
        <f>VLOOKUP(G449,'3-Productie normen'!A:N,10,FALSE)</f>
        <v>3</v>
      </c>
      <c r="AB449" s="171"/>
      <c r="AD449" s="131">
        <f t="shared" si="72"/>
        <v>930.75</v>
      </c>
    </row>
    <row r="450" spans="1:30" ht="14.1" customHeight="1">
      <c r="A450" s="147">
        <v>449</v>
      </c>
      <c r="B450" s="523" t="s">
        <v>519</v>
      </c>
      <c r="C450" s="523" t="s">
        <v>520</v>
      </c>
      <c r="D450" s="570" t="s">
        <v>102</v>
      </c>
      <c r="E450" s="178" t="s">
        <v>248</v>
      </c>
      <c r="F450" s="178" t="s">
        <v>287</v>
      </c>
      <c r="G450" s="167" t="s">
        <v>17</v>
      </c>
      <c r="H450" s="178" t="s">
        <v>105</v>
      </c>
      <c r="I450" s="565">
        <v>5.37</v>
      </c>
      <c r="J450" s="482">
        <v>1</v>
      </c>
      <c r="K450" s="482">
        <v>1</v>
      </c>
      <c r="L450" s="482">
        <v>1</v>
      </c>
      <c r="M450" s="482">
        <v>1</v>
      </c>
      <c r="N450" s="524">
        <v>255</v>
      </c>
      <c r="O450" s="524"/>
      <c r="P450" s="524"/>
      <c r="Q450" s="524"/>
      <c r="R450" s="169" t="e">
        <f t="shared" si="65"/>
        <v>#DIV/0!</v>
      </c>
      <c r="S450" s="169">
        <f t="shared" si="66"/>
        <v>0</v>
      </c>
      <c r="T450" s="169">
        <f t="shared" si="67"/>
        <v>0</v>
      </c>
      <c r="U450" s="169">
        <f t="shared" si="68"/>
        <v>0</v>
      </c>
      <c r="V450" s="519"/>
      <c r="W450" s="170">
        <f>IF(N450="nio",0,IF(N450&gt;0,VLOOKUP(G450,'3-Productie normen'!A:N,VLOOKUP(N450,'3-Productie normen'!Q:R,2,FALSE),FALSE)))</f>
        <v>0</v>
      </c>
      <c r="X450" s="170">
        <f t="shared" si="69"/>
        <v>0</v>
      </c>
      <c r="Y450" s="170">
        <f t="shared" si="70"/>
        <v>0</v>
      </c>
      <c r="Z450" s="170">
        <f t="shared" si="71"/>
        <v>0</v>
      </c>
      <c r="AA450" s="171">
        <f>VLOOKUP(G450,'3-Productie normen'!A:N,10,FALSE)</f>
        <v>3</v>
      </c>
      <c r="AB450" s="171"/>
      <c r="AD450" s="131">
        <f t="shared" si="72"/>
        <v>1369.3500000000001</v>
      </c>
    </row>
    <row r="451" spans="1:30" ht="14.1" customHeight="1">
      <c r="A451" s="147">
        <v>450</v>
      </c>
      <c r="B451" s="523" t="s">
        <v>519</v>
      </c>
      <c r="C451" s="523" t="s">
        <v>520</v>
      </c>
      <c r="D451" s="570" t="s">
        <v>102</v>
      </c>
      <c r="E451" s="178" t="s">
        <v>250</v>
      </c>
      <c r="F451" s="178" t="s">
        <v>270</v>
      </c>
      <c r="G451" s="128" t="s">
        <v>373</v>
      </c>
      <c r="H451" s="178" t="s">
        <v>104</v>
      </c>
      <c r="I451" s="565">
        <v>11.34</v>
      </c>
      <c r="J451" s="482">
        <v>1</v>
      </c>
      <c r="K451" s="482">
        <v>1</v>
      </c>
      <c r="L451" s="482">
        <v>1</v>
      </c>
      <c r="M451" s="482">
        <v>1</v>
      </c>
      <c r="N451" s="524">
        <v>255</v>
      </c>
      <c r="O451" s="524"/>
      <c r="P451" s="524"/>
      <c r="Q451" s="524"/>
      <c r="R451" s="169" t="e">
        <f t="shared" si="65"/>
        <v>#DIV/0!</v>
      </c>
      <c r="S451" s="169">
        <f t="shared" si="66"/>
        <v>0</v>
      </c>
      <c r="T451" s="169">
        <f t="shared" si="67"/>
        <v>0</v>
      </c>
      <c r="U451" s="169">
        <f t="shared" si="68"/>
        <v>0</v>
      </c>
      <c r="V451" s="519"/>
      <c r="W451" s="170">
        <f>IF(N451="nio",0,IF(N451&gt;0,VLOOKUP(G451,'3-Productie normen'!A:N,VLOOKUP(N451,'3-Productie normen'!Q:R,2,FALSE),FALSE)))</f>
        <v>0</v>
      </c>
      <c r="X451" s="170">
        <f t="shared" si="69"/>
        <v>0</v>
      </c>
      <c r="Y451" s="170">
        <f t="shared" si="70"/>
        <v>0</v>
      </c>
      <c r="Z451" s="170">
        <f t="shared" si="71"/>
        <v>0</v>
      </c>
      <c r="AA451" s="171">
        <f>VLOOKUP(G451,'3-Productie normen'!A:N,10,FALSE)</f>
        <v>1</v>
      </c>
      <c r="AB451" s="171"/>
      <c r="AD451" s="131">
        <f t="shared" si="72"/>
        <v>2891.7</v>
      </c>
    </row>
    <row r="452" spans="1:30" ht="14.1" customHeight="1">
      <c r="A452" s="147">
        <v>451</v>
      </c>
      <c r="B452" s="523" t="s">
        <v>519</v>
      </c>
      <c r="C452" s="523" t="s">
        <v>520</v>
      </c>
      <c r="D452" s="570" t="s">
        <v>102</v>
      </c>
      <c r="E452" s="178" t="s">
        <v>252</v>
      </c>
      <c r="F452" s="178" t="s">
        <v>270</v>
      </c>
      <c r="G452" s="128" t="s">
        <v>373</v>
      </c>
      <c r="H452" s="178" t="s">
        <v>104</v>
      </c>
      <c r="I452" s="565">
        <v>11.14</v>
      </c>
      <c r="J452" s="482">
        <v>1</v>
      </c>
      <c r="K452" s="482">
        <v>1</v>
      </c>
      <c r="L452" s="482">
        <v>1</v>
      </c>
      <c r="M452" s="482">
        <v>1</v>
      </c>
      <c r="N452" s="524">
        <v>255</v>
      </c>
      <c r="O452" s="524"/>
      <c r="P452" s="524"/>
      <c r="Q452" s="524"/>
      <c r="R452" s="169" t="e">
        <f t="shared" si="65"/>
        <v>#DIV/0!</v>
      </c>
      <c r="S452" s="169">
        <f t="shared" si="66"/>
        <v>0</v>
      </c>
      <c r="T452" s="169">
        <f t="shared" si="67"/>
        <v>0</v>
      </c>
      <c r="U452" s="169">
        <f t="shared" si="68"/>
        <v>0</v>
      </c>
      <c r="V452" s="519"/>
      <c r="W452" s="170">
        <f>IF(N452="nio",0,IF(N452&gt;0,VLOOKUP(G452,'3-Productie normen'!A:N,VLOOKUP(N452,'3-Productie normen'!Q:R,2,FALSE),FALSE)))</f>
        <v>0</v>
      </c>
      <c r="X452" s="170">
        <f t="shared" si="69"/>
        <v>0</v>
      </c>
      <c r="Y452" s="170">
        <f t="shared" si="70"/>
        <v>0</v>
      </c>
      <c r="Z452" s="170">
        <f t="shared" si="71"/>
        <v>0</v>
      </c>
      <c r="AA452" s="171">
        <f>VLOOKUP(G452,'3-Productie normen'!A:N,10,FALSE)</f>
        <v>1</v>
      </c>
      <c r="AB452" s="171"/>
      <c r="AD452" s="131">
        <f t="shared" si="72"/>
        <v>2840.7000000000003</v>
      </c>
    </row>
    <row r="453" spans="1:30" ht="14.1" customHeight="1">
      <c r="A453" s="147">
        <v>452</v>
      </c>
      <c r="B453" s="523" t="s">
        <v>519</v>
      </c>
      <c r="C453" s="523" t="s">
        <v>520</v>
      </c>
      <c r="D453" s="570" t="s">
        <v>102</v>
      </c>
      <c r="E453" s="178" t="s">
        <v>254</v>
      </c>
      <c r="F453" s="178" t="s">
        <v>270</v>
      </c>
      <c r="G453" s="128" t="s">
        <v>373</v>
      </c>
      <c r="H453" s="178" t="s">
        <v>104</v>
      </c>
      <c r="I453" s="565">
        <v>10.95</v>
      </c>
      <c r="J453" s="482">
        <v>1</v>
      </c>
      <c r="K453" s="482">
        <v>1</v>
      </c>
      <c r="L453" s="482">
        <v>1</v>
      </c>
      <c r="M453" s="482">
        <v>1</v>
      </c>
      <c r="N453" s="524">
        <v>255</v>
      </c>
      <c r="O453" s="524"/>
      <c r="P453" s="524"/>
      <c r="Q453" s="524"/>
      <c r="R453" s="169" t="e">
        <f t="shared" si="65"/>
        <v>#DIV/0!</v>
      </c>
      <c r="S453" s="169">
        <f t="shared" si="66"/>
        <v>0</v>
      </c>
      <c r="T453" s="169">
        <f t="shared" si="67"/>
        <v>0</v>
      </c>
      <c r="U453" s="169">
        <f t="shared" si="68"/>
        <v>0</v>
      </c>
      <c r="V453" s="519"/>
      <c r="W453" s="170">
        <f>IF(N453="nio",0,IF(N453&gt;0,VLOOKUP(G453,'3-Productie normen'!A:N,VLOOKUP(N453,'3-Productie normen'!Q:R,2,FALSE),FALSE)))</f>
        <v>0</v>
      </c>
      <c r="X453" s="170">
        <f t="shared" si="69"/>
        <v>0</v>
      </c>
      <c r="Y453" s="170">
        <f t="shared" si="70"/>
        <v>0</v>
      </c>
      <c r="Z453" s="170">
        <f t="shared" si="71"/>
        <v>0</v>
      </c>
      <c r="AA453" s="171">
        <f>VLOOKUP(G453,'3-Productie normen'!A:N,10,FALSE)</f>
        <v>1</v>
      </c>
      <c r="AB453" s="171"/>
      <c r="AD453" s="131">
        <f t="shared" si="72"/>
        <v>2792.25</v>
      </c>
    </row>
    <row r="454" spans="1:30" ht="14.1" customHeight="1">
      <c r="A454" s="147">
        <v>453</v>
      </c>
      <c r="B454" s="523" t="s">
        <v>519</v>
      </c>
      <c r="C454" s="523" t="s">
        <v>520</v>
      </c>
      <c r="D454" s="570" t="s">
        <v>102</v>
      </c>
      <c r="E454" s="178" t="s">
        <v>256</v>
      </c>
      <c r="F454" s="178" t="s">
        <v>251</v>
      </c>
      <c r="G454" s="165" t="s">
        <v>373</v>
      </c>
      <c r="H454" s="178" t="s">
        <v>104</v>
      </c>
      <c r="I454" s="565">
        <v>14.37</v>
      </c>
      <c r="J454" s="482">
        <v>1</v>
      </c>
      <c r="K454" s="482">
        <v>1</v>
      </c>
      <c r="L454" s="482">
        <v>1</v>
      </c>
      <c r="M454" s="482">
        <v>1</v>
      </c>
      <c r="N454" s="524">
        <v>255</v>
      </c>
      <c r="O454" s="524"/>
      <c r="P454" s="524"/>
      <c r="Q454" s="524"/>
      <c r="R454" s="169" t="e">
        <f t="shared" si="65"/>
        <v>#DIV/0!</v>
      </c>
      <c r="S454" s="169">
        <f t="shared" si="66"/>
        <v>0</v>
      </c>
      <c r="T454" s="169">
        <f t="shared" si="67"/>
        <v>0</v>
      </c>
      <c r="U454" s="169">
        <f t="shared" si="68"/>
        <v>0</v>
      </c>
      <c r="V454" s="519"/>
      <c r="W454" s="170">
        <f>IF(N454="nio",0,IF(N454&gt;0,VLOOKUP(G454,'3-Productie normen'!A:N,VLOOKUP(N454,'3-Productie normen'!Q:R,2,FALSE),FALSE)))</f>
        <v>0</v>
      </c>
      <c r="X454" s="170">
        <f t="shared" si="69"/>
        <v>0</v>
      </c>
      <c r="Y454" s="170">
        <f t="shared" si="70"/>
        <v>0</v>
      </c>
      <c r="Z454" s="170">
        <f t="shared" si="71"/>
        <v>0</v>
      </c>
      <c r="AA454" s="171">
        <f>VLOOKUP(G454,'3-Productie normen'!A:N,10,FALSE)</f>
        <v>1</v>
      </c>
      <c r="AB454" s="171"/>
      <c r="AD454" s="131">
        <f t="shared" si="72"/>
        <v>3664.35</v>
      </c>
    </row>
    <row r="455" spans="1:30" ht="14.1" customHeight="1">
      <c r="A455" s="147">
        <v>454</v>
      </c>
      <c r="B455" s="523" t="s">
        <v>519</v>
      </c>
      <c r="C455" s="523" t="s">
        <v>520</v>
      </c>
      <c r="D455" s="570" t="s">
        <v>102</v>
      </c>
      <c r="E455" s="178" t="s">
        <v>258</v>
      </c>
      <c r="F455" s="178" t="s">
        <v>249</v>
      </c>
      <c r="G455" s="165" t="s">
        <v>579</v>
      </c>
      <c r="H455" s="178" t="s">
        <v>104</v>
      </c>
      <c r="I455" s="565">
        <v>100.51</v>
      </c>
      <c r="J455" s="482">
        <v>1</v>
      </c>
      <c r="K455" s="482">
        <v>1</v>
      </c>
      <c r="L455" s="482">
        <v>1</v>
      </c>
      <c r="M455" s="482">
        <v>1</v>
      </c>
      <c r="N455" s="524">
        <v>255</v>
      </c>
      <c r="O455" s="524"/>
      <c r="P455" s="524"/>
      <c r="Q455" s="524"/>
      <c r="R455" s="169" t="e">
        <f t="shared" si="65"/>
        <v>#DIV/0!</v>
      </c>
      <c r="S455" s="169">
        <f t="shared" si="66"/>
        <v>0</v>
      </c>
      <c r="T455" s="169">
        <f t="shared" si="67"/>
        <v>0</v>
      </c>
      <c r="U455" s="169">
        <f t="shared" si="68"/>
        <v>0</v>
      </c>
      <c r="V455" s="519"/>
      <c r="W455" s="170">
        <f>IF(N455="nio",0,IF(N455&gt;0,VLOOKUP(G455,'3-Productie normen'!A:N,VLOOKUP(N455,'3-Productie normen'!Q:R,2,FALSE),FALSE)))</f>
        <v>0</v>
      </c>
      <c r="X455" s="170">
        <f t="shared" si="69"/>
        <v>0</v>
      </c>
      <c r="Y455" s="170">
        <f t="shared" si="70"/>
        <v>0</v>
      </c>
      <c r="Z455" s="170">
        <f t="shared" si="71"/>
        <v>0</v>
      </c>
      <c r="AA455" s="171">
        <f>VLOOKUP(G455,'3-Productie normen'!A:N,10,FALSE)</f>
        <v>4</v>
      </c>
      <c r="AB455" s="171"/>
      <c r="AD455" s="131">
        <f t="shared" si="72"/>
        <v>25630.050000000003</v>
      </c>
    </row>
    <row r="456" spans="1:30" ht="14.1" customHeight="1">
      <c r="A456" s="147">
        <v>455</v>
      </c>
      <c r="B456" s="523" t="s">
        <v>519</v>
      </c>
      <c r="C456" s="523" t="s">
        <v>520</v>
      </c>
      <c r="D456" s="570" t="s">
        <v>102</v>
      </c>
      <c r="E456" s="178" t="s">
        <v>259</v>
      </c>
      <c r="F456" s="178" t="s">
        <v>270</v>
      </c>
      <c r="G456" s="128" t="s">
        <v>373</v>
      </c>
      <c r="H456" s="178" t="s">
        <v>104</v>
      </c>
      <c r="I456" s="565">
        <v>14.1</v>
      </c>
      <c r="J456" s="482">
        <v>1</v>
      </c>
      <c r="K456" s="482">
        <v>1</v>
      </c>
      <c r="L456" s="482">
        <v>1</v>
      </c>
      <c r="M456" s="482">
        <v>1</v>
      </c>
      <c r="N456" s="524">
        <v>255</v>
      </c>
      <c r="O456" s="524"/>
      <c r="P456" s="524"/>
      <c r="Q456" s="524"/>
      <c r="R456" s="169" t="e">
        <f t="shared" si="65"/>
        <v>#DIV/0!</v>
      </c>
      <c r="S456" s="169">
        <f t="shared" si="66"/>
        <v>0</v>
      </c>
      <c r="T456" s="169">
        <f t="shared" si="67"/>
        <v>0</v>
      </c>
      <c r="U456" s="169">
        <f t="shared" si="68"/>
        <v>0</v>
      </c>
      <c r="V456" s="519"/>
      <c r="W456" s="170">
        <f>IF(N456="nio",0,IF(N456&gt;0,VLOOKUP(G456,'3-Productie normen'!A:N,VLOOKUP(N456,'3-Productie normen'!Q:R,2,FALSE),FALSE)))</f>
        <v>0</v>
      </c>
      <c r="X456" s="170">
        <f t="shared" si="69"/>
        <v>0</v>
      </c>
      <c r="Y456" s="170">
        <f t="shared" si="70"/>
        <v>0</v>
      </c>
      <c r="Z456" s="170">
        <f t="shared" si="71"/>
        <v>0</v>
      </c>
      <c r="AA456" s="171">
        <f>VLOOKUP(G456,'3-Productie normen'!A:N,10,FALSE)</f>
        <v>1</v>
      </c>
      <c r="AB456" s="171"/>
      <c r="AD456" s="131">
        <f t="shared" si="72"/>
        <v>3595.5</v>
      </c>
    </row>
    <row r="457" spans="1:30" ht="14.1" customHeight="1">
      <c r="A457" s="147">
        <v>456</v>
      </c>
      <c r="B457" s="523" t="s">
        <v>519</v>
      </c>
      <c r="C457" s="523" t="s">
        <v>520</v>
      </c>
      <c r="D457" s="570" t="s">
        <v>102</v>
      </c>
      <c r="E457" s="178" t="s">
        <v>261</v>
      </c>
      <c r="F457" s="178" t="s">
        <v>357</v>
      </c>
      <c r="G457" s="178" t="s">
        <v>373</v>
      </c>
      <c r="H457" s="178" t="s">
        <v>104</v>
      </c>
      <c r="I457" s="565">
        <v>15.24</v>
      </c>
      <c r="J457" s="482">
        <v>1</v>
      </c>
      <c r="K457" s="482">
        <v>1</v>
      </c>
      <c r="L457" s="482">
        <v>1</v>
      </c>
      <c r="M457" s="482">
        <v>1</v>
      </c>
      <c r="N457" s="524">
        <v>255</v>
      </c>
      <c r="O457" s="524"/>
      <c r="P457" s="524"/>
      <c r="Q457" s="524"/>
      <c r="R457" s="169" t="e">
        <f t="shared" si="65"/>
        <v>#DIV/0!</v>
      </c>
      <c r="S457" s="169">
        <f t="shared" si="66"/>
        <v>0</v>
      </c>
      <c r="T457" s="169">
        <f t="shared" si="67"/>
        <v>0</v>
      </c>
      <c r="U457" s="169">
        <f t="shared" si="68"/>
        <v>0</v>
      </c>
      <c r="V457" s="519"/>
      <c r="W457" s="170">
        <f>IF(N457="nio",0,IF(N457&gt;0,VLOOKUP(G457,'3-Productie normen'!A:N,VLOOKUP(N457,'3-Productie normen'!Q:R,2,FALSE),FALSE)))</f>
        <v>0</v>
      </c>
      <c r="X457" s="170">
        <f t="shared" si="69"/>
        <v>0</v>
      </c>
      <c r="Y457" s="170">
        <f t="shared" si="70"/>
        <v>0</v>
      </c>
      <c r="Z457" s="170">
        <f t="shared" si="71"/>
        <v>0</v>
      </c>
      <c r="AA457" s="171">
        <f>VLOOKUP(G457,'3-Productie normen'!A:N,10,FALSE)</f>
        <v>1</v>
      </c>
      <c r="AB457" s="171"/>
      <c r="AD457" s="131">
        <f t="shared" si="72"/>
        <v>3886.2000000000003</v>
      </c>
    </row>
    <row r="458" spans="1:30" ht="14.1" customHeight="1">
      <c r="A458" s="147">
        <v>457</v>
      </c>
      <c r="B458" s="523" t="s">
        <v>519</v>
      </c>
      <c r="C458" s="523" t="s">
        <v>520</v>
      </c>
      <c r="D458" s="570" t="s">
        <v>102</v>
      </c>
      <c r="E458" s="178" t="s">
        <v>263</v>
      </c>
      <c r="F458" s="178" t="s">
        <v>419</v>
      </c>
      <c r="G458" s="128" t="s">
        <v>580</v>
      </c>
      <c r="H458" s="178" t="s">
        <v>525</v>
      </c>
      <c r="I458" s="565">
        <v>7</v>
      </c>
      <c r="J458" s="482">
        <v>1</v>
      </c>
      <c r="K458" s="482">
        <v>1</v>
      </c>
      <c r="L458" s="482">
        <v>1</v>
      </c>
      <c r="M458" s="482">
        <v>1</v>
      </c>
      <c r="N458" s="524">
        <v>255</v>
      </c>
      <c r="O458" s="168"/>
      <c r="P458" s="168"/>
      <c r="Q458" s="168"/>
      <c r="R458" s="169" t="e">
        <f t="shared" si="65"/>
        <v>#DIV/0!</v>
      </c>
      <c r="S458" s="169">
        <f t="shared" si="66"/>
        <v>0</v>
      </c>
      <c r="T458" s="169">
        <f t="shared" si="67"/>
        <v>0</v>
      </c>
      <c r="U458" s="169">
        <f t="shared" si="68"/>
        <v>0</v>
      </c>
      <c r="V458" s="519"/>
      <c r="W458" s="170">
        <f>IF(N458="nio",0,IF(N458&gt;0,VLOOKUP(G458,'3-Productie normen'!A:N,VLOOKUP(N458,'3-Productie normen'!Q:R,2,FALSE),FALSE)))</f>
        <v>0</v>
      </c>
      <c r="X458" s="170">
        <f t="shared" si="69"/>
        <v>0</v>
      </c>
      <c r="Y458" s="170">
        <f t="shared" si="70"/>
        <v>0</v>
      </c>
      <c r="Z458" s="170">
        <f t="shared" si="71"/>
        <v>0</v>
      </c>
      <c r="AA458" s="171">
        <f>VLOOKUP(G458,'3-Productie normen'!A:N,10,FALSE)</f>
        <v>4</v>
      </c>
      <c r="AB458" s="171"/>
      <c r="AD458" s="131">
        <f t="shared" si="72"/>
        <v>1785</v>
      </c>
    </row>
    <row r="459" spans="1:30" ht="14.1" customHeight="1">
      <c r="A459" s="147">
        <v>458</v>
      </c>
      <c r="B459" s="523" t="s">
        <v>519</v>
      </c>
      <c r="C459" s="523" t="s">
        <v>520</v>
      </c>
      <c r="D459" s="570" t="s">
        <v>102</v>
      </c>
      <c r="E459" s="178" t="s">
        <v>393</v>
      </c>
      <c r="F459" s="178" t="s">
        <v>269</v>
      </c>
      <c r="G459" s="525" t="s">
        <v>583</v>
      </c>
      <c r="H459" s="178" t="s">
        <v>104</v>
      </c>
      <c r="I459" s="565">
        <v>10.25</v>
      </c>
      <c r="J459" s="482">
        <v>1</v>
      </c>
      <c r="K459" s="482">
        <v>1</v>
      </c>
      <c r="L459" s="482">
        <v>1</v>
      </c>
      <c r="M459" s="482">
        <v>1</v>
      </c>
      <c r="N459" s="524">
        <v>255</v>
      </c>
      <c r="O459" s="168"/>
      <c r="P459" s="168"/>
      <c r="Q459" s="168"/>
      <c r="R459" s="169" t="e">
        <f t="shared" si="65"/>
        <v>#DIV/0!</v>
      </c>
      <c r="S459" s="169">
        <f t="shared" si="66"/>
        <v>0</v>
      </c>
      <c r="T459" s="169">
        <f t="shared" si="67"/>
        <v>0</v>
      </c>
      <c r="U459" s="169">
        <f t="shared" si="68"/>
        <v>0</v>
      </c>
      <c r="V459" s="519"/>
      <c r="W459" s="170">
        <f>IF(N459="nio",0,IF(N459&gt;0,VLOOKUP(G459,'3-Productie normen'!A:N,VLOOKUP(N459,'3-Productie normen'!Q:R,2,FALSE),FALSE)))</f>
        <v>0</v>
      </c>
      <c r="X459" s="170">
        <f t="shared" si="69"/>
        <v>0</v>
      </c>
      <c r="Y459" s="170">
        <f t="shared" si="70"/>
        <v>0</v>
      </c>
      <c r="Z459" s="170">
        <f t="shared" si="71"/>
        <v>0</v>
      </c>
      <c r="AA459" s="171">
        <f>VLOOKUP(G459,'3-Productie normen'!A:N,10,FALSE)</f>
        <v>4</v>
      </c>
      <c r="AB459" s="171"/>
      <c r="AD459" s="131">
        <f t="shared" si="72"/>
        <v>2613.75</v>
      </c>
    </row>
    <row r="460" spans="1:30" ht="14.1" customHeight="1">
      <c r="A460" s="147">
        <v>459</v>
      </c>
      <c r="B460" s="523" t="s">
        <v>519</v>
      </c>
      <c r="C460" s="523" t="s">
        <v>520</v>
      </c>
      <c r="D460" s="570" t="s">
        <v>102</v>
      </c>
      <c r="E460" s="178" t="s">
        <v>514</v>
      </c>
      <c r="F460" s="178" t="s">
        <v>293</v>
      </c>
      <c r="G460" s="128" t="s">
        <v>578</v>
      </c>
      <c r="H460" s="178" t="s">
        <v>272</v>
      </c>
      <c r="I460" s="565">
        <v>5.75</v>
      </c>
      <c r="J460" s="482">
        <v>1</v>
      </c>
      <c r="K460" s="482">
        <v>1</v>
      </c>
      <c r="L460" s="482">
        <v>1</v>
      </c>
      <c r="M460" s="482">
        <v>1</v>
      </c>
      <c r="N460" s="524">
        <v>12</v>
      </c>
      <c r="O460" s="168"/>
      <c r="P460" s="168"/>
      <c r="Q460" s="168"/>
      <c r="R460" s="169" t="e">
        <f t="shared" si="65"/>
        <v>#DIV/0!</v>
      </c>
      <c r="S460" s="169">
        <f t="shared" si="66"/>
        <v>0</v>
      </c>
      <c r="T460" s="169">
        <f t="shared" si="67"/>
        <v>0</v>
      </c>
      <c r="U460" s="169">
        <f t="shared" si="68"/>
        <v>0</v>
      </c>
      <c r="V460" s="519"/>
      <c r="W460" s="170">
        <f>IF(N460="nio",0,IF(N460&gt;0,VLOOKUP(G460,'3-Productie normen'!A:N,VLOOKUP(N460,'3-Productie normen'!Q:R,2,FALSE),FALSE)))</f>
        <v>0</v>
      </c>
      <c r="X460" s="170">
        <f t="shared" si="69"/>
        <v>0</v>
      </c>
      <c r="Y460" s="170">
        <f t="shared" si="70"/>
        <v>0</v>
      </c>
      <c r="Z460" s="170">
        <f t="shared" si="71"/>
        <v>0</v>
      </c>
      <c r="AA460" s="171">
        <f>VLOOKUP(G460,'3-Productie normen'!A:N,10,FALSE)</f>
        <v>4</v>
      </c>
      <c r="AB460" s="171"/>
      <c r="AD460" s="131">
        <f t="shared" si="72"/>
        <v>69</v>
      </c>
    </row>
    <row r="461" spans="1:30" ht="14.1" customHeight="1">
      <c r="A461" s="147">
        <v>460</v>
      </c>
      <c r="B461" s="523" t="s">
        <v>519</v>
      </c>
      <c r="C461" s="523" t="s">
        <v>520</v>
      </c>
      <c r="D461" s="570" t="s">
        <v>102</v>
      </c>
      <c r="E461" s="178" t="s">
        <v>273</v>
      </c>
      <c r="F461" s="178" t="s">
        <v>291</v>
      </c>
      <c r="G461" s="167" t="s">
        <v>373</v>
      </c>
      <c r="H461" s="178" t="s">
        <v>272</v>
      </c>
      <c r="I461" s="565">
        <v>25.82</v>
      </c>
      <c r="J461" s="482">
        <v>1</v>
      </c>
      <c r="K461" s="482">
        <v>1</v>
      </c>
      <c r="L461" s="482">
        <v>1</v>
      </c>
      <c r="M461" s="482">
        <v>1</v>
      </c>
      <c r="N461" s="524">
        <v>255</v>
      </c>
      <c r="O461" s="168"/>
      <c r="P461" s="168"/>
      <c r="Q461" s="168"/>
      <c r="R461" s="169" t="e">
        <f t="shared" si="65"/>
        <v>#DIV/0!</v>
      </c>
      <c r="S461" s="169">
        <f t="shared" si="66"/>
        <v>0</v>
      </c>
      <c r="T461" s="169">
        <f t="shared" si="67"/>
        <v>0</v>
      </c>
      <c r="U461" s="169">
        <f t="shared" si="68"/>
        <v>0</v>
      </c>
      <c r="V461" s="519"/>
      <c r="W461" s="170">
        <f>IF(N461="nio",0,IF(N461&gt;0,VLOOKUP(G461,'3-Productie normen'!A:N,VLOOKUP(N461,'3-Productie normen'!Q:R,2,FALSE),FALSE)))</f>
        <v>0</v>
      </c>
      <c r="X461" s="170">
        <f t="shared" si="69"/>
        <v>0</v>
      </c>
      <c r="Y461" s="170">
        <f t="shared" si="70"/>
        <v>0</v>
      </c>
      <c r="Z461" s="170">
        <f t="shared" si="71"/>
        <v>0</v>
      </c>
      <c r="AA461" s="171">
        <f>VLOOKUP(G461,'3-Productie normen'!A:N,10,FALSE)</f>
        <v>1</v>
      </c>
      <c r="AB461" s="171"/>
      <c r="AD461" s="131">
        <f t="shared" si="72"/>
        <v>6584.1</v>
      </c>
    </row>
    <row r="462" spans="1:30" ht="14.1" customHeight="1">
      <c r="A462" s="147">
        <v>461</v>
      </c>
      <c r="B462" s="523" t="s">
        <v>519</v>
      </c>
      <c r="C462" s="523" t="s">
        <v>520</v>
      </c>
      <c r="D462" s="570" t="s">
        <v>102</v>
      </c>
      <c r="E462" s="178" t="s">
        <v>274</v>
      </c>
      <c r="F462" s="178" t="s">
        <v>524</v>
      </c>
      <c r="G462" s="178" t="s">
        <v>107</v>
      </c>
      <c r="H462" s="178" t="s">
        <v>104</v>
      </c>
      <c r="I462" s="565">
        <v>35.700000000000003</v>
      </c>
      <c r="J462" s="482">
        <v>1</v>
      </c>
      <c r="K462" s="482">
        <v>1</v>
      </c>
      <c r="L462" s="482">
        <v>1</v>
      </c>
      <c r="M462" s="482">
        <v>1</v>
      </c>
      <c r="N462" s="524">
        <v>255</v>
      </c>
      <c r="O462" s="168"/>
      <c r="P462" s="168"/>
      <c r="Q462" s="168"/>
      <c r="R462" s="169" t="e">
        <f t="shared" si="65"/>
        <v>#DIV/0!</v>
      </c>
      <c r="S462" s="169">
        <f t="shared" si="66"/>
        <v>0</v>
      </c>
      <c r="T462" s="169">
        <f t="shared" si="67"/>
        <v>0</v>
      </c>
      <c r="U462" s="169">
        <f t="shared" si="68"/>
        <v>0</v>
      </c>
      <c r="V462" s="519"/>
      <c r="W462" s="170">
        <f>IF(N462="nio",0,IF(N462&gt;0,VLOOKUP(G462,'3-Productie normen'!A:N,VLOOKUP(N462,'3-Productie normen'!Q:R,2,FALSE),FALSE)))</f>
        <v>0</v>
      </c>
      <c r="X462" s="170">
        <f t="shared" si="69"/>
        <v>0</v>
      </c>
      <c r="Y462" s="170">
        <f t="shared" si="70"/>
        <v>0</v>
      </c>
      <c r="Z462" s="170">
        <f t="shared" si="71"/>
        <v>0</v>
      </c>
      <c r="AA462" s="171">
        <f>VLOOKUP(G462,'3-Productie normen'!A:N,10,FALSE)</f>
        <v>2</v>
      </c>
      <c r="AB462" s="171"/>
      <c r="AD462" s="131">
        <f t="shared" si="72"/>
        <v>9103.5</v>
      </c>
    </row>
    <row r="463" spans="1:30" ht="14.1" customHeight="1">
      <c r="A463" s="147">
        <v>462</v>
      </c>
      <c r="B463" s="523" t="s">
        <v>519</v>
      </c>
      <c r="C463" s="523" t="s">
        <v>520</v>
      </c>
      <c r="D463" s="570" t="s">
        <v>102</v>
      </c>
      <c r="E463" s="178" t="s">
        <v>275</v>
      </c>
      <c r="F463" s="178" t="s">
        <v>293</v>
      </c>
      <c r="G463" s="128" t="s">
        <v>578</v>
      </c>
      <c r="H463" s="178" t="s">
        <v>104</v>
      </c>
      <c r="I463" s="565">
        <v>5.62</v>
      </c>
      <c r="J463" s="482">
        <v>1</v>
      </c>
      <c r="K463" s="482">
        <v>1</v>
      </c>
      <c r="L463" s="482">
        <v>1</v>
      </c>
      <c r="M463" s="482">
        <v>1</v>
      </c>
      <c r="N463" s="524">
        <v>12</v>
      </c>
      <c r="O463" s="168"/>
      <c r="P463" s="168"/>
      <c r="Q463" s="168"/>
      <c r="R463" s="169" t="e">
        <f t="shared" si="65"/>
        <v>#DIV/0!</v>
      </c>
      <c r="S463" s="169">
        <f t="shared" si="66"/>
        <v>0</v>
      </c>
      <c r="T463" s="169">
        <f t="shared" si="67"/>
        <v>0</v>
      </c>
      <c r="U463" s="169">
        <f t="shared" si="68"/>
        <v>0</v>
      </c>
      <c r="V463" s="519"/>
      <c r="W463" s="170">
        <f>IF(N463="nio",0,IF(N463&gt;0,VLOOKUP(G463,'3-Productie normen'!A:N,VLOOKUP(N463,'3-Productie normen'!Q:R,2,FALSE),FALSE)))</f>
        <v>0</v>
      </c>
      <c r="X463" s="170">
        <f t="shared" si="69"/>
        <v>0</v>
      </c>
      <c r="Y463" s="170">
        <f t="shared" si="70"/>
        <v>0</v>
      </c>
      <c r="Z463" s="170">
        <f t="shared" si="71"/>
        <v>0</v>
      </c>
      <c r="AA463" s="171">
        <f>VLOOKUP(G463,'3-Productie normen'!A:N,10,FALSE)</f>
        <v>4</v>
      </c>
      <c r="AB463" s="171"/>
      <c r="AD463" s="131">
        <f t="shared" si="72"/>
        <v>67.44</v>
      </c>
    </row>
    <row r="464" spans="1:30" ht="14.1" customHeight="1">
      <c r="A464" s="147">
        <v>463</v>
      </c>
      <c r="B464" s="523" t="s">
        <v>519</v>
      </c>
      <c r="C464" s="523" t="s">
        <v>520</v>
      </c>
      <c r="D464" s="570" t="s">
        <v>102</v>
      </c>
      <c r="E464" s="178" t="s">
        <v>276</v>
      </c>
      <c r="F464" s="128" t="s">
        <v>257</v>
      </c>
      <c r="G464" s="167" t="s">
        <v>17</v>
      </c>
      <c r="H464" s="178" t="s">
        <v>105</v>
      </c>
      <c r="I464" s="565">
        <v>1.17</v>
      </c>
      <c r="J464" s="482">
        <v>1</v>
      </c>
      <c r="K464" s="482">
        <v>1</v>
      </c>
      <c r="L464" s="482">
        <v>1</v>
      </c>
      <c r="M464" s="482">
        <v>1</v>
      </c>
      <c r="N464" s="524">
        <v>255</v>
      </c>
      <c r="O464" s="168"/>
      <c r="P464" s="168"/>
      <c r="Q464" s="168"/>
      <c r="R464" s="169" t="e">
        <f t="shared" si="65"/>
        <v>#DIV/0!</v>
      </c>
      <c r="S464" s="169">
        <f t="shared" si="66"/>
        <v>0</v>
      </c>
      <c r="T464" s="169">
        <f t="shared" si="67"/>
        <v>0</v>
      </c>
      <c r="U464" s="169">
        <f t="shared" si="68"/>
        <v>0</v>
      </c>
      <c r="V464" s="519"/>
      <c r="W464" s="170">
        <f>IF(N464="nio",0,IF(N464&gt;0,VLOOKUP(G464,'3-Productie normen'!A:N,VLOOKUP(N464,'3-Productie normen'!Q:R,2,FALSE),FALSE)))</f>
        <v>0</v>
      </c>
      <c r="X464" s="170">
        <f t="shared" si="69"/>
        <v>0</v>
      </c>
      <c r="Y464" s="170">
        <f t="shared" si="70"/>
        <v>0</v>
      </c>
      <c r="Z464" s="170">
        <f t="shared" si="71"/>
        <v>0</v>
      </c>
      <c r="AA464" s="171">
        <f>VLOOKUP(G464,'3-Productie normen'!A:N,10,FALSE)</f>
        <v>3</v>
      </c>
      <c r="AB464" s="171"/>
      <c r="AD464" s="131">
        <f t="shared" si="72"/>
        <v>298.34999999999997</v>
      </c>
    </row>
    <row r="465" spans="1:30" ht="14.1" customHeight="1">
      <c r="A465" s="147">
        <v>464</v>
      </c>
      <c r="B465" s="523" t="s">
        <v>519</v>
      </c>
      <c r="C465" s="523" t="s">
        <v>520</v>
      </c>
      <c r="D465" s="570" t="s">
        <v>102</v>
      </c>
      <c r="E465" s="178" t="s">
        <v>277</v>
      </c>
      <c r="F465" s="128" t="s">
        <v>257</v>
      </c>
      <c r="G465" s="167" t="s">
        <v>17</v>
      </c>
      <c r="H465" s="178" t="s">
        <v>105</v>
      </c>
      <c r="I465" s="565">
        <v>2.5299999999999998</v>
      </c>
      <c r="J465" s="482">
        <v>1</v>
      </c>
      <c r="K465" s="482">
        <v>1</v>
      </c>
      <c r="L465" s="482">
        <v>1</v>
      </c>
      <c r="M465" s="482">
        <v>1</v>
      </c>
      <c r="N465" s="524">
        <v>255</v>
      </c>
      <c r="O465" s="168"/>
      <c r="P465" s="168"/>
      <c r="Q465" s="168"/>
      <c r="R465" s="169" t="e">
        <f t="shared" si="65"/>
        <v>#DIV/0!</v>
      </c>
      <c r="S465" s="169">
        <f t="shared" si="66"/>
        <v>0</v>
      </c>
      <c r="T465" s="169">
        <f t="shared" si="67"/>
        <v>0</v>
      </c>
      <c r="U465" s="169">
        <f t="shared" si="68"/>
        <v>0</v>
      </c>
      <c r="V465" s="519"/>
      <c r="W465" s="170">
        <f>IF(N465="nio",0,IF(N465&gt;0,VLOOKUP(G465,'3-Productie normen'!A:N,VLOOKUP(N465,'3-Productie normen'!Q:R,2,FALSE),FALSE)))</f>
        <v>0</v>
      </c>
      <c r="X465" s="170">
        <f t="shared" si="69"/>
        <v>0</v>
      </c>
      <c r="Y465" s="170">
        <f t="shared" si="70"/>
        <v>0</v>
      </c>
      <c r="Z465" s="170">
        <f t="shared" si="71"/>
        <v>0</v>
      </c>
      <c r="AA465" s="171">
        <f>VLOOKUP(G465,'3-Productie normen'!A:N,10,FALSE)</f>
        <v>3</v>
      </c>
      <c r="AB465" s="171"/>
      <c r="AD465" s="131">
        <f t="shared" si="72"/>
        <v>645.15</v>
      </c>
    </row>
    <row r="466" spans="1:30" ht="14.1" customHeight="1">
      <c r="A466" s="147">
        <v>465</v>
      </c>
      <c r="B466" s="523" t="s">
        <v>519</v>
      </c>
      <c r="C466" s="523" t="s">
        <v>520</v>
      </c>
      <c r="D466" s="570" t="s">
        <v>102</v>
      </c>
      <c r="E466" s="178" t="s">
        <v>522</v>
      </c>
      <c r="F466" s="178" t="s">
        <v>279</v>
      </c>
      <c r="G466" s="525" t="s">
        <v>583</v>
      </c>
      <c r="H466" s="178" t="s">
        <v>105</v>
      </c>
      <c r="I466" s="565">
        <v>8.16</v>
      </c>
      <c r="J466" s="482">
        <v>1</v>
      </c>
      <c r="K466" s="482">
        <v>1</v>
      </c>
      <c r="L466" s="482">
        <v>1</v>
      </c>
      <c r="M466" s="482">
        <v>1</v>
      </c>
      <c r="N466" s="524">
        <v>255</v>
      </c>
      <c r="O466" s="168"/>
      <c r="P466" s="168"/>
      <c r="Q466" s="168"/>
      <c r="R466" s="169" t="e">
        <f t="shared" si="65"/>
        <v>#DIV/0!</v>
      </c>
      <c r="S466" s="169">
        <f t="shared" si="66"/>
        <v>0</v>
      </c>
      <c r="T466" s="169">
        <f t="shared" si="67"/>
        <v>0</v>
      </c>
      <c r="U466" s="169">
        <f t="shared" si="68"/>
        <v>0</v>
      </c>
      <c r="V466" s="519"/>
      <c r="W466" s="170">
        <f>IF(N466="nio",0,IF(N466&gt;0,VLOOKUP(G466,'3-Productie normen'!A:N,VLOOKUP(N466,'3-Productie normen'!Q:R,2,FALSE),FALSE)))</f>
        <v>0</v>
      </c>
      <c r="X466" s="170">
        <f t="shared" si="69"/>
        <v>0</v>
      </c>
      <c r="Y466" s="170">
        <f t="shared" si="70"/>
        <v>0</v>
      </c>
      <c r="Z466" s="170">
        <f t="shared" si="71"/>
        <v>0</v>
      </c>
      <c r="AA466" s="171">
        <f>VLOOKUP(G466,'3-Productie normen'!A:N,10,FALSE)</f>
        <v>4</v>
      </c>
      <c r="AB466" s="171"/>
      <c r="AD466" s="131">
        <f t="shared" si="72"/>
        <v>2080.8000000000002</v>
      </c>
    </row>
    <row r="467" spans="1:30" ht="14.1" customHeight="1">
      <c r="A467" s="147">
        <v>466</v>
      </c>
      <c r="B467" s="523" t="s">
        <v>519</v>
      </c>
      <c r="C467" s="523" t="s">
        <v>520</v>
      </c>
      <c r="D467" s="570" t="s">
        <v>102</v>
      </c>
      <c r="E467" s="178" t="s">
        <v>319</v>
      </c>
      <c r="F467" s="178" t="s">
        <v>523</v>
      </c>
      <c r="G467" s="128" t="s">
        <v>578</v>
      </c>
      <c r="H467" s="178" t="s">
        <v>106</v>
      </c>
      <c r="I467" s="565">
        <v>57.77</v>
      </c>
      <c r="J467" s="482">
        <v>1</v>
      </c>
      <c r="K467" s="482">
        <v>1</v>
      </c>
      <c r="L467" s="482">
        <v>1</v>
      </c>
      <c r="M467" s="482">
        <v>1</v>
      </c>
      <c r="N467" s="524">
        <v>12</v>
      </c>
      <c r="O467" s="168"/>
      <c r="P467" s="168"/>
      <c r="Q467" s="168"/>
      <c r="R467" s="169" t="e">
        <f t="shared" si="65"/>
        <v>#DIV/0!</v>
      </c>
      <c r="S467" s="169">
        <f t="shared" si="66"/>
        <v>0</v>
      </c>
      <c r="T467" s="169">
        <f t="shared" si="67"/>
        <v>0</v>
      </c>
      <c r="U467" s="169">
        <f t="shared" si="68"/>
        <v>0</v>
      </c>
      <c r="V467" s="519"/>
      <c r="W467" s="170">
        <f>IF(N467="nio",0,IF(N467&gt;0,VLOOKUP(G467,'3-Productie normen'!A:N,VLOOKUP(N467,'3-Productie normen'!Q:R,2,FALSE),FALSE)))</f>
        <v>0</v>
      </c>
      <c r="X467" s="170">
        <f t="shared" si="69"/>
        <v>0</v>
      </c>
      <c r="Y467" s="170">
        <f t="shared" si="70"/>
        <v>0</v>
      </c>
      <c r="Z467" s="170">
        <f t="shared" si="71"/>
        <v>0</v>
      </c>
      <c r="AA467" s="171">
        <f>VLOOKUP(G467,'3-Productie normen'!A:N,10,FALSE)</f>
        <v>4</v>
      </c>
      <c r="AB467" s="171"/>
      <c r="AD467" s="131">
        <f t="shared" si="72"/>
        <v>693.24</v>
      </c>
    </row>
    <row r="468" spans="1:30" ht="14.1" customHeight="1">
      <c r="A468" s="147">
        <v>467</v>
      </c>
      <c r="B468" s="523" t="s">
        <v>526</v>
      </c>
      <c r="C468" s="523" t="s">
        <v>527</v>
      </c>
      <c r="D468" s="570" t="s">
        <v>102</v>
      </c>
      <c r="E468" s="178" t="s">
        <v>247</v>
      </c>
      <c r="F468" s="545" t="s">
        <v>351</v>
      </c>
      <c r="G468" s="165" t="s">
        <v>579</v>
      </c>
      <c r="H468" s="178" t="s">
        <v>104</v>
      </c>
      <c r="I468" s="565">
        <v>173.88</v>
      </c>
      <c r="J468" s="482">
        <v>1</v>
      </c>
      <c r="K468" s="482">
        <v>1</v>
      </c>
      <c r="L468" s="482">
        <v>1</v>
      </c>
      <c r="M468" s="482">
        <v>1</v>
      </c>
      <c r="N468" s="524">
        <v>255</v>
      </c>
      <c r="O468" s="524"/>
      <c r="P468" s="524"/>
      <c r="Q468" s="524"/>
      <c r="R468" s="169" t="e">
        <f t="shared" si="65"/>
        <v>#DIV/0!</v>
      </c>
      <c r="S468" s="169">
        <f t="shared" si="66"/>
        <v>0</v>
      </c>
      <c r="T468" s="169">
        <f t="shared" si="67"/>
        <v>0</v>
      </c>
      <c r="U468" s="169">
        <f t="shared" si="68"/>
        <v>0</v>
      </c>
      <c r="V468" s="519"/>
      <c r="W468" s="170">
        <f>IF(N468="nio",0,IF(N468&gt;0,VLOOKUP(G468,'3-Productie normen'!A:N,VLOOKUP(N468,'3-Productie normen'!Q:R,2,FALSE),FALSE)))</f>
        <v>0</v>
      </c>
      <c r="X468" s="170">
        <f t="shared" si="69"/>
        <v>0</v>
      </c>
      <c r="Y468" s="170">
        <f t="shared" si="70"/>
        <v>0</v>
      </c>
      <c r="Z468" s="170">
        <f t="shared" si="71"/>
        <v>0</v>
      </c>
      <c r="AA468" s="171">
        <f>VLOOKUP(G468,'3-Productie normen'!A:N,10,FALSE)</f>
        <v>4</v>
      </c>
      <c r="AB468" s="171"/>
      <c r="AD468" s="131">
        <f t="shared" si="72"/>
        <v>44339.4</v>
      </c>
    </row>
    <row r="469" spans="1:30" ht="14.1" customHeight="1">
      <c r="A469" s="147">
        <v>468</v>
      </c>
      <c r="B469" s="523" t="s">
        <v>526</v>
      </c>
      <c r="C469" s="523" t="s">
        <v>527</v>
      </c>
      <c r="D469" s="570" t="s">
        <v>102</v>
      </c>
      <c r="E469" s="178" t="s">
        <v>248</v>
      </c>
      <c r="F469" s="178" t="s">
        <v>262</v>
      </c>
      <c r="G469" s="128" t="s">
        <v>373</v>
      </c>
      <c r="H469" s="178" t="s">
        <v>104</v>
      </c>
      <c r="I469" s="565">
        <v>20.86</v>
      </c>
      <c r="J469" s="482">
        <v>1</v>
      </c>
      <c r="K469" s="482">
        <v>1</v>
      </c>
      <c r="L469" s="482">
        <v>1</v>
      </c>
      <c r="M469" s="482">
        <v>1</v>
      </c>
      <c r="N469" s="524">
        <v>255</v>
      </c>
      <c r="O469" s="524"/>
      <c r="P469" s="524"/>
      <c r="Q469" s="524"/>
      <c r="R469" s="169" t="e">
        <f t="shared" si="65"/>
        <v>#DIV/0!</v>
      </c>
      <c r="S469" s="169">
        <f t="shared" si="66"/>
        <v>0</v>
      </c>
      <c r="T469" s="169">
        <f t="shared" si="67"/>
        <v>0</v>
      </c>
      <c r="U469" s="169">
        <f t="shared" si="68"/>
        <v>0</v>
      </c>
      <c r="V469" s="519"/>
      <c r="W469" s="170">
        <f>IF(N469="nio",0,IF(N469&gt;0,VLOOKUP(G469,'3-Productie normen'!A:N,VLOOKUP(N469,'3-Productie normen'!Q:R,2,FALSE),FALSE)))</f>
        <v>0</v>
      </c>
      <c r="X469" s="170">
        <f t="shared" si="69"/>
        <v>0</v>
      </c>
      <c r="Y469" s="170">
        <f t="shared" si="70"/>
        <v>0</v>
      </c>
      <c r="Z469" s="170">
        <f t="shared" si="71"/>
        <v>0</v>
      </c>
      <c r="AA469" s="171">
        <f>VLOOKUP(G469,'3-Productie normen'!A:N,10,FALSE)</f>
        <v>1</v>
      </c>
      <c r="AB469" s="171"/>
      <c r="AD469" s="131">
        <f t="shared" si="72"/>
        <v>5319.3</v>
      </c>
    </row>
    <row r="470" spans="1:30" ht="14.1" customHeight="1">
      <c r="A470" s="147">
        <v>469</v>
      </c>
      <c r="B470" s="523" t="s">
        <v>526</v>
      </c>
      <c r="C470" s="523" t="s">
        <v>527</v>
      </c>
      <c r="D470" s="570" t="s">
        <v>102</v>
      </c>
      <c r="E470" s="178" t="s">
        <v>250</v>
      </c>
      <c r="F470" s="178" t="s">
        <v>264</v>
      </c>
      <c r="G470" s="128" t="s">
        <v>373</v>
      </c>
      <c r="H470" s="178" t="s">
        <v>104</v>
      </c>
      <c r="I470" s="565">
        <v>11.5</v>
      </c>
      <c r="J470" s="482">
        <v>1</v>
      </c>
      <c r="K470" s="482">
        <v>1</v>
      </c>
      <c r="L470" s="482">
        <v>1</v>
      </c>
      <c r="M470" s="482">
        <v>1</v>
      </c>
      <c r="N470" s="524">
        <v>255</v>
      </c>
      <c r="O470" s="524"/>
      <c r="P470" s="524"/>
      <c r="Q470" s="524"/>
      <c r="R470" s="169" t="e">
        <f t="shared" si="65"/>
        <v>#DIV/0!</v>
      </c>
      <c r="S470" s="169">
        <f t="shared" si="66"/>
        <v>0</v>
      </c>
      <c r="T470" s="169">
        <f t="shared" si="67"/>
        <v>0</v>
      </c>
      <c r="U470" s="169">
        <f t="shared" si="68"/>
        <v>0</v>
      </c>
      <c r="V470" s="519"/>
      <c r="W470" s="170">
        <f>IF(N470="nio",0,IF(N470&gt;0,VLOOKUP(G470,'3-Productie normen'!A:N,VLOOKUP(N470,'3-Productie normen'!Q:R,2,FALSE),FALSE)))</f>
        <v>0</v>
      </c>
      <c r="X470" s="170">
        <f t="shared" si="69"/>
        <v>0</v>
      </c>
      <c r="Y470" s="170">
        <f t="shared" si="70"/>
        <v>0</v>
      </c>
      <c r="Z470" s="170">
        <f t="shared" si="71"/>
        <v>0</v>
      </c>
      <c r="AA470" s="171">
        <f>VLOOKUP(G470,'3-Productie normen'!A:N,10,FALSE)</f>
        <v>1</v>
      </c>
      <c r="AB470" s="171"/>
      <c r="AD470" s="131">
        <f t="shared" si="72"/>
        <v>2932.5</v>
      </c>
    </row>
    <row r="471" spans="1:30" ht="14.1" customHeight="1">
      <c r="A471" s="147">
        <v>470</v>
      </c>
      <c r="B471" s="523" t="s">
        <v>526</v>
      </c>
      <c r="C471" s="523" t="s">
        <v>527</v>
      </c>
      <c r="D471" s="570" t="s">
        <v>102</v>
      </c>
      <c r="E471" s="178" t="s">
        <v>252</v>
      </c>
      <c r="F471" s="178" t="s">
        <v>266</v>
      </c>
      <c r="G471" s="128" t="s">
        <v>373</v>
      </c>
      <c r="H471" s="178" t="s">
        <v>104</v>
      </c>
      <c r="I471" s="565">
        <v>9.7799999999999994</v>
      </c>
      <c r="J471" s="482">
        <v>1</v>
      </c>
      <c r="K471" s="482">
        <v>1</v>
      </c>
      <c r="L471" s="482">
        <v>1</v>
      </c>
      <c r="M471" s="482">
        <v>1</v>
      </c>
      <c r="N471" s="524">
        <v>255</v>
      </c>
      <c r="O471" s="524"/>
      <c r="P471" s="524"/>
      <c r="Q471" s="524"/>
      <c r="R471" s="169" t="e">
        <f t="shared" ref="R471:R519" si="73">IF(N471="nio",0,IF(N471&gt;0,N471*I471/W471,0))*J471</f>
        <v>#DIV/0!</v>
      </c>
      <c r="S471" s="169">
        <f t="shared" ref="S471:S519" si="74">IF(O471&gt;0,O471*I471/X471,0)*K471</f>
        <v>0</v>
      </c>
      <c r="T471" s="169">
        <f t="shared" ref="T471:T519" si="75">IF(P471&gt;0,P471*I471/Y471,0)*L471</f>
        <v>0</v>
      </c>
      <c r="U471" s="169">
        <f t="shared" ref="U471:U519" si="76">IF(Q471&gt;0,Q471*I471/Z471,0)*M471</f>
        <v>0</v>
      </c>
      <c r="V471" s="519"/>
      <c r="W471" s="170">
        <f>IF(N471="nio",0,IF(N471&gt;0,VLOOKUP(G471,'3-Productie normen'!A:N,VLOOKUP(N471,'3-Productie normen'!Q:R,2,FALSE),FALSE)))</f>
        <v>0</v>
      </c>
      <c r="X471" s="170">
        <f t="shared" ref="X471:X519" si="77">IF(O471&gt;0,W471*$X$8,0)</f>
        <v>0</v>
      </c>
      <c r="Y471" s="170">
        <f t="shared" ref="Y471:Y519" si="78">IF(P471&gt;0,W471*$Y$8,0)</f>
        <v>0</v>
      </c>
      <c r="Z471" s="170">
        <f t="shared" ref="Z471:Z519" si="79">IF(Q471&gt;0,W471*$Z$8,0)</f>
        <v>0</v>
      </c>
      <c r="AA471" s="171">
        <f>VLOOKUP(G471,'3-Productie normen'!A:N,10,FALSE)</f>
        <v>1</v>
      </c>
      <c r="AB471" s="171"/>
      <c r="AD471" s="131">
        <f t="shared" ref="AD471:AD519" si="80">SUM(N471:P471)*I471</f>
        <v>2493.8999999999996</v>
      </c>
    </row>
    <row r="472" spans="1:30" ht="14.1" customHeight="1">
      <c r="A472" s="147">
        <v>471</v>
      </c>
      <c r="B472" s="523" t="s">
        <v>526</v>
      </c>
      <c r="C472" s="523" t="s">
        <v>527</v>
      </c>
      <c r="D472" s="570" t="s">
        <v>102</v>
      </c>
      <c r="E472" s="178" t="s">
        <v>254</v>
      </c>
      <c r="F472" s="178" t="s">
        <v>340</v>
      </c>
      <c r="G472" s="173" t="s">
        <v>209</v>
      </c>
      <c r="H472" s="178" t="s">
        <v>272</v>
      </c>
      <c r="I472" s="565">
        <v>49.85</v>
      </c>
      <c r="J472" s="482">
        <v>1</v>
      </c>
      <c r="K472" s="482">
        <v>1</v>
      </c>
      <c r="L472" s="482">
        <v>1</v>
      </c>
      <c r="M472" s="482">
        <v>1</v>
      </c>
      <c r="N472" s="524">
        <v>255</v>
      </c>
      <c r="O472" s="524"/>
      <c r="P472" s="524"/>
      <c r="Q472" s="524"/>
      <c r="R472" s="169" t="e">
        <f t="shared" si="73"/>
        <v>#DIV/0!</v>
      </c>
      <c r="S472" s="169">
        <f t="shared" si="74"/>
        <v>0</v>
      </c>
      <c r="T472" s="169">
        <f t="shared" si="75"/>
        <v>0</v>
      </c>
      <c r="U472" s="169">
        <f t="shared" si="76"/>
        <v>0</v>
      </c>
      <c r="V472" s="519"/>
      <c r="W472" s="170">
        <f>IF(N472="nio",0,IF(N472&gt;0,VLOOKUP(G472,'3-Productie normen'!A:N,VLOOKUP(N472,'3-Productie normen'!Q:R,2,FALSE),FALSE)))</f>
        <v>0</v>
      </c>
      <c r="X472" s="170">
        <f t="shared" si="77"/>
        <v>0</v>
      </c>
      <c r="Y472" s="170">
        <f t="shared" si="78"/>
        <v>0</v>
      </c>
      <c r="Z472" s="170">
        <f t="shared" si="79"/>
        <v>0</v>
      </c>
      <c r="AA472" s="171">
        <f>VLOOKUP(G472,'3-Productie normen'!A:N,10,FALSE)</f>
        <v>1</v>
      </c>
      <c r="AB472" s="171"/>
      <c r="AD472" s="131">
        <f t="shared" si="80"/>
        <v>12711.75</v>
      </c>
    </row>
    <row r="473" spans="1:30" ht="14.1" customHeight="1">
      <c r="A473" s="147">
        <v>472</v>
      </c>
      <c r="B473" s="523" t="s">
        <v>526</v>
      </c>
      <c r="C473" s="523" t="s">
        <v>527</v>
      </c>
      <c r="D473" s="570" t="s">
        <v>102</v>
      </c>
      <c r="E473" s="178" t="s">
        <v>256</v>
      </c>
      <c r="F473" s="178" t="s">
        <v>251</v>
      </c>
      <c r="G473" s="165" t="s">
        <v>373</v>
      </c>
      <c r="H473" s="178" t="s">
        <v>104</v>
      </c>
      <c r="I473" s="565">
        <v>30.9</v>
      </c>
      <c r="J473" s="482">
        <v>1</v>
      </c>
      <c r="K473" s="482">
        <v>1</v>
      </c>
      <c r="L473" s="482">
        <v>1</v>
      </c>
      <c r="M473" s="482">
        <v>1</v>
      </c>
      <c r="N473" s="524">
        <v>255</v>
      </c>
      <c r="O473" s="524"/>
      <c r="P473" s="524"/>
      <c r="Q473" s="524"/>
      <c r="R473" s="169" t="e">
        <f t="shared" si="73"/>
        <v>#DIV/0!</v>
      </c>
      <c r="S473" s="169">
        <f t="shared" si="74"/>
        <v>0</v>
      </c>
      <c r="T473" s="169">
        <f t="shared" si="75"/>
        <v>0</v>
      </c>
      <c r="U473" s="169">
        <f t="shared" si="76"/>
        <v>0</v>
      </c>
      <c r="V473" s="519"/>
      <c r="W473" s="170">
        <f>IF(N473="nio",0,IF(N473&gt;0,VLOOKUP(G473,'3-Productie normen'!A:N,VLOOKUP(N473,'3-Productie normen'!Q:R,2,FALSE),FALSE)))</f>
        <v>0</v>
      </c>
      <c r="X473" s="170">
        <f t="shared" si="77"/>
        <v>0</v>
      </c>
      <c r="Y473" s="170">
        <f t="shared" si="78"/>
        <v>0</v>
      </c>
      <c r="Z473" s="170">
        <f t="shared" si="79"/>
        <v>0</v>
      </c>
      <c r="AA473" s="171">
        <f>VLOOKUP(G473,'3-Productie normen'!A:N,10,FALSE)</f>
        <v>1</v>
      </c>
      <c r="AB473" s="171"/>
      <c r="AD473" s="131">
        <f t="shared" si="80"/>
        <v>7879.5</v>
      </c>
    </row>
    <row r="474" spans="1:30" ht="14.1" customHeight="1">
      <c r="A474" s="147">
        <v>473</v>
      </c>
      <c r="B474" s="523" t="s">
        <v>526</v>
      </c>
      <c r="C474" s="523" t="s">
        <v>527</v>
      </c>
      <c r="D474" s="570" t="s">
        <v>102</v>
      </c>
      <c r="E474" s="178" t="s">
        <v>258</v>
      </c>
      <c r="F474" s="178" t="s">
        <v>257</v>
      </c>
      <c r="G474" s="167" t="s">
        <v>17</v>
      </c>
      <c r="H474" s="178" t="s">
        <v>105</v>
      </c>
      <c r="I474" s="565">
        <v>4.32</v>
      </c>
      <c r="J474" s="482">
        <v>1</v>
      </c>
      <c r="K474" s="482">
        <v>1</v>
      </c>
      <c r="L474" s="482">
        <v>1</v>
      </c>
      <c r="M474" s="482">
        <v>1</v>
      </c>
      <c r="N474" s="524">
        <v>255</v>
      </c>
      <c r="O474" s="524"/>
      <c r="P474" s="524"/>
      <c r="Q474" s="524"/>
      <c r="R474" s="169" t="e">
        <f t="shared" si="73"/>
        <v>#DIV/0!</v>
      </c>
      <c r="S474" s="169">
        <f t="shared" si="74"/>
        <v>0</v>
      </c>
      <c r="T474" s="169">
        <f t="shared" si="75"/>
        <v>0</v>
      </c>
      <c r="U474" s="169">
        <f t="shared" si="76"/>
        <v>0</v>
      </c>
      <c r="V474" s="519"/>
      <c r="W474" s="170">
        <f>IF(N474="nio",0,IF(N474&gt;0,VLOOKUP(G474,'3-Productie normen'!A:N,VLOOKUP(N474,'3-Productie normen'!Q:R,2,FALSE),FALSE)))</f>
        <v>0</v>
      </c>
      <c r="X474" s="170">
        <f t="shared" si="77"/>
        <v>0</v>
      </c>
      <c r="Y474" s="170">
        <f t="shared" si="78"/>
        <v>0</v>
      </c>
      <c r="Z474" s="170">
        <f t="shared" si="79"/>
        <v>0</v>
      </c>
      <c r="AA474" s="171">
        <f>VLOOKUP(G474,'3-Productie normen'!A:N,10,FALSE)</f>
        <v>3</v>
      </c>
      <c r="AB474" s="171"/>
      <c r="AD474" s="131">
        <f t="shared" si="80"/>
        <v>1101.6000000000001</v>
      </c>
    </row>
    <row r="475" spans="1:30" ht="14.1" customHeight="1">
      <c r="A475" s="147">
        <v>474</v>
      </c>
      <c r="B475" s="523" t="s">
        <v>526</v>
      </c>
      <c r="C475" s="523" t="s">
        <v>527</v>
      </c>
      <c r="D475" s="570" t="s">
        <v>102</v>
      </c>
      <c r="E475" s="178" t="s">
        <v>259</v>
      </c>
      <c r="F475" s="178" t="s">
        <v>528</v>
      </c>
      <c r="G475" s="128" t="s">
        <v>578</v>
      </c>
      <c r="H475" s="178" t="s">
        <v>104</v>
      </c>
      <c r="I475" s="565">
        <v>9.73</v>
      </c>
      <c r="J475" s="482">
        <v>1</v>
      </c>
      <c r="K475" s="482">
        <v>1</v>
      </c>
      <c r="L475" s="482">
        <v>1</v>
      </c>
      <c r="M475" s="482">
        <v>1</v>
      </c>
      <c r="N475" s="524">
        <v>12</v>
      </c>
      <c r="O475" s="524"/>
      <c r="P475" s="524"/>
      <c r="Q475" s="524"/>
      <c r="R475" s="169" t="e">
        <f t="shared" si="73"/>
        <v>#DIV/0!</v>
      </c>
      <c r="S475" s="169">
        <f t="shared" si="74"/>
        <v>0</v>
      </c>
      <c r="T475" s="169">
        <f t="shared" si="75"/>
        <v>0</v>
      </c>
      <c r="U475" s="169">
        <f t="shared" si="76"/>
        <v>0</v>
      </c>
      <c r="V475" s="519"/>
      <c r="W475" s="170">
        <f>IF(N475="nio",0,IF(N475&gt;0,VLOOKUP(G475,'3-Productie normen'!A:N,VLOOKUP(N475,'3-Productie normen'!Q:R,2,FALSE),FALSE)))</f>
        <v>0</v>
      </c>
      <c r="X475" s="170">
        <f t="shared" si="77"/>
        <v>0</v>
      </c>
      <c r="Y475" s="170">
        <f t="shared" si="78"/>
        <v>0</v>
      </c>
      <c r="Z475" s="170">
        <f t="shared" si="79"/>
        <v>0</v>
      </c>
      <c r="AA475" s="171">
        <f>VLOOKUP(G475,'3-Productie normen'!A:N,10,FALSE)</f>
        <v>4</v>
      </c>
      <c r="AB475" s="171"/>
      <c r="AD475" s="131">
        <f t="shared" si="80"/>
        <v>116.76</v>
      </c>
    </row>
    <row r="476" spans="1:30" ht="14.1" customHeight="1">
      <c r="A476" s="147">
        <v>475</v>
      </c>
      <c r="B476" s="523" t="s">
        <v>526</v>
      </c>
      <c r="C476" s="523" t="s">
        <v>527</v>
      </c>
      <c r="D476" s="570" t="s">
        <v>102</v>
      </c>
      <c r="E476" s="178" t="s">
        <v>261</v>
      </c>
      <c r="F476" s="178" t="s">
        <v>280</v>
      </c>
      <c r="G476" s="167" t="s">
        <v>107</v>
      </c>
      <c r="H476" s="178" t="s">
        <v>104</v>
      </c>
      <c r="I476" s="565">
        <v>20.170000000000002</v>
      </c>
      <c r="J476" s="482">
        <v>1</v>
      </c>
      <c r="K476" s="482">
        <v>1</v>
      </c>
      <c r="L476" s="482">
        <v>1</v>
      </c>
      <c r="M476" s="482">
        <v>1</v>
      </c>
      <c r="N476" s="524">
        <v>255</v>
      </c>
      <c r="O476" s="524"/>
      <c r="P476" s="524"/>
      <c r="Q476" s="524"/>
      <c r="R476" s="169" t="e">
        <f t="shared" si="73"/>
        <v>#DIV/0!</v>
      </c>
      <c r="S476" s="169">
        <f t="shared" si="74"/>
        <v>0</v>
      </c>
      <c r="T476" s="169">
        <f t="shared" si="75"/>
        <v>0</v>
      </c>
      <c r="U476" s="169">
        <f t="shared" si="76"/>
        <v>0</v>
      </c>
      <c r="V476" s="519"/>
      <c r="W476" s="170">
        <f>IF(N476="nio",0,IF(N476&gt;0,VLOOKUP(G476,'3-Productie normen'!A:N,VLOOKUP(N476,'3-Productie normen'!Q:R,2,FALSE),FALSE)))</f>
        <v>0</v>
      </c>
      <c r="X476" s="170">
        <f t="shared" si="77"/>
        <v>0</v>
      </c>
      <c r="Y476" s="170">
        <f t="shared" si="78"/>
        <v>0</v>
      </c>
      <c r="Z476" s="170">
        <f t="shared" si="79"/>
        <v>0</v>
      </c>
      <c r="AA476" s="171">
        <f>VLOOKUP(G476,'3-Productie normen'!A:N,10,FALSE)</f>
        <v>2</v>
      </c>
      <c r="AB476" s="171"/>
      <c r="AD476" s="131">
        <f t="shared" si="80"/>
        <v>5143.3500000000004</v>
      </c>
    </row>
    <row r="477" spans="1:30" ht="14.1" customHeight="1">
      <c r="A477" s="147">
        <v>476</v>
      </c>
      <c r="B477" s="523" t="s">
        <v>526</v>
      </c>
      <c r="C477" s="523" t="s">
        <v>527</v>
      </c>
      <c r="D477" s="570" t="s">
        <v>102</v>
      </c>
      <c r="E477" s="178" t="s">
        <v>263</v>
      </c>
      <c r="F477" s="178" t="s">
        <v>281</v>
      </c>
      <c r="G477" s="167" t="s">
        <v>373</v>
      </c>
      <c r="H477" s="178" t="s">
        <v>272</v>
      </c>
      <c r="I477" s="565">
        <v>30.03</v>
      </c>
      <c r="J477" s="482">
        <v>1</v>
      </c>
      <c r="K477" s="482">
        <v>1</v>
      </c>
      <c r="L477" s="482">
        <v>1</v>
      </c>
      <c r="M477" s="482">
        <v>1</v>
      </c>
      <c r="N477" s="524">
        <v>255</v>
      </c>
      <c r="O477" s="524"/>
      <c r="P477" s="524"/>
      <c r="Q477" s="524"/>
      <c r="R477" s="169" t="e">
        <f t="shared" si="73"/>
        <v>#DIV/0!</v>
      </c>
      <c r="S477" s="169">
        <f t="shared" si="74"/>
        <v>0</v>
      </c>
      <c r="T477" s="169">
        <f t="shared" si="75"/>
        <v>0</v>
      </c>
      <c r="U477" s="169">
        <f t="shared" si="76"/>
        <v>0</v>
      </c>
      <c r="V477" s="519"/>
      <c r="W477" s="170">
        <f>IF(N477="nio",0,IF(N477&gt;0,VLOOKUP(G477,'3-Productie normen'!A:N,VLOOKUP(N477,'3-Productie normen'!Q:R,2,FALSE),FALSE)))</f>
        <v>0</v>
      </c>
      <c r="X477" s="170">
        <f t="shared" si="77"/>
        <v>0</v>
      </c>
      <c r="Y477" s="170">
        <f t="shared" si="78"/>
        <v>0</v>
      </c>
      <c r="Z477" s="170">
        <f t="shared" si="79"/>
        <v>0</v>
      </c>
      <c r="AA477" s="171">
        <f>VLOOKUP(G477,'3-Productie normen'!A:N,10,FALSE)</f>
        <v>1</v>
      </c>
      <c r="AB477" s="171"/>
      <c r="AD477" s="131">
        <f t="shared" si="80"/>
        <v>7657.6500000000005</v>
      </c>
    </row>
    <row r="478" spans="1:30" ht="14.1" customHeight="1">
      <c r="A478" s="147">
        <v>477</v>
      </c>
      <c r="B478" s="523" t="s">
        <v>526</v>
      </c>
      <c r="C478" s="523" t="s">
        <v>527</v>
      </c>
      <c r="D478" s="570" t="s">
        <v>102</v>
      </c>
      <c r="E478" s="178" t="s">
        <v>265</v>
      </c>
      <c r="F478" s="178" t="s">
        <v>302</v>
      </c>
      <c r="G478" s="165" t="s">
        <v>199</v>
      </c>
      <c r="H478" s="178" t="s">
        <v>104</v>
      </c>
      <c r="I478" s="565">
        <v>2.5</v>
      </c>
      <c r="J478" s="482">
        <v>1</v>
      </c>
      <c r="K478" s="482">
        <v>1</v>
      </c>
      <c r="L478" s="482">
        <v>1</v>
      </c>
      <c r="M478" s="482">
        <v>1</v>
      </c>
      <c r="N478" s="524" t="s">
        <v>199</v>
      </c>
      <c r="O478" s="524"/>
      <c r="P478" s="524"/>
      <c r="Q478" s="524"/>
      <c r="R478" s="169">
        <f t="shared" si="73"/>
        <v>0</v>
      </c>
      <c r="S478" s="169">
        <f t="shared" si="74"/>
        <v>0</v>
      </c>
      <c r="T478" s="169">
        <f t="shared" si="75"/>
        <v>0</v>
      </c>
      <c r="U478" s="169">
        <f t="shared" si="76"/>
        <v>0</v>
      </c>
      <c r="V478" s="519"/>
      <c r="W478" s="170">
        <f>IF(N478="nio",0,IF(N478&gt;0,VLOOKUP(G478,'3-Productie normen'!A:N,VLOOKUP(N478,'3-Productie normen'!Q:R,2,FALSE),FALSE)))</f>
        <v>0</v>
      </c>
      <c r="X478" s="170">
        <f t="shared" si="77"/>
        <v>0</v>
      </c>
      <c r="Y478" s="170">
        <f t="shared" si="78"/>
        <v>0</v>
      </c>
      <c r="Z478" s="170">
        <f t="shared" si="79"/>
        <v>0</v>
      </c>
      <c r="AA478" s="171">
        <f>VLOOKUP(G478,'3-Productie normen'!A:N,10,FALSE)</f>
        <v>0</v>
      </c>
      <c r="AB478" s="171"/>
      <c r="AD478" s="131">
        <f t="shared" si="80"/>
        <v>0</v>
      </c>
    </row>
    <row r="479" spans="1:30" ht="14.1" customHeight="1">
      <c r="A479" s="147">
        <v>478</v>
      </c>
      <c r="B479" s="523" t="s">
        <v>529</v>
      </c>
      <c r="C479" s="523" t="s">
        <v>530</v>
      </c>
      <c r="D479" s="570">
        <v>3</v>
      </c>
      <c r="E479" s="178" t="s">
        <v>247</v>
      </c>
      <c r="F479" s="178" t="s">
        <v>531</v>
      </c>
      <c r="G479" s="178" t="s">
        <v>373</v>
      </c>
      <c r="H479" s="178" t="s">
        <v>565</v>
      </c>
      <c r="I479" s="565">
        <v>74.77</v>
      </c>
      <c r="J479" s="482">
        <v>1</v>
      </c>
      <c r="K479" s="482">
        <v>1</v>
      </c>
      <c r="L479" s="482">
        <v>1</v>
      </c>
      <c r="M479" s="482">
        <v>1</v>
      </c>
      <c r="N479" s="524">
        <v>255</v>
      </c>
      <c r="O479" s="524"/>
      <c r="P479" s="524"/>
      <c r="Q479" s="524"/>
      <c r="R479" s="169" t="e">
        <f t="shared" si="73"/>
        <v>#DIV/0!</v>
      </c>
      <c r="S479" s="169">
        <f t="shared" si="74"/>
        <v>0</v>
      </c>
      <c r="T479" s="169">
        <f t="shared" si="75"/>
        <v>0</v>
      </c>
      <c r="U479" s="169">
        <f t="shared" si="76"/>
        <v>0</v>
      </c>
      <c r="V479" s="519"/>
      <c r="W479" s="170">
        <f>IF(N479="nio",0,IF(N479&gt;0,VLOOKUP(G479,'3-Productie normen'!A:N,VLOOKUP(N479,'3-Productie normen'!Q:R,2,FALSE),FALSE)))</f>
        <v>0</v>
      </c>
      <c r="X479" s="170">
        <f t="shared" si="77"/>
        <v>0</v>
      </c>
      <c r="Y479" s="170">
        <f t="shared" si="78"/>
        <v>0</v>
      </c>
      <c r="Z479" s="170">
        <f t="shared" si="79"/>
        <v>0</v>
      </c>
      <c r="AA479" s="171">
        <f>VLOOKUP(G479,'3-Productie normen'!A:N,10,FALSE)</f>
        <v>1</v>
      </c>
      <c r="AB479" s="171"/>
      <c r="AD479" s="131">
        <f t="shared" si="80"/>
        <v>19066.349999999999</v>
      </c>
    </row>
    <row r="480" spans="1:30" ht="14.1" customHeight="1">
      <c r="A480" s="147">
        <v>479</v>
      </c>
      <c r="B480" s="523" t="s">
        <v>529</v>
      </c>
      <c r="C480" s="523" t="s">
        <v>530</v>
      </c>
      <c r="D480" s="570">
        <v>3</v>
      </c>
      <c r="E480" s="178" t="s">
        <v>248</v>
      </c>
      <c r="F480" s="178" t="s">
        <v>532</v>
      </c>
      <c r="G480" s="178" t="s">
        <v>373</v>
      </c>
      <c r="H480" s="178" t="s">
        <v>483</v>
      </c>
      <c r="I480" s="565">
        <v>16.8</v>
      </c>
      <c r="J480" s="482">
        <v>1</v>
      </c>
      <c r="K480" s="482">
        <v>1</v>
      </c>
      <c r="L480" s="482">
        <v>1</v>
      </c>
      <c r="M480" s="482">
        <v>1</v>
      </c>
      <c r="N480" s="524">
        <v>255</v>
      </c>
      <c r="O480" s="524"/>
      <c r="P480" s="524"/>
      <c r="Q480" s="524"/>
      <c r="R480" s="169" t="e">
        <f t="shared" si="73"/>
        <v>#DIV/0!</v>
      </c>
      <c r="S480" s="169">
        <f t="shared" si="74"/>
        <v>0</v>
      </c>
      <c r="T480" s="169">
        <f t="shared" si="75"/>
        <v>0</v>
      </c>
      <c r="U480" s="169">
        <f t="shared" si="76"/>
        <v>0</v>
      </c>
      <c r="V480" s="519"/>
      <c r="W480" s="170">
        <f>IF(N480="nio",0,IF(N480&gt;0,VLOOKUP(G480,'3-Productie normen'!A:N,VLOOKUP(N480,'3-Productie normen'!Q:R,2,FALSE),FALSE)))</f>
        <v>0</v>
      </c>
      <c r="X480" s="170">
        <f t="shared" si="77"/>
        <v>0</v>
      </c>
      <c r="Y480" s="170">
        <f t="shared" si="78"/>
        <v>0</v>
      </c>
      <c r="Z480" s="170">
        <f t="shared" si="79"/>
        <v>0</v>
      </c>
      <c r="AA480" s="171">
        <f>VLOOKUP(G480,'3-Productie normen'!A:N,10,FALSE)</f>
        <v>1</v>
      </c>
      <c r="AB480" s="171"/>
      <c r="AD480" s="131">
        <f t="shared" si="80"/>
        <v>4284</v>
      </c>
    </row>
    <row r="481" spans="1:30" ht="14.1" customHeight="1">
      <c r="A481" s="147">
        <v>480</v>
      </c>
      <c r="B481" s="523" t="s">
        <v>529</v>
      </c>
      <c r="C481" s="523" t="s">
        <v>530</v>
      </c>
      <c r="D481" s="570">
        <v>3</v>
      </c>
      <c r="E481" s="178" t="s">
        <v>250</v>
      </c>
      <c r="F481" s="178" t="s">
        <v>533</v>
      </c>
      <c r="G481" s="167" t="s">
        <v>373</v>
      </c>
      <c r="H481" s="178" t="s">
        <v>272</v>
      </c>
      <c r="I481" s="565">
        <v>16</v>
      </c>
      <c r="J481" s="482">
        <v>1</v>
      </c>
      <c r="K481" s="482">
        <v>1</v>
      </c>
      <c r="L481" s="482">
        <v>1</v>
      </c>
      <c r="M481" s="482">
        <v>1</v>
      </c>
      <c r="N481" s="524">
        <v>255</v>
      </c>
      <c r="O481" s="524"/>
      <c r="P481" s="524"/>
      <c r="Q481" s="524"/>
      <c r="R481" s="169" t="e">
        <f t="shared" si="73"/>
        <v>#DIV/0!</v>
      </c>
      <c r="S481" s="169">
        <f t="shared" si="74"/>
        <v>0</v>
      </c>
      <c r="T481" s="169">
        <f t="shared" si="75"/>
        <v>0</v>
      </c>
      <c r="U481" s="169">
        <f t="shared" si="76"/>
        <v>0</v>
      </c>
      <c r="V481" s="519"/>
      <c r="W481" s="170">
        <f>IF(N481="nio",0,IF(N481&gt;0,VLOOKUP(G481,'3-Productie normen'!A:N,VLOOKUP(N481,'3-Productie normen'!Q:R,2,FALSE),FALSE)))</f>
        <v>0</v>
      </c>
      <c r="X481" s="170">
        <f t="shared" si="77"/>
        <v>0</v>
      </c>
      <c r="Y481" s="170">
        <f t="shared" si="78"/>
        <v>0</v>
      </c>
      <c r="Z481" s="170">
        <f t="shared" si="79"/>
        <v>0</v>
      </c>
      <c r="AA481" s="171">
        <f>VLOOKUP(G481,'3-Productie normen'!A:N,10,FALSE)</f>
        <v>1</v>
      </c>
      <c r="AB481" s="171"/>
      <c r="AD481" s="131">
        <f t="shared" si="80"/>
        <v>4080</v>
      </c>
    </row>
    <row r="482" spans="1:30" ht="14.1" customHeight="1">
      <c r="A482" s="147">
        <v>481</v>
      </c>
      <c r="B482" s="523" t="s">
        <v>529</v>
      </c>
      <c r="C482" s="523" t="s">
        <v>530</v>
      </c>
      <c r="D482" s="570">
        <v>3</v>
      </c>
      <c r="E482" s="178" t="s">
        <v>252</v>
      </c>
      <c r="F482" s="178" t="s">
        <v>534</v>
      </c>
      <c r="G482" s="167" t="s">
        <v>373</v>
      </c>
      <c r="H482" s="178" t="s">
        <v>272</v>
      </c>
      <c r="I482" s="565">
        <v>33.58</v>
      </c>
      <c r="J482" s="482">
        <v>1</v>
      </c>
      <c r="K482" s="482">
        <v>1</v>
      </c>
      <c r="L482" s="482">
        <v>1</v>
      </c>
      <c r="M482" s="482">
        <v>1</v>
      </c>
      <c r="N482" s="524">
        <v>255</v>
      </c>
      <c r="O482" s="524"/>
      <c r="P482" s="524"/>
      <c r="Q482" s="524"/>
      <c r="R482" s="169" t="e">
        <f t="shared" si="73"/>
        <v>#DIV/0!</v>
      </c>
      <c r="S482" s="169">
        <f t="shared" si="74"/>
        <v>0</v>
      </c>
      <c r="T482" s="169">
        <f t="shared" si="75"/>
        <v>0</v>
      </c>
      <c r="U482" s="169">
        <f t="shared" si="76"/>
        <v>0</v>
      </c>
      <c r="V482" s="519"/>
      <c r="W482" s="170">
        <f>IF(N482="nio",0,IF(N482&gt;0,VLOOKUP(G482,'3-Productie normen'!A:N,VLOOKUP(N482,'3-Productie normen'!Q:R,2,FALSE),FALSE)))</f>
        <v>0</v>
      </c>
      <c r="X482" s="170">
        <f t="shared" si="77"/>
        <v>0</v>
      </c>
      <c r="Y482" s="170">
        <f t="shared" si="78"/>
        <v>0</v>
      </c>
      <c r="Z482" s="170">
        <f t="shared" si="79"/>
        <v>0</v>
      </c>
      <c r="AA482" s="171">
        <f>VLOOKUP(G482,'3-Productie normen'!A:N,10,FALSE)</f>
        <v>1</v>
      </c>
      <c r="AB482" s="171"/>
      <c r="AD482" s="131">
        <f t="shared" si="80"/>
        <v>8562.9</v>
      </c>
    </row>
    <row r="483" spans="1:30" ht="14.1" customHeight="1">
      <c r="A483" s="147">
        <v>482</v>
      </c>
      <c r="B483" s="523" t="s">
        <v>529</v>
      </c>
      <c r="C483" s="523" t="s">
        <v>530</v>
      </c>
      <c r="D483" s="570">
        <v>3</v>
      </c>
      <c r="E483" s="178" t="s">
        <v>254</v>
      </c>
      <c r="F483" s="178" t="s">
        <v>535</v>
      </c>
      <c r="G483" s="167" t="s">
        <v>373</v>
      </c>
      <c r="H483" s="178" t="s">
        <v>272</v>
      </c>
      <c r="I483" s="565">
        <v>29.4</v>
      </c>
      <c r="J483" s="482">
        <v>1</v>
      </c>
      <c r="K483" s="482">
        <v>1</v>
      </c>
      <c r="L483" s="482">
        <v>1</v>
      </c>
      <c r="M483" s="482">
        <v>1</v>
      </c>
      <c r="N483" s="524">
        <v>255</v>
      </c>
      <c r="O483" s="524"/>
      <c r="P483" s="524"/>
      <c r="Q483" s="524"/>
      <c r="R483" s="169" t="e">
        <f t="shared" si="73"/>
        <v>#DIV/0!</v>
      </c>
      <c r="S483" s="169">
        <f t="shared" si="74"/>
        <v>0</v>
      </c>
      <c r="T483" s="169">
        <f t="shared" si="75"/>
        <v>0</v>
      </c>
      <c r="U483" s="169">
        <f t="shared" si="76"/>
        <v>0</v>
      </c>
      <c r="V483" s="519"/>
      <c r="W483" s="170">
        <f>IF(N483="nio",0,IF(N483&gt;0,VLOOKUP(G483,'3-Productie normen'!A:N,VLOOKUP(N483,'3-Productie normen'!Q:R,2,FALSE),FALSE)))</f>
        <v>0</v>
      </c>
      <c r="X483" s="170">
        <f t="shared" si="77"/>
        <v>0</v>
      </c>
      <c r="Y483" s="170">
        <f t="shared" si="78"/>
        <v>0</v>
      </c>
      <c r="Z483" s="170">
        <f t="shared" si="79"/>
        <v>0</v>
      </c>
      <c r="AA483" s="171">
        <f>VLOOKUP(G483,'3-Productie normen'!A:N,10,FALSE)</f>
        <v>1</v>
      </c>
      <c r="AB483" s="171"/>
      <c r="AD483" s="131">
        <f t="shared" si="80"/>
        <v>7497</v>
      </c>
    </row>
    <row r="484" spans="1:30" ht="14.1" customHeight="1">
      <c r="A484" s="147">
        <v>483</v>
      </c>
      <c r="B484" s="523" t="s">
        <v>529</v>
      </c>
      <c r="C484" s="523" t="s">
        <v>530</v>
      </c>
      <c r="D484" s="570">
        <v>3</v>
      </c>
      <c r="E484" s="178" t="s">
        <v>256</v>
      </c>
      <c r="F484" s="178" t="s">
        <v>536</v>
      </c>
      <c r="G484" s="167" t="s">
        <v>373</v>
      </c>
      <c r="H484" s="178" t="s">
        <v>272</v>
      </c>
      <c r="I484" s="565">
        <v>11.66</v>
      </c>
      <c r="J484" s="482">
        <v>1</v>
      </c>
      <c r="K484" s="482">
        <v>1</v>
      </c>
      <c r="L484" s="482">
        <v>1</v>
      </c>
      <c r="M484" s="482">
        <v>1</v>
      </c>
      <c r="N484" s="524">
        <v>255</v>
      </c>
      <c r="O484" s="524"/>
      <c r="P484" s="524"/>
      <c r="Q484" s="524"/>
      <c r="R484" s="169" t="e">
        <f t="shared" si="73"/>
        <v>#DIV/0!</v>
      </c>
      <c r="S484" s="169">
        <f t="shared" si="74"/>
        <v>0</v>
      </c>
      <c r="T484" s="169">
        <f t="shared" si="75"/>
        <v>0</v>
      </c>
      <c r="U484" s="169">
        <f t="shared" si="76"/>
        <v>0</v>
      </c>
      <c r="V484" s="519"/>
      <c r="W484" s="170">
        <f>IF(N484="nio",0,IF(N484&gt;0,VLOOKUP(G484,'3-Productie normen'!A:N,VLOOKUP(N484,'3-Productie normen'!Q:R,2,FALSE),FALSE)))</f>
        <v>0</v>
      </c>
      <c r="X484" s="170">
        <f t="shared" si="77"/>
        <v>0</v>
      </c>
      <c r="Y484" s="170">
        <f t="shared" si="78"/>
        <v>0</v>
      </c>
      <c r="Z484" s="170">
        <f t="shared" si="79"/>
        <v>0</v>
      </c>
      <c r="AA484" s="171">
        <f>VLOOKUP(G484,'3-Productie normen'!A:N,10,FALSE)</f>
        <v>1</v>
      </c>
      <c r="AB484" s="171"/>
      <c r="AD484" s="131">
        <f t="shared" si="80"/>
        <v>2973.3</v>
      </c>
    </row>
    <row r="485" spans="1:30" ht="14.1" customHeight="1">
      <c r="A485" s="147">
        <v>484</v>
      </c>
      <c r="B485" s="523" t="s">
        <v>529</v>
      </c>
      <c r="C485" s="523" t="s">
        <v>530</v>
      </c>
      <c r="D485" s="570">
        <v>3</v>
      </c>
      <c r="E485" s="178" t="s">
        <v>258</v>
      </c>
      <c r="F485" s="178" t="s">
        <v>537</v>
      </c>
      <c r="G485" s="167" t="s">
        <v>373</v>
      </c>
      <c r="H485" s="178" t="s">
        <v>272</v>
      </c>
      <c r="I485" s="565">
        <v>16.05</v>
      </c>
      <c r="J485" s="482">
        <v>1</v>
      </c>
      <c r="K485" s="482">
        <v>1</v>
      </c>
      <c r="L485" s="482">
        <v>1</v>
      </c>
      <c r="M485" s="482">
        <v>1</v>
      </c>
      <c r="N485" s="524">
        <v>255</v>
      </c>
      <c r="O485" s="524"/>
      <c r="P485" s="524"/>
      <c r="Q485" s="524"/>
      <c r="R485" s="169" t="e">
        <f t="shared" si="73"/>
        <v>#DIV/0!</v>
      </c>
      <c r="S485" s="169">
        <f t="shared" si="74"/>
        <v>0</v>
      </c>
      <c r="T485" s="169">
        <f t="shared" si="75"/>
        <v>0</v>
      </c>
      <c r="U485" s="169">
        <f t="shared" si="76"/>
        <v>0</v>
      </c>
      <c r="V485" s="519"/>
      <c r="W485" s="170">
        <f>IF(N485="nio",0,IF(N485&gt;0,VLOOKUP(G485,'3-Productie normen'!A:N,VLOOKUP(N485,'3-Productie normen'!Q:R,2,FALSE),FALSE)))</f>
        <v>0</v>
      </c>
      <c r="X485" s="170">
        <f t="shared" si="77"/>
        <v>0</v>
      </c>
      <c r="Y485" s="170">
        <f t="shared" si="78"/>
        <v>0</v>
      </c>
      <c r="Z485" s="170">
        <f t="shared" si="79"/>
        <v>0</v>
      </c>
      <c r="AA485" s="171">
        <f>VLOOKUP(G485,'3-Productie normen'!A:N,10,FALSE)</f>
        <v>1</v>
      </c>
      <c r="AB485" s="171"/>
      <c r="AD485" s="131">
        <f t="shared" si="80"/>
        <v>4092.75</v>
      </c>
    </row>
    <row r="486" spans="1:30" ht="14.1" customHeight="1">
      <c r="A486" s="147">
        <v>485</v>
      </c>
      <c r="B486" s="523" t="s">
        <v>529</v>
      </c>
      <c r="C486" s="523" t="s">
        <v>530</v>
      </c>
      <c r="D486" s="570">
        <v>3</v>
      </c>
      <c r="E486" s="178" t="s">
        <v>259</v>
      </c>
      <c r="F486" s="178" t="s">
        <v>538</v>
      </c>
      <c r="G486" s="167" t="s">
        <v>373</v>
      </c>
      <c r="H486" s="178" t="s">
        <v>272</v>
      </c>
      <c r="I486" s="565">
        <v>28.21</v>
      </c>
      <c r="J486" s="482">
        <v>1</v>
      </c>
      <c r="K486" s="482">
        <v>1</v>
      </c>
      <c r="L486" s="482">
        <v>1</v>
      </c>
      <c r="M486" s="482">
        <v>1</v>
      </c>
      <c r="N486" s="524">
        <v>255</v>
      </c>
      <c r="O486" s="524"/>
      <c r="P486" s="524"/>
      <c r="Q486" s="524"/>
      <c r="R486" s="169" t="e">
        <f t="shared" si="73"/>
        <v>#DIV/0!</v>
      </c>
      <c r="S486" s="169">
        <f t="shared" si="74"/>
        <v>0</v>
      </c>
      <c r="T486" s="169">
        <f t="shared" si="75"/>
        <v>0</v>
      </c>
      <c r="U486" s="169">
        <f t="shared" si="76"/>
        <v>0</v>
      </c>
      <c r="V486" s="519"/>
      <c r="W486" s="170">
        <f>IF(N486="nio",0,IF(N486&gt;0,VLOOKUP(G486,'3-Productie normen'!A:N,VLOOKUP(N486,'3-Productie normen'!Q:R,2,FALSE),FALSE)))</f>
        <v>0</v>
      </c>
      <c r="X486" s="170">
        <f t="shared" si="77"/>
        <v>0</v>
      </c>
      <c r="Y486" s="170">
        <f t="shared" si="78"/>
        <v>0</v>
      </c>
      <c r="Z486" s="170">
        <f t="shared" si="79"/>
        <v>0</v>
      </c>
      <c r="AA486" s="171">
        <f>VLOOKUP(G486,'3-Productie normen'!A:N,10,FALSE)</f>
        <v>1</v>
      </c>
      <c r="AB486" s="171"/>
      <c r="AD486" s="131">
        <f t="shared" si="80"/>
        <v>7193.55</v>
      </c>
    </row>
    <row r="487" spans="1:30" ht="14.1" customHeight="1">
      <c r="A487" s="147">
        <v>486</v>
      </c>
      <c r="B487" s="523" t="s">
        <v>529</v>
      </c>
      <c r="C487" s="523" t="s">
        <v>530</v>
      </c>
      <c r="D487" s="570">
        <v>3</v>
      </c>
      <c r="E487" s="178" t="s">
        <v>261</v>
      </c>
      <c r="F487" s="178" t="s">
        <v>539</v>
      </c>
      <c r="G487" s="167" t="s">
        <v>373</v>
      </c>
      <c r="H487" s="178" t="s">
        <v>272</v>
      </c>
      <c r="I487" s="565">
        <v>14</v>
      </c>
      <c r="J487" s="482">
        <v>1</v>
      </c>
      <c r="K487" s="482">
        <v>1</v>
      </c>
      <c r="L487" s="482">
        <v>1</v>
      </c>
      <c r="M487" s="482">
        <v>1</v>
      </c>
      <c r="N487" s="524">
        <v>255</v>
      </c>
      <c r="O487" s="524"/>
      <c r="P487" s="524"/>
      <c r="Q487" s="524"/>
      <c r="R487" s="169" t="e">
        <f t="shared" si="73"/>
        <v>#DIV/0!</v>
      </c>
      <c r="S487" s="169">
        <f t="shared" si="74"/>
        <v>0</v>
      </c>
      <c r="T487" s="169">
        <f t="shared" si="75"/>
        <v>0</v>
      </c>
      <c r="U487" s="169">
        <f t="shared" si="76"/>
        <v>0</v>
      </c>
      <c r="V487" s="519"/>
      <c r="W487" s="170">
        <f>IF(N487="nio",0,IF(N487&gt;0,VLOOKUP(G487,'3-Productie normen'!A:N,VLOOKUP(N487,'3-Productie normen'!Q:R,2,FALSE),FALSE)))</f>
        <v>0</v>
      </c>
      <c r="X487" s="170">
        <f t="shared" si="77"/>
        <v>0</v>
      </c>
      <c r="Y487" s="170">
        <f t="shared" si="78"/>
        <v>0</v>
      </c>
      <c r="Z487" s="170">
        <f t="shared" si="79"/>
        <v>0</v>
      </c>
      <c r="AA487" s="171">
        <f>VLOOKUP(G487,'3-Productie normen'!A:N,10,FALSE)</f>
        <v>1</v>
      </c>
      <c r="AB487" s="171"/>
      <c r="AD487" s="131">
        <f t="shared" si="80"/>
        <v>3570</v>
      </c>
    </row>
    <row r="488" spans="1:30" ht="14.1" customHeight="1">
      <c r="A488" s="147">
        <v>487</v>
      </c>
      <c r="B488" s="523" t="s">
        <v>529</v>
      </c>
      <c r="C488" s="523" t="s">
        <v>530</v>
      </c>
      <c r="D488" s="570">
        <v>3</v>
      </c>
      <c r="E488" s="178" t="s">
        <v>263</v>
      </c>
      <c r="F488" s="178" t="s">
        <v>443</v>
      </c>
      <c r="G488" s="165" t="s">
        <v>199</v>
      </c>
      <c r="H488" s="178" t="s">
        <v>483</v>
      </c>
      <c r="I488" s="565">
        <v>2.89</v>
      </c>
      <c r="J488" s="482">
        <v>1</v>
      </c>
      <c r="K488" s="482">
        <v>1</v>
      </c>
      <c r="L488" s="482">
        <v>1</v>
      </c>
      <c r="M488" s="482">
        <v>1</v>
      </c>
      <c r="N488" s="524" t="s">
        <v>199</v>
      </c>
      <c r="O488" s="524"/>
      <c r="P488" s="524"/>
      <c r="Q488" s="524"/>
      <c r="R488" s="169">
        <f t="shared" si="73"/>
        <v>0</v>
      </c>
      <c r="S488" s="169">
        <f t="shared" si="74"/>
        <v>0</v>
      </c>
      <c r="T488" s="169">
        <f t="shared" si="75"/>
        <v>0</v>
      </c>
      <c r="U488" s="169">
        <f t="shared" si="76"/>
        <v>0</v>
      </c>
      <c r="V488" s="519"/>
      <c r="W488" s="170">
        <f>IF(N488="nio",0,IF(N488&gt;0,VLOOKUP(G488,'3-Productie normen'!A:N,VLOOKUP(N488,'3-Productie normen'!Q:R,2,FALSE),FALSE)))</f>
        <v>0</v>
      </c>
      <c r="X488" s="170">
        <f t="shared" si="77"/>
        <v>0</v>
      </c>
      <c r="Y488" s="170">
        <f t="shared" si="78"/>
        <v>0</v>
      </c>
      <c r="Z488" s="170">
        <f t="shared" si="79"/>
        <v>0</v>
      </c>
      <c r="AA488" s="171">
        <f>VLOOKUP(G488,'3-Productie normen'!A:N,10,FALSE)</f>
        <v>0</v>
      </c>
      <c r="AB488" s="171"/>
      <c r="AD488" s="131">
        <f t="shared" si="80"/>
        <v>0</v>
      </c>
    </row>
    <row r="489" spans="1:30" ht="14.1" customHeight="1">
      <c r="A489" s="147">
        <v>488</v>
      </c>
      <c r="B489" s="523" t="s">
        <v>529</v>
      </c>
      <c r="C489" s="523" t="s">
        <v>530</v>
      </c>
      <c r="D489" s="570">
        <v>3</v>
      </c>
      <c r="E489" s="178" t="s">
        <v>265</v>
      </c>
      <c r="F489" s="178" t="s">
        <v>540</v>
      </c>
      <c r="G489" s="178" t="s">
        <v>578</v>
      </c>
      <c r="H489" s="178" t="s">
        <v>483</v>
      </c>
      <c r="I489" s="565">
        <v>2</v>
      </c>
      <c r="J489" s="482">
        <v>1</v>
      </c>
      <c r="K489" s="482">
        <v>1</v>
      </c>
      <c r="L489" s="482">
        <v>1</v>
      </c>
      <c r="M489" s="482">
        <v>1</v>
      </c>
      <c r="N489" s="524">
        <v>12</v>
      </c>
      <c r="O489" s="524"/>
      <c r="P489" s="524"/>
      <c r="Q489" s="524"/>
      <c r="R489" s="169" t="e">
        <f t="shared" si="73"/>
        <v>#DIV/0!</v>
      </c>
      <c r="S489" s="169">
        <f t="shared" si="74"/>
        <v>0</v>
      </c>
      <c r="T489" s="169">
        <f t="shared" si="75"/>
        <v>0</v>
      </c>
      <c r="U489" s="169">
        <f t="shared" si="76"/>
        <v>0</v>
      </c>
      <c r="V489" s="519"/>
      <c r="W489" s="170">
        <f>IF(N489="nio",0,IF(N489&gt;0,VLOOKUP(G489,'3-Productie normen'!A:N,VLOOKUP(N489,'3-Productie normen'!Q:R,2,FALSE),FALSE)))</f>
        <v>0</v>
      </c>
      <c r="X489" s="170">
        <f t="shared" si="77"/>
        <v>0</v>
      </c>
      <c r="Y489" s="170">
        <f t="shared" si="78"/>
        <v>0</v>
      </c>
      <c r="Z489" s="170">
        <f t="shared" si="79"/>
        <v>0</v>
      </c>
      <c r="AA489" s="171">
        <f>VLOOKUP(G489,'3-Productie normen'!A:N,10,FALSE)</f>
        <v>4</v>
      </c>
      <c r="AB489" s="171"/>
      <c r="AD489" s="131">
        <f t="shared" si="80"/>
        <v>24</v>
      </c>
    </row>
    <row r="490" spans="1:30" ht="14.1" customHeight="1">
      <c r="A490" s="147">
        <v>489</v>
      </c>
      <c r="B490" s="523" t="s">
        <v>529</v>
      </c>
      <c r="C490" s="523" t="s">
        <v>530</v>
      </c>
      <c r="D490" s="570">
        <v>3</v>
      </c>
      <c r="E490" s="178" t="s">
        <v>267</v>
      </c>
      <c r="F490" s="178" t="s">
        <v>285</v>
      </c>
      <c r="G490" s="178" t="s">
        <v>199</v>
      </c>
      <c r="H490" s="178" t="s">
        <v>483</v>
      </c>
      <c r="I490" s="565">
        <v>7</v>
      </c>
      <c r="J490" s="482">
        <v>1</v>
      </c>
      <c r="K490" s="482">
        <v>1</v>
      </c>
      <c r="L490" s="482">
        <v>1</v>
      </c>
      <c r="M490" s="482">
        <v>1</v>
      </c>
      <c r="N490" s="524" t="s">
        <v>199</v>
      </c>
      <c r="O490" s="524"/>
      <c r="P490" s="524"/>
      <c r="Q490" s="524"/>
      <c r="R490" s="169">
        <f t="shared" si="73"/>
        <v>0</v>
      </c>
      <c r="S490" s="169">
        <f t="shared" si="74"/>
        <v>0</v>
      </c>
      <c r="T490" s="169">
        <f t="shared" si="75"/>
        <v>0</v>
      </c>
      <c r="U490" s="169">
        <f t="shared" si="76"/>
        <v>0</v>
      </c>
      <c r="V490" s="519"/>
      <c r="W490" s="170">
        <f>IF(N490="nio",0,IF(N490&gt;0,VLOOKUP(G490,'3-Productie normen'!A:N,VLOOKUP(N490,'3-Productie normen'!Q:R,2,FALSE),FALSE)))</f>
        <v>0</v>
      </c>
      <c r="X490" s="170">
        <f t="shared" si="77"/>
        <v>0</v>
      </c>
      <c r="Y490" s="170">
        <f t="shared" si="78"/>
        <v>0</v>
      </c>
      <c r="Z490" s="170">
        <f t="shared" si="79"/>
        <v>0</v>
      </c>
      <c r="AA490" s="171">
        <f>VLOOKUP(G490,'3-Productie normen'!A:N,10,FALSE)</f>
        <v>0</v>
      </c>
      <c r="AB490" s="171"/>
      <c r="AD490" s="131">
        <f t="shared" si="80"/>
        <v>0</v>
      </c>
    </row>
    <row r="491" spans="1:30" ht="14.1" customHeight="1">
      <c r="A491" s="147">
        <v>490</v>
      </c>
      <c r="B491" s="523" t="s">
        <v>529</v>
      </c>
      <c r="C491" s="523" t="s">
        <v>530</v>
      </c>
      <c r="D491" s="570">
        <v>3</v>
      </c>
      <c r="E491" s="178" t="s">
        <v>286</v>
      </c>
      <c r="F491" s="178" t="s">
        <v>294</v>
      </c>
      <c r="G491" s="177" t="s">
        <v>17</v>
      </c>
      <c r="H491" s="178" t="s">
        <v>105</v>
      </c>
      <c r="I491" s="565">
        <v>3.4</v>
      </c>
      <c r="J491" s="482">
        <v>1</v>
      </c>
      <c r="K491" s="482">
        <v>1</v>
      </c>
      <c r="L491" s="482">
        <v>1</v>
      </c>
      <c r="M491" s="482">
        <v>1</v>
      </c>
      <c r="N491" s="524">
        <v>255</v>
      </c>
      <c r="O491" s="524"/>
      <c r="P491" s="524"/>
      <c r="Q491" s="524"/>
      <c r="R491" s="169" t="e">
        <f t="shared" si="73"/>
        <v>#DIV/0!</v>
      </c>
      <c r="S491" s="169">
        <f t="shared" si="74"/>
        <v>0</v>
      </c>
      <c r="T491" s="169">
        <f t="shared" si="75"/>
        <v>0</v>
      </c>
      <c r="U491" s="169">
        <f t="shared" si="76"/>
        <v>0</v>
      </c>
      <c r="V491" s="519"/>
      <c r="W491" s="170">
        <f>IF(N491="nio",0,IF(N491&gt;0,VLOOKUP(G491,'3-Productie normen'!A:N,VLOOKUP(N491,'3-Productie normen'!Q:R,2,FALSE),FALSE)))</f>
        <v>0</v>
      </c>
      <c r="X491" s="170">
        <f t="shared" si="77"/>
        <v>0</v>
      </c>
      <c r="Y491" s="170">
        <f t="shared" si="78"/>
        <v>0</v>
      </c>
      <c r="Z491" s="170">
        <f t="shared" si="79"/>
        <v>0</v>
      </c>
      <c r="AA491" s="171">
        <f>VLOOKUP(G491,'3-Productie normen'!A:N,10,FALSE)</f>
        <v>3</v>
      </c>
      <c r="AB491" s="171"/>
      <c r="AD491" s="131">
        <f t="shared" si="80"/>
        <v>867</v>
      </c>
    </row>
    <row r="492" spans="1:30" ht="14.1" customHeight="1">
      <c r="A492" s="147">
        <v>491</v>
      </c>
      <c r="B492" s="523" t="s">
        <v>529</v>
      </c>
      <c r="C492" s="523" t="s">
        <v>530</v>
      </c>
      <c r="D492" s="570">
        <v>3</v>
      </c>
      <c r="E492" s="178" t="s">
        <v>288</v>
      </c>
      <c r="F492" s="178" t="s">
        <v>490</v>
      </c>
      <c r="G492" s="167" t="s">
        <v>17</v>
      </c>
      <c r="H492" s="178" t="s">
        <v>105</v>
      </c>
      <c r="I492" s="565">
        <v>1.05</v>
      </c>
      <c r="J492" s="482">
        <v>1</v>
      </c>
      <c r="K492" s="482">
        <v>1</v>
      </c>
      <c r="L492" s="482">
        <v>1</v>
      </c>
      <c r="M492" s="482">
        <v>1</v>
      </c>
      <c r="N492" s="524">
        <v>255</v>
      </c>
      <c r="O492" s="524"/>
      <c r="P492" s="524"/>
      <c r="Q492" s="524"/>
      <c r="R492" s="169" t="e">
        <f t="shared" si="73"/>
        <v>#DIV/0!</v>
      </c>
      <c r="S492" s="169">
        <f t="shared" si="74"/>
        <v>0</v>
      </c>
      <c r="T492" s="169">
        <f t="shared" si="75"/>
        <v>0</v>
      </c>
      <c r="U492" s="169">
        <f t="shared" si="76"/>
        <v>0</v>
      </c>
      <c r="V492" s="519"/>
      <c r="W492" s="170">
        <f>IF(N492="nio",0,IF(N492&gt;0,VLOOKUP(G492,'3-Productie normen'!A:N,VLOOKUP(N492,'3-Productie normen'!Q:R,2,FALSE),FALSE)))</f>
        <v>0</v>
      </c>
      <c r="X492" s="170">
        <f t="shared" si="77"/>
        <v>0</v>
      </c>
      <c r="Y492" s="170">
        <f t="shared" si="78"/>
        <v>0</v>
      </c>
      <c r="Z492" s="170">
        <f t="shared" si="79"/>
        <v>0</v>
      </c>
      <c r="AA492" s="171">
        <f>VLOOKUP(G492,'3-Productie normen'!A:N,10,FALSE)</f>
        <v>3</v>
      </c>
      <c r="AB492" s="171"/>
      <c r="AD492" s="131">
        <f t="shared" si="80"/>
        <v>267.75</v>
      </c>
    </row>
    <row r="493" spans="1:30" ht="14.1" customHeight="1">
      <c r="A493" s="147">
        <v>492</v>
      </c>
      <c r="B493" s="523" t="s">
        <v>529</v>
      </c>
      <c r="C493" s="523" t="s">
        <v>530</v>
      </c>
      <c r="D493" s="570">
        <v>3</v>
      </c>
      <c r="E493" s="178" t="s">
        <v>289</v>
      </c>
      <c r="F493" s="178" t="s">
        <v>294</v>
      </c>
      <c r="G493" s="177" t="s">
        <v>17</v>
      </c>
      <c r="H493" s="178" t="s">
        <v>105</v>
      </c>
      <c r="I493" s="565">
        <v>3.4</v>
      </c>
      <c r="J493" s="482">
        <v>1</v>
      </c>
      <c r="K493" s="482">
        <v>1</v>
      </c>
      <c r="L493" s="482">
        <v>1</v>
      </c>
      <c r="M493" s="482">
        <v>1</v>
      </c>
      <c r="N493" s="524">
        <v>255</v>
      </c>
      <c r="O493" s="524"/>
      <c r="P493" s="524"/>
      <c r="Q493" s="524"/>
      <c r="R493" s="169" t="e">
        <f t="shared" si="73"/>
        <v>#DIV/0!</v>
      </c>
      <c r="S493" s="169">
        <f t="shared" si="74"/>
        <v>0</v>
      </c>
      <c r="T493" s="169">
        <f t="shared" si="75"/>
        <v>0</v>
      </c>
      <c r="U493" s="169">
        <f t="shared" si="76"/>
        <v>0</v>
      </c>
      <c r="V493" s="519"/>
      <c r="W493" s="170">
        <f>IF(N493="nio",0,IF(N493&gt;0,VLOOKUP(G493,'3-Productie normen'!A:N,VLOOKUP(N493,'3-Productie normen'!Q:R,2,FALSE),FALSE)))</f>
        <v>0</v>
      </c>
      <c r="X493" s="170">
        <f t="shared" si="77"/>
        <v>0</v>
      </c>
      <c r="Y493" s="170">
        <f t="shared" si="78"/>
        <v>0</v>
      </c>
      <c r="Z493" s="170">
        <f t="shared" si="79"/>
        <v>0</v>
      </c>
      <c r="AA493" s="171">
        <f>VLOOKUP(G493,'3-Productie normen'!A:N,10,FALSE)</f>
        <v>3</v>
      </c>
      <c r="AB493" s="171"/>
      <c r="AD493" s="131">
        <f t="shared" si="80"/>
        <v>867</v>
      </c>
    </row>
    <row r="494" spans="1:30" ht="14.1" customHeight="1">
      <c r="A494" s="147">
        <v>493</v>
      </c>
      <c r="B494" s="523" t="s">
        <v>529</v>
      </c>
      <c r="C494" s="523" t="s">
        <v>530</v>
      </c>
      <c r="D494" s="570">
        <v>3</v>
      </c>
      <c r="E494" s="178" t="s">
        <v>314</v>
      </c>
      <c r="F494" s="178" t="s">
        <v>491</v>
      </c>
      <c r="G494" s="167" t="s">
        <v>17</v>
      </c>
      <c r="H494" s="178" t="s">
        <v>105</v>
      </c>
      <c r="I494" s="565">
        <v>1.05</v>
      </c>
      <c r="J494" s="482">
        <v>1</v>
      </c>
      <c r="K494" s="482">
        <v>1</v>
      </c>
      <c r="L494" s="482">
        <v>1</v>
      </c>
      <c r="M494" s="482">
        <v>1</v>
      </c>
      <c r="N494" s="524">
        <v>255</v>
      </c>
      <c r="O494" s="524"/>
      <c r="P494" s="524"/>
      <c r="Q494" s="524"/>
      <c r="R494" s="169" t="e">
        <f t="shared" si="73"/>
        <v>#DIV/0!</v>
      </c>
      <c r="S494" s="169">
        <f t="shared" si="74"/>
        <v>0</v>
      </c>
      <c r="T494" s="169">
        <f t="shared" si="75"/>
        <v>0</v>
      </c>
      <c r="U494" s="169">
        <f t="shared" si="76"/>
        <v>0</v>
      </c>
      <c r="V494" s="519"/>
      <c r="W494" s="170">
        <f>IF(N494="nio",0,IF(N494&gt;0,VLOOKUP(G494,'3-Productie normen'!A:N,VLOOKUP(N494,'3-Productie normen'!Q:R,2,FALSE),FALSE)))</f>
        <v>0</v>
      </c>
      <c r="X494" s="170">
        <f t="shared" si="77"/>
        <v>0</v>
      </c>
      <c r="Y494" s="170">
        <f t="shared" si="78"/>
        <v>0</v>
      </c>
      <c r="Z494" s="170">
        <f t="shared" si="79"/>
        <v>0</v>
      </c>
      <c r="AA494" s="171">
        <f>VLOOKUP(G494,'3-Productie normen'!A:N,10,FALSE)</f>
        <v>3</v>
      </c>
      <c r="AB494" s="171"/>
      <c r="AD494" s="131">
        <f t="shared" si="80"/>
        <v>267.75</v>
      </c>
    </row>
    <row r="495" spans="1:30" ht="14.1" customHeight="1">
      <c r="A495" s="147">
        <v>494</v>
      </c>
      <c r="B495" s="523" t="s">
        <v>529</v>
      </c>
      <c r="C495" s="523" t="s">
        <v>530</v>
      </c>
      <c r="D495" s="570">
        <v>3</v>
      </c>
      <c r="E495" s="178" t="s">
        <v>315</v>
      </c>
      <c r="F495" s="178" t="s">
        <v>541</v>
      </c>
      <c r="G495" s="167" t="s">
        <v>373</v>
      </c>
      <c r="H495" s="178" t="s">
        <v>272</v>
      </c>
      <c r="I495" s="565">
        <v>62.02</v>
      </c>
      <c r="J495" s="482">
        <v>1</v>
      </c>
      <c r="K495" s="482">
        <v>1</v>
      </c>
      <c r="L495" s="482">
        <v>1</v>
      </c>
      <c r="M495" s="482">
        <v>1</v>
      </c>
      <c r="N495" s="524">
        <v>255</v>
      </c>
      <c r="O495" s="524"/>
      <c r="P495" s="524"/>
      <c r="Q495" s="524"/>
      <c r="R495" s="169" t="e">
        <f t="shared" si="73"/>
        <v>#DIV/0!</v>
      </c>
      <c r="S495" s="169">
        <f t="shared" si="74"/>
        <v>0</v>
      </c>
      <c r="T495" s="169">
        <f t="shared" si="75"/>
        <v>0</v>
      </c>
      <c r="U495" s="169">
        <f t="shared" si="76"/>
        <v>0</v>
      </c>
      <c r="V495" s="519"/>
      <c r="W495" s="170">
        <f>IF(N495="nio",0,IF(N495&gt;0,VLOOKUP(G495,'3-Productie normen'!A:N,VLOOKUP(N495,'3-Productie normen'!Q:R,2,FALSE),FALSE)))</f>
        <v>0</v>
      </c>
      <c r="X495" s="170">
        <f t="shared" si="77"/>
        <v>0</v>
      </c>
      <c r="Y495" s="170">
        <f t="shared" si="78"/>
        <v>0</v>
      </c>
      <c r="Z495" s="170">
        <f t="shared" si="79"/>
        <v>0</v>
      </c>
      <c r="AA495" s="171">
        <f>VLOOKUP(G495,'3-Productie normen'!A:N,10,FALSE)</f>
        <v>1</v>
      </c>
      <c r="AB495" s="171"/>
      <c r="AD495" s="131">
        <f t="shared" si="80"/>
        <v>15815.1</v>
      </c>
    </row>
    <row r="496" spans="1:30" ht="14.1" customHeight="1">
      <c r="A496" s="147">
        <v>495</v>
      </c>
      <c r="B496" s="523" t="s">
        <v>529</v>
      </c>
      <c r="C496" s="523" t="s">
        <v>530</v>
      </c>
      <c r="D496" s="570">
        <v>3</v>
      </c>
      <c r="E496" s="178" t="s">
        <v>317</v>
      </c>
      <c r="F496" s="178" t="s">
        <v>542</v>
      </c>
      <c r="G496" s="167" t="s">
        <v>373</v>
      </c>
      <c r="H496" s="178" t="s">
        <v>272</v>
      </c>
      <c r="I496" s="565">
        <v>43.58</v>
      </c>
      <c r="J496" s="482">
        <v>1</v>
      </c>
      <c r="K496" s="482">
        <v>1</v>
      </c>
      <c r="L496" s="482">
        <v>1</v>
      </c>
      <c r="M496" s="482">
        <v>1</v>
      </c>
      <c r="N496" s="524">
        <v>255</v>
      </c>
      <c r="O496" s="524"/>
      <c r="P496" s="524"/>
      <c r="Q496" s="524"/>
      <c r="R496" s="169" t="e">
        <f t="shared" si="73"/>
        <v>#DIV/0!</v>
      </c>
      <c r="S496" s="169">
        <f t="shared" si="74"/>
        <v>0</v>
      </c>
      <c r="T496" s="169">
        <f t="shared" si="75"/>
        <v>0</v>
      </c>
      <c r="U496" s="169">
        <f t="shared" si="76"/>
        <v>0</v>
      </c>
      <c r="V496" s="519"/>
      <c r="W496" s="170">
        <f>IF(N496="nio",0,IF(N496&gt;0,VLOOKUP(G496,'3-Productie normen'!A:N,VLOOKUP(N496,'3-Productie normen'!Q:R,2,FALSE),FALSE)))</f>
        <v>0</v>
      </c>
      <c r="X496" s="170">
        <f t="shared" si="77"/>
        <v>0</v>
      </c>
      <c r="Y496" s="170">
        <f t="shared" si="78"/>
        <v>0</v>
      </c>
      <c r="Z496" s="170">
        <f t="shared" si="79"/>
        <v>0</v>
      </c>
      <c r="AA496" s="171">
        <f>VLOOKUP(G496,'3-Productie normen'!A:N,10,FALSE)</f>
        <v>1</v>
      </c>
      <c r="AB496" s="171"/>
      <c r="AD496" s="131">
        <f t="shared" si="80"/>
        <v>11112.9</v>
      </c>
    </row>
    <row r="497" spans="1:30" ht="14.1" customHeight="1">
      <c r="A497" s="147">
        <v>496</v>
      </c>
      <c r="B497" s="523" t="s">
        <v>529</v>
      </c>
      <c r="C497" s="523" t="s">
        <v>530</v>
      </c>
      <c r="D497" s="570">
        <v>3</v>
      </c>
      <c r="E497" s="178" t="s">
        <v>449</v>
      </c>
      <c r="F497" s="178" t="s">
        <v>543</v>
      </c>
      <c r="G497" s="167" t="s">
        <v>373</v>
      </c>
      <c r="H497" s="178" t="s">
        <v>272</v>
      </c>
      <c r="I497" s="565">
        <v>16.7</v>
      </c>
      <c r="J497" s="482">
        <v>1</v>
      </c>
      <c r="K497" s="482">
        <v>1</v>
      </c>
      <c r="L497" s="482">
        <v>1</v>
      </c>
      <c r="M497" s="482">
        <v>1</v>
      </c>
      <c r="N497" s="524">
        <v>255</v>
      </c>
      <c r="O497" s="524"/>
      <c r="P497" s="524"/>
      <c r="Q497" s="524"/>
      <c r="R497" s="169" t="e">
        <f t="shared" si="73"/>
        <v>#DIV/0!</v>
      </c>
      <c r="S497" s="169">
        <f t="shared" si="74"/>
        <v>0</v>
      </c>
      <c r="T497" s="169">
        <f t="shared" si="75"/>
        <v>0</v>
      </c>
      <c r="U497" s="169">
        <f t="shared" si="76"/>
        <v>0</v>
      </c>
      <c r="V497" s="519"/>
      <c r="W497" s="170">
        <f>IF(N497="nio",0,IF(N497&gt;0,VLOOKUP(G497,'3-Productie normen'!A:N,VLOOKUP(N497,'3-Productie normen'!Q:R,2,FALSE),FALSE)))</f>
        <v>0</v>
      </c>
      <c r="X497" s="170">
        <f t="shared" si="77"/>
        <v>0</v>
      </c>
      <c r="Y497" s="170">
        <f t="shared" si="78"/>
        <v>0</v>
      </c>
      <c r="Z497" s="170">
        <f t="shared" si="79"/>
        <v>0</v>
      </c>
      <c r="AA497" s="171">
        <f>VLOOKUP(G497,'3-Productie normen'!A:N,10,FALSE)</f>
        <v>1</v>
      </c>
      <c r="AB497" s="171"/>
      <c r="AD497" s="131">
        <f t="shared" si="80"/>
        <v>4258.5</v>
      </c>
    </row>
    <row r="498" spans="1:30" ht="14.1" customHeight="1">
      <c r="A498" s="147">
        <v>497</v>
      </c>
      <c r="B498" s="523" t="s">
        <v>529</v>
      </c>
      <c r="C498" s="523" t="s">
        <v>530</v>
      </c>
      <c r="D498" s="570">
        <v>3</v>
      </c>
      <c r="E498" s="178" t="s">
        <v>466</v>
      </c>
      <c r="F498" s="178" t="s">
        <v>544</v>
      </c>
      <c r="G498" s="167" t="s">
        <v>373</v>
      </c>
      <c r="H498" s="178" t="s">
        <v>272</v>
      </c>
      <c r="I498" s="565">
        <v>16</v>
      </c>
      <c r="J498" s="482">
        <v>1</v>
      </c>
      <c r="K498" s="482">
        <v>1</v>
      </c>
      <c r="L498" s="482">
        <v>1</v>
      </c>
      <c r="M498" s="482">
        <v>1</v>
      </c>
      <c r="N498" s="524">
        <v>255</v>
      </c>
      <c r="O498" s="524"/>
      <c r="P498" s="524"/>
      <c r="Q498" s="524"/>
      <c r="R498" s="169" t="e">
        <f t="shared" si="73"/>
        <v>#DIV/0!</v>
      </c>
      <c r="S498" s="169">
        <f t="shared" si="74"/>
        <v>0</v>
      </c>
      <c r="T498" s="169">
        <f t="shared" si="75"/>
        <v>0</v>
      </c>
      <c r="U498" s="169">
        <f t="shared" si="76"/>
        <v>0</v>
      </c>
      <c r="V498" s="519"/>
      <c r="W498" s="170">
        <f>IF(N498="nio",0,IF(N498&gt;0,VLOOKUP(G498,'3-Productie normen'!A:N,VLOOKUP(N498,'3-Productie normen'!Q:R,2,FALSE),FALSE)))</f>
        <v>0</v>
      </c>
      <c r="X498" s="170">
        <f t="shared" si="77"/>
        <v>0</v>
      </c>
      <c r="Y498" s="170">
        <f t="shared" si="78"/>
        <v>0</v>
      </c>
      <c r="Z498" s="170">
        <f t="shared" si="79"/>
        <v>0</v>
      </c>
      <c r="AA498" s="171">
        <f>VLOOKUP(G498,'3-Productie normen'!A:N,10,FALSE)</f>
        <v>1</v>
      </c>
      <c r="AB498" s="171"/>
      <c r="AD498" s="131">
        <f t="shared" si="80"/>
        <v>4080</v>
      </c>
    </row>
    <row r="499" spans="1:30" ht="14.1" customHeight="1">
      <c r="A499" s="147">
        <v>498</v>
      </c>
      <c r="B499" s="523" t="s">
        <v>529</v>
      </c>
      <c r="C499" s="523" t="s">
        <v>530</v>
      </c>
      <c r="D499" s="570">
        <v>3</v>
      </c>
      <c r="E499" s="178" t="s">
        <v>467</v>
      </c>
      <c r="F499" s="178" t="s">
        <v>545</v>
      </c>
      <c r="G499" s="167" t="s">
        <v>373</v>
      </c>
      <c r="H499" s="178" t="s">
        <v>272</v>
      </c>
      <c r="I499" s="565">
        <v>16.68</v>
      </c>
      <c r="J499" s="482">
        <v>1</v>
      </c>
      <c r="K499" s="482">
        <v>1</v>
      </c>
      <c r="L499" s="482">
        <v>1</v>
      </c>
      <c r="M499" s="482">
        <v>1</v>
      </c>
      <c r="N499" s="524">
        <v>255</v>
      </c>
      <c r="O499" s="524"/>
      <c r="P499" s="524"/>
      <c r="Q499" s="524"/>
      <c r="R499" s="169" t="e">
        <f t="shared" si="73"/>
        <v>#DIV/0!</v>
      </c>
      <c r="S499" s="169">
        <f t="shared" si="74"/>
        <v>0</v>
      </c>
      <c r="T499" s="169">
        <f t="shared" si="75"/>
        <v>0</v>
      </c>
      <c r="U499" s="169">
        <f t="shared" si="76"/>
        <v>0</v>
      </c>
      <c r="V499" s="519"/>
      <c r="W499" s="170">
        <f>IF(N499="nio",0,IF(N499&gt;0,VLOOKUP(G499,'3-Productie normen'!A:N,VLOOKUP(N499,'3-Productie normen'!Q:R,2,FALSE),FALSE)))</f>
        <v>0</v>
      </c>
      <c r="X499" s="170">
        <f t="shared" si="77"/>
        <v>0</v>
      </c>
      <c r="Y499" s="170">
        <f t="shared" si="78"/>
        <v>0</v>
      </c>
      <c r="Z499" s="170">
        <f t="shared" si="79"/>
        <v>0</v>
      </c>
      <c r="AA499" s="171">
        <f>VLOOKUP(G499,'3-Productie normen'!A:N,10,FALSE)</f>
        <v>1</v>
      </c>
      <c r="AB499" s="171"/>
      <c r="AD499" s="131">
        <f t="shared" si="80"/>
        <v>4253.3999999999996</v>
      </c>
    </row>
    <row r="500" spans="1:30" ht="14.1" customHeight="1">
      <c r="A500" s="147">
        <v>499</v>
      </c>
      <c r="B500" s="523" t="s">
        <v>529</v>
      </c>
      <c r="C500" s="523" t="s">
        <v>530</v>
      </c>
      <c r="D500" s="570">
        <v>3</v>
      </c>
      <c r="E500" s="178" t="s">
        <v>546</v>
      </c>
      <c r="F500" s="178" t="s">
        <v>547</v>
      </c>
      <c r="G500" s="167" t="s">
        <v>373</v>
      </c>
      <c r="H500" s="178" t="s">
        <v>272</v>
      </c>
      <c r="I500" s="565">
        <v>43.93</v>
      </c>
      <c r="J500" s="482">
        <v>1</v>
      </c>
      <c r="K500" s="482">
        <v>1</v>
      </c>
      <c r="L500" s="482">
        <v>1</v>
      </c>
      <c r="M500" s="482">
        <v>1</v>
      </c>
      <c r="N500" s="524">
        <v>255</v>
      </c>
      <c r="O500" s="524"/>
      <c r="P500" s="524"/>
      <c r="Q500" s="524"/>
      <c r="R500" s="169" t="e">
        <f t="shared" si="73"/>
        <v>#DIV/0!</v>
      </c>
      <c r="S500" s="169">
        <f t="shared" si="74"/>
        <v>0</v>
      </c>
      <c r="T500" s="169">
        <f t="shared" si="75"/>
        <v>0</v>
      </c>
      <c r="U500" s="169">
        <f t="shared" si="76"/>
        <v>0</v>
      </c>
      <c r="V500" s="519"/>
      <c r="W500" s="170">
        <f>IF(N500="nio",0,IF(N500&gt;0,VLOOKUP(G500,'3-Productie normen'!A:N,VLOOKUP(N500,'3-Productie normen'!Q:R,2,FALSE),FALSE)))</f>
        <v>0</v>
      </c>
      <c r="X500" s="170">
        <f t="shared" si="77"/>
        <v>0</v>
      </c>
      <c r="Y500" s="170">
        <f t="shared" si="78"/>
        <v>0</v>
      </c>
      <c r="Z500" s="170">
        <f t="shared" si="79"/>
        <v>0</v>
      </c>
      <c r="AA500" s="171">
        <f>VLOOKUP(G500,'3-Productie normen'!A:N,10,FALSE)</f>
        <v>1</v>
      </c>
      <c r="AB500" s="171"/>
      <c r="AD500" s="131">
        <f t="shared" si="80"/>
        <v>11202.15</v>
      </c>
    </row>
    <row r="501" spans="1:30" ht="14.1" customHeight="1">
      <c r="A501" s="147">
        <v>500</v>
      </c>
      <c r="B501" s="523" t="s">
        <v>529</v>
      </c>
      <c r="C501" s="523" t="s">
        <v>530</v>
      </c>
      <c r="D501" s="570">
        <v>3</v>
      </c>
      <c r="E501" s="178" t="s">
        <v>548</v>
      </c>
      <c r="F501" s="178" t="s">
        <v>280</v>
      </c>
      <c r="G501" s="178" t="s">
        <v>107</v>
      </c>
      <c r="H501" s="178" t="s">
        <v>483</v>
      </c>
      <c r="I501" s="565">
        <v>67.08</v>
      </c>
      <c r="J501" s="482">
        <v>1</v>
      </c>
      <c r="K501" s="482">
        <v>1</v>
      </c>
      <c r="L501" s="482">
        <v>1</v>
      </c>
      <c r="M501" s="482">
        <v>1</v>
      </c>
      <c r="N501" s="524">
        <v>255</v>
      </c>
      <c r="O501" s="524"/>
      <c r="P501" s="524"/>
      <c r="Q501" s="524"/>
      <c r="R501" s="169" t="e">
        <f t="shared" si="73"/>
        <v>#DIV/0!</v>
      </c>
      <c r="S501" s="169">
        <f t="shared" si="74"/>
        <v>0</v>
      </c>
      <c r="T501" s="169">
        <f t="shared" si="75"/>
        <v>0</v>
      </c>
      <c r="U501" s="169">
        <f t="shared" si="76"/>
        <v>0</v>
      </c>
      <c r="V501" s="519"/>
      <c r="W501" s="170">
        <f>IF(N501="nio",0,IF(N501&gt;0,VLOOKUP(G501,'3-Productie normen'!A:N,VLOOKUP(N501,'3-Productie normen'!Q:R,2,FALSE),FALSE)))</f>
        <v>0</v>
      </c>
      <c r="X501" s="170">
        <f t="shared" si="77"/>
        <v>0</v>
      </c>
      <c r="Y501" s="170">
        <f t="shared" si="78"/>
        <v>0</v>
      </c>
      <c r="Z501" s="170">
        <f t="shared" si="79"/>
        <v>0</v>
      </c>
      <c r="AA501" s="171">
        <f>VLOOKUP(G501,'3-Productie normen'!A:N,10,FALSE)</f>
        <v>2</v>
      </c>
      <c r="AB501" s="171"/>
      <c r="AD501" s="131">
        <f t="shared" si="80"/>
        <v>17105.399999999998</v>
      </c>
    </row>
    <row r="502" spans="1:30" ht="14.1" customHeight="1">
      <c r="A502" s="147">
        <v>501</v>
      </c>
      <c r="B502" s="523" t="s">
        <v>529</v>
      </c>
      <c r="C502" s="523" t="s">
        <v>530</v>
      </c>
      <c r="D502" s="570">
        <v>3</v>
      </c>
      <c r="E502" s="178" t="s">
        <v>549</v>
      </c>
      <c r="F502" s="545" t="s">
        <v>439</v>
      </c>
      <c r="G502" s="589" t="s">
        <v>583</v>
      </c>
      <c r="H502" s="178" t="s">
        <v>483</v>
      </c>
      <c r="I502" s="565">
        <v>8.57</v>
      </c>
      <c r="J502" s="482">
        <v>1</v>
      </c>
      <c r="K502" s="482">
        <v>1</v>
      </c>
      <c r="L502" s="482">
        <v>1</v>
      </c>
      <c r="M502" s="482">
        <v>1</v>
      </c>
      <c r="N502" s="524">
        <v>255</v>
      </c>
      <c r="O502" s="524"/>
      <c r="P502" s="524"/>
      <c r="Q502" s="524"/>
      <c r="R502" s="169" t="e">
        <f t="shared" si="73"/>
        <v>#DIV/0!</v>
      </c>
      <c r="S502" s="169">
        <f t="shared" si="74"/>
        <v>0</v>
      </c>
      <c r="T502" s="169">
        <f t="shared" si="75"/>
        <v>0</v>
      </c>
      <c r="U502" s="169">
        <f t="shared" si="76"/>
        <v>0</v>
      </c>
      <c r="V502" s="519"/>
      <c r="W502" s="170">
        <f>IF(N502="nio",0,IF(N502&gt;0,VLOOKUP(G502,'3-Productie normen'!A:N,VLOOKUP(N502,'3-Productie normen'!Q:R,2,FALSE),FALSE)))</f>
        <v>0</v>
      </c>
      <c r="X502" s="170">
        <f t="shared" si="77"/>
        <v>0</v>
      </c>
      <c r="Y502" s="170">
        <f t="shared" si="78"/>
        <v>0</v>
      </c>
      <c r="Z502" s="170">
        <f t="shared" si="79"/>
        <v>0</v>
      </c>
      <c r="AA502" s="171">
        <f>VLOOKUP(G502,'3-Productie normen'!A:N,10,FALSE)</f>
        <v>4</v>
      </c>
      <c r="AB502" s="171"/>
      <c r="AD502" s="131">
        <f t="shared" si="80"/>
        <v>2185.35</v>
      </c>
    </row>
    <row r="503" spans="1:30" ht="14.1" customHeight="1">
      <c r="A503" s="147">
        <v>502</v>
      </c>
      <c r="B503" s="523" t="s">
        <v>529</v>
      </c>
      <c r="C503" s="523" t="s">
        <v>530</v>
      </c>
      <c r="D503" s="570">
        <v>3</v>
      </c>
      <c r="E503" s="178" t="s">
        <v>550</v>
      </c>
      <c r="F503" s="178" t="s">
        <v>551</v>
      </c>
      <c r="G503" s="178" t="s">
        <v>373</v>
      </c>
      <c r="H503" s="178" t="s">
        <v>483</v>
      </c>
      <c r="I503" s="565">
        <v>8.57</v>
      </c>
      <c r="J503" s="482">
        <v>1</v>
      </c>
      <c r="K503" s="482">
        <v>1</v>
      </c>
      <c r="L503" s="482">
        <v>1</v>
      </c>
      <c r="M503" s="482">
        <v>1</v>
      </c>
      <c r="N503" s="524">
        <v>255</v>
      </c>
      <c r="O503" s="524"/>
      <c r="P503" s="524"/>
      <c r="Q503" s="524"/>
      <c r="R503" s="169" t="e">
        <f t="shared" si="73"/>
        <v>#DIV/0!</v>
      </c>
      <c r="S503" s="169">
        <f t="shared" si="74"/>
        <v>0</v>
      </c>
      <c r="T503" s="169">
        <f t="shared" si="75"/>
        <v>0</v>
      </c>
      <c r="U503" s="169">
        <f t="shared" si="76"/>
        <v>0</v>
      </c>
      <c r="V503" s="519"/>
      <c r="W503" s="170">
        <f>IF(N503="nio",0,IF(N503&gt;0,VLOOKUP(G503,'3-Productie normen'!A:N,VLOOKUP(N503,'3-Productie normen'!Q:R,2,FALSE),FALSE)))</f>
        <v>0</v>
      </c>
      <c r="X503" s="170">
        <f t="shared" si="77"/>
        <v>0</v>
      </c>
      <c r="Y503" s="170">
        <f t="shared" si="78"/>
        <v>0</v>
      </c>
      <c r="Z503" s="170">
        <f t="shared" si="79"/>
        <v>0</v>
      </c>
      <c r="AA503" s="171">
        <f>VLOOKUP(G503,'3-Productie normen'!A:N,10,FALSE)</f>
        <v>1</v>
      </c>
      <c r="AB503" s="171"/>
      <c r="AD503" s="131">
        <f t="shared" si="80"/>
        <v>2185.35</v>
      </c>
    </row>
    <row r="504" spans="1:30" ht="14.1" customHeight="1">
      <c r="A504" s="147">
        <v>503</v>
      </c>
      <c r="B504" s="523" t="s">
        <v>529</v>
      </c>
      <c r="C504" s="523" t="s">
        <v>530</v>
      </c>
      <c r="D504" s="570">
        <v>3</v>
      </c>
      <c r="E504" s="178" t="s">
        <v>552</v>
      </c>
      <c r="F504" s="178" t="s">
        <v>553</v>
      </c>
      <c r="G504" s="167" t="s">
        <v>373</v>
      </c>
      <c r="H504" s="178" t="s">
        <v>272</v>
      </c>
      <c r="I504" s="565">
        <v>59.32</v>
      </c>
      <c r="J504" s="482">
        <v>1</v>
      </c>
      <c r="K504" s="482">
        <v>1</v>
      </c>
      <c r="L504" s="482">
        <v>1</v>
      </c>
      <c r="M504" s="482">
        <v>1</v>
      </c>
      <c r="N504" s="524">
        <v>255</v>
      </c>
      <c r="O504" s="524"/>
      <c r="P504" s="524"/>
      <c r="Q504" s="524"/>
      <c r="R504" s="169" t="e">
        <f t="shared" si="73"/>
        <v>#DIV/0!</v>
      </c>
      <c r="S504" s="169">
        <f t="shared" si="74"/>
        <v>0</v>
      </c>
      <c r="T504" s="169">
        <f t="shared" si="75"/>
        <v>0</v>
      </c>
      <c r="U504" s="169">
        <f t="shared" si="76"/>
        <v>0</v>
      </c>
      <c r="V504" s="519"/>
      <c r="W504" s="170">
        <f>IF(N504="nio",0,IF(N504&gt;0,VLOOKUP(G504,'3-Productie normen'!A:N,VLOOKUP(N504,'3-Productie normen'!Q:R,2,FALSE),FALSE)))</f>
        <v>0</v>
      </c>
      <c r="X504" s="170">
        <f t="shared" si="77"/>
        <v>0</v>
      </c>
      <c r="Y504" s="170">
        <f t="shared" si="78"/>
        <v>0</v>
      </c>
      <c r="Z504" s="170">
        <f t="shared" si="79"/>
        <v>0</v>
      </c>
      <c r="AA504" s="171">
        <f>VLOOKUP(G504,'3-Productie normen'!A:N,10,FALSE)</f>
        <v>1</v>
      </c>
      <c r="AB504" s="171"/>
      <c r="AD504" s="131">
        <f t="shared" si="80"/>
        <v>15126.6</v>
      </c>
    </row>
    <row r="505" spans="1:30" ht="14.1" customHeight="1">
      <c r="A505" s="147">
        <v>504</v>
      </c>
      <c r="B505" s="523" t="s">
        <v>529</v>
      </c>
      <c r="C505" s="523" t="s">
        <v>530</v>
      </c>
      <c r="D505" s="570">
        <v>3</v>
      </c>
      <c r="E505" s="178" t="s">
        <v>554</v>
      </c>
      <c r="F505" s="178" t="s">
        <v>340</v>
      </c>
      <c r="G505" s="173" t="s">
        <v>209</v>
      </c>
      <c r="H505" s="178" t="s">
        <v>272</v>
      </c>
      <c r="I505" s="565">
        <v>13.8</v>
      </c>
      <c r="J505" s="482">
        <v>1</v>
      </c>
      <c r="K505" s="482">
        <v>1</v>
      </c>
      <c r="L505" s="482">
        <v>1</v>
      </c>
      <c r="M505" s="482">
        <v>1</v>
      </c>
      <c r="N505" s="524">
        <v>255</v>
      </c>
      <c r="O505" s="524"/>
      <c r="P505" s="524"/>
      <c r="Q505" s="524"/>
      <c r="R505" s="169" t="e">
        <f t="shared" si="73"/>
        <v>#DIV/0!</v>
      </c>
      <c r="S505" s="169">
        <f t="shared" si="74"/>
        <v>0</v>
      </c>
      <c r="T505" s="169">
        <f t="shared" si="75"/>
        <v>0</v>
      </c>
      <c r="U505" s="169">
        <f t="shared" si="76"/>
        <v>0</v>
      </c>
      <c r="V505" s="519"/>
      <c r="W505" s="170">
        <f>IF(N505="nio",0,IF(N505&gt;0,VLOOKUP(G505,'3-Productie normen'!A:N,VLOOKUP(N505,'3-Productie normen'!Q:R,2,FALSE),FALSE)))</f>
        <v>0</v>
      </c>
      <c r="X505" s="170">
        <f t="shared" si="77"/>
        <v>0</v>
      </c>
      <c r="Y505" s="170">
        <f t="shared" si="78"/>
        <v>0</v>
      </c>
      <c r="Z505" s="170">
        <f t="shared" si="79"/>
        <v>0</v>
      </c>
      <c r="AA505" s="171">
        <f>VLOOKUP(G505,'3-Productie normen'!A:N,10,FALSE)</f>
        <v>1</v>
      </c>
      <c r="AB505" s="171"/>
      <c r="AD505" s="131">
        <f t="shared" si="80"/>
        <v>3519</v>
      </c>
    </row>
    <row r="506" spans="1:30" ht="14.1" customHeight="1">
      <c r="A506" s="147">
        <v>505</v>
      </c>
      <c r="B506" s="523" t="s">
        <v>529</v>
      </c>
      <c r="C506" s="523" t="s">
        <v>530</v>
      </c>
      <c r="D506" s="570">
        <v>3</v>
      </c>
      <c r="E506" s="178" t="s">
        <v>555</v>
      </c>
      <c r="F506" s="178" t="s">
        <v>340</v>
      </c>
      <c r="G506" s="173" t="s">
        <v>209</v>
      </c>
      <c r="H506" s="178" t="s">
        <v>272</v>
      </c>
      <c r="I506" s="565">
        <v>44.48</v>
      </c>
      <c r="J506" s="482">
        <v>1</v>
      </c>
      <c r="K506" s="482">
        <v>1</v>
      </c>
      <c r="L506" s="482">
        <v>1</v>
      </c>
      <c r="M506" s="482">
        <v>1</v>
      </c>
      <c r="N506" s="524">
        <v>255</v>
      </c>
      <c r="O506" s="524"/>
      <c r="P506" s="524"/>
      <c r="Q506" s="524"/>
      <c r="R506" s="169" t="e">
        <f t="shared" si="73"/>
        <v>#DIV/0!</v>
      </c>
      <c r="S506" s="169">
        <f t="shared" si="74"/>
        <v>0</v>
      </c>
      <c r="T506" s="169">
        <f t="shared" si="75"/>
        <v>0</v>
      </c>
      <c r="U506" s="169">
        <f t="shared" si="76"/>
        <v>0</v>
      </c>
      <c r="V506" s="519"/>
      <c r="W506" s="170">
        <f>IF(N506="nio",0,IF(N506&gt;0,VLOOKUP(G506,'3-Productie normen'!A:N,VLOOKUP(N506,'3-Productie normen'!Q:R,2,FALSE),FALSE)))</f>
        <v>0</v>
      </c>
      <c r="X506" s="170">
        <f t="shared" si="77"/>
        <v>0</v>
      </c>
      <c r="Y506" s="170">
        <f t="shared" si="78"/>
        <v>0</v>
      </c>
      <c r="Z506" s="170">
        <f t="shared" si="79"/>
        <v>0</v>
      </c>
      <c r="AA506" s="171">
        <f>VLOOKUP(G506,'3-Productie normen'!A:N,10,FALSE)</f>
        <v>1</v>
      </c>
      <c r="AB506" s="171"/>
      <c r="AD506" s="131">
        <f t="shared" si="80"/>
        <v>11342.4</v>
      </c>
    </row>
    <row r="507" spans="1:30" ht="14.1" customHeight="1">
      <c r="A507" s="147">
        <v>506</v>
      </c>
      <c r="B507" s="523" t="s">
        <v>529</v>
      </c>
      <c r="C507" s="523" t="s">
        <v>530</v>
      </c>
      <c r="D507" s="570">
        <v>3</v>
      </c>
      <c r="E507" s="178" t="s">
        <v>556</v>
      </c>
      <c r="F507" s="536" t="s">
        <v>340</v>
      </c>
      <c r="G507" s="539" t="s">
        <v>209</v>
      </c>
      <c r="H507" s="537" t="s">
        <v>272</v>
      </c>
      <c r="I507" s="565">
        <v>76</v>
      </c>
      <c r="J507" s="482">
        <v>1</v>
      </c>
      <c r="K507" s="482">
        <v>1</v>
      </c>
      <c r="L507" s="482">
        <v>1</v>
      </c>
      <c r="M507" s="482">
        <v>1</v>
      </c>
      <c r="N507" s="524">
        <v>255</v>
      </c>
      <c r="O507" s="524"/>
      <c r="P507" s="524"/>
      <c r="Q507" s="524"/>
      <c r="R507" s="169" t="e">
        <f t="shared" si="73"/>
        <v>#DIV/0!</v>
      </c>
      <c r="S507" s="169">
        <f t="shared" si="74"/>
        <v>0</v>
      </c>
      <c r="T507" s="169">
        <f t="shared" si="75"/>
        <v>0</v>
      </c>
      <c r="U507" s="169">
        <f t="shared" si="76"/>
        <v>0</v>
      </c>
      <c r="V507" s="519"/>
      <c r="W507" s="170">
        <f>IF(N507="nio",0,IF(N507&gt;0,VLOOKUP(G507,'3-Productie normen'!A:N,VLOOKUP(N507,'3-Productie normen'!Q:R,2,FALSE),FALSE)))</f>
        <v>0</v>
      </c>
      <c r="X507" s="170">
        <f t="shared" si="77"/>
        <v>0</v>
      </c>
      <c r="Y507" s="170">
        <f t="shared" si="78"/>
        <v>0</v>
      </c>
      <c r="Z507" s="170">
        <f t="shared" si="79"/>
        <v>0</v>
      </c>
      <c r="AA507" s="171">
        <f>VLOOKUP(G507,'3-Productie normen'!A:N,10,FALSE)</f>
        <v>1</v>
      </c>
      <c r="AB507" s="171"/>
      <c r="AD507" s="131">
        <f t="shared" si="80"/>
        <v>19380</v>
      </c>
    </row>
    <row r="508" spans="1:30" ht="14.1" customHeight="1">
      <c r="A508" s="147">
        <v>507</v>
      </c>
      <c r="B508" s="523" t="s">
        <v>529</v>
      </c>
      <c r="C508" s="523" t="s">
        <v>530</v>
      </c>
      <c r="D508" s="570">
        <v>3</v>
      </c>
      <c r="E508" s="178" t="s">
        <v>557</v>
      </c>
      <c r="F508" s="178" t="s">
        <v>558</v>
      </c>
      <c r="G508" s="538" t="s">
        <v>107</v>
      </c>
      <c r="H508" s="178" t="s">
        <v>565</v>
      </c>
      <c r="I508" s="565">
        <v>51.71</v>
      </c>
      <c r="J508" s="482">
        <v>1</v>
      </c>
      <c r="K508" s="482">
        <v>1</v>
      </c>
      <c r="L508" s="482">
        <v>1</v>
      </c>
      <c r="M508" s="482">
        <v>1</v>
      </c>
      <c r="N508" s="524">
        <v>255</v>
      </c>
      <c r="O508" s="524"/>
      <c r="P508" s="524"/>
      <c r="Q508" s="524"/>
      <c r="R508" s="169" t="e">
        <f t="shared" si="73"/>
        <v>#DIV/0!</v>
      </c>
      <c r="S508" s="169">
        <f t="shared" si="74"/>
        <v>0</v>
      </c>
      <c r="T508" s="169">
        <f t="shared" si="75"/>
        <v>0</v>
      </c>
      <c r="U508" s="169">
        <f t="shared" si="76"/>
        <v>0</v>
      </c>
      <c r="V508" s="519"/>
      <c r="W508" s="170">
        <f>IF(N508="nio",0,IF(N508&gt;0,VLOOKUP(G508,'3-Productie normen'!A:N,VLOOKUP(N508,'3-Productie normen'!Q:R,2,FALSE),FALSE)))</f>
        <v>0</v>
      </c>
      <c r="X508" s="170">
        <f t="shared" si="77"/>
        <v>0</v>
      </c>
      <c r="Y508" s="170">
        <f t="shared" si="78"/>
        <v>0</v>
      </c>
      <c r="Z508" s="170">
        <f t="shared" si="79"/>
        <v>0</v>
      </c>
      <c r="AA508" s="171">
        <f>VLOOKUP(G508,'3-Productie normen'!A:N,10,FALSE)</f>
        <v>2</v>
      </c>
      <c r="AB508" s="171"/>
      <c r="AD508" s="131">
        <f t="shared" si="80"/>
        <v>13186.050000000001</v>
      </c>
    </row>
    <row r="509" spans="1:30" ht="14.1" customHeight="1">
      <c r="A509" s="147">
        <v>508</v>
      </c>
      <c r="B509" s="523" t="s">
        <v>529</v>
      </c>
      <c r="C509" s="523" t="s">
        <v>530</v>
      </c>
      <c r="D509" s="570">
        <v>3</v>
      </c>
      <c r="E509" s="178" t="s">
        <v>559</v>
      </c>
      <c r="F509" s="178" t="s">
        <v>560</v>
      </c>
      <c r="G509" s="525" t="s">
        <v>583</v>
      </c>
      <c r="H509" s="178" t="s">
        <v>272</v>
      </c>
      <c r="I509" s="565">
        <v>200.47</v>
      </c>
      <c r="J509" s="482">
        <v>1</v>
      </c>
      <c r="K509" s="482">
        <v>1</v>
      </c>
      <c r="L509" s="482">
        <v>1</v>
      </c>
      <c r="M509" s="482">
        <v>1</v>
      </c>
      <c r="N509" s="524">
        <v>255</v>
      </c>
      <c r="O509" s="524"/>
      <c r="P509" s="524"/>
      <c r="Q509" s="524"/>
      <c r="R509" s="169" t="e">
        <f t="shared" si="73"/>
        <v>#DIV/0!</v>
      </c>
      <c r="S509" s="169">
        <f t="shared" si="74"/>
        <v>0</v>
      </c>
      <c r="T509" s="169">
        <f t="shared" si="75"/>
        <v>0</v>
      </c>
      <c r="U509" s="169">
        <f t="shared" si="76"/>
        <v>0</v>
      </c>
      <c r="V509" s="519"/>
      <c r="W509" s="170">
        <f>IF(N509="nio",0,IF(N509&gt;0,VLOOKUP(G509,'3-Productie normen'!A:N,VLOOKUP(N509,'3-Productie normen'!Q:R,2,FALSE),FALSE)))</f>
        <v>0</v>
      </c>
      <c r="X509" s="170">
        <f t="shared" si="77"/>
        <v>0</v>
      </c>
      <c r="Y509" s="170">
        <f t="shared" si="78"/>
        <v>0</v>
      </c>
      <c r="Z509" s="170">
        <f t="shared" si="79"/>
        <v>0</v>
      </c>
      <c r="AA509" s="171">
        <f>VLOOKUP(G509,'3-Productie normen'!A:N,10,FALSE)</f>
        <v>4</v>
      </c>
      <c r="AB509" s="171"/>
      <c r="AD509" s="131">
        <f t="shared" si="80"/>
        <v>51119.85</v>
      </c>
    </row>
    <row r="510" spans="1:30" ht="14.1" customHeight="1">
      <c r="A510" s="147">
        <v>509</v>
      </c>
      <c r="B510" s="523" t="s">
        <v>529</v>
      </c>
      <c r="C510" s="523" t="s">
        <v>530</v>
      </c>
      <c r="D510" s="570">
        <v>3</v>
      </c>
      <c r="E510" s="178" t="s">
        <v>561</v>
      </c>
      <c r="F510" s="178" t="s">
        <v>562</v>
      </c>
      <c r="G510" s="178" t="s">
        <v>373</v>
      </c>
      <c r="H510" s="178" t="s">
        <v>272</v>
      </c>
      <c r="I510" s="565">
        <v>14.48</v>
      </c>
      <c r="J510" s="482">
        <v>1</v>
      </c>
      <c r="K510" s="482">
        <v>1</v>
      </c>
      <c r="L510" s="482">
        <v>1</v>
      </c>
      <c r="M510" s="482">
        <v>1</v>
      </c>
      <c r="N510" s="524">
        <v>255</v>
      </c>
      <c r="O510" s="524"/>
      <c r="P510" s="524"/>
      <c r="Q510" s="524"/>
      <c r="R510" s="169" t="e">
        <f t="shared" si="73"/>
        <v>#DIV/0!</v>
      </c>
      <c r="S510" s="169">
        <f t="shared" si="74"/>
        <v>0</v>
      </c>
      <c r="T510" s="169">
        <f t="shared" si="75"/>
        <v>0</v>
      </c>
      <c r="U510" s="169">
        <f t="shared" si="76"/>
        <v>0</v>
      </c>
      <c r="V510" s="519"/>
      <c r="W510" s="170">
        <f>IF(N510="nio",0,IF(N510&gt;0,VLOOKUP(G510,'3-Productie normen'!A:N,VLOOKUP(N510,'3-Productie normen'!Q:R,2,FALSE),FALSE)))</f>
        <v>0</v>
      </c>
      <c r="X510" s="170">
        <f t="shared" si="77"/>
        <v>0</v>
      </c>
      <c r="Y510" s="170">
        <f t="shared" si="78"/>
        <v>0</v>
      </c>
      <c r="Z510" s="170">
        <f t="shared" si="79"/>
        <v>0</v>
      </c>
      <c r="AA510" s="171">
        <f>VLOOKUP(G510,'3-Productie normen'!A:N,10,FALSE)</f>
        <v>1</v>
      </c>
      <c r="AB510" s="171"/>
      <c r="AD510" s="131">
        <f t="shared" si="80"/>
        <v>3692.4</v>
      </c>
    </row>
    <row r="511" spans="1:30" ht="14.1" customHeight="1">
      <c r="A511" s="147">
        <v>510</v>
      </c>
      <c r="B511" s="523" t="s">
        <v>529</v>
      </c>
      <c r="C511" s="523" t="s">
        <v>530</v>
      </c>
      <c r="D511" s="570">
        <v>3</v>
      </c>
      <c r="E511" s="178" t="s">
        <v>563</v>
      </c>
      <c r="F511" s="178" t="s">
        <v>564</v>
      </c>
      <c r="G511" s="178" t="s">
        <v>373</v>
      </c>
      <c r="H511" s="178" t="s">
        <v>272</v>
      </c>
      <c r="I511" s="565">
        <v>14.48</v>
      </c>
      <c r="J511" s="482">
        <v>1</v>
      </c>
      <c r="K511" s="482">
        <v>1</v>
      </c>
      <c r="L511" s="482">
        <v>1</v>
      </c>
      <c r="M511" s="482">
        <v>1</v>
      </c>
      <c r="N511" s="524">
        <v>255</v>
      </c>
      <c r="O511" s="524"/>
      <c r="P511" s="524"/>
      <c r="Q511" s="524"/>
      <c r="R511" s="169" t="e">
        <f t="shared" si="73"/>
        <v>#DIV/0!</v>
      </c>
      <c r="S511" s="169">
        <f t="shared" si="74"/>
        <v>0</v>
      </c>
      <c r="T511" s="169">
        <f t="shared" si="75"/>
        <v>0</v>
      </c>
      <c r="U511" s="169">
        <f t="shared" si="76"/>
        <v>0</v>
      </c>
      <c r="V511" s="519"/>
      <c r="W511" s="170">
        <f>IF(N511="nio",0,IF(N511&gt;0,VLOOKUP(G511,'3-Productie normen'!A:N,VLOOKUP(N511,'3-Productie normen'!Q:R,2,FALSE),FALSE)))</f>
        <v>0</v>
      </c>
      <c r="X511" s="170">
        <f t="shared" si="77"/>
        <v>0</v>
      </c>
      <c r="Y511" s="170">
        <f t="shared" si="78"/>
        <v>0</v>
      </c>
      <c r="Z511" s="170">
        <f t="shared" si="79"/>
        <v>0</v>
      </c>
      <c r="AA511" s="171">
        <f>VLOOKUP(G511,'3-Productie normen'!A:N,10,FALSE)</f>
        <v>1</v>
      </c>
      <c r="AB511" s="171"/>
      <c r="AD511" s="131">
        <f t="shared" si="80"/>
        <v>3692.4</v>
      </c>
    </row>
    <row r="512" spans="1:30" ht="14.1" customHeight="1">
      <c r="A512" s="147">
        <v>511</v>
      </c>
      <c r="B512" s="523" t="s">
        <v>566</v>
      </c>
      <c r="C512" s="523" t="s">
        <v>567</v>
      </c>
      <c r="D512" s="570" t="s">
        <v>102</v>
      </c>
      <c r="E512" s="178" t="s">
        <v>247</v>
      </c>
      <c r="F512" s="545" t="s">
        <v>568</v>
      </c>
      <c r="G512" s="165" t="s">
        <v>583</v>
      </c>
      <c r="H512" s="178" t="s">
        <v>483</v>
      </c>
      <c r="I512" s="565">
        <v>147</v>
      </c>
      <c r="J512" s="482">
        <v>1</v>
      </c>
      <c r="K512" s="482">
        <v>1</v>
      </c>
      <c r="L512" s="482">
        <v>1</v>
      </c>
      <c r="M512" s="482">
        <v>1</v>
      </c>
      <c r="N512" s="524">
        <v>205</v>
      </c>
      <c r="O512" s="524"/>
      <c r="P512" s="524"/>
      <c r="Q512" s="524"/>
      <c r="R512" s="169" t="e">
        <f t="shared" si="73"/>
        <v>#DIV/0!</v>
      </c>
      <c r="S512" s="169">
        <f t="shared" si="74"/>
        <v>0</v>
      </c>
      <c r="T512" s="169">
        <f t="shared" si="75"/>
        <v>0</v>
      </c>
      <c r="U512" s="169">
        <f t="shared" si="76"/>
        <v>0</v>
      </c>
      <c r="V512" s="519"/>
      <c r="W512" s="170">
        <f>IF(N512="nio",0,IF(N512&gt;0,VLOOKUP(G512,'3-Productie normen'!A:N,VLOOKUP(N512,'3-Productie normen'!Q:R,2,FALSE),FALSE)))</f>
        <v>0</v>
      </c>
      <c r="X512" s="170">
        <f t="shared" si="77"/>
        <v>0</v>
      </c>
      <c r="Y512" s="170">
        <f t="shared" si="78"/>
        <v>0</v>
      </c>
      <c r="Z512" s="170">
        <f t="shared" si="79"/>
        <v>0</v>
      </c>
      <c r="AA512" s="171">
        <f>VLOOKUP(G512,'3-Productie normen'!A:N,10,FALSE)</f>
        <v>4</v>
      </c>
      <c r="AB512" s="171"/>
      <c r="AD512" s="131">
        <f t="shared" si="80"/>
        <v>30135</v>
      </c>
    </row>
    <row r="513" spans="1:30" ht="14.1" customHeight="1">
      <c r="A513" s="147">
        <v>512</v>
      </c>
      <c r="B513" s="523" t="s">
        <v>566</v>
      </c>
      <c r="C513" s="523" t="s">
        <v>567</v>
      </c>
      <c r="D513" s="570" t="s">
        <v>102</v>
      </c>
      <c r="E513" s="178" t="s">
        <v>248</v>
      </c>
      <c r="F513" s="545" t="s">
        <v>262</v>
      </c>
      <c r="G513" s="128" t="s">
        <v>373</v>
      </c>
      <c r="H513" s="178" t="s">
        <v>483</v>
      </c>
      <c r="I513" s="565">
        <v>12</v>
      </c>
      <c r="J513" s="482">
        <v>1</v>
      </c>
      <c r="K513" s="482">
        <v>1</v>
      </c>
      <c r="L513" s="482">
        <v>1</v>
      </c>
      <c r="M513" s="482">
        <v>1</v>
      </c>
      <c r="N513" s="524">
        <v>205</v>
      </c>
      <c r="O513" s="524"/>
      <c r="P513" s="524"/>
      <c r="Q513" s="524"/>
      <c r="R513" s="169" t="e">
        <f t="shared" si="73"/>
        <v>#DIV/0!</v>
      </c>
      <c r="S513" s="169">
        <f t="shared" si="74"/>
        <v>0</v>
      </c>
      <c r="T513" s="169">
        <f t="shared" si="75"/>
        <v>0</v>
      </c>
      <c r="U513" s="169">
        <f t="shared" si="76"/>
        <v>0</v>
      </c>
      <c r="V513" s="519"/>
      <c r="W513" s="170">
        <f>IF(N513="nio",0,IF(N513&gt;0,VLOOKUP(G513,'3-Productie normen'!A:N,VLOOKUP(N513,'3-Productie normen'!Q:R,2,FALSE),FALSE)))</f>
        <v>0</v>
      </c>
      <c r="X513" s="170">
        <f t="shared" si="77"/>
        <v>0</v>
      </c>
      <c r="Y513" s="170">
        <f t="shared" si="78"/>
        <v>0</v>
      </c>
      <c r="Z513" s="170">
        <f t="shared" si="79"/>
        <v>0</v>
      </c>
      <c r="AA513" s="171">
        <f>VLOOKUP(G513,'3-Productie normen'!A:N,10,FALSE)</f>
        <v>1</v>
      </c>
      <c r="AB513" s="171"/>
      <c r="AD513" s="131">
        <f t="shared" si="80"/>
        <v>2460</v>
      </c>
    </row>
    <row r="514" spans="1:30" ht="14.1" customHeight="1">
      <c r="A514" s="147">
        <v>513</v>
      </c>
      <c r="B514" s="523" t="s">
        <v>566</v>
      </c>
      <c r="C514" s="523" t="s">
        <v>567</v>
      </c>
      <c r="D514" s="570" t="s">
        <v>102</v>
      </c>
      <c r="E514" s="178" t="s">
        <v>250</v>
      </c>
      <c r="F514" s="178" t="s">
        <v>264</v>
      </c>
      <c r="G514" s="128" t="s">
        <v>373</v>
      </c>
      <c r="H514" s="178" t="s">
        <v>483</v>
      </c>
      <c r="I514" s="565">
        <v>12</v>
      </c>
      <c r="J514" s="482">
        <v>1</v>
      </c>
      <c r="K514" s="482">
        <v>1</v>
      </c>
      <c r="L514" s="482">
        <v>1</v>
      </c>
      <c r="M514" s="482">
        <v>1</v>
      </c>
      <c r="N514" s="524">
        <v>205</v>
      </c>
      <c r="O514" s="524"/>
      <c r="P514" s="524"/>
      <c r="Q514" s="524"/>
      <c r="R514" s="169" t="e">
        <f t="shared" si="73"/>
        <v>#DIV/0!</v>
      </c>
      <c r="S514" s="169">
        <f t="shared" si="74"/>
        <v>0</v>
      </c>
      <c r="T514" s="169">
        <f t="shared" si="75"/>
        <v>0</v>
      </c>
      <c r="U514" s="169">
        <f t="shared" si="76"/>
        <v>0</v>
      </c>
      <c r="V514" s="519"/>
      <c r="W514" s="170">
        <f>IF(N514="nio",0,IF(N514&gt;0,VLOOKUP(G514,'3-Productie normen'!A:N,VLOOKUP(N514,'3-Productie normen'!Q:R,2,FALSE),FALSE)))</f>
        <v>0</v>
      </c>
      <c r="X514" s="170">
        <f t="shared" si="77"/>
        <v>0</v>
      </c>
      <c r="Y514" s="170">
        <f t="shared" si="78"/>
        <v>0</v>
      </c>
      <c r="Z514" s="170">
        <f t="shared" si="79"/>
        <v>0</v>
      </c>
      <c r="AA514" s="171">
        <f>VLOOKUP(G514,'3-Productie normen'!A:N,10,FALSE)</f>
        <v>1</v>
      </c>
      <c r="AB514" s="171"/>
      <c r="AD514" s="131">
        <f t="shared" si="80"/>
        <v>2460</v>
      </c>
    </row>
    <row r="515" spans="1:30" ht="14.1" customHeight="1">
      <c r="A515" s="147">
        <v>514</v>
      </c>
      <c r="B515" s="523" t="s">
        <v>566</v>
      </c>
      <c r="C515" s="523" t="s">
        <v>567</v>
      </c>
      <c r="D515" s="570" t="s">
        <v>102</v>
      </c>
      <c r="E515" s="178" t="s">
        <v>252</v>
      </c>
      <c r="F515" s="178" t="s">
        <v>266</v>
      </c>
      <c r="G515" s="128" t="s">
        <v>373</v>
      </c>
      <c r="H515" s="178" t="s">
        <v>483</v>
      </c>
      <c r="I515" s="565">
        <v>14</v>
      </c>
      <c r="J515" s="482">
        <v>1</v>
      </c>
      <c r="K515" s="482">
        <v>1</v>
      </c>
      <c r="L515" s="482">
        <v>1</v>
      </c>
      <c r="M515" s="482">
        <v>1</v>
      </c>
      <c r="N515" s="524">
        <v>205</v>
      </c>
      <c r="O515" s="524"/>
      <c r="P515" s="524"/>
      <c r="Q515" s="524"/>
      <c r="R515" s="169" t="e">
        <f t="shared" si="73"/>
        <v>#DIV/0!</v>
      </c>
      <c r="S515" s="169">
        <f t="shared" si="74"/>
        <v>0</v>
      </c>
      <c r="T515" s="169">
        <f t="shared" si="75"/>
        <v>0</v>
      </c>
      <c r="U515" s="169">
        <f t="shared" si="76"/>
        <v>0</v>
      </c>
      <c r="V515" s="519"/>
      <c r="W515" s="170">
        <f>IF(N515="nio",0,IF(N515&gt;0,VLOOKUP(G515,'3-Productie normen'!A:N,VLOOKUP(N515,'3-Productie normen'!Q:R,2,FALSE),FALSE)))</f>
        <v>0</v>
      </c>
      <c r="X515" s="170">
        <f t="shared" si="77"/>
        <v>0</v>
      </c>
      <c r="Y515" s="170">
        <f t="shared" si="78"/>
        <v>0</v>
      </c>
      <c r="Z515" s="170">
        <f t="shared" si="79"/>
        <v>0</v>
      </c>
      <c r="AA515" s="171">
        <f>VLOOKUP(G515,'3-Productie normen'!A:N,10,FALSE)</f>
        <v>1</v>
      </c>
      <c r="AB515" s="171"/>
      <c r="AD515" s="131">
        <f t="shared" si="80"/>
        <v>2870</v>
      </c>
    </row>
    <row r="516" spans="1:30" ht="14.1" customHeight="1">
      <c r="A516" s="147">
        <v>515</v>
      </c>
      <c r="B516" s="523" t="s">
        <v>566</v>
      </c>
      <c r="C516" s="523" t="s">
        <v>567</v>
      </c>
      <c r="D516" s="570" t="s">
        <v>102</v>
      </c>
      <c r="E516" s="178" t="s">
        <v>254</v>
      </c>
      <c r="F516" s="178" t="s">
        <v>569</v>
      </c>
      <c r="G516" s="178" t="s">
        <v>373</v>
      </c>
      <c r="H516" s="178" t="s">
        <v>272</v>
      </c>
      <c r="I516" s="565">
        <v>45</v>
      </c>
      <c r="J516" s="482">
        <v>1</v>
      </c>
      <c r="K516" s="482">
        <v>1</v>
      </c>
      <c r="L516" s="482">
        <v>1</v>
      </c>
      <c r="M516" s="482">
        <v>1</v>
      </c>
      <c r="N516" s="524">
        <v>205</v>
      </c>
      <c r="O516" s="524"/>
      <c r="P516" s="524"/>
      <c r="Q516" s="524"/>
      <c r="R516" s="169" t="e">
        <f t="shared" si="73"/>
        <v>#DIV/0!</v>
      </c>
      <c r="S516" s="169">
        <f t="shared" si="74"/>
        <v>0</v>
      </c>
      <c r="T516" s="169">
        <f t="shared" si="75"/>
        <v>0</v>
      </c>
      <c r="U516" s="169">
        <f t="shared" si="76"/>
        <v>0</v>
      </c>
      <c r="V516" s="519"/>
      <c r="W516" s="170">
        <f>IF(N516="nio",0,IF(N516&gt;0,VLOOKUP(G516,'3-Productie normen'!A:N,VLOOKUP(N516,'3-Productie normen'!Q:R,2,FALSE),FALSE)))</f>
        <v>0</v>
      </c>
      <c r="X516" s="170">
        <f t="shared" si="77"/>
        <v>0</v>
      </c>
      <c r="Y516" s="170">
        <f t="shared" si="78"/>
        <v>0</v>
      </c>
      <c r="Z516" s="170">
        <f t="shared" si="79"/>
        <v>0</v>
      </c>
      <c r="AA516" s="171">
        <f>VLOOKUP(G516,'3-Productie normen'!A:N,10,FALSE)</f>
        <v>1</v>
      </c>
      <c r="AB516" s="171"/>
      <c r="AD516" s="131">
        <f t="shared" si="80"/>
        <v>9225</v>
      </c>
    </row>
    <row r="517" spans="1:30" ht="14.1" customHeight="1">
      <c r="A517" s="147">
        <v>516</v>
      </c>
      <c r="B517" s="523" t="s">
        <v>566</v>
      </c>
      <c r="C517" s="523" t="s">
        <v>567</v>
      </c>
      <c r="D517" s="570" t="s">
        <v>102</v>
      </c>
      <c r="E517" s="178" t="s">
        <v>256</v>
      </c>
      <c r="F517" s="178" t="s">
        <v>570</v>
      </c>
      <c r="G517" s="178" t="s">
        <v>199</v>
      </c>
      <c r="H517" s="178" t="s">
        <v>483</v>
      </c>
      <c r="I517" s="565">
        <v>13</v>
      </c>
      <c r="J517" s="482">
        <v>1</v>
      </c>
      <c r="K517" s="482">
        <v>1</v>
      </c>
      <c r="L517" s="482">
        <v>1</v>
      </c>
      <c r="M517" s="482">
        <v>1</v>
      </c>
      <c r="N517" s="524" t="s">
        <v>199</v>
      </c>
      <c r="O517" s="524"/>
      <c r="P517" s="524"/>
      <c r="Q517" s="524"/>
      <c r="R517" s="169">
        <f t="shared" si="73"/>
        <v>0</v>
      </c>
      <c r="S517" s="169">
        <f t="shared" si="74"/>
        <v>0</v>
      </c>
      <c r="T517" s="169">
        <f t="shared" si="75"/>
        <v>0</v>
      </c>
      <c r="U517" s="169">
        <f t="shared" si="76"/>
        <v>0</v>
      </c>
      <c r="V517" s="519"/>
      <c r="W517" s="170">
        <f>IF(N517="nio",0,IF(N517&gt;0,VLOOKUP(G517,'3-Productie normen'!A:N,VLOOKUP(N517,'3-Productie normen'!Q:R,2,FALSE),FALSE)))</f>
        <v>0</v>
      </c>
      <c r="X517" s="170">
        <f t="shared" si="77"/>
        <v>0</v>
      </c>
      <c r="Y517" s="170">
        <f t="shared" si="78"/>
        <v>0</v>
      </c>
      <c r="Z517" s="170">
        <f t="shared" si="79"/>
        <v>0</v>
      </c>
      <c r="AA517" s="171">
        <f>VLOOKUP(G517,'3-Productie normen'!A:N,10,FALSE)</f>
        <v>0</v>
      </c>
      <c r="AB517" s="171"/>
      <c r="AD517" s="131">
        <f t="shared" si="80"/>
        <v>0</v>
      </c>
    </row>
    <row r="518" spans="1:30" ht="14.1" customHeight="1">
      <c r="A518" s="147">
        <v>517</v>
      </c>
      <c r="B518" s="523" t="s">
        <v>566</v>
      </c>
      <c r="C518" s="523" t="s">
        <v>567</v>
      </c>
      <c r="D518" s="570" t="s">
        <v>102</v>
      </c>
      <c r="E518" s="178" t="s">
        <v>258</v>
      </c>
      <c r="F518" s="178" t="s">
        <v>571</v>
      </c>
      <c r="G518" s="165" t="s">
        <v>199</v>
      </c>
      <c r="H518" s="178" t="s">
        <v>483</v>
      </c>
      <c r="I518" s="565">
        <v>4</v>
      </c>
      <c r="J518" s="482">
        <v>1</v>
      </c>
      <c r="K518" s="482">
        <v>1</v>
      </c>
      <c r="L518" s="482">
        <v>1</v>
      </c>
      <c r="M518" s="482">
        <v>1</v>
      </c>
      <c r="N518" s="524" t="s">
        <v>199</v>
      </c>
      <c r="O518" s="524"/>
      <c r="P518" s="524"/>
      <c r="Q518" s="524"/>
      <c r="R518" s="169">
        <f t="shared" si="73"/>
        <v>0</v>
      </c>
      <c r="S518" s="169">
        <f t="shared" si="74"/>
        <v>0</v>
      </c>
      <c r="T518" s="169">
        <f t="shared" si="75"/>
        <v>0</v>
      </c>
      <c r="U518" s="169">
        <f t="shared" si="76"/>
        <v>0</v>
      </c>
      <c r="V518" s="519"/>
      <c r="W518" s="170">
        <f>IF(N518="nio",0,IF(N518&gt;0,VLOOKUP(G518,'3-Productie normen'!A:N,VLOOKUP(N518,'3-Productie normen'!Q:R,2,FALSE),FALSE)))</f>
        <v>0</v>
      </c>
      <c r="X518" s="170">
        <f t="shared" si="77"/>
        <v>0</v>
      </c>
      <c r="Y518" s="170">
        <f t="shared" si="78"/>
        <v>0</v>
      </c>
      <c r="Z518" s="170">
        <f t="shared" si="79"/>
        <v>0</v>
      </c>
      <c r="AA518" s="171">
        <f>VLOOKUP(G518,'3-Productie normen'!A:N,10,FALSE)</f>
        <v>0</v>
      </c>
      <c r="AB518" s="171"/>
      <c r="AD518" s="131">
        <f t="shared" si="80"/>
        <v>0</v>
      </c>
    </row>
    <row r="519" spans="1:30" ht="14.1" customHeight="1">
      <c r="A519" s="147">
        <v>518</v>
      </c>
      <c r="B519" s="523" t="s">
        <v>566</v>
      </c>
      <c r="C519" s="523" t="s">
        <v>567</v>
      </c>
      <c r="D519" s="570" t="s">
        <v>102</v>
      </c>
      <c r="E519" s="178" t="s">
        <v>259</v>
      </c>
      <c r="F519" s="601" t="s">
        <v>280</v>
      </c>
      <c r="G519" s="178" t="s">
        <v>107</v>
      </c>
      <c r="H519" s="178" t="s">
        <v>483</v>
      </c>
      <c r="I519" s="565">
        <v>46</v>
      </c>
      <c r="J519" s="482">
        <v>1</v>
      </c>
      <c r="K519" s="482">
        <v>1</v>
      </c>
      <c r="L519" s="482">
        <v>1</v>
      </c>
      <c r="M519" s="482">
        <v>1</v>
      </c>
      <c r="N519" s="524">
        <v>205</v>
      </c>
      <c r="O519" s="524"/>
      <c r="P519" s="524"/>
      <c r="Q519" s="524"/>
      <c r="R519" s="169" t="e">
        <f t="shared" si="73"/>
        <v>#DIV/0!</v>
      </c>
      <c r="S519" s="169">
        <f t="shared" si="74"/>
        <v>0</v>
      </c>
      <c r="T519" s="169">
        <f t="shared" si="75"/>
        <v>0</v>
      </c>
      <c r="U519" s="169">
        <f t="shared" si="76"/>
        <v>0</v>
      </c>
      <c r="V519" s="519"/>
      <c r="W519" s="170">
        <f>IF(N519="nio",0,IF(N519&gt;0,VLOOKUP(G519,'3-Productie normen'!A:N,VLOOKUP(N519,'3-Productie normen'!Q:R,2,FALSE),FALSE)))</f>
        <v>0</v>
      </c>
      <c r="X519" s="170">
        <f t="shared" si="77"/>
        <v>0</v>
      </c>
      <c r="Y519" s="170">
        <f t="shared" si="78"/>
        <v>0</v>
      </c>
      <c r="Z519" s="170">
        <f t="shared" si="79"/>
        <v>0</v>
      </c>
      <c r="AA519" s="171">
        <f>VLOOKUP(G519,'3-Productie normen'!A:N,10,FALSE)</f>
        <v>2</v>
      </c>
      <c r="AB519" s="171"/>
      <c r="AD519" s="131">
        <f t="shared" si="80"/>
        <v>9430</v>
      </c>
    </row>
    <row r="520" spans="1:30" ht="14.1" customHeight="1">
      <c r="A520" s="147">
        <v>519</v>
      </c>
      <c r="B520" s="523" t="s">
        <v>572</v>
      </c>
      <c r="C520" s="523" t="s">
        <v>573</v>
      </c>
      <c r="D520" s="570" t="s">
        <v>102</v>
      </c>
      <c r="E520" s="536" t="s">
        <v>247</v>
      </c>
      <c r="F520" s="603" t="s">
        <v>103</v>
      </c>
      <c r="G520" s="597" t="s">
        <v>583</v>
      </c>
      <c r="H520" s="178" t="s">
        <v>104</v>
      </c>
      <c r="I520" s="565">
        <v>124.76</v>
      </c>
      <c r="J520" s="482">
        <v>1</v>
      </c>
      <c r="K520" s="482">
        <v>1</v>
      </c>
      <c r="L520" s="482">
        <v>1</v>
      </c>
      <c r="M520" s="482">
        <v>1</v>
      </c>
      <c r="N520" s="524">
        <v>205</v>
      </c>
      <c r="O520" s="524"/>
      <c r="P520" s="524"/>
      <c r="Q520" s="524"/>
      <c r="R520" s="169" t="e">
        <f t="shared" ref="R520:R531" si="81">IF(N520="nio",0,IF(N520&gt;0,N520*I520/W520,0))*J520</f>
        <v>#DIV/0!</v>
      </c>
      <c r="S520" s="169">
        <f t="shared" ref="S520:S531" si="82">IF(O520&gt;0,O520*I520/X520,0)*K520</f>
        <v>0</v>
      </c>
      <c r="T520" s="169">
        <f t="shared" ref="T520:T531" si="83">IF(P520&gt;0,P520*I520/Y520,0)*L520</f>
        <v>0</v>
      </c>
      <c r="U520" s="169">
        <f t="shared" ref="U520:U531" si="84">IF(Q520&gt;0,Q520*I520/Z520,0)*M520</f>
        <v>0</v>
      </c>
      <c r="V520" s="519"/>
      <c r="W520" s="170">
        <f>IF(N520="nio",0,IF(N520&gt;0,VLOOKUP(G520,'3-Productie normen'!A:N,VLOOKUP(N520,'3-Productie normen'!Q:R,2,FALSE),FALSE)))</f>
        <v>0</v>
      </c>
      <c r="X520" s="170">
        <f t="shared" ref="X520:X531" si="85">IF(O520&gt;0,W520*$X$8,0)</f>
        <v>0</v>
      </c>
      <c r="Y520" s="170">
        <f t="shared" ref="Y520:Y531" si="86">IF(P520&gt;0,W520*$Y$8,0)</f>
        <v>0</v>
      </c>
      <c r="Z520" s="170">
        <f t="shared" ref="Z520:Z531" si="87">IF(Q520&gt;0,W520*$Z$8,0)</f>
        <v>0</v>
      </c>
      <c r="AA520" s="171">
        <f>VLOOKUP(G520,'3-Productie normen'!A:N,10,FALSE)</f>
        <v>4</v>
      </c>
      <c r="AB520" s="171"/>
      <c r="AD520" s="131">
        <f t="shared" ref="AD520:AD531" si="88">SUM(N520:P520)*I520</f>
        <v>25575.8</v>
      </c>
    </row>
    <row r="521" spans="1:30" ht="14.1" customHeight="1">
      <c r="A521" s="147">
        <v>520</v>
      </c>
      <c r="B521" s="523" t="s">
        <v>572</v>
      </c>
      <c r="C521" s="523" t="s">
        <v>573</v>
      </c>
      <c r="D521" s="570" t="s">
        <v>102</v>
      </c>
      <c r="E521" s="536" t="s">
        <v>248</v>
      </c>
      <c r="F521" s="603" t="s">
        <v>291</v>
      </c>
      <c r="G521" s="598" t="s">
        <v>373</v>
      </c>
      <c r="H521" s="178" t="s">
        <v>104</v>
      </c>
      <c r="I521" s="565">
        <v>16.88</v>
      </c>
      <c r="J521" s="482">
        <v>1</v>
      </c>
      <c r="K521" s="482">
        <v>1</v>
      </c>
      <c r="L521" s="482">
        <v>1</v>
      </c>
      <c r="M521" s="482">
        <v>1</v>
      </c>
      <c r="N521" s="524">
        <v>205</v>
      </c>
      <c r="O521" s="524"/>
      <c r="P521" s="524"/>
      <c r="Q521" s="524"/>
      <c r="R521" s="169" t="e">
        <f t="shared" si="81"/>
        <v>#DIV/0!</v>
      </c>
      <c r="S521" s="169">
        <f t="shared" si="82"/>
        <v>0</v>
      </c>
      <c r="T521" s="169">
        <f t="shared" si="83"/>
        <v>0</v>
      </c>
      <c r="U521" s="169">
        <f t="shared" si="84"/>
        <v>0</v>
      </c>
      <c r="V521" s="519"/>
      <c r="W521" s="170">
        <f>IF(N521="nio",0,IF(N521&gt;0,VLOOKUP(G521,'3-Productie normen'!A:N,VLOOKUP(N521,'3-Productie normen'!Q:R,2,FALSE),FALSE)))</f>
        <v>0</v>
      </c>
      <c r="X521" s="170">
        <f t="shared" si="85"/>
        <v>0</v>
      </c>
      <c r="Y521" s="170">
        <f t="shared" si="86"/>
        <v>0</v>
      </c>
      <c r="Z521" s="170">
        <f t="shared" si="87"/>
        <v>0</v>
      </c>
      <c r="AA521" s="171">
        <f>VLOOKUP(G521,'3-Productie normen'!A:N,10,FALSE)</f>
        <v>1</v>
      </c>
      <c r="AB521" s="171"/>
      <c r="AD521" s="131">
        <f t="shared" si="88"/>
        <v>3460.3999999999996</v>
      </c>
    </row>
    <row r="522" spans="1:30" ht="14.1" customHeight="1">
      <c r="A522" s="147">
        <v>521</v>
      </c>
      <c r="B522" s="523" t="s">
        <v>572</v>
      </c>
      <c r="C522" s="523" t="s">
        <v>573</v>
      </c>
      <c r="D522" s="570" t="s">
        <v>102</v>
      </c>
      <c r="E522" s="178" t="s">
        <v>250</v>
      </c>
      <c r="F522" s="538" t="s">
        <v>262</v>
      </c>
      <c r="G522" s="128" t="s">
        <v>373</v>
      </c>
      <c r="H522" s="178" t="s">
        <v>104</v>
      </c>
      <c r="I522" s="565">
        <v>11.69</v>
      </c>
      <c r="J522" s="482">
        <v>1</v>
      </c>
      <c r="K522" s="482">
        <v>1</v>
      </c>
      <c r="L522" s="482">
        <v>1</v>
      </c>
      <c r="M522" s="482">
        <v>1</v>
      </c>
      <c r="N522" s="524">
        <v>205</v>
      </c>
      <c r="O522" s="524"/>
      <c r="P522" s="524"/>
      <c r="Q522" s="524"/>
      <c r="R522" s="169" t="e">
        <f t="shared" si="81"/>
        <v>#DIV/0!</v>
      </c>
      <c r="S522" s="169">
        <f t="shared" si="82"/>
        <v>0</v>
      </c>
      <c r="T522" s="169">
        <f t="shared" si="83"/>
        <v>0</v>
      </c>
      <c r="U522" s="169">
        <f t="shared" si="84"/>
        <v>0</v>
      </c>
      <c r="V522" s="519"/>
      <c r="W522" s="170">
        <f>IF(N522="nio",0,IF(N522&gt;0,VLOOKUP(G522,'3-Productie normen'!A:N,VLOOKUP(N522,'3-Productie normen'!Q:R,2,FALSE),FALSE)))</f>
        <v>0</v>
      </c>
      <c r="X522" s="170">
        <f t="shared" si="85"/>
        <v>0</v>
      </c>
      <c r="Y522" s="170">
        <f t="shared" si="86"/>
        <v>0</v>
      </c>
      <c r="Z522" s="170">
        <f t="shared" si="87"/>
        <v>0</v>
      </c>
      <c r="AA522" s="171">
        <f>VLOOKUP(G522,'3-Productie normen'!A:N,10,FALSE)</f>
        <v>1</v>
      </c>
      <c r="AB522" s="171"/>
      <c r="AD522" s="131">
        <f t="shared" si="88"/>
        <v>2396.4499999999998</v>
      </c>
    </row>
    <row r="523" spans="1:30" ht="14.1" customHeight="1">
      <c r="A523" s="147">
        <v>522</v>
      </c>
      <c r="B523" s="523" t="s">
        <v>572</v>
      </c>
      <c r="C523" s="523" t="s">
        <v>573</v>
      </c>
      <c r="D523" s="570" t="s">
        <v>102</v>
      </c>
      <c r="E523" s="178" t="s">
        <v>252</v>
      </c>
      <c r="F523" s="178" t="s">
        <v>264</v>
      </c>
      <c r="G523" s="128" t="s">
        <v>373</v>
      </c>
      <c r="H523" s="178" t="s">
        <v>104</v>
      </c>
      <c r="I523" s="565">
        <v>11.69</v>
      </c>
      <c r="J523" s="482">
        <v>1</v>
      </c>
      <c r="K523" s="482">
        <v>1</v>
      </c>
      <c r="L523" s="482">
        <v>1</v>
      </c>
      <c r="M523" s="482">
        <v>1</v>
      </c>
      <c r="N523" s="524">
        <v>205</v>
      </c>
      <c r="O523" s="524"/>
      <c r="P523" s="524"/>
      <c r="Q523" s="524"/>
      <c r="R523" s="169" t="e">
        <f t="shared" si="81"/>
        <v>#DIV/0!</v>
      </c>
      <c r="S523" s="169">
        <f t="shared" si="82"/>
        <v>0</v>
      </c>
      <c r="T523" s="169">
        <f t="shared" si="83"/>
        <v>0</v>
      </c>
      <c r="U523" s="169">
        <f t="shared" si="84"/>
        <v>0</v>
      </c>
      <c r="V523" s="519"/>
      <c r="W523" s="170">
        <f>IF(N523="nio",0,IF(N523&gt;0,VLOOKUP(G523,'3-Productie normen'!A:N,VLOOKUP(N523,'3-Productie normen'!Q:R,2,FALSE),FALSE)))</f>
        <v>0</v>
      </c>
      <c r="X523" s="170">
        <f t="shared" si="85"/>
        <v>0</v>
      </c>
      <c r="Y523" s="170">
        <f t="shared" si="86"/>
        <v>0</v>
      </c>
      <c r="Z523" s="170">
        <f t="shared" si="87"/>
        <v>0</v>
      </c>
      <c r="AA523" s="171">
        <f>VLOOKUP(G523,'3-Productie normen'!A:N,10,FALSE)</f>
        <v>1</v>
      </c>
      <c r="AB523" s="171"/>
      <c r="AD523" s="131">
        <f t="shared" si="88"/>
        <v>2396.4499999999998</v>
      </c>
    </row>
    <row r="524" spans="1:30" ht="14.1" customHeight="1">
      <c r="A524" s="147">
        <v>523</v>
      </c>
      <c r="B524" s="523" t="s">
        <v>572</v>
      </c>
      <c r="C524" s="523" t="s">
        <v>573</v>
      </c>
      <c r="D524" s="570" t="s">
        <v>102</v>
      </c>
      <c r="E524" s="178" t="s">
        <v>254</v>
      </c>
      <c r="F524" s="601" t="s">
        <v>266</v>
      </c>
      <c r="G524" s="128" t="s">
        <v>373</v>
      </c>
      <c r="H524" s="178" t="s">
        <v>104</v>
      </c>
      <c r="I524" s="565">
        <v>11.69</v>
      </c>
      <c r="J524" s="482">
        <v>1</v>
      </c>
      <c r="K524" s="482">
        <v>1</v>
      </c>
      <c r="L524" s="482">
        <v>1</v>
      </c>
      <c r="M524" s="482">
        <v>1</v>
      </c>
      <c r="N524" s="524">
        <v>205</v>
      </c>
      <c r="O524" s="524"/>
      <c r="P524" s="524"/>
      <c r="Q524" s="524"/>
      <c r="R524" s="169" t="e">
        <f t="shared" si="81"/>
        <v>#DIV/0!</v>
      </c>
      <c r="S524" s="169">
        <f t="shared" si="82"/>
        <v>0</v>
      </c>
      <c r="T524" s="169">
        <f t="shared" si="83"/>
        <v>0</v>
      </c>
      <c r="U524" s="169">
        <f t="shared" si="84"/>
        <v>0</v>
      </c>
      <c r="V524" s="519"/>
      <c r="W524" s="170">
        <f>IF(N524="nio",0,IF(N524&gt;0,VLOOKUP(G524,'3-Productie normen'!A:N,VLOOKUP(N524,'3-Productie normen'!Q:R,2,FALSE),FALSE)))</f>
        <v>0</v>
      </c>
      <c r="X524" s="170">
        <f t="shared" si="85"/>
        <v>0</v>
      </c>
      <c r="Y524" s="170">
        <f t="shared" si="86"/>
        <v>0</v>
      </c>
      <c r="Z524" s="170">
        <f t="shared" si="87"/>
        <v>0</v>
      </c>
      <c r="AA524" s="171">
        <f>VLOOKUP(G524,'3-Productie normen'!A:N,10,FALSE)</f>
        <v>1</v>
      </c>
      <c r="AB524" s="171"/>
      <c r="AD524" s="131">
        <f t="shared" si="88"/>
        <v>2396.4499999999998</v>
      </c>
    </row>
    <row r="525" spans="1:30" ht="14.1" customHeight="1">
      <c r="A525" s="147">
        <v>524</v>
      </c>
      <c r="B525" s="523" t="s">
        <v>572</v>
      </c>
      <c r="C525" s="523" t="s">
        <v>573</v>
      </c>
      <c r="D525" s="570" t="s">
        <v>102</v>
      </c>
      <c r="E525" s="536" t="s">
        <v>256</v>
      </c>
      <c r="F525" s="604" t="s">
        <v>260</v>
      </c>
      <c r="G525" s="599" t="s">
        <v>578</v>
      </c>
      <c r="H525" s="178" t="s">
        <v>104</v>
      </c>
      <c r="I525" s="565">
        <v>10</v>
      </c>
      <c r="J525" s="482">
        <v>1</v>
      </c>
      <c r="K525" s="482">
        <v>1</v>
      </c>
      <c r="L525" s="482">
        <v>1</v>
      </c>
      <c r="M525" s="482">
        <v>1</v>
      </c>
      <c r="N525" s="524">
        <v>12</v>
      </c>
      <c r="O525" s="524"/>
      <c r="P525" s="524"/>
      <c r="Q525" s="524"/>
      <c r="R525" s="169" t="e">
        <f t="shared" si="81"/>
        <v>#DIV/0!</v>
      </c>
      <c r="S525" s="169">
        <f t="shared" si="82"/>
        <v>0</v>
      </c>
      <c r="T525" s="169">
        <f t="shared" si="83"/>
        <v>0</v>
      </c>
      <c r="U525" s="169">
        <f t="shared" si="84"/>
        <v>0</v>
      </c>
      <c r="V525" s="519"/>
      <c r="W525" s="170">
        <f>IF(N525="nio",0,IF(N525&gt;0,VLOOKUP(G525,'3-Productie normen'!A:N,VLOOKUP(N525,'3-Productie normen'!Q:R,2,FALSE),FALSE)))</f>
        <v>0</v>
      </c>
      <c r="X525" s="170">
        <f t="shared" si="85"/>
        <v>0</v>
      </c>
      <c r="Y525" s="170">
        <f t="shared" si="86"/>
        <v>0</v>
      </c>
      <c r="Z525" s="170">
        <f t="shared" si="87"/>
        <v>0</v>
      </c>
      <c r="AA525" s="171">
        <f>VLOOKUP(G525,'3-Productie normen'!A:N,10,FALSE)</f>
        <v>4</v>
      </c>
      <c r="AB525" s="171"/>
      <c r="AD525" s="131">
        <f t="shared" si="88"/>
        <v>120</v>
      </c>
    </row>
    <row r="526" spans="1:30" ht="14.1" customHeight="1">
      <c r="A526" s="147">
        <v>525</v>
      </c>
      <c r="B526" s="523" t="s">
        <v>572</v>
      </c>
      <c r="C526" s="523" t="s">
        <v>573</v>
      </c>
      <c r="D526" s="570" t="s">
        <v>102</v>
      </c>
      <c r="E526" s="178" t="s">
        <v>258</v>
      </c>
      <c r="F526" s="538" t="s">
        <v>302</v>
      </c>
      <c r="G526" s="165" t="s">
        <v>199</v>
      </c>
      <c r="H526" s="178" t="s">
        <v>104</v>
      </c>
      <c r="I526" s="565">
        <v>2.2999999999999998</v>
      </c>
      <c r="J526" s="482">
        <v>1</v>
      </c>
      <c r="K526" s="482">
        <v>1</v>
      </c>
      <c r="L526" s="482">
        <v>1</v>
      </c>
      <c r="M526" s="482">
        <v>1</v>
      </c>
      <c r="N526" s="524" t="s">
        <v>199</v>
      </c>
      <c r="O526" s="524"/>
      <c r="P526" s="524"/>
      <c r="Q526" s="524"/>
      <c r="R526" s="169">
        <f t="shared" si="81"/>
        <v>0</v>
      </c>
      <c r="S526" s="169">
        <f t="shared" si="82"/>
        <v>0</v>
      </c>
      <c r="T526" s="169">
        <f t="shared" si="83"/>
        <v>0</v>
      </c>
      <c r="U526" s="169">
        <f t="shared" si="84"/>
        <v>0</v>
      </c>
      <c r="V526" s="519"/>
      <c r="W526" s="170">
        <f>IF(N526="nio",0,IF(N526&gt;0,VLOOKUP(G526,'3-Productie normen'!A:N,VLOOKUP(N526,'3-Productie normen'!Q:R,2,FALSE),FALSE)))</f>
        <v>0</v>
      </c>
      <c r="X526" s="170">
        <f t="shared" si="85"/>
        <v>0</v>
      </c>
      <c r="Y526" s="170">
        <f t="shared" si="86"/>
        <v>0</v>
      </c>
      <c r="Z526" s="170">
        <f t="shared" si="87"/>
        <v>0</v>
      </c>
      <c r="AA526" s="171">
        <f>VLOOKUP(G526,'3-Productie normen'!A:N,10,FALSE)</f>
        <v>0</v>
      </c>
      <c r="AB526" s="171"/>
      <c r="AD526" s="131">
        <f t="shared" si="88"/>
        <v>0</v>
      </c>
    </row>
    <row r="527" spans="1:30" ht="14.1" customHeight="1">
      <c r="A527" s="147">
        <v>526</v>
      </c>
      <c r="B527" s="523" t="s">
        <v>572</v>
      </c>
      <c r="C527" s="523" t="s">
        <v>573</v>
      </c>
      <c r="D527" s="570" t="s">
        <v>102</v>
      </c>
      <c r="E527" s="178" t="s">
        <v>259</v>
      </c>
      <c r="F527" s="178" t="s">
        <v>287</v>
      </c>
      <c r="G527" s="167" t="s">
        <v>17</v>
      </c>
      <c r="H527" s="178" t="s">
        <v>105</v>
      </c>
      <c r="I527" s="565">
        <v>5.78</v>
      </c>
      <c r="J527" s="482">
        <v>1</v>
      </c>
      <c r="K527" s="482">
        <v>1</v>
      </c>
      <c r="L527" s="482">
        <v>1</v>
      </c>
      <c r="M527" s="482">
        <v>1</v>
      </c>
      <c r="N527" s="524">
        <v>205</v>
      </c>
      <c r="O527" s="524"/>
      <c r="P527" s="524"/>
      <c r="Q527" s="524"/>
      <c r="R527" s="169" t="e">
        <f t="shared" si="81"/>
        <v>#DIV/0!</v>
      </c>
      <c r="S527" s="169">
        <f t="shared" si="82"/>
        <v>0</v>
      </c>
      <c r="T527" s="169">
        <f t="shared" si="83"/>
        <v>0</v>
      </c>
      <c r="U527" s="169">
        <f t="shared" si="84"/>
        <v>0</v>
      </c>
      <c r="V527" s="519"/>
      <c r="W527" s="170">
        <f>IF(N527="nio",0,IF(N527&gt;0,VLOOKUP(G527,'3-Productie normen'!A:N,VLOOKUP(N527,'3-Productie normen'!Q:R,2,FALSE),FALSE)))</f>
        <v>0</v>
      </c>
      <c r="X527" s="170">
        <f t="shared" si="85"/>
        <v>0</v>
      </c>
      <c r="Y527" s="170">
        <f t="shared" si="86"/>
        <v>0</v>
      </c>
      <c r="Z527" s="170">
        <f t="shared" si="87"/>
        <v>0</v>
      </c>
      <c r="AA527" s="171">
        <f>VLOOKUP(G527,'3-Productie normen'!A:N,10,FALSE)</f>
        <v>3</v>
      </c>
      <c r="AB527" s="171"/>
      <c r="AD527" s="131">
        <f t="shared" si="88"/>
        <v>1184.9000000000001</v>
      </c>
    </row>
    <row r="528" spans="1:30" ht="14.1" customHeight="1">
      <c r="A528" s="147">
        <v>527</v>
      </c>
      <c r="B528" s="523" t="s">
        <v>572</v>
      </c>
      <c r="C528" s="523" t="s">
        <v>573</v>
      </c>
      <c r="D528" s="570" t="s">
        <v>102</v>
      </c>
      <c r="E528" s="178" t="s">
        <v>261</v>
      </c>
      <c r="F528" s="602" t="s">
        <v>257</v>
      </c>
      <c r="G528" s="167" t="s">
        <v>17</v>
      </c>
      <c r="H528" s="178" t="s">
        <v>105</v>
      </c>
      <c r="I528" s="565">
        <v>7.03</v>
      </c>
      <c r="J528" s="482">
        <v>1</v>
      </c>
      <c r="K528" s="482">
        <v>1</v>
      </c>
      <c r="L528" s="482">
        <v>1</v>
      </c>
      <c r="M528" s="482">
        <v>1</v>
      </c>
      <c r="N528" s="524">
        <v>205</v>
      </c>
      <c r="O528" s="524"/>
      <c r="P528" s="524"/>
      <c r="Q528" s="524"/>
      <c r="R528" s="169" t="e">
        <f t="shared" si="81"/>
        <v>#DIV/0!</v>
      </c>
      <c r="S528" s="169">
        <f t="shared" si="82"/>
        <v>0</v>
      </c>
      <c r="T528" s="169">
        <f t="shared" si="83"/>
        <v>0</v>
      </c>
      <c r="U528" s="169">
        <f t="shared" si="84"/>
        <v>0</v>
      </c>
      <c r="V528" s="519"/>
      <c r="W528" s="170">
        <f>IF(N528="nio",0,IF(N528&gt;0,VLOOKUP(G528,'3-Productie normen'!A:N,VLOOKUP(N528,'3-Productie normen'!Q:R,2,FALSE),FALSE)))</f>
        <v>0</v>
      </c>
      <c r="X528" s="170">
        <f t="shared" si="85"/>
        <v>0</v>
      </c>
      <c r="Y528" s="170">
        <f t="shared" si="86"/>
        <v>0</v>
      </c>
      <c r="Z528" s="170">
        <f t="shared" si="87"/>
        <v>0</v>
      </c>
      <c r="AA528" s="171">
        <f>VLOOKUP(G528,'3-Productie normen'!A:N,10,FALSE)</f>
        <v>3</v>
      </c>
      <c r="AB528" s="171"/>
      <c r="AD528" s="131">
        <f t="shared" si="88"/>
        <v>1441.15</v>
      </c>
    </row>
    <row r="529" spans="1:30" ht="14.1" customHeight="1">
      <c r="A529" s="147">
        <v>528</v>
      </c>
      <c r="B529" s="523" t="s">
        <v>572</v>
      </c>
      <c r="C529" s="523" t="s">
        <v>573</v>
      </c>
      <c r="D529" s="570" t="s">
        <v>102</v>
      </c>
      <c r="E529" s="536" t="s">
        <v>263</v>
      </c>
      <c r="F529" s="603" t="s">
        <v>605</v>
      </c>
      <c r="G529" s="598" t="s">
        <v>107</v>
      </c>
      <c r="H529" s="178" t="s">
        <v>104</v>
      </c>
      <c r="I529" s="565">
        <v>26.3</v>
      </c>
      <c r="J529" s="482">
        <v>1</v>
      </c>
      <c r="K529" s="482">
        <v>1</v>
      </c>
      <c r="L529" s="482">
        <v>1</v>
      </c>
      <c r="M529" s="482">
        <v>1</v>
      </c>
      <c r="N529" s="524">
        <v>205</v>
      </c>
      <c r="O529" s="524"/>
      <c r="P529" s="524"/>
      <c r="Q529" s="524"/>
      <c r="R529" s="169" t="e">
        <f t="shared" si="81"/>
        <v>#DIV/0!</v>
      </c>
      <c r="S529" s="169">
        <f t="shared" si="82"/>
        <v>0</v>
      </c>
      <c r="T529" s="169">
        <f t="shared" si="83"/>
        <v>0</v>
      </c>
      <c r="U529" s="169">
        <f t="shared" si="84"/>
        <v>0</v>
      </c>
      <c r="V529" s="519"/>
      <c r="W529" s="170">
        <f>IF(N529="nio",0,IF(N529&gt;0,VLOOKUP(G529,'3-Productie normen'!A:N,VLOOKUP(N529,'3-Productie normen'!Q:R,2,FALSE),FALSE)))</f>
        <v>0</v>
      </c>
      <c r="X529" s="170">
        <f t="shared" si="85"/>
        <v>0</v>
      </c>
      <c r="Y529" s="170">
        <f t="shared" si="86"/>
        <v>0</v>
      </c>
      <c r="Z529" s="170">
        <f t="shared" si="87"/>
        <v>0</v>
      </c>
      <c r="AA529" s="171">
        <f>VLOOKUP(G529,'3-Productie normen'!A:N,10,FALSE)</f>
        <v>2</v>
      </c>
      <c r="AB529" s="171"/>
      <c r="AD529" s="131">
        <f t="shared" si="88"/>
        <v>5391.5</v>
      </c>
    </row>
    <row r="530" spans="1:30" ht="14.1" customHeight="1">
      <c r="A530" s="147">
        <v>529</v>
      </c>
      <c r="B530" s="523" t="s">
        <v>572</v>
      </c>
      <c r="C530" s="523" t="s">
        <v>573</v>
      </c>
      <c r="D530" s="570" t="s">
        <v>102</v>
      </c>
      <c r="E530" s="536" t="s">
        <v>265</v>
      </c>
      <c r="F530" s="603" t="s">
        <v>291</v>
      </c>
      <c r="G530" s="598" t="s">
        <v>373</v>
      </c>
      <c r="H530" s="178" t="s">
        <v>272</v>
      </c>
      <c r="I530" s="565">
        <v>34.39</v>
      </c>
      <c r="J530" s="482">
        <v>1</v>
      </c>
      <c r="K530" s="482">
        <v>1</v>
      </c>
      <c r="L530" s="482">
        <v>1</v>
      </c>
      <c r="M530" s="482">
        <v>1</v>
      </c>
      <c r="N530" s="524">
        <v>205</v>
      </c>
      <c r="O530" s="524"/>
      <c r="P530" s="524"/>
      <c r="Q530" s="524"/>
      <c r="R530" s="169" t="e">
        <f t="shared" si="81"/>
        <v>#DIV/0!</v>
      </c>
      <c r="S530" s="169">
        <f t="shared" si="82"/>
        <v>0</v>
      </c>
      <c r="T530" s="169">
        <f t="shared" si="83"/>
        <v>0</v>
      </c>
      <c r="U530" s="169">
        <f t="shared" si="84"/>
        <v>0</v>
      </c>
      <c r="V530" s="519"/>
      <c r="W530" s="170">
        <f>IF(N530="nio",0,IF(N530&gt;0,VLOOKUP(G530,'3-Productie normen'!A:N,VLOOKUP(N530,'3-Productie normen'!Q:R,2,FALSE),FALSE)))</f>
        <v>0</v>
      </c>
      <c r="X530" s="170">
        <f t="shared" si="85"/>
        <v>0</v>
      </c>
      <c r="Y530" s="170">
        <f t="shared" si="86"/>
        <v>0</v>
      </c>
      <c r="Z530" s="170">
        <f t="shared" si="87"/>
        <v>0</v>
      </c>
      <c r="AA530" s="171">
        <f>VLOOKUP(G530,'3-Productie normen'!A:N,10,FALSE)</f>
        <v>1</v>
      </c>
      <c r="AB530" s="171"/>
      <c r="AD530" s="131">
        <f t="shared" si="88"/>
        <v>7049.95</v>
      </c>
    </row>
    <row r="531" spans="1:30" ht="14.1" customHeight="1">
      <c r="A531" s="147">
        <v>530</v>
      </c>
      <c r="B531" s="523" t="s">
        <v>572</v>
      </c>
      <c r="C531" s="523" t="s">
        <v>573</v>
      </c>
      <c r="D531" s="570" t="s">
        <v>102</v>
      </c>
      <c r="E531" s="536" t="s">
        <v>267</v>
      </c>
      <c r="F531" s="603" t="s">
        <v>251</v>
      </c>
      <c r="G531" s="600" t="s">
        <v>373</v>
      </c>
      <c r="H531" s="178" t="s">
        <v>104</v>
      </c>
      <c r="I531" s="565">
        <v>17.04</v>
      </c>
      <c r="J531" s="482">
        <v>1</v>
      </c>
      <c r="K531" s="482">
        <v>1</v>
      </c>
      <c r="L531" s="482">
        <v>1</v>
      </c>
      <c r="M531" s="482">
        <v>1</v>
      </c>
      <c r="N531" s="524">
        <v>205</v>
      </c>
      <c r="O531" s="524"/>
      <c r="P531" s="524"/>
      <c r="Q531" s="524"/>
      <c r="R531" s="169" t="e">
        <f t="shared" si="81"/>
        <v>#DIV/0!</v>
      </c>
      <c r="S531" s="169">
        <f t="shared" si="82"/>
        <v>0</v>
      </c>
      <c r="T531" s="169">
        <f t="shared" si="83"/>
        <v>0</v>
      </c>
      <c r="U531" s="169">
        <f t="shared" si="84"/>
        <v>0</v>
      </c>
      <c r="V531" s="519"/>
      <c r="W531" s="170">
        <f>IF(N531="nio",0,IF(N531&gt;0,VLOOKUP(G531,'3-Productie normen'!A:N,VLOOKUP(N531,'3-Productie normen'!Q:R,2,FALSE),FALSE)))</f>
        <v>0</v>
      </c>
      <c r="X531" s="170">
        <f t="shared" si="85"/>
        <v>0</v>
      </c>
      <c r="Y531" s="170">
        <f t="shared" si="86"/>
        <v>0</v>
      </c>
      <c r="Z531" s="170">
        <f t="shared" si="87"/>
        <v>0</v>
      </c>
      <c r="AA531" s="171">
        <f>VLOOKUP(G531,'3-Productie normen'!A:N,10,FALSE)</f>
        <v>1</v>
      </c>
      <c r="AB531" s="171"/>
      <c r="AD531" s="131">
        <f t="shared" si="88"/>
        <v>3493.2</v>
      </c>
    </row>
    <row r="532" spans="1:30" ht="14.1" customHeight="1">
      <c r="B532" s="182"/>
      <c r="C532" s="182"/>
      <c r="D532" s="183"/>
      <c r="E532" s="184"/>
      <c r="F532" s="185"/>
      <c r="G532" s="185"/>
      <c r="H532" s="9"/>
      <c r="I532" s="567"/>
      <c r="J532" s="437"/>
      <c r="K532" s="437"/>
      <c r="L532" s="437"/>
      <c r="M532" s="437"/>
      <c r="N532" s="187"/>
      <c r="O532" s="187"/>
      <c r="P532" s="187"/>
      <c r="Q532" s="187"/>
      <c r="R532" s="188"/>
      <c r="S532" s="188"/>
      <c r="T532" s="189"/>
      <c r="U532" s="189"/>
      <c r="V532" s="189"/>
      <c r="W532" s="189"/>
      <c r="X532" s="189"/>
      <c r="Y532" s="189"/>
      <c r="Z532" s="189"/>
      <c r="AA532" s="190"/>
      <c r="AB532" s="190"/>
    </row>
    <row r="533" spans="1:30" ht="14.1" customHeight="1">
      <c r="B533" s="182"/>
      <c r="C533" s="182"/>
      <c r="D533" s="183"/>
      <c r="E533" s="184"/>
      <c r="F533" s="185"/>
      <c r="G533" s="185"/>
      <c r="H533" s="9"/>
      <c r="I533" s="567"/>
      <c r="J533" s="437"/>
      <c r="K533" s="437"/>
      <c r="L533" s="437"/>
      <c r="M533" s="437"/>
      <c r="N533" s="187"/>
      <c r="O533" s="187"/>
      <c r="P533" s="187"/>
      <c r="Q533" s="187"/>
      <c r="R533" s="188"/>
      <c r="S533" s="188"/>
      <c r="T533" s="189"/>
      <c r="U533" s="189"/>
      <c r="V533" s="189"/>
      <c r="W533" s="189"/>
      <c r="X533" s="189"/>
      <c r="Y533" s="189"/>
      <c r="Z533" s="189"/>
      <c r="AA533" s="190"/>
      <c r="AB533" s="190"/>
    </row>
    <row r="534" spans="1:30" ht="14.1" customHeight="1">
      <c r="B534" s="182"/>
      <c r="C534" s="182"/>
      <c r="D534" s="183"/>
      <c r="E534" s="184"/>
      <c r="F534" s="185"/>
      <c r="G534" s="185"/>
      <c r="H534" s="9"/>
      <c r="I534" s="567"/>
      <c r="J534" s="437"/>
      <c r="K534" s="437"/>
      <c r="L534" s="437"/>
      <c r="M534" s="437"/>
      <c r="N534" s="187"/>
      <c r="O534" s="187"/>
      <c r="P534" s="187"/>
      <c r="Q534" s="187"/>
      <c r="R534" s="188"/>
      <c r="S534" s="188"/>
      <c r="T534" s="189"/>
      <c r="U534" s="189"/>
      <c r="V534" s="189"/>
      <c r="W534" s="189"/>
      <c r="X534" s="189"/>
      <c r="Y534" s="189"/>
      <c r="Z534" s="189"/>
      <c r="AA534" s="190"/>
      <c r="AB534" s="190"/>
    </row>
    <row r="535" spans="1:30" ht="14.1" customHeight="1">
      <c r="B535" s="182"/>
      <c r="C535" s="182"/>
      <c r="D535" s="183"/>
      <c r="E535" s="184"/>
      <c r="F535" s="185"/>
      <c r="G535" s="185"/>
      <c r="H535" s="9"/>
      <c r="I535" s="567"/>
      <c r="J535" s="437"/>
      <c r="K535" s="437"/>
      <c r="L535" s="437"/>
      <c r="M535" s="437"/>
      <c r="N535" s="187"/>
      <c r="O535" s="187"/>
      <c r="P535" s="187"/>
      <c r="Q535" s="187"/>
      <c r="R535" s="188"/>
      <c r="S535" s="188"/>
      <c r="T535" s="189"/>
      <c r="U535" s="189"/>
      <c r="V535" s="189"/>
      <c r="W535" s="189"/>
      <c r="X535" s="189"/>
      <c r="Y535" s="189"/>
      <c r="Z535" s="189"/>
      <c r="AA535" s="190"/>
      <c r="AB535" s="190"/>
    </row>
    <row r="536" spans="1:30" ht="14.1" customHeight="1">
      <c r="B536" s="182"/>
      <c r="C536" s="182"/>
      <c r="D536" s="183"/>
      <c r="E536" s="184"/>
      <c r="F536" s="185"/>
      <c r="G536" s="185"/>
      <c r="H536" s="9"/>
      <c r="I536" s="567"/>
      <c r="J536" s="437"/>
      <c r="K536" s="437"/>
      <c r="L536" s="437"/>
      <c r="M536" s="437"/>
      <c r="N536" s="187"/>
      <c r="O536" s="187"/>
      <c r="P536" s="187"/>
      <c r="Q536" s="187"/>
      <c r="R536" s="188"/>
      <c r="S536" s="188"/>
      <c r="T536" s="189"/>
      <c r="U536" s="189"/>
      <c r="V536" s="189"/>
      <c r="W536" s="189"/>
      <c r="X536" s="189"/>
      <c r="Y536" s="189"/>
      <c r="Z536" s="189"/>
      <c r="AA536" s="190"/>
      <c r="AB536" s="190"/>
    </row>
    <row r="537" spans="1:30" ht="14.1" customHeight="1">
      <c r="B537" s="182"/>
      <c r="C537" s="182"/>
      <c r="D537" s="183"/>
      <c r="E537" s="184"/>
      <c r="F537" s="185"/>
      <c r="G537" s="185"/>
      <c r="H537" s="9"/>
      <c r="I537" s="567"/>
      <c r="J537" s="437"/>
      <c r="K537" s="437"/>
      <c r="L537" s="437"/>
      <c r="M537" s="437"/>
      <c r="N537" s="187"/>
      <c r="O537" s="187"/>
      <c r="P537" s="187"/>
      <c r="Q537" s="187"/>
      <c r="R537" s="188"/>
      <c r="S537" s="188"/>
      <c r="T537" s="189"/>
      <c r="U537" s="189"/>
      <c r="V537" s="189"/>
      <c r="W537" s="189"/>
      <c r="X537" s="189"/>
      <c r="Y537" s="189"/>
      <c r="Z537" s="189"/>
      <c r="AA537" s="190"/>
      <c r="AB537" s="190"/>
    </row>
    <row r="538" spans="1:30" ht="14.1" customHeight="1">
      <c r="B538" s="182"/>
      <c r="C538" s="182"/>
      <c r="D538" s="183"/>
      <c r="E538" s="184"/>
      <c r="F538" s="185"/>
      <c r="G538" s="185"/>
      <c r="H538" s="9"/>
      <c r="I538" s="567"/>
      <c r="J538" s="437"/>
      <c r="K538" s="437"/>
      <c r="L538" s="437"/>
      <c r="M538" s="437"/>
      <c r="N538" s="187"/>
      <c r="O538" s="187"/>
      <c r="P538" s="187"/>
      <c r="Q538" s="187"/>
      <c r="R538" s="188"/>
      <c r="S538" s="188"/>
      <c r="T538" s="189"/>
      <c r="U538" s="189"/>
      <c r="V538" s="189"/>
      <c r="W538" s="189"/>
      <c r="X538" s="189"/>
      <c r="Y538" s="189"/>
      <c r="Z538" s="189"/>
      <c r="AA538" s="190"/>
      <c r="AB538" s="190"/>
    </row>
    <row r="539" spans="1:30" ht="14.1" customHeight="1">
      <c r="B539" s="182"/>
      <c r="C539" s="182"/>
      <c r="D539" s="183"/>
      <c r="E539" s="184"/>
      <c r="F539" s="185"/>
      <c r="G539" s="185"/>
      <c r="H539" s="9"/>
      <c r="I539" s="567"/>
      <c r="J539" s="437"/>
      <c r="K539" s="437"/>
      <c r="L539" s="437"/>
      <c r="M539" s="437"/>
      <c r="N539" s="187"/>
      <c r="O539" s="187"/>
      <c r="P539" s="187"/>
      <c r="Q539" s="187"/>
      <c r="R539" s="188"/>
      <c r="S539" s="188"/>
      <c r="T539" s="189"/>
      <c r="U539" s="189"/>
      <c r="V539" s="189"/>
      <c r="W539" s="189"/>
      <c r="X539" s="189"/>
      <c r="Y539" s="189"/>
      <c r="Z539" s="189"/>
      <c r="AA539" s="190"/>
      <c r="AB539" s="190"/>
    </row>
    <row r="540" spans="1:30" ht="14.1" customHeight="1">
      <c r="B540" s="182"/>
      <c r="C540" s="182"/>
      <c r="D540" s="183"/>
      <c r="E540" s="184"/>
      <c r="F540" s="185"/>
      <c r="G540" s="185"/>
      <c r="H540" s="9"/>
      <c r="I540" s="567"/>
      <c r="J540" s="437"/>
      <c r="K540" s="437"/>
      <c r="L540" s="437"/>
      <c r="M540" s="437"/>
      <c r="N540" s="187"/>
      <c r="O540" s="187"/>
      <c r="P540" s="187"/>
      <c r="Q540" s="187"/>
      <c r="R540" s="188"/>
      <c r="S540" s="188"/>
      <c r="T540" s="189"/>
      <c r="U540" s="189"/>
      <c r="V540" s="189"/>
      <c r="W540" s="189"/>
      <c r="X540" s="189"/>
      <c r="Y540" s="189"/>
      <c r="Z540" s="189"/>
      <c r="AA540" s="190"/>
      <c r="AB540" s="190"/>
    </row>
    <row r="541" spans="1:30" ht="14.1" customHeight="1">
      <c r="B541" s="182"/>
      <c r="C541" s="182"/>
      <c r="D541" s="183"/>
      <c r="E541" s="184"/>
      <c r="F541" s="185"/>
      <c r="G541" s="185"/>
      <c r="H541" s="9"/>
      <c r="I541" s="567"/>
      <c r="J541" s="437"/>
      <c r="K541" s="437"/>
      <c r="L541" s="437"/>
      <c r="M541" s="437"/>
      <c r="N541" s="187"/>
      <c r="O541" s="187"/>
      <c r="P541" s="187"/>
      <c r="Q541" s="187"/>
      <c r="R541" s="188"/>
      <c r="S541" s="188"/>
      <c r="T541" s="189"/>
      <c r="U541" s="189"/>
      <c r="V541" s="189"/>
      <c r="W541" s="189"/>
      <c r="X541" s="189"/>
      <c r="Y541" s="189"/>
      <c r="Z541" s="189"/>
      <c r="AA541" s="190"/>
      <c r="AB541" s="190"/>
    </row>
    <row r="542" spans="1:30" ht="14.1" customHeight="1">
      <c r="B542" s="182"/>
      <c r="C542" s="182"/>
      <c r="D542" s="183"/>
      <c r="E542" s="184"/>
      <c r="F542" s="185"/>
      <c r="G542" s="185"/>
      <c r="H542" s="9"/>
      <c r="I542" s="567"/>
      <c r="J542" s="437"/>
      <c r="K542" s="437"/>
      <c r="L542" s="437"/>
      <c r="M542" s="437"/>
      <c r="N542" s="187"/>
      <c r="O542" s="187"/>
      <c r="P542" s="187"/>
      <c r="Q542" s="187"/>
      <c r="R542" s="188"/>
      <c r="S542" s="188"/>
      <c r="T542" s="189"/>
      <c r="U542" s="189"/>
      <c r="V542" s="189"/>
      <c r="W542" s="189"/>
      <c r="X542" s="189"/>
      <c r="Y542" s="189"/>
      <c r="Z542" s="189"/>
      <c r="AA542" s="190"/>
      <c r="AB542" s="190"/>
    </row>
    <row r="543" spans="1:30" ht="14.1" customHeight="1">
      <c r="B543" s="182"/>
      <c r="C543" s="182"/>
      <c r="D543" s="183"/>
      <c r="E543" s="184"/>
      <c r="F543" s="185"/>
      <c r="G543" s="185"/>
      <c r="H543" s="9"/>
      <c r="I543" s="567"/>
      <c r="J543" s="437"/>
      <c r="K543" s="437"/>
      <c r="L543" s="437"/>
      <c r="M543" s="437"/>
      <c r="N543" s="187"/>
      <c r="O543" s="187"/>
      <c r="P543" s="187"/>
      <c r="Q543" s="187"/>
      <c r="R543" s="188"/>
      <c r="S543" s="188"/>
      <c r="T543" s="189"/>
      <c r="U543" s="189"/>
      <c r="V543" s="189"/>
      <c r="W543" s="189"/>
      <c r="X543" s="189"/>
      <c r="Y543" s="189"/>
      <c r="Z543" s="189"/>
      <c r="AA543" s="190"/>
      <c r="AB543" s="190"/>
    </row>
    <row r="544" spans="1:30" ht="14.1" customHeight="1">
      <c r="B544" s="182"/>
      <c r="C544" s="182"/>
      <c r="D544" s="183"/>
      <c r="E544" s="184"/>
      <c r="F544" s="185"/>
      <c r="G544" s="185"/>
      <c r="H544" s="9"/>
      <c r="I544" s="567"/>
      <c r="J544" s="437"/>
      <c r="K544" s="437"/>
      <c r="L544" s="437"/>
      <c r="M544" s="437"/>
      <c r="N544" s="187"/>
      <c r="O544" s="187"/>
      <c r="P544" s="187"/>
      <c r="Q544" s="187"/>
      <c r="R544" s="188"/>
      <c r="S544" s="188"/>
      <c r="T544" s="189"/>
      <c r="U544" s="189"/>
      <c r="V544" s="189"/>
      <c r="W544" s="189"/>
      <c r="X544" s="189"/>
      <c r="Y544" s="189"/>
      <c r="Z544" s="189"/>
      <c r="AA544" s="190"/>
      <c r="AB544" s="190"/>
    </row>
    <row r="545" spans="2:28" ht="14.1" customHeight="1">
      <c r="B545" s="182"/>
      <c r="C545" s="182"/>
      <c r="D545" s="183"/>
      <c r="E545" s="184"/>
      <c r="F545" s="185"/>
      <c r="G545" s="185"/>
      <c r="H545" s="9"/>
      <c r="I545" s="567"/>
      <c r="J545" s="437"/>
      <c r="K545" s="437"/>
      <c r="L545" s="437"/>
      <c r="M545" s="437"/>
      <c r="N545" s="187"/>
      <c r="O545" s="187"/>
      <c r="P545" s="187"/>
      <c r="Q545" s="187"/>
      <c r="R545" s="188"/>
      <c r="S545" s="188"/>
      <c r="T545" s="189"/>
      <c r="U545" s="189"/>
      <c r="V545" s="189"/>
      <c r="W545" s="189"/>
      <c r="X545" s="189"/>
      <c r="Y545" s="189"/>
      <c r="Z545" s="189"/>
      <c r="AA545" s="190"/>
      <c r="AB545" s="190"/>
    </row>
    <row r="546" spans="2:28" ht="14.1" customHeight="1">
      <c r="B546" s="182"/>
      <c r="C546" s="182"/>
      <c r="D546" s="183"/>
      <c r="E546" s="184"/>
      <c r="F546" s="185"/>
      <c r="G546" s="185"/>
      <c r="H546" s="9"/>
      <c r="I546" s="567"/>
      <c r="J546" s="437"/>
      <c r="K546" s="437"/>
      <c r="L546" s="437"/>
      <c r="M546" s="437"/>
      <c r="N546" s="187"/>
      <c r="O546" s="187"/>
      <c r="P546" s="187"/>
      <c r="Q546" s="187"/>
      <c r="R546" s="188"/>
      <c r="S546" s="188"/>
      <c r="T546" s="189"/>
      <c r="U546" s="189"/>
      <c r="V546" s="189"/>
      <c r="W546" s="189"/>
      <c r="X546" s="189"/>
      <c r="Y546" s="189"/>
      <c r="Z546" s="189"/>
      <c r="AA546" s="190"/>
      <c r="AB546" s="190"/>
    </row>
    <row r="547" spans="2:28" ht="14.1" customHeight="1">
      <c r="B547" s="182"/>
      <c r="C547" s="182"/>
      <c r="D547" s="183"/>
      <c r="E547" s="184"/>
      <c r="F547" s="185"/>
      <c r="G547" s="185"/>
      <c r="H547" s="9"/>
      <c r="I547" s="186"/>
      <c r="J547" s="437"/>
      <c r="K547" s="437"/>
      <c r="L547" s="437"/>
      <c r="M547" s="437"/>
      <c r="N547" s="187"/>
      <c r="O547" s="187"/>
      <c r="P547" s="187"/>
      <c r="Q547" s="187"/>
      <c r="R547" s="188"/>
      <c r="S547" s="188"/>
      <c r="T547" s="189"/>
      <c r="U547" s="189"/>
      <c r="V547" s="189"/>
      <c r="W547" s="189"/>
      <c r="X547" s="189"/>
      <c r="Y547" s="189"/>
      <c r="Z547" s="189"/>
      <c r="AA547" s="190"/>
      <c r="AB547" s="190"/>
    </row>
    <row r="548" spans="2:28" ht="14.1" customHeight="1">
      <c r="B548" s="182"/>
      <c r="C548" s="182"/>
      <c r="D548" s="183"/>
      <c r="E548" s="184"/>
      <c r="F548" s="185"/>
      <c r="G548" s="185"/>
      <c r="H548" s="9"/>
      <c r="I548" s="186"/>
      <c r="J548" s="437"/>
      <c r="K548" s="437"/>
      <c r="L548" s="437"/>
      <c r="M548" s="437"/>
      <c r="N548" s="187"/>
      <c r="O548" s="187"/>
      <c r="P548" s="187"/>
      <c r="Q548" s="187"/>
      <c r="R548" s="188"/>
      <c r="S548" s="188"/>
      <c r="T548" s="189"/>
      <c r="U548" s="189"/>
      <c r="V548" s="189"/>
      <c r="W548" s="189"/>
      <c r="X548" s="189"/>
      <c r="Y548" s="189"/>
      <c r="Z548" s="189"/>
      <c r="AA548" s="190"/>
      <c r="AB548" s="190"/>
    </row>
    <row r="549" spans="2:28" ht="14.1" customHeight="1">
      <c r="B549" s="182"/>
      <c r="C549" s="182"/>
      <c r="D549" s="183"/>
      <c r="E549" s="184"/>
      <c r="F549" s="185"/>
      <c r="G549" s="185"/>
      <c r="H549" s="9"/>
      <c r="I549" s="186"/>
      <c r="J549" s="437"/>
      <c r="K549" s="437"/>
      <c r="L549" s="437"/>
      <c r="M549" s="437"/>
      <c r="N549" s="187"/>
      <c r="O549" s="187"/>
      <c r="P549" s="187"/>
      <c r="Q549" s="187"/>
      <c r="R549" s="188"/>
      <c r="S549" s="188"/>
      <c r="T549" s="189"/>
      <c r="U549" s="189"/>
      <c r="V549" s="189"/>
      <c r="W549" s="189"/>
      <c r="X549" s="189"/>
      <c r="Y549" s="189"/>
      <c r="Z549" s="189"/>
      <c r="AA549" s="190"/>
      <c r="AB549" s="190"/>
    </row>
    <row r="550" spans="2:28" ht="14.1" customHeight="1">
      <c r="B550" s="182"/>
      <c r="C550" s="182"/>
      <c r="D550" s="183"/>
      <c r="E550" s="184"/>
      <c r="F550" s="185"/>
      <c r="G550" s="185"/>
      <c r="H550" s="9"/>
      <c r="I550" s="186"/>
      <c r="J550" s="437"/>
      <c r="K550" s="437"/>
      <c r="L550" s="437"/>
      <c r="M550" s="437"/>
      <c r="N550" s="187"/>
      <c r="O550" s="187"/>
      <c r="P550" s="187"/>
      <c r="Q550" s="187"/>
      <c r="R550" s="188"/>
      <c r="S550" s="188"/>
      <c r="T550" s="189"/>
      <c r="U550" s="189"/>
      <c r="V550" s="189"/>
      <c r="W550" s="189"/>
      <c r="X550" s="189"/>
      <c r="Y550" s="189"/>
      <c r="Z550" s="189"/>
      <c r="AA550" s="190"/>
      <c r="AB550" s="190"/>
    </row>
    <row r="551" spans="2:28" ht="14.1" customHeight="1">
      <c r="B551" s="182"/>
      <c r="C551" s="182"/>
      <c r="D551" s="183"/>
      <c r="E551" s="184"/>
      <c r="F551" s="185"/>
      <c r="G551" s="185"/>
      <c r="H551" s="9"/>
      <c r="I551" s="186"/>
      <c r="J551" s="437"/>
      <c r="K551" s="437"/>
      <c r="L551" s="437"/>
      <c r="M551" s="437"/>
      <c r="N551" s="187"/>
      <c r="O551" s="187"/>
      <c r="P551" s="187"/>
      <c r="Q551" s="187"/>
      <c r="R551" s="188"/>
      <c r="S551" s="188"/>
      <c r="T551" s="189"/>
      <c r="U551" s="189"/>
      <c r="V551" s="189"/>
      <c r="W551" s="189"/>
      <c r="X551" s="189"/>
      <c r="Y551" s="189"/>
      <c r="Z551" s="189"/>
      <c r="AA551" s="190"/>
      <c r="AB551" s="190"/>
    </row>
    <row r="552" spans="2:28" ht="14.1" customHeight="1">
      <c r="B552" s="182"/>
      <c r="C552" s="182"/>
      <c r="D552" s="183"/>
      <c r="E552" s="184"/>
      <c r="F552" s="185"/>
      <c r="G552" s="185"/>
      <c r="H552" s="9"/>
      <c r="I552" s="186"/>
      <c r="J552" s="437"/>
      <c r="K552" s="437"/>
      <c r="L552" s="437"/>
      <c r="M552" s="437"/>
      <c r="N552" s="187"/>
      <c r="O552" s="187"/>
      <c r="P552" s="187"/>
      <c r="Q552" s="187"/>
      <c r="R552" s="188"/>
      <c r="S552" s="188"/>
      <c r="T552" s="189"/>
      <c r="U552" s="189"/>
      <c r="V552" s="189"/>
      <c r="W552" s="189"/>
      <c r="X552" s="189"/>
      <c r="Y552" s="189"/>
      <c r="Z552" s="189"/>
      <c r="AA552" s="190"/>
      <c r="AB552" s="190"/>
    </row>
    <row r="553" spans="2:28" ht="14.1" customHeight="1">
      <c r="B553" s="182"/>
      <c r="C553" s="182"/>
      <c r="D553" s="183"/>
      <c r="E553" s="184"/>
      <c r="F553" s="185"/>
      <c r="G553" s="185"/>
      <c r="H553" s="9"/>
      <c r="I553" s="186"/>
      <c r="J553" s="437"/>
      <c r="K553" s="437"/>
      <c r="L553" s="437"/>
      <c r="M553" s="437"/>
      <c r="N553" s="187"/>
      <c r="O553" s="187"/>
      <c r="P553" s="187"/>
      <c r="Q553" s="187"/>
      <c r="R553" s="188"/>
      <c r="S553" s="188"/>
      <c r="T553" s="189"/>
      <c r="U553" s="189"/>
      <c r="V553" s="189"/>
      <c r="W553" s="189"/>
      <c r="X553" s="189"/>
      <c r="Y553" s="189"/>
      <c r="Z553" s="189"/>
      <c r="AA553" s="190"/>
      <c r="AB553" s="190"/>
    </row>
    <row r="554" spans="2:28" ht="14.1" customHeight="1">
      <c r="B554" s="182"/>
      <c r="C554" s="182"/>
      <c r="D554" s="183"/>
      <c r="E554" s="184"/>
      <c r="F554" s="185"/>
      <c r="G554" s="185"/>
      <c r="H554" s="9"/>
      <c r="I554" s="186"/>
      <c r="J554" s="437"/>
      <c r="K554" s="437"/>
      <c r="L554" s="437"/>
      <c r="M554" s="437"/>
      <c r="N554" s="187"/>
      <c r="O554" s="187"/>
      <c r="P554" s="187"/>
      <c r="Q554" s="187"/>
      <c r="R554" s="188"/>
      <c r="S554" s="188"/>
      <c r="T554" s="189"/>
      <c r="U554" s="189"/>
      <c r="V554" s="189"/>
      <c r="W554" s="189"/>
      <c r="X554" s="189"/>
      <c r="Y554" s="189"/>
      <c r="Z554" s="189"/>
      <c r="AA554" s="190"/>
      <c r="AB554" s="190"/>
    </row>
    <row r="555" spans="2:28" ht="14.1" customHeight="1">
      <c r="B555" s="182"/>
      <c r="C555" s="182"/>
      <c r="D555" s="183"/>
      <c r="E555" s="184"/>
      <c r="F555" s="185"/>
      <c r="G555" s="185"/>
      <c r="H555" s="9"/>
      <c r="I555" s="186"/>
      <c r="J555" s="437"/>
      <c r="K555" s="437"/>
      <c r="L555" s="437"/>
      <c r="M555" s="437"/>
      <c r="N555" s="187"/>
      <c r="O555" s="187"/>
      <c r="P555" s="187"/>
      <c r="Q555" s="187"/>
      <c r="R555" s="188"/>
      <c r="S555" s="188"/>
      <c r="T555" s="189"/>
      <c r="U555" s="189"/>
      <c r="V555" s="189"/>
      <c r="W555" s="189"/>
      <c r="X555" s="189"/>
      <c r="Y555" s="189"/>
      <c r="Z555" s="189"/>
      <c r="AA555" s="190"/>
      <c r="AB555" s="190"/>
    </row>
    <row r="556" spans="2:28" ht="14.1" customHeight="1">
      <c r="B556" s="182"/>
      <c r="C556" s="182"/>
      <c r="D556" s="183"/>
      <c r="E556" s="184"/>
      <c r="F556" s="185"/>
      <c r="G556" s="185"/>
      <c r="H556" s="9"/>
      <c r="I556" s="186"/>
      <c r="J556" s="437"/>
      <c r="K556" s="437"/>
      <c r="L556" s="437"/>
      <c r="M556" s="437"/>
      <c r="N556" s="187"/>
      <c r="O556" s="187"/>
      <c r="P556" s="187"/>
      <c r="Q556" s="187"/>
      <c r="R556" s="188"/>
      <c r="S556" s="188"/>
      <c r="T556" s="189"/>
      <c r="U556" s="189"/>
      <c r="V556" s="189"/>
      <c r="W556" s="189"/>
      <c r="X556" s="189"/>
      <c r="Y556" s="189"/>
      <c r="Z556" s="189"/>
      <c r="AA556" s="190"/>
      <c r="AB556" s="190"/>
    </row>
    <row r="557" spans="2:28" ht="14.1" customHeight="1">
      <c r="B557" s="182"/>
      <c r="C557" s="182"/>
      <c r="D557" s="183"/>
      <c r="E557" s="184"/>
      <c r="F557" s="185"/>
      <c r="G557" s="185"/>
      <c r="H557" s="9"/>
      <c r="I557" s="186"/>
      <c r="J557" s="437"/>
      <c r="K557" s="437"/>
      <c r="L557" s="437"/>
      <c r="M557" s="437"/>
      <c r="N557" s="187"/>
      <c r="O557" s="187"/>
      <c r="P557" s="187"/>
      <c r="Q557" s="187"/>
      <c r="R557" s="188"/>
      <c r="S557" s="188"/>
      <c r="T557" s="189"/>
      <c r="U557" s="189"/>
      <c r="V557" s="189"/>
      <c r="W557" s="189"/>
      <c r="X557" s="189"/>
      <c r="Y557" s="189"/>
      <c r="Z557" s="189"/>
      <c r="AA557" s="190"/>
      <c r="AB557" s="190"/>
    </row>
    <row r="558" spans="2:28" ht="14.1" customHeight="1">
      <c r="B558" s="182"/>
      <c r="C558" s="182"/>
      <c r="D558" s="183"/>
      <c r="E558" s="184"/>
      <c r="F558" s="185"/>
      <c r="G558" s="185"/>
      <c r="H558" s="9"/>
      <c r="I558" s="186"/>
      <c r="J558" s="437"/>
      <c r="K558" s="437"/>
      <c r="L558" s="437"/>
      <c r="M558" s="437"/>
      <c r="N558" s="187"/>
      <c r="O558" s="187"/>
      <c r="P558" s="187"/>
      <c r="Q558" s="187"/>
      <c r="R558" s="188"/>
      <c r="S558" s="188"/>
      <c r="T558" s="189"/>
      <c r="U558" s="189"/>
      <c r="V558" s="189"/>
      <c r="W558" s="189"/>
      <c r="X558" s="189"/>
      <c r="Y558" s="189"/>
      <c r="Z558" s="189"/>
      <c r="AA558" s="190"/>
      <c r="AB558" s="190"/>
    </row>
    <row r="559" spans="2:28" ht="14.1" customHeight="1">
      <c r="B559" s="182"/>
      <c r="C559" s="182"/>
      <c r="D559" s="183"/>
      <c r="E559" s="184"/>
      <c r="F559" s="185"/>
      <c r="G559" s="185"/>
      <c r="H559" s="9"/>
      <c r="I559" s="186"/>
      <c r="J559" s="437"/>
      <c r="K559" s="437"/>
      <c r="L559" s="437"/>
      <c r="M559" s="437"/>
      <c r="N559" s="187"/>
      <c r="O559" s="187"/>
      <c r="P559" s="187"/>
      <c r="Q559" s="187"/>
      <c r="R559" s="188"/>
      <c r="S559" s="188"/>
      <c r="T559" s="189"/>
      <c r="U559" s="189"/>
      <c r="V559" s="189"/>
      <c r="W559" s="189"/>
      <c r="X559" s="189"/>
      <c r="Y559" s="189"/>
      <c r="Z559" s="189"/>
      <c r="AA559" s="190"/>
      <c r="AB559" s="190"/>
    </row>
    <row r="560" spans="2:28" ht="14.1" customHeight="1">
      <c r="B560" s="182"/>
      <c r="C560" s="182"/>
      <c r="D560" s="183"/>
      <c r="E560" s="184"/>
      <c r="F560" s="185"/>
      <c r="G560" s="185"/>
      <c r="H560" s="9"/>
      <c r="I560" s="186"/>
      <c r="J560" s="437"/>
      <c r="K560" s="437"/>
      <c r="L560" s="437"/>
      <c r="M560" s="437"/>
      <c r="N560" s="187"/>
      <c r="O560" s="187"/>
      <c r="P560" s="187"/>
      <c r="Q560" s="187"/>
      <c r="R560" s="188"/>
      <c r="S560" s="188"/>
      <c r="T560" s="189"/>
      <c r="U560" s="189"/>
      <c r="V560" s="189"/>
      <c r="W560" s="189"/>
      <c r="X560" s="189"/>
      <c r="Y560" s="189"/>
      <c r="Z560" s="189"/>
      <c r="AA560" s="190"/>
      <c r="AB560" s="190"/>
    </row>
    <row r="561" spans="2:28" ht="14.1" customHeight="1">
      <c r="B561" s="182"/>
      <c r="C561" s="182"/>
      <c r="D561" s="183"/>
      <c r="E561" s="184"/>
      <c r="F561" s="185"/>
      <c r="G561" s="185"/>
      <c r="H561" s="9"/>
      <c r="I561" s="186"/>
      <c r="J561" s="437"/>
      <c r="K561" s="437"/>
      <c r="L561" s="437"/>
      <c r="M561" s="437"/>
      <c r="N561" s="187"/>
      <c r="O561" s="187"/>
      <c r="P561" s="187"/>
      <c r="Q561" s="187"/>
      <c r="R561" s="188"/>
      <c r="S561" s="188"/>
      <c r="T561" s="189"/>
      <c r="U561" s="189"/>
      <c r="V561" s="189"/>
      <c r="W561" s="189"/>
      <c r="X561" s="189"/>
      <c r="Y561" s="189"/>
      <c r="Z561" s="189"/>
      <c r="AA561" s="190"/>
      <c r="AB561" s="190"/>
    </row>
    <row r="562" spans="2:28" ht="14.1" customHeight="1">
      <c r="B562" s="182"/>
      <c r="C562" s="182"/>
      <c r="D562" s="183"/>
      <c r="E562" s="184"/>
      <c r="F562" s="185"/>
      <c r="G562" s="185"/>
      <c r="H562" s="9"/>
      <c r="I562" s="186"/>
      <c r="J562" s="437"/>
      <c r="K562" s="437"/>
      <c r="L562" s="437"/>
      <c r="M562" s="437"/>
      <c r="N562" s="187"/>
      <c r="O562" s="187"/>
      <c r="P562" s="187"/>
      <c r="Q562" s="187"/>
      <c r="R562" s="188"/>
      <c r="S562" s="188"/>
      <c r="T562" s="189"/>
      <c r="U562" s="189"/>
      <c r="V562" s="189"/>
      <c r="W562" s="189"/>
      <c r="X562" s="189"/>
      <c r="Y562" s="189"/>
      <c r="Z562" s="189"/>
      <c r="AA562" s="190"/>
      <c r="AB562" s="190"/>
    </row>
    <row r="563" spans="2:28" ht="14.1" customHeight="1">
      <c r="B563" s="182"/>
      <c r="C563" s="182"/>
      <c r="D563" s="183"/>
      <c r="E563" s="184"/>
      <c r="F563" s="185"/>
      <c r="G563" s="185"/>
      <c r="H563" s="9"/>
      <c r="I563" s="186"/>
      <c r="J563" s="437"/>
      <c r="K563" s="437"/>
      <c r="L563" s="437"/>
      <c r="M563" s="437"/>
      <c r="N563" s="187"/>
      <c r="O563" s="187"/>
      <c r="P563" s="187"/>
      <c r="Q563" s="187"/>
      <c r="R563" s="188"/>
      <c r="S563" s="188"/>
      <c r="T563" s="189"/>
      <c r="U563" s="189"/>
      <c r="V563" s="189"/>
      <c r="W563" s="189"/>
      <c r="X563" s="189"/>
      <c r="Y563" s="189"/>
      <c r="Z563" s="189"/>
      <c r="AA563" s="190"/>
      <c r="AB563" s="190"/>
    </row>
    <row r="564" spans="2:28" ht="14.1" customHeight="1">
      <c r="B564" s="182"/>
      <c r="C564" s="182"/>
      <c r="D564" s="183"/>
      <c r="E564" s="184"/>
      <c r="F564" s="185"/>
      <c r="G564" s="185"/>
      <c r="H564" s="9"/>
      <c r="I564" s="186"/>
      <c r="J564" s="437"/>
      <c r="K564" s="437"/>
      <c r="L564" s="437"/>
      <c r="M564" s="437"/>
      <c r="N564" s="187"/>
      <c r="O564" s="187"/>
      <c r="P564" s="187"/>
      <c r="Q564" s="187"/>
      <c r="R564" s="188"/>
      <c r="S564" s="188"/>
      <c r="T564" s="189"/>
      <c r="U564" s="189"/>
      <c r="V564" s="189"/>
      <c r="W564" s="189"/>
      <c r="X564" s="189"/>
      <c r="Y564" s="189"/>
      <c r="Z564" s="189"/>
      <c r="AA564" s="190"/>
      <c r="AB564" s="190"/>
    </row>
    <row r="565" spans="2:28" ht="14.1" customHeight="1">
      <c r="B565" s="182"/>
      <c r="C565" s="182"/>
      <c r="D565" s="183"/>
      <c r="E565" s="184"/>
      <c r="F565" s="185"/>
      <c r="G565" s="185"/>
      <c r="H565" s="9"/>
      <c r="I565" s="186"/>
      <c r="J565" s="437"/>
      <c r="K565" s="437"/>
      <c r="L565" s="437"/>
      <c r="M565" s="437"/>
      <c r="N565" s="187"/>
      <c r="O565" s="187"/>
      <c r="P565" s="187"/>
      <c r="Q565" s="187"/>
      <c r="R565" s="188"/>
      <c r="S565" s="188"/>
      <c r="T565" s="189"/>
      <c r="U565" s="189"/>
      <c r="V565" s="189"/>
      <c r="W565" s="189"/>
      <c r="X565" s="189"/>
      <c r="Y565" s="189"/>
      <c r="Z565" s="189"/>
      <c r="AA565" s="190"/>
      <c r="AB565" s="190"/>
    </row>
    <row r="566" spans="2:28" ht="14.1" customHeight="1">
      <c r="B566" s="182"/>
      <c r="C566" s="182"/>
      <c r="D566" s="183"/>
      <c r="E566" s="184"/>
      <c r="F566" s="185"/>
      <c r="G566" s="185"/>
      <c r="H566" s="9"/>
      <c r="I566" s="186"/>
      <c r="J566" s="437"/>
      <c r="K566" s="437"/>
      <c r="L566" s="437"/>
      <c r="M566" s="437"/>
      <c r="N566" s="187"/>
      <c r="O566" s="187"/>
      <c r="P566" s="187"/>
      <c r="Q566" s="187"/>
      <c r="R566" s="188"/>
      <c r="S566" s="188"/>
      <c r="T566" s="189"/>
      <c r="U566" s="189"/>
      <c r="V566" s="189"/>
      <c r="W566" s="189"/>
      <c r="X566" s="189"/>
      <c r="Y566" s="189"/>
      <c r="Z566" s="189"/>
      <c r="AA566" s="190"/>
      <c r="AB566" s="190"/>
    </row>
    <row r="567" spans="2:28" ht="14.1" customHeight="1">
      <c r="B567" s="182"/>
      <c r="C567" s="182"/>
      <c r="D567" s="183"/>
      <c r="E567" s="184"/>
      <c r="F567" s="185"/>
      <c r="G567" s="185"/>
      <c r="H567" s="9"/>
      <c r="I567" s="186"/>
      <c r="J567" s="437"/>
      <c r="K567" s="437"/>
      <c r="L567" s="437"/>
      <c r="M567" s="437"/>
      <c r="N567" s="187"/>
      <c r="O567" s="187"/>
      <c r="P567" s="187"/>
      <c r="Q567" s="187"/>
      <c r="R567" s="188"/>
      <c r="S567" s="188"/>
      <c r="T567" s="189"/>
      <c r="U567" s="189"/>
      <c r="V567" s="189"/>
      <c r="W567" s="189"/>
      <c r="X567" s="189"/>
      <c r="Y567" s="189"/>
      <c r="Z567" s="189"/>
      <c r="AA567" s="190"/>
      <c r="AB567" s="190"/>
    </row>
    <row r="568" spans="2:28" ht="14.1" customHeight="1">
      <c r="B568" s="182"/>
      <c r="C568" s="182"/>
      <c r="D568" s="183"/>
      <c r="E568" s="184"/>
      <c r="F568" s="185"/>
      <c r="G568" s="185"/>
      <c r="H568" s="9"/>
      <c r="I568" s="186"/>
      <c r="J568" s="437"/>
      <c r="K568" s="437"/>
      <c r="L568" s="437"/>
      <c r="M568" s="437"/>
      <c r="N568" s="187"/>
      <c r="O568" s="187"/>
      <c r="P568" s="187"/>
      <c r="Q568" s="187"/>
      <c r="R568" s="188"/>
      <c r="S568" s="188"/>
      <c r="T568" s="189"/>
      <c r="U568" s="189"/>
      <c r="V568" s="189"/>
      <c r="W568" s="189"/>
      <c r="X568" s="189"/>
      <c r="Y568" s="189"/>
      <c r="Z568" s="189"/>
      <c r="AA568" s="190"/>
      <c r="AB568" s="190"/>
    </row>
    <row r="569" spans="2:28" ht="14.1" customHeight="1">
      <c r="B569" s="182"/>
      <c r="C569" s="182"/>
      <c r="D569" s="183"/>
      <c r="E569" s="184"/>
      <c r="F569" s="185"/>
      <c r="G569" s="185"/>
      <c r="H569" s="9"/>
      <c r="I569" s="186"/>
      <c r="J569" s="437"/>
      <c r="K569" s="437"/>
      <c r="L569" s="437"/>
      <c r="M569" s="437"/>
      <c r="N569" s="187"/>
      <c r="O569" s="187"/>
      <c r="P569" s="187"/>
      <c r="Q569" s="187"/>
      <c r="R569" s="188"/>
      <c r="S569" s="188"/>
      <c r="T569" s="189"/>
      <c r="U569" s="189"/>
      <c r="V569" s="189"/>
      <c r="W569" s="189"/>
      <c r="X569" s="189"/>
      <c r="Y569" s="189"/>
      <c r="Z569" s="189"/>
      <c r="AA569" s="190"/>
      <c r="AB569" s="190"/>
    </row>
    <row r="570" spans="2:28" ht="14.1" customHeight="1">
      <c r="B570" s="182"/>
      <c r="C570" s="182"/>
      <c r="D570" s="183"/>
      <c r="E570" s="184"/>
      <c r="F570" s="185"/>
      <c r="G570" s="185"/>
      <c r="H570" s="9"/>
      <c r="I570" s="186"/>
      <c r="J570" s="437"/>
      <c r="K570" s="437"/>
      <c r="L570" s="437"/>
      <c r="M570" s="437"/>
      <c r="N570" s="187"/>
      <c r="O570" s="187"/>
      <c r="P570" s="187"/>
      <c r="Q570" s="187"/>
      <c r="R570" s="188"/>
      <c r="S570" s="188"/>
      <c r="T570" s="189"/>
      <c r="U570" s="189"/>
      <c r="V570" s="189"/>
      <c r="W570" s="189"/>
      <c r="X570" s="189"/>
      <c r="Y570" s="189"/>
      <c r="Z570" s="189"/>
      <c r="AA570" s="190"/>
      <c r="AB570" s="190"/>
    </row>
    <row r="571" spans="2:28" ht="14.1" customHeight="1">
      <c r="B571" s="182"/>
      <c r="C571" s="182"/>
      <c r="D571" s="183"/>
      <c r="E571" s="184"/>
      <c r="F571" s="185"/>
      <c r="G571" s="185"/>
      <c r="H571" s="9"/>
      <c r="I571" s="186"/>
      <c r="J571" s="437"/>
      <c r="K571" s="437"/>
      <c r="L571" s="437"/>
      <c r="M571" s="437"/>
      <c r="N571" s="187"/>
      <c r="O571" s="187"/>
      <c r="P571" s="187"/>
      <c r="Q571" s="187"/>
      <c r="R571" s="188"/>
      <c r="S571" s="188"/>
      <c r="T571" s="189"/>
      <c r="U571" s="189"/>
      <c r="V571" s="189"/>
      <c r="W571" s="189"/>
      <c r="X571" s="189"/>
      <c r="Y571" s="189"/>
      <c r="Z571" s="189"/>
      <c r="AA571" s="190"/>
      <c r="AB571" s="190"/>
    </row>
    <row r="572" spans="2:28" ht="14.1" customHeight="1">
      <c r="B572" s="182"/>
      <c r="C572" s="182"/>
      <c r="D572" s="183"/>
      <c r="E572" s="184"/>
      <c r="F572" s="185"/>
      <c r="G572" s="185"/>
      <c r="H572" s="9"/>
      <c r="I572" s="186"/>
      <c r="J572" s="437"/>
      <c r="K572" s="437"/>
      <c r="L572" s="437"/>
      <c r="M572" s="437"/>
      <c r="N572" s="187"/>
      <c r="O572" s="187"/>
      <c r="P572" s="187"/>
      <c r="Q572" s="187"/>
      <c r="R572" s="188"/>
      <c r="S572" s="188"/>
      <c r="T572" s="189"/>
      <c r="U572" s="189"/>
      <c r="V572" s="189"/>
      <c r="W572" s="189"/>
      <c r="X572" s="189"/>
      <c r="Y572" s="189"/>
      <c r="Z572" s="189"/>
      <c r="AA572" s="190"/>
      <c r="AB572" s="190"/>
    </row>
    <row r="573" spans="2:28" ht="14.1" customHeight="1">
      <c r="B573" s="182"/>
      <c r="C573" s="182"/>
      <c r="D573" s="183"/>
      <c r="E573" s="184"/>
      <c r="F573" s="185"/>
      <c r="G573" s="185"/>
      <c r="H573" s="9"/>
      <c r="I573" s="186"/>
      <c r="J573" s="437"/>
      <c r="K573" s="437"/>
      <c r="L573" s="437"/>
      <c r="M573" s="437"/>
      <c r="N573" s="187"/>
      <c r="O573" s="187"/>
      <c r="P573" s="187"/>
      <c r="Q573" s="187"/>
      <c r="R573" s="188"/>
      <c r="S573" s="188"/>
      <c r="T573" s="189"/>
      <c r="U573" s="189"/>
      <c r="V573" s="189"/>
      <c r="W573" s="189"/>
      <c r="X573" s="189"/>
      <c r="Y573" s="189"/>
      <c r="Z573" s="189"/>
      <c r="AA573" s="190"/>
      <c r="AB573" s="190"/>
    </row>
    <row r="574" spans="2:28" ht="14.1" customHeight="1">
      <c r="B574" s="182"/>
      <c r="C574" s="182"/>
      <c r="D574" s="183"/>
      <c r="E574" s="184"/>
      <c r="F574" s="185"/>
      <c r="G574" s="185"/>
      <c r="H574" s="9"/>
      <c r="I574" s="186"/>
      <c r="J574" s="437"/>
      <c r="K574" s="437"/>
      <c r="L574" s="437"/>
      <c r="M574" s="437"/>
      <c r="N574" s="187"/>
      <c r="O574" s="187"/>
      <c r="P574" s="187"/>
      <c r="Q574" s="187"/>
      <c r="R574" s="188"/>
      <c r="S574" s="188"/>
      <c r="T574" s="189"/>
      <c r="U574" s="189"/>
      <c r="V574" s="189"/>
      <c r="W574" s="189"/>
      <c r="X574" s="189"/>
      <c r="Y574" s="189"/>
      <c r="Z574" s="189"/>
      <c r="AA574" s="190"/>
      <c r="AB574" s="190"/>
    </row>
    <row r="575" spans="2:28" ht="14.1" customHeight="1">
      <c r="B575" s="182"/>
      <c r="C575" s="182"/>
      <c r="D575" s="183"/>
      <c r="E575" s="184"/>
      <c r="F575" s="185"/>
      <c r="G575" s="185"/>
      <c r="H575" s="9"/>
      <c r="I575" s="186"/>
      <c r="J575" s="437"/>
      <c r="K575" s="437"/>
      <c r="L575" s="437"/>
      <c r="M575" s="437"/>
      <c r="N575" s="187"/>
      <c r="O575" s="187"/>
      <c r="P575" s="187"/>
      <c r="Q575" s="187"/>
      <c r="R575" s="188"/>
      <c r="S575" s="188"/>
      <c r="T575" s="189"/>
      <c r="U575" s="189"/>
      <c r="V575" s="189"/>
      <c r="W575" s="189"/>
      <c r="X575" s="189"/>
      <c r="Y575" s="189"/>
      <c r="Z575" s="189"/>
      <c r="AA575" s="190"/>
      <c r="AB575" s="190"/>
    </row>
    <row r="576" spans="2:28" ht="14.1" customHeight="1">
      <c r="B576" s="182"/>
      <c r="C576" s="182"/>
      <c r="D576" s="183"/>
      <c r="E576" s="184"/>
      <c r="F576" s="185"/>
      <c r="G576" s="185"/>
      <c r="H576" s="9"/>
      <c r="I576" s="186"/>
      <c r="J576" s="437"/>
      <c r="K576" s="437"/>
      <c r="L576" s="437"/>
      <c r="M576" s="437"/>
      <c r="N576" s="187"/>
      <c r="O576" s="187"/>
      <c r="P576" s="187"/>
      <c r="Q576" s="187"/>
      <c r="R576" s="188"/>
      <c r="S576" s="188"/>
      <c r="T576" s="189"/>
      <c r="U576" s="189"/>
      <c r="V576" s="189"/>
      <c r="W576" s="189"/>
      <c r="X576" s="189"/>
      <c r="Y576" s="189"/>
      <c r="Z576" s="189"/>
      <c r="AA576" s="190"/>
      <c r="AB576" s="190"/>
    </row>
    <row r="577" spans="2:28" ht="14.1" customHeight="1">
      <c r="B577" s="182"/>
      <c r="C577" s="182"/>
      <c r="D577" s="183"/>
      <c r="E577" s="184"/>
      <c r="F577" s="185"/>
      <c r="G577" s="185"/>
      <c r="H577" s="9"/>
      <c r="I577" s="186"/>
      <c r="J577" s="437"/>
      <c r="K577" s="437"/>
      <c r="L577" s="437"/>
      <c r="M577" s="437"/>
      <c r="N577" s="187"/>
      <c r="O577" s="187"/>
      <c r="P577" s="187"/>
      <c r="Q577" s="187"/>
      <c r="R577" s="188"/>
      <c r="S577" s="188"/>
      <c r="T577" s="189"/>
      <c r="U577" s="189"/>
      <c r="V577" s="189"/>
      <c r="W577" s="189"/>
      <c r="X577" s="189"/>
      <c r="Y577" s="189"/>
      <c r="Z577" s="189"/>
      <c r="AA577" s="190"/>
      <c r="AB577" s="190"/>
    </row>
    <row r="578" spans="2:28" ht="14.1" customHeight="1">
      <c r="B578" s="182"/>
      <c r="C578" s="182"/>
      <c r="D578" s="183"/>
      <c r="E578" s="184"/>
      <c r="F578" s="185"/>
      <c r="G578" s="185"/>
      <c r="H578" s="9"/>
      <c r="I578" s="186"/>
      <c r="J578" s="437"/>
      <c r="K578" s="437"/>
      <c r="L578" s="437"/>
      <c r="M578" s="437"/>
      <c r="N578" s="187"/>
      <c r="O578" s="187"/>
      <c r="P578" s="187"/>
      <c r="Q578" s="187"/>
      <c r="R578" s="188"/>
      <c r="S578" s="188"/>
      <c r="T578" s="189"/>
      <c r="U578" s="189"/>
      <c r="V578" s="189"/>
      <c r="W578" s="189"/>
      <c r="X578" s="189"/>
      <c r="Y578" s="189"/>
      <c r="Z578" s="189"/>
      <c r="AA578" s="190"/>
      <c r="AB578" s="190"/>
    </row>
    <row r="579" spans="2:28" ht="14.1" customHeight="1">
      <c r="B579" s="182"/>
      <c r="C579" s="182"/>
      <c r="D579" s="183"/>
      <c r="E579" s="184"/>
      <c r="F579" s="185"/>
      <c r="G579" s="185"/>
      <c r="H579" s="9"/>
      <c r="I579" s="186"/>
      <c r="J579" s="437"/>
      <c r="K579" s="437"/>
      <c r="L579" s="437"/>
      <c r="M579" s="437"/>
      <c r="N579" s="187"/>
      <c r="O579" s="187"/>
      <c r="P579" s="187"/>
      <c r="Q579" s="187"/>
      <c r="R579" s="188"/>
      <c r="S579" s="188"/>
      <c r="T579" s="189"/>
      <c r="U579" s="189"/>
      <c r="V579" s="189"/>
      <c r="W579" s="189"/>
      <c r="X579" s="189"/>
      <c r="Y579" s="189"/>
      <c r="Z579" s="189"/>
      <c r="AA579" s="190"/>
      <c r="AB579" s="190"/>
    </row>
    <row r="580" spans="2:28" ht="14.1" customHeight="1">
      <c r="B580" s="182"/>
      <c r="C580" s="182"/>
      <c r="D580" s="183"/>
      <c r="E580" s="184"/>
      <c r="F580" s="185"/>
      <c r="G580" s="185"/>
      <c r="H580" s="9"/>
      <c r="I580" s="186"/>
      <c r="J580" s="437"/>
      <c r="K580" s="437"/>
      <c r="L580" s="437"/>
      <c r="M580" s="437"/>
      <c r="N580" s="187"/>
      <c r="O580" s="187"/>
      <c r="P580" s="187"/>
      <c r="Q580" s="187"/>
      <c r="R580" s="188"/>
      <c r="S580" s="188"/>
      <c r="T580" s="189"/>
      <c r="U580" s="189"/>
      <c r="V580" s="189"/>
      <c r="W580" s="189"/>
      <c r="X580" s="189"/>
      <c r="Y580" s="189"/>
      <c r="Z580" s="189"/>
      <c r="AA580" s="190"/>
      <c r="AB580" s="190"/>
    </row>
    <row r="581" spans="2:28" ht="14.1" customHeight="1">
      <c r="B581" s="182"/>
      <c r="C581" s="182"/>
      <c r="D581" s="183"/>
      <c r="E581" s="184"/>
      <c r="F581" s="185"/>
      <c r="G581" s="185"/>
      <c r="H581" s="9"/>
      <c r="I581" s="186"/>
      <c r="J581" s="437"/>
      <c r="K581" s="437"/>
      <c r="L581" s="437"/>
      <c r="M581" s="437"/>
      <c r="N581" s="187"/>
      <c r="O581" s="187"/>
      <c r="P581" s="187"/>
      <c r="Q581" s="187"/>
      <c r="R581" s="188"/>
      <c r="S581" s="188"/>
      <c r="T581" s="189"/>
      <c r="U581" s="189"/>
      <c r="V581" s="189"/>
      <c r="W581" s="189"/>
      <c r="X581" s="189"/>
      <c r="Y581" s="189"/>
      <c r="Z581" s="189"/>
      <c r="AA581" s="190"/>
      <c r="AB581" s="190"/>
    </row>
    <row r="582" spans="2:28" ht="14.1" customHeight="1">
      <c r="B582" s="182"/>
      <c r="C582" s="182"/>
      <c r="D582" s="183"/>
      <c r="E582" s="184"/>
      <c r="F582" s="185"/>
      <c r="G582" s="185"/>
      <c r="H582" s="9"/>
      <c r="I582" s="186"/>
      <c r="J582" s="437"/>
      <c r="K582" s="437"/>
      <c r="L582" s="437"/>
      <c r="M582" s="437"/>
      <c r="N582" s="187"/>
      <c r="O582" s="187"/>
      <c r="P582" s="187"/>
      <c r="Q582" s="187"/>
      <c r="R582" s="188"/>
      <c r="S582" s="188"/>
      <c r="T582" s="189"/>
      <c r="U582" s="189"/>
      <c r="V582" s="189"/>
      <c r="W582" s="189"/>
      <c r="X582" s="189"/>
      <c r="Y582" s="189"/>
      <c r="Z582" s="189"/>
      <c r="AA582" s="190"/>
      <c r="AB582" s="190"/>
    </row>
    <row r="583" spans="2:28" ht="14.1" customHeight="1">
      <c r="B583" s="182"/>
      <c r="C583" s="182"/>
      <c r="D583" s="183"/>
      <c r="E583" s="184"/>
      <c r="F583" s="185"/>
      <c r="G583" s="185"/>
      <c r="H583" s="9"/>
      <c r="I583" s="186"/>
      <c r="J583" s="437"/>
      <c r="K583" s="437"/>
      <c r="L583" s="437"/>
      <c r="M583" s="437"/>
      <c r="N583" s="187"/>
      <c r="O583" s="187"/>
      <c r="P583" s="187"/>
      <c r="Q583" s="187"/>
      <c r="R583" s="188"/>
      <c r="S583" s="188"/>
      <c r="T583" s="189"/>
      <c r="U583" s="189"/>
      <c r="V583" s="189"/>
      <c r="W583" s="189"/>
      <c r="X583" s="189"/>
      <c r="Y583" s="189"/>
      <c r="Z583" s="189"/>
      <c r="AA583" s="190"/>
      <c r="AB583" s="190"/>
    </row>
    <row r="584" spans="2:28" ht="14.1" customHeight="1">
      <c r="B584" s="182"/>
      <c r="C584" s="182"/>
      <c r="D584" s="183"/>
      <c r="E584" s="184"/>
      <c r="F584" s="185"/>
      <c r="G584" s="185"/>
      <c r="H584" s="9"/>
      <c r="I584" s="186"/>
      <c r="J584" s="437"/>
      <c r="K584" s="437"/>
      <c r="L584" s="437"/>
      <c r="M584" s="437"/>
      <c r="N584" s="187"/>
      <c r="O584" s="187"/>
      <c r="P584" s="187"/>
      <c r="Q584" s="187"/>
      <c r="R584" s="188"/>
      <c r="S584" s="188"/>
      <c r="T584" s="189"/>
      <c r="U584" s="189"/>
      <c r="V584" s="189"/>
      <c r="W584" s="189"/>
      <c r="X584" s="189"/>
      <c r="Y584" s="189"/>
      <c r="Z584" s="189"/>
      <c r="AA584" s="190"/>
      <c r="AB584" s="190"/>
    </row>
    <row r="585" spans="2:28" ht="14.1" customHeight="1">
      <c r="B585" s="182"/>
      <c r="C585" s="182"/>
      <c r="D585" s="183"/>
      <c r="E585" s="184"/>
      <c r="F585" s="185"/>
      <c r="G585" s="185"/>
      <c r="H585" s="9"/>
      <c r="I585" s="186"/>
      <c r="J585" s="437"/>
      <c r="K585" s="437"/>
      <c r="L585" s="437"/>
      <c r="M585" s="437"/>
      <c r="N585" s="187"/>
      <c r="O585" s="187"/>
      <c r="P585" s="187"/>
      <c r="Q585" s="187"/>
      <c r="R585" s="188"/>
      <c r="S585" s="188"/>
      <c r="T585" s="189"/>
      <c r="U585" s="189"/>
      <c r="V585" s="189"/>
      <c r="W585" s="189"/>
      <c r="X585" s="189"/>
      <c r="Y585" s="189"/>
      <c r="Z585" s="189"/>
      <c r="AA585" s="190"/>
      <c r="AB585" s="190"/>
    </row>
    <row r="586" spans="2:28" ht="14.1" customHeight="1">
      <c r="B586" s="182"/>
      <c r="C586" s="182"/>
      <c r="D586" s="183"/>
      <c r="E586" s="184"/>
      <c r="F586" s="185"/>
      <c r="G586" s="185"/>
      <c r="H586" s="9"/>
      <c r="I586" s="186"/>
      <c r="J586" s="437"/>
      <c r="K586" s="437"/>
      <c r="L586" s="437"/>
      <c r="M586" s="437"/>
      <c r="N586" s="187"/>
      <c r="O586" s="187"/>
      <c r="P586" s="187"/>
      <c r="Q586" s="187"/>
      <c r="R586" s="188"/>
      <c r="S586" s="188"/>
      <c r="T586" s="189"/>
      <c r="U586" s="189"/>
      <c r="V586" s="189"/>
      <c r="W586" s="189"/>
      <c r="X586" s="189"/>
      <c r="Y586" s="189"/>
      <c r="Z586" s="189"/>
      <c r="AA586" s="190"/>
      <c r="AB586" s="190"/>
    </row>
    <row r="587" spans="2:28" ht="14.1" customHeight="1">
      <c r="B587" s="182"/>
      <c r="C587" s="182"/>
      <c r="D587" s="183"/>
      <c r="E587" s="184"/>
      <c r="F587" s="185"/>
      <c r="G587" s="185"/>
      <c r="H587" s="9"/>
      <c r="I587" s="186"/>
      <c r="J587" s="437"/>
      <c r="K587" s="437"/>
      <c r="L587" s="437"/>
      <c r="M587" s="437"/>
      <c r="N587" s="187"/>
      <c r="O587" s="187"/>
      <c r="P587" s="187"/>
      <c r="Q587" s="187"/>
      <c r="R587" s="188"/>
      <c r="S587" s="188"/>
      <c r="T587" s="189"/>
      <c r="U587" s="189"/>
      <c r="V587" s="189"/>
      <c r="W587" s="189"/>
      <c r="X587" s="189"/>
      <c r="Y587" s="189"/>
      <c r="Z587" s="189"/>
      <c r="AA587" s="190"/>
      <c r="AB587" s="190"/>
    </row>
    <row r="588" spans="2:28" ht="14.1" customHeight="1">
      <c r="B588" s="182"/>
      <c r="C588" s="182"/>
      <c r="D588" s="183"/>
      <c r="E588" s="184"/>
      <c r="F588" s="185"/>
      <c r="G588" s="185"/>
      <c r="H588" s="9"/>
      <c r="I588" s="186"/>
      <c r="J588" s="437"/>
      <c r="K588" s="437"/>
      <c r="L588" s="437"/>
      <c r="M588" s="437"/>
      <c r="N588" s="187"/>
      <c r="O588" s="187"/>
      <c r="P588" s="187"/>
      <c r="Q588" s="187"/>
      <c r="R588" s="188"/>
      <c r="S588" s="188"/>
      <c r="T588" s="189"/>
      <c r="U588" s="189"/>
      <c r="V588" s="189"/>
      <c r="W588" s="189"/>
      <c r="X588" s="189"/>
      <c r="Y588" s="189"/>
      <c r="Z588" s="189"/>
      <c r="AA588" s="190"/>
      <c r="AB588" s="190"/>
    </row>
    <row r="589" spans="2:28" ht="14.1" customHeight="1">
      <c r="B589" s="182"/>
      <c r="C589" s="182"/>
      <c r="D589" s="183"/>
      <c r="E589" s="184"/>
      <c r="F589" s="185"/>
      <c r="G589" s="185"/>
      <c r="H589" s="9"/>
      <c r="I589" s="186"/>
      <c r="J589" s="437"/>
      <c r="K589" s="437"/>
      <c r="L589" s="437"/>
      <c r="M589" s="437"/>
      <c r="N589" s="187"/>
      <c r="O589" s="187"/>
      <c r="P589" s="187"/>
      <c r="Q589" s="187"/>
      <c r="R589" s="188"/>
      <c r="S589" s="188"/>
      <c r="T589" s="189"/>
      <c r="U589" s="189"/>
      <c r="V589" s="189"/>
      <c r="W589" s="189"/>
      <c r="X589" s="189"/>
      <c r="Y589" s="189"/>
      <c r="Z589" s="189"/>
      <c r="AA589" s="190"/>
      <c r="AB589" s="190"/>
    </row>
    <row r="590" spans="2:28" ht="14.1" customHeight="1">
      <c r="B590" s="182"/>
      <c r="C590" s="182"/>
      <c r="D590" s="183"/>
      <c r="E590" s="184"/>
      <c r="F590" s="185"/>
      <c r="G590" s="185"/>
      <c r="H590" s="9"/>
      <c r="I590" s="186"/>
      <c r="J590" s="437"/>
      <c r="K590" s="437"/>
      <c r="L590" s="437"/>
      <c r="M590" s="437"/>
      <c r="N590" s="187"/>
      <c r="O590" s="187"/>
      <c r="P590" s="187"/>
      <c r="Q590" s="187"/>
      <c r="R590" s="188"/>
      <c r="S590" s="188"/>
      <c r="T590" s="189"/>
      <c r="U590" s="189"/>
      <c r="V590" s="189"/>
      <c r="W590" s="189"/>
      <c r="X590" s="189"/>
      <c r="Y590" s="189"/>
      <c r="Z590" s="189"/>
      <c r="AA590" s="190"/>
      <c r="AB590" s="190"/>
    </row>
    <row r="591" spans="2:28" ht="14.1" customHeight="1">
      <c r="B591" s="182"/>
      <c r="C591" s="182"/>
      <c r="D591" s="183"/>
      <c r="E591" s="184"/>
      <c r="F591" s="185"/>
      <c r="G591" s="185"/>
      <c r="H591" s="9"/>
      <c r="I591" s="186"/>
      <c r="J591" s="437"/>
      <c r="K591" s="437"/>
      <c r="L591" s="437"/>
      <c r="M591" s="437"/>
      <c r="N591" s="187"/>
      <c r="O591" s="187"/>
      <c r="P591" s="187"/>
      <c r="Q591" s="187"/>
      <c r="R591" s="188"/>
      <c r="S591" s="188"/>
      <c r="T591" s="189"/>
      <c r="U591" s="189"/>
      <c r="V591" s="189"/>
      <c r="W591" s="189"/>
      <c r="X591" s="189"/>
      <c r="Y591" s="189"/>
      <c r="Z591" s="189"/>
      <c r="AA591" s="190"/>
      <c r="AB591" s="190"/>
    </row>
    <row r="592" spans="2:28" ht="14.1" customHeight="1">
      <c r="B592" s="182"/>
      <c r="C592" s="182"/>
      <c r="D592" s="183"/>
      <c r="E592" s="184"/>
      <c r="F592" s="185"/>
      <c r="G592" s="185"/>
      <c r="H592" s="9"/>
      <c r="I592" s="186"/>
      <c r="J592" s="437"/>
      <c r="K592" s="437"/>
      <c r="L592" s="437"/>
      <c r="M592" s="437"/>
      <c r="N592" s="187"/>
      <c r="O592" s="187"/>
      <c r="P592" s="187"/>
      <c r="Q592" s="187"/>
      <c r="R592" s="188"/>
      <c r="S592" s="188"/>
      <c r="T592" s="189"/>
      <c r="U592" s="189"/>
      <c r="V592" s="189"/>
      <c r="W592" s="189"/>
      <c r="X592" s="189"/>
      <c r="Y592" s="189"/>
      <c r="Z592" s="189"/>
      <c r="AA592" s="190"/>
      <c r="AB592" s="190"/>
    </row>
    <row r="593" spans="2:28" ht="14.1" customHeight="1">
      <c r="B593" s="182"/>
      <c r="C593" s="182"/>
      <c r="D593" s="183"/>
      <c r="E593" s="184"/>
      <c r="F593" s="185"/>
      <c r="G593" s="185"/>
      <c r="H593" s="9"/>
      <c r="I593" s="186"/>
      <c r="J593" s="437"/>
      <c r="K593" s="437"/>
      <c r="L593" s="437"/>
      <c r="M593" s="437"/>
      <c r="N593" s="187"/>
      <c r="O593" s="187"/>
      <c r="P593" s="187"/>
      <c r="Q593" s="187"/>
      <c r="R593" s="188"/>
      <c r="S593" s="188"/>
      <c r="T593" s="189"/>
      <c r="U593" s="189"/>
      <c r="V593" s="189"/>
      <c r="W593" s="189"/>
      <c r="X593" s="189"/>
      <c r="Y593" s="189"/>
      <c r="Z593" s="189"/>
      <c r="AA593" s="190"/>
      <c r="AB593" s="190"/>
    </row>
    <row r="594" spans="2:28" ht="14.1" customHeight="1">
      <c r="B594" s="182"/>
      <c r="C594" s="182"/>
      <c r="D594" s="183"/>
      <c r="E594" s="184"/>
      <c r="F594" s="185"/>
      <c r="G594" s="185"/>
      <c r="H594" s="9"/>
      <c r="I594" s="186"/>
      <c r="J594" s="437"/>
      <c r="K594" s="437"/>
      <c r="L594" s="437"/>
      <c r="M594" s="437"/>
      <c r="N594" s="187"/>
      <c r="O594" s="187"/>
      <c r="P594" s="187"/>
      <c r="Q594" s="187"/>
      <c r="R594" s="188"/>
      <c r="S594" s="188"/>
      <c r="T594" s="189"/>
      <c r="U594" s="189"/>
      <c r="V594" s="189"/>
      <c r="W594" s="189"/>
      <c r="X594" s="189"/>
      <c r="Y594" s="189"/>
      <c r="Z594" s="189"/>
      <c r="AA594" s="190"/>
      <c r="AB594" s="190"/>
    </row>
    <row r="595" spans="2:28" ht="14.1" customHeight="1">
      <c r="B595" s="182"/>
      <c r="C595" s="182"/>
      <c r="D595" s="183"/>
      <c r="E595" s="184"/>
      <c r="F595" s="185"/>
      <c r="G595" s="185"/>
      <c r="H595" s="9"/>
      <c r="I595" s="186"/>
      <c r="J595" s="437"/>
      <c r="K595" s="437"/>
      <c r="L595" s="437"/>
      <c r="M595" s="437"/>
      <c r="N595" s="187"/>
      <c r="O595" s="187"/>
      <c r="P595" s="187"/>
      <c r="Q595" s="187"/>
      <c r="R595" s="188"/>
      <c r="S595" s="188"/>
      <c r="T595" s="189"/>
      <c r="U595" s="189"/>
      <c r="V595" s="189"/>
      <c r="W595" s="189"/>
      <c r="X595" s="189"/>
      <c r="Y595" s="189"/>
      <c r="Z595" s="189"/>
      <c r="AA595" s="190"/>
      <c r="AB595" s="190"/>
    </row>
    <row r="596" spans="2:28" ht="14.1" customHeight="1">
      <c r="B596" s="182"/>
      <c r="C596" s="182"/>
      <c r="D596" s="183"/>
      <c r="E596" s="184"/>
      <c r="F596" s="185"/>
      <c r="G596" s="185"/>
      <c r="H596" s="9"/>
      <c r="I596" s="186"/>
      <c r="J596" s="437"/>
      <c r="K596" s="437"/>
      <c r="L596" s="437"/>
      <c r="M596" s="437"/>
      <c r="N596" s="187"/>
      <c r="O596" s="187"/>
      <c r="P596" s="187"/>
      <c r="Q596" s="187"/>
      <c r="R596" s="188"/>
      <c r="S596" s="188"/>
      <c r="T596" s="189"/>
      <c r="U596" s="189"/>
      <c r="V596" s="189"/>
      <c r="W596" s="189"/>
      <c r="X596" s="189"/>
      <c r="Y596" s="189"/>
      <c r="Z596" s="189"/>
      <c r="AA596" s="190"/>
      <c r="AB596" s="190"/>
    </row>
    <row r="597" spans="2:28" ht="14.1" customHeight="1">
      <c r="B597" s="182"/>
      <c r="C597" s="182"/>
      <c r="D597" s="183"/>
      <c r="E597" s="184"/>
      <c r="F597" s="185"/>
      <c r="G597" s="185"/>
      <c r="H597" s="9"/>
      <c r="I597" s="186"/>
      <c r="J597" s="437"/>
      <c r="K597" s="437"/>
      <c r="L597" s="437"/>
      <c r="M597" s="437"/>
      <c r="N597" s="187"/>
      <c r="O597" s="187"/>
      <c r="P597" s="187"/>
      <c r="Q597" s="187"/>
      <c r="R597" s="188"/>
      <c r="S597" s="188"/>
      <c r="T597" s="189"/>
      <c r="U597" s="189"/>
      <c r="V597" s="189"/>
      <c r="W597" s="189"/>
      <c r="X597" s="189"/>
      <c r="Y597" s="189"/>
      <c r="Z597" s="189"/>
      <c r="AA597" s="190"/>
      <c r="AB597" s="190"/>
    </row>
    <row r="598" spans="2:28" ht="14.1" customHeight="1">
      <c r="B598" s="182"/>
      <c r="C598" s="182"/>
      <c r="D598" s="183"/>
      <c r="E598" s="184"/>
      <c r="F598" s="185"/>
      <c r="G598" s="185"/>
      <c r="H598" s="9"/>
      <c r="I598" s="186"/>
      <c r="J598" s="437"/>
      <c r="K598" s="437"/>
      <c r="L598" s="437"/>
      <c r="M598" s="437"/>
      <c r="N598" s="187"/>
      <c r="O598" s="187"/>
      <c r="P598" s="187"/>
      <c r="Q598" s="187"/>
      <c r="R598" s="188"/>
      <c r="S598" s="188"/>
      <c r="T598" s="189"/>
      <c r="U598" s="189"/>
      <c r="V598" s="189"/>
      <c r="W598" s="189"/>
      <c r="X598" s="189"/>
      <c r="Y598" s="189"/>
      <c r="Z598" s="189"/>
      <c r="AA598" s="190"/>
      <c r="AB598" s="190"/>
    </row>
    <row r="599" spans="2:28" ht="14.1" customHeight="1">
      <c r="B599" s="182"/>
      <c r="C599" s="182"/>
      <c r="D599" s="183"/>
      <c r="E599" s="184"/>
      <c r="F599" s="185"/>
      <c r="G599" s="185"/>
      <c r="H599" s="9"/>
      <c r="I599" s="186"/>
      <c r="J599" s="437"/>
      <c r="K599" s="437"/>
      <c r="L599" s="437"/>
      <c r="M599" s="437"/>
      <c r="N599" s="187"/>
      <c r="O599" s="187"/>
      <c r="P599" s="187"/>
      <c r="Q599" s="187"/>
      <c r="R599" s="188"/>
      <c r="S599" s="188"/>
      <c r="T599" s="189"/>
      <c r="U599" s="189"/>
      <c r="V599" s="189"/>
      <c r="W599" s="189"/>
      <c r="X599" s="189"/>
      <c r="Y599" s="189"/>
      <c r="Z599" s="189"/>
      <c r="AA599" s="190"/>
      <c r="AB599" s="190"/>
    </row>
    <row r="600" spans="2:28" ht="14.1" customHeight="1">
      <c r="B600" s="182"/>
      <c r="C600" s="182"/>
      <c r="D600" s="183"/>
      <c r="E600" s="184"/>
      <c r="F600" s="185"/>
      <c r="G600" s="185"/>
      <c r="H600" s="9"/>
      <c r="I600" s="186"/>
      <c r="J600" s="437"/>
      <c r="K600" s="437"/>
      <c r="L600" s="437"/>
      <c r="M600" s="437"/>
      <c r="N600" s="187"/>
      <c r="O600" s="187"/>
      <c r="P600" s="187"/>
      <c r="Q600" s="187"/>
      <c r="R600" s="188"/>
      <c r="S600" s="188"/>
      <c r="T600" s="189"/>
      <c r="U600" s="189"/>
      <c r="V600" s="189"/>
      <c r="W600" s="189"/>
      <c r="X600" s="189"/>
      <c r="Y600" s="189"/>
      <c r="Z600" s="189"/>
      <c r="AA600" s="190"/>
      <c r="AB600" s="190"/>
    </row>
    <row r="601" spans="2:28" ht="14.1" customHeight="1">
      <c r="B601" s="182"/>
      <c r="C601" s="182"/>
      <c r="D601" s="183"/>
      <c r="E601" s="184"/>
      <c r="F601" s="185"/>
      <c r="G601" s="185"/>
      <c r="H601" s="9"/>
      <c r="I601" s="186"/>
      <c r="J601" s="437"/>
      <c r="K601" s="437"/>
      <c r="L601" s="437"/>
      <c r="M601" s="437"/>
      <c r="N601" s="187"/>
      <c r="O601" s="187"/>
      <c r="P601" s="187"/>
      <c r="Q601" s="187"/>
      <c r="R601" s="188"/>
      <c r="S601" s="188"/>
      <c r="T601" s="189"/>
      <c r="U601" s="189"/>
      <c r="V601" s="189"/>
      <c r="W601" s="189"/>
      <c r="X601" s="189"/>
      <c r="Y601" s="189"/>
      <c r="Z601" s="189"/>
      <c r="AA601" s="190"/>
      <c r="AB601" s="190"/>
    </row>
    <row r="602" spans="2:28" ht="14.1" customHeight="1">
      <c r="B602" s="182"/>
      <c r="C602" s="182"/>
      <c r="D602" s="183"/>
      <c r="E602" s="184"/>
      <c r="F602" s="185"/>
      <c r="G602" s="185"/>
      <c r="H602" s="9"/>
      <c r="I602" s="186"/>
      <c r="J602" s="437"/>
      <c r="K602" s="437"/>
      <c r="L602" s="437"/>
      <c r="M602" s="437"/>
      <c r="N602" s="187"/>
      <c r="O602" s="187"/>
      <c r="P602" s="187"/>
      <c r="Q602" s="187"/>
      <c r="R602" s="188"/>
      <c r="S602" s="188"/>
      <c r="T602" s="189"/>
      <c r="U602" s="189"/>
      <c r="V602" s="189"/>
      <c r="W602" s="189"/>
      <c r="X602" s="189"/>
      <c r="Y602" s="189"/>
      <c r="Z602" s="189"/>
      <c r="AA602" s="190"/>
      <c r="AB602" s="190"/>
    </row>
    <row r="603" spans="2:28" ht="14.1" customHeight="1">
      <c r="B603" s="182"/>
      <c r="C603" s="182"/>
      <c r="D603" s="183"/>
      <c r="E603" s="184"/>
      <c r="F603" s="185"/>
      <c r="G603" s="185"/>
      <c r="H603" s="9"/>
      <c r="I603" s="186"/>
      <c r="J603" s="437"/>
      <c r="K603" s="437"/>
      <c r="L603" s="437"/>
      <c r="M603" s="437"/>
      <c r="N603" s="187"/>
      <c r="O603" s="187"/>
      <c r="P603" s="187"/>
      <c r="Q603" s="187"/>
      <c r="R603" s="188"/>
      <c r="S603" s="188"/>
      <c r="T603" s="189"/>
      <c r="U603" s="189"/>
      <c r="V603" s="189"/>
      <c r="W603" s="189"/>
      <c r="X603" s="189"/>
      <c r="Y603" s="189"/>
      <c r="Z603" s="189"/>
      <c r="AA603" s="190"/>
      <c r="AB603" s="190"/>
    </row>
    <row r="604" spans="2:28" ht="14.1" customHeight="1">
      <c r="B604" s="182"/>
      <c r="C604" s="182"/>
      <c r="D604" s="183"/>
      <c r="E604" s="184"/>
      <c r="F604" s="185"/>
      <c r="G604" s="185"/>
      <c r="H604" s="9"/>
      <c r="I604" s="186"/>
      <c r="J604" s="437"/>
      <c r="K604" s="437"/>
      <c r="L604" s="437"/>
      <c r="M604" s="437"/>
      <c r="N604" s="187"/>
      <c r="O604" s="187"/>
      <c r="P604" s="187"/>
      <c r="Q604" s="187"/>
      <c r="R604" s="188"/>
      <c r="S604" s="188"/>
      <c r="T604" s="189"/>
      <c r="U604" s="189"/>
      <c r="V604" s="189"/>
      <c r="W604" s="189"/>
      <c r="X604" s="189"/>
      <c r="Y604" s="189"/>
      <c r="Z604" s="189"/>
      <c r="AA604" s="190"/>
      <c r="AB604" s="190"/>
    </row>
    <row r="605" spans="2:28" ht="14.1" customHeight="1">
      <c r="B605" s="182"/>
      <c r="C605" s="182"/>
      <c r="D605" s="183"/>
      <c r="E605" s="184"/>
      <c r="F605" s="185"/>
      <c r="G605" s="185"/>
      <c r="H605" s="9"/>
      <c r="I605" s="186"/>
      <c r="J605" s="437"/>
      <c r="K605" s="437"/>
      <c r="L605" s="437"/>
      <c r="M605" s="437"/>
      <c r="N605" s="187"/>
      <c r="O605" s="187"/>
      <c r="P605" s="187"/>
      <c r="Q605" s="187"/>
      <c r="R605" s="188"/>
      <c r="S605" s="188"/>
      <c r="T605" s="189"/>
      <c r="U605" s="189"/>
      <c r="V605" s="189"/>
      <c r="W605" s="189"/>
      <c r="X605" s="189"/>
      <c r="Y605" s="189"/>
      <c r="Z605" s="189"/>
      <c r="AA605" s="190"/>
      <c r="AB605" s="190"/>
    </row>
    <row r="606" spans="2:28" ht="14.1" customHeight="1">
      <c r="B606" s="182"/>
      <c r="C606" s="182"/>
      <c r="D606" s="183"/>
      <c r="E606" s="184"/>
      <c r="F606" s="185"/>
      <c r="G606" s="185"/>
      <c r="H606" s="9"/>
      <c r="I606" s="186"/>
      <c r="J606" s="437"/>
      <c r="K606" s="437"/>
      <c r="L606" s="437"/>
      <c r="M606" s="437"/>
      <c r="N606" s="187"/>
      <c r="O606" s="187"/>
      <c r="P606" s="187"/>
      <c r="Q606" s="187"/>
      <c r="R606" s="188"/>
      <c r="S606" s="188"/>
      <c r="T606" s="189"/>
      <c r="U606" s="189"/>
      <c r="V606" s="189"/>
      <c r="W606" s="189"/>
      <c r="X606" s="189"/>
      <c r="Y606" s="189"/>
      <c r="Z606" s="189"/>
      <c r="AA606" s="190"/>
      <c r="AB606" s="190"/>
    </row>
    <row r="607" spans="2:28" ht="14.1" customHeight="1">
      <c r="B607" s="182"/>
      <c r="C607" s="182"/>
      <c r="D607" s="183"/>
      <c r="E607" s="184"/>
      <c r="F607" s="185"/>
      <c r="G607" s="185"/>
      <c r="H607" s="9"/>
      <c r="I607" s="186"/>
      <c r="J607" s="437"/>
      <c r="K607" s="437"/>
      <c r="L607" s="437"/>
      <c r="M607" s="437"/>
      <c r="N607" s="187"/>
      <c r="O607" s="187"/>
      <c r="P607" s="187"/>
      <c r="Q607" s="187"/>
      <c r="R607" s="188"/>
      <c r="S607" s="188"/>
      <c r="T607" s="189"/>
      <c r="U607" s="189"/>
      <c r="V607" s="189"/>
      <c r="W607" s="189"/>
      <c r="X607" s="189"/>
      <c r="Y607" s="189"/>
      <c r="Z607" s="189"/>
      <c r="AA607" s="190"/>
      <c r="AB607" s="190"/>
    </row>
    <row r="608" spans="2:28" ht="14.1" customHeight="1">
      <c r="B608" s="182"/>
      <c r="C608" s="182"/>
      <c r="D608" s="183"/>
      <c r="E608" s="184"/>
      <c r="F608" s="185"/>
      <c r="G608" s="185"/>
      <c r="H608" s="9"/>
      <c r="I608" s="186"/>
      <c r="J608" s="437"/>
      <c r="K608" s="437"/>
      <c r="L608" s="437"/>
      <c r="M608" s="437"/>
      <c r="N608" s="187"/>
      <c r="O608" s="187"/>
      <c r="P608" s="187"/>
      <c r="Q608" s="187"/>
      <c r="R608" s="188"/>
      <c r="S608" s="188"/>
      <c r="T608" s="189"/>
      <c r="U608" s="189"/>
      <c r="V608" s="189"/>
      <c r="W608" s="189"/>
      <c r="X608" s="189"/>
      <c r="Y608" s="189"/>
      <c r="Z608" s="189"/>
      <c r="AA608" s="190"/>
      <c r="AB608" s="190"/>
    </row>
    <row r="609" spans="2:28" ht="14.1" customHeight="1">
      <c r="B609" s="182"/>
      <c r="C609" s="182"/>
      <c r="D609" s="183"/>
      <c r="E609" s="184"/>
      <c r="F609" s="185"/>
      <c r="G609" s="185"/>
      <c r="H609" s="9"/>
      <c r="I609" s="186"/>
      <c r="J609" s="437"/>
      <c r="K609" s="437"/>
      <c r="L609" s="437"/>
      <c r="M609" s="437"/>
      <c r="N609" s="187"/>
      <c r="O609" s="187"/>
      <c r="P609" s="187"/>
      <c r="Q609" s="187"/>
      <c r="R609" s="188"/>
      <c r="S609" s="188"/>
      <c r="T609" s="189"/>
      <c r="U609" s="189"/>
      <c r="V609" s="189"/>
      <c r="W609" s="189"/>
      <c r="X609" s="189"/>
      <c r="Y609" s="189"/>
      <c r="Z609" s="189"/>
      <c r="AA609" s="190"/>
      <c r="AB609" s="190"/>
    </row>
    <row r="610" spans="2:28" ht="14.1" customHeight="1">
      <c r="B610" s="182"/>
      <c r="C610" s="182"/>
      <c r="D610" s="183"/>
      <c r="E610" s="184"/>
      <c r="F610" s="185"/>
      <c r="G610" s="185"/>
      <c r="H610" s="9"/>
      <c r="I610" s="186"/>
      <c r="J610" s="437"/>
      <c r="K610" s="437"/>
      <c r="L610" s="437"/>
      <c r="M610" s="437"/>
      <c r="N610" s="187"/>
      <c r="O610" s="187"/>
      <c r="P610" s="187"/>
      <c r="Q610" s="187"/>
      <c r="R610" s="188"/>
      <c r="S610" s="188"/>
      <c r="T610" s="189"/>
      <c r="U610" s="189"/>
      <c r="V610" s="189"/>
      <c r="W610" s="189"/>
      <c r="X610" s="189"/>
      <c r="Y610" s="189"/>
      <c r="Z610" s="189"/>
      <c r="AA610" s="190"/>
      <c r="AB610" s="190"/>
    </row>
    <row r="611" spans="2:28" ht="14.1" customHeight="1">
      <c r="B611" s="182"/>
      <c r="C611" s="182"/>
      <c r="D611" s="183"/>
      <c r="E611" s="184"/>
      <c r="F611" s="185"/>
      <c r="G611" s="185"/>
      <c r="H611" s="9"/>
      <c r="I611" s="186"/>
      <c r="J611" s="437"/>
      <c r="K611" s="437"/>
      <c r="L611" s="437"/>
      <c r="M611" s="437"/>
      <c r="N611" s="187"/>
      <c r="O611" s="187"/>
      <c r="P611" s="187"/>
      <c r="Q611" s="187"/>
      <c r="R611" s="188"/>
      <c r="S611" s="188"/>
      <c r="T611" s="189"/>
      <c r="U611" s="189"/>
      <c r="V611" s="189"/>
      <c r="W611" s="189"/>
      <c r="X611" s="189"/>
      <c r="Y611" s="189"/>
      <c r="Z611" s="189"/>
      <c r="AA611" s="190"/>
      <c r="AB611" s="190"/>
    </row>
    <row r="612" spans="2:28" ht="14.1" customHeight="1">
      <c r="B612" s="182"/>
      <c r="C612" s="182"/>
      <c r="D612" s="183"/>
      <c r="E612" s="184"/>
      <c r="F612" s="185"/>
      <c r="G612" s="185"/>
      <c r="H612" s="9"/>
      <c r="I612" s="186"/>
      <c r="J612" s="437"/>
      <c r="K612" s="437"/>
      <c r="L612" s="437"/>
      <c r="M612" s="437"/>
      <c r="N612" s="187"/>
      <c r="O612" s="187"/>
      <c r="P612" s="187"/>
      <c r="Q612" s="187"/>
      <c r="R612" s="188"/>
      <c r="S612" s="188"/>
      <c r="T612" s="189"/>
      <c r="U612" s="189"/>
      <c r="V612" s="189"/>
      <c r="W612" s="189"/>
      <c r="X612" s="189"/>
      <c r="Y612" s="189"/>
      <c r="Z612" s="189"/>
      <c r="AA612" s="190"/>
      <c r="AB612" s="190"/>
    </row>
    <row r="613" spans="2:28" ht="14.1" customHeight="1">
      <c r="B613" s="182"/>
      <c r="C613" s="182"/>
      <c r="D613" s="183"/>
      <c r="E613" s="184"/>
      <c r="F613" s="185"/>
      <c r="G613" s="185"/>
      <c r="H613" s="9"/>
      <c r="I613" s="186"/>
      <c r="J613" s="437"/>
      <c r="K613" s="437"/>
      <c r="L613" s="437"/>
      <c r="M613" s="437"/>
      <c r="N613" s="187"/>
      <c r="O613" s="187"/>
      <c r="P613" s="187"/>
      <c r="Q613" s="187"/>
      <c r="R613" s="188"/>
      <c r="S613" s="188"/>
      <c r="T613" s="189"/>
      <c r="U613" s="189"/>
      <c r="V613" s="189"/>
      <c r="W613" s="189"/>
      <c r="X613" s="189"/>
      <c r="Y613" s="189"/>
      <c r="Z613" s="189"/>
      <c r="AA613" s="190"/>
      <c r="AB613" s="190"/>
    </row>
    <row r="614" spans="2:28" ht="14.1" customHeight="1">
      <c r="B614" s="182"/>
      <c r="C614" s="182"/>
      <c r="D614" s="183"/>
      <c r="E614" s="184"/>
      <c r="F614" s="185"/>
      <c r="G614" s="185"/>
      <c r="H614" s="9"/>
      <c r="I614" s="186"/>
      <c r="J614" s="437"/>
      <c r="K614" s="437"/>
      <c r="L614" s="437"/>
      <c r="M614" s="437"/>
      <c r="N614" s="187"/>
      <c r="O614" s="187"/>
      <c r="P614" s="187"/>
      <c r="Q614" s="187"/>
      <c r="R614" s="188"/>
      <c r="S614" s="188"/>
      <c r="T614" s="189"/>
      <c r="U614" s="189"/>
      <c r="V614" s="189"/>
      <c r="W614" s="189"/>
      <c r="X614" s="189"/>
      <c r="Y614" s="189"/>
      <c r="Z614" s="189"/>
      <c r="AA614" s="190"/>
      <c r="AB614" s="190"/>
    </row>
    <row r="615" spans="2:28" ht="14.1" customHeight="1">
      <c r="B615" s="182"/>
      <c r="C615" s="182"/>
      <c r="D615" s="183"/>
      <c r="E615" s="184"/>
      <c r="F615" s="185"/>
      <c r="G615" s="185"/>
      <c r="H615" s="9"/>
      <c r="I615" s="186"/>
      <c r="J615" s="437"/>
      <c r="K615" s="437"/>
      <c r="L615" s="437"/>
      <c r="M615" s="437"/>
      <c r="N615" s="187"/>
      <c r="O615" s="187"/>
      <c r="P615" s="187"/>
      <c r="Q615" s="187"/>
      <c r="R615" s="188"/>
      <c r="S615" s="188"/>
      <c r="T615" s="189"/>
      <c r="U615" s="189"/>
      <c r="V615" s="189"/>
      <c r="W615" s="189"/>
      <c r="X615" s="189"/>
      <c r="Y615" s="189"/>
      <c r="Z615" s="189"/>
      <c r="AA615" s="190"/>
      <c r="AB615" s="190"/>
    </row>
    <row r="616" spans="2:28" ht="14.1" customHeight="1">
      <c r="B616" s="182"/>
      <c r="C616" s="182"/>
      <c r="D616" s="183"/>
      <c r="E616" s="184"/>
      <c r="F616" s="185"/>
      <c r="G616" s="185"/>
      <c r="H616" s="9"/>
      <c r="I616" s="186"/>
      <c r="J616" s="437"/>
      <c r="K616" s="437"/>
      <c r="L616" s="437"/>
      <c r="M616" s="437"/>
      <c r="N616" s="187"/>
      <c r="O616" s="187"/>
      <c r="P616" s="187"/>
      <c r="Q616" s="187"/>
      <c r="R616" s="188"/>
      <c r="S616" s="188"/>
      <c r="T616" s="189"/>
      <c r="U616" s="189"/>
      <c r="V616" s="189"/>
      <c r="W616" s="189"/>
      <c r="X616" s="189"/>
      <c r="Y616" s="189"/>
      <c r="Z616" s="189"/>
      <c r="AA616" s="190"/>
      <c r="AB616" s="190"/>
    </row>
    <row r="617" spans="2:28" ht="14.1" customHeight="1">
      <c r="B617" s="182"/>
      <c r="C617" s="182"/>
      <c r="D617" s="183"/>
      <c r="E617" s="184"/>
      <c r="F617" s="185"/>
      <c r="G617" s="185"/>
      <c r="H617" s="9"/>
      <c r="I617" s="186"/>
      <c r="J617" s="437"/>
      <c r="K617" s="437"/>
      <c r="L617" s="437"/>
      <c r="M617" s="437"/>
      <c r="N617" s="187"/>
      <c r="O617" s="187"/>
      <c r="P617" s="187"/>
      <c r="Q617" s="187"/>
      <c r="R617" s="188"/>
      <c r="S617" s="188"/>
      <c r="T617" s="189"/>
      <c r="U617" s="189"/>
      <c r="V617" s="189"/>
      <c r="W617" s="189"/>
      <c r="X617" s="189"/>
      <c r="Y617" s="189"/>
      <c r="Z617" s="189"/>
      <c r="AA617" s="190"/>
      <c r="AB617" s="190"/>
    </row>
    <row r="618" spans="2:28" ht="14.1" customHeight="1">
      <c r="B618" s="182"/>
      <c r="C618" s="182"/>
      <c r="D618" s="183"/>
      <c r="E618" s="184"/>
      <c r="F618" s="185"/>
      <c r="G618" s="185"/>
      <c r="H618" s="9"/>
      <c r="I618" s="186"/>
      <c r="J618" s="437"/>
      <c r="K618" s="437"/>
      <c r="L618" s="437"/>
      <c r="M618" s="437"/>
      <c r="N618" s="187"/>
      <c r="O618" s="187"/>
      <c r="P618" s="187"/>
      <c r="Q618" s="187"/>
      <c r="R618" s="188"/>
      <c r="S618" s="188"/>
      <c r="T618" s="189"/>
      <c r="U618" s="189"/>
      <c r="V618" s="189"/>
      <c r="W618" s="189"/>
      <c r="X618" s="189"/>
      <c r="Y618" s="189"/>
      <c r="Z618" s="189"/>
      <c r="AA618" s="190"/>
      <c r="AB618" s="190"/>
    </row>
    <row r="619" spans="2:28" ht="14.1" customHeight="1">
      <c r="B619" s="182"/>
      <c r="C619" s="182"/>
      <c r="D619" s="183"/>
      <c r="E619" s="184"/>
      <c r="F619" s="185"/>
      <c r="G619" s="185"/>
      <c r="H619" s="9"/>
      <c r="I619" s="186"/>
      <c r="J619" s="437"/>
      <c r="K619" s="437"/>
      <c r="L619" s="437"/>
      <c r="M619" s="437"/>
      <c r="N619" s="187"/>
      <c r="O619" s="187"/>
      <c r="P619" s="187"/>
      <c r="Q619" s="187"/>
      <c r="R619" s="188"/>
      <c r="S619" s="188"/>
      <c r="T619" s="189"/>
      <c r="U619" s="189"/>
      <c r="V619" s="189"/>
      <c r="W619" s="189"/>
      <c r="X619" s="189"/>
      <c r="Y619" s="189"/>
      <c r="Z619" s="189"/>
      <c r="AA619" s="190"/>
      <c r="AB619" s="190"/>
    </row>
    <row r="620" spans="2:28" ht="14.1" customHeight="1">
      <c r="B620" s="182"/>
      <c r="C620" s="182"/>
      <c r="D620" s="183"/>
      <c r="E620" s="184"/>
      <c r="F620" s="185"/>
      <c r="G620" s="185"/>
      <c r="H620" s="9"/>
      <c r="I620" s="186"/>
      <c r="J620" s="437"/>
      <c r="K620" s="437"/>
      <c r="L620" s="437"/>
      <c r="M620" s="437"/>
      <c r="N620" s="187"/>
      <c r="O620" s="187"/>
      <c r="P620" s="187"/>
      <c r="Q620" s="187"/>
      <c r="R620" s="188"/>
      <c r="S620" s="188"/>
      <c r="T620" s="189"/>
      <c r="U620" s="189"/>
      <c r="V620" s="189"/>
      <c r="W620" s="189"/>
      <c r="X620" s="189"/>
      <c r="Y620" s="189"/>
      <c r="Z620" s="189"/>
      <c r="AA620" s="190"/>
      <c r="AB620" s="190"/>
    </row>
    <row r="621" spans="2:28" ht="14.1" customHeight="1">
      <c r="B621" s="182"/>
      <c r="C621" s="182"/>
      <c r="D621" s="183"/>
      <c r="E621" s="184"/>
      <c r="F621" s="185"/>
      <c r="G621" s="185"/>
      <c r="H621" s="9"/>
      <c r="I621" s="186"/>
      <c r="J621" s="437"/>
      <c r="K621" s="437"/>
      <c r="L621" s="437"/>
      <c r="M621" s="437"/>
      <c r="N621" s="187"/>
      <c r="O621" s="187"/>
      <c r="P621" s="187"/>
      <c r="Q621" s="187"/>
      <c r="R621" s="188"/>
      <c r="S621" s="188"/>
      <c r="T621" s="189"/>
      <c r="U621" s="189"/>
      <c r="V621" s="189"/>
      <c r="W621" s="189"/>
      <c r="X621" s="189"/>
      <c r="Y621" s="189"/>
      <c r="Z621" s="189"/>
      <c r="AA621" s="190"/>
      <c r="AB621" s="190"/>
    </row>
    <row r="622" spans="2:28" ht="14.1" customHeight="1">
      <c r="B622" s="182"/>
      <c r="C622" s="182"/>
      <c r="D622" s="183"/>
      <c r="E622" s="184"/>
      <c r="F622" s="185"/>
      <c r="G622" s="185"/>
      <c r="H622" s="9"/>
      <c r="I622" s="186"/>
      <c r="J622" s="437"/>
      <c r="K622" s="437"/>
      <c r="L622" s="437"/>
      <c r="M622" s="437"/>
      <c r="N622" s="187"/>
      <c r="O622" s="187"/>
      <c r="P622" s="187"/>
      <c r="Q622" s="187"/>
      <c r="R622" s="188"/>
      <c r="S622" s="188"/>
      <c r="T622" s="189"/>
      <c r="U622" s="189"/>
      <c r="V622" s="189"/>
      <c r="W622" s="189"/>
      <c r="X622" s="189"/>
      <c r="Y622" s="189"/>
      <c r="Z622" s="189"/>
      <c r="AA622" s="190"/>
      <c r="AB622" s="190"/>
    </row>
    <row r="623" spans="2:28" ht="14.1" customHeight="1">
      <c r="B623" s="182"/>
      <c r="C623" s="182"/>
      <c r="D623" s="183"/>
      <c r="E623" s="184"/>
      <c r="F623" s="185"/>
      <c r="G623" s="185"/>
      <c r="H623" s="9"/>
      <c r="I623" s="186"/>
      <c r="J623" s="437"/>
      <c r="K623" s="437"/>
      <c r="L623" s="437"/>
      <c r="M623" s="437"/>
      <c r="N623" s="187"/>
      <c r="O623" s="187"/>
      <c r="P623" s="187"/>
      <c r="Q623" s="187"/>
      <c r="R623" s="188"/>
      <c r="S623" s="188"/>
      <c r="T623" s="189"/>
      <c r="U623" s="189"/>
      <c r="V623" s="189"/>
      <c r="W623" s="189"/>
      <c r="X623" s="189"/>
      <c r="Y623" s="189"/>
      <c r="Z623" s="189"/>
      <c r="AA623" s="190"/>
      <c r="AB623" s="190"/>
    </row>
    <row r="624" spans="2:28" ht="14.1" customHeight="1">
      <c r="B624" s="182"/>
      <c r="C624" s="182"/>
      <c r="D624" s="183"/>
      <c r="E624" s="184"/>
      <c r="F624" s="185"/>
      <c r="G624" s="185"/>
      <c r="H624" s="9"/>
      <c r="I624" s="186"/>
      <c r="J624" s="437"/>
      <c r="K624" s="437"/>
      <c r="L624" s="437"/>
      <c r="M624" s="437"/>
      <c r="N624" s="187"/>
      <c r="O624" s="187"/>
      <c r="P624" s="187"/>
      <c r="Q624" s="187"/>
      <c r="R624" s="188"/>
      <c r="S624" s="188"/>
      <c r="T624" s="189"/>
      <c r="U624" s="189"/>
      <c r="V624" s="189"/>
      <c r="W624" s="189"/>
      <c r="X624" s="189"/>
      <c r="Y624" s="189"/>
      <c r="Z624" s="189"/>
      <c r="AA624" s="190"/>
      <c r="AB624" s="190"/>
    </row>
    <row r="625" spans="2:28" ht="14.1" customHeight="1">
      <c r="B625" s="182"/>
      <c r="C625" s="182"/>
      <c r="D625" s="183"/>
      <c r="E625" s="184"/>
      <c r="F625" s="185"/>
      <c r="G625" s="185"/>
      <c r="H625" s="9"/>
      <c r="I625" s="186"/>
      <c r="J625" s="437"/>
      <c r="K625" s="437"/>
      <c r="L625" s="437"/>
      <c r="M625" s="437"/>
      <c r="N625" s="187"/>
      <c r="O625" s="187"/>
      <c r="P625" s="187"/>
      <c r="Q625" s="187"/>
      <c r="R625" s="188"/>
      <c r="S625" s="188"/>
      <c r="T625" s="189"/>
      <c r="U625" s="189"/>
      <c r="V625" s="189"/>
      <c r="W625" s="189"/>
      <c r="X625" s="189"/>
      <c r="Y625" s="189"/>
      <c r="Z625" s="189"/>
      <c r="AA625" s="190"/>
      <c r="AB625" s="190"/>
    </row>
    <row r="626" spans="2:28" ht="14.1" customHeight="1">
      <c r="B626" s="182"/>
      <c r="C626" s="182"/>
      <c r="D626" s="183"/>
      <c r="E626" s="184"/>
      <c r="F626" s="185"/>
      <c r="G626" s="185"/>
      <c r="H626" s="9"/>
      <c r="I626" s="186"/>
      <c r="J626" s="437"/>
      <c r="K626" s="437"/>
      <c r="L626" s="437"/>
      <c r="M626" s="437"/>
      <c r="N626" s="187"/>
      <c r="O626" s="187"/>
      <c r="P626" s="187"/>
      <c r="Q626" s="187"/>
      <c r="R626" s="188"/>
      <c r="S626" s="188"/>
      <c r="T626" s="189"/>
      <c r="U626" s="189"/>
      <c r="V626" s="189"/>
      <c r="W626" s="189"/>
      <c r="X626" s="189"/>
      <c r="Y626" s="189"/>
      <c r="Z626" s="189"/>
      <c r="AA626" s="190"/>
      <c r="AB626" s="190"/>
    </row>
    <row r="627" spans="2:28" ht="14.1" customHeight="1">
      <c r="B627" s="182"/>
      <c r="C627" s="182"/>
      <c r="D627" s="183"/>
      <c r="E627" s="184"/>
      <c r="F627" s="185"/>
      <c r="G627" s="185"/>
      <c r="H627" s="9"/>
      <c r="I627" s="186"/>
      <c r="J627" s="437"/>
      <c r="K627" s="437"/>
      <c r="L627" s="437"/>
      <c r="M627" s="437"/>
      <c r="N627" s="187"/>
      <c r="O627" s="187"/>
      <c r="P627" s="187"/>
      <c r="Q627" s="187"/>
      <c r="R627" s="188"/>
      <c r="S627" s="188"/>
      <c r="T627" s="189"/>
      <c r="U627" s="189"/>
      <c r="V627" s="189"/>
      <c r="W627" s="189"/>
      <c r="X627" s="189"/>
      <c r="Y627" s="189"/>
      <c r="Z627" s="189"/>
      <c r="AA627" s="190"/>
      <c r="AB627" s="190"/>
    </row>
    <row r="628" spans="2:28" ht="14.1" customHeight="1">
      <c r="B628" s="182"/>
      <c r="C628" s="182"/>
      <c r="D628" s="183"/>
      <c r="E628" s="184"/>
      <c r="F628" s="185"/>
      <c r="G628" s="185"/>
      <c r="H628" s="9"/>
      <c r="I628" s="186"/>
      <c r="J628" s="437"/>
      <c r="K628" s="437"/>
      <c r="L628" s="437"/>
      <c r="M628" s="437"/>
      <c r="N628" s="187"/>
      <c r="O628" s="187"/>
      <c r="P628" s="187"/>
      <c r="Q628" s="187"/>
      <c r="R628" s="188"/>
      <c r="S628" s="188"/>
      <c r="T628" s="189"/>
      <c r="U628" s="189"/>
      <c r="V628" s="189"/>
      <c r="W628" s="189"/>
      <c r="X628" s="189"/>
      <c r="Y628" s="189"/>
      <c r="Z628" s="189"/>
      <c r="AA628" s="190"/>
      <c r="AB628" s="190"/>
    </row>
    <row r="629" spans="2:28" ht="14.1" customHeight="1">
      <c r="B629" s="182"/>
      <c r="C629" s="182"/>
      <c r="D629" s="183"/>
      <c r="E629" s="184"/>
      <c r="F629" s="185"/>
      <c r="G629" s="185"/>
      <c r="H629" s="9"/>
      <c r="I629" s="186"/>
      <c r="J629" s="437"/>
      <c r="K629" s="437"/>
      <c r="L629" s="437"/>
      <c r="M629" s="437"/>
      <c r="N629" s="187"/>
      <c r="O629" s="187"/>
      <c r="P629" s="187"/>
      <c r="Q629" s="187"/>
      <c r="R629" s="188"/>
      <c r="S629" s="188"/>
      <c r="T629" s="189"/>
      <c r="U629" s="189"/>
      <c r="V629" s="189"/>
      <c r="W629" s="189"/>
      <c r="X629" s="189"/>
      <c r="Y629" s="189"/>
      <c r="Z629" s="189"/>
      <c r="AA629" s="190"/>
      <c r="AB629" s="190"/>
    </row>
    <row r="630" spans="2:28" ht="14.1" customHeight="1">
      <c r="B630" s="182"/>
      <c r="C630" s="182"/>
      <c r="D630" s="183"/>
      <c r="E630" s="184"/>
      <c r="F630" s="185"/>
      <c r="G630" s="185"/>
      <c r="H630" s="9"/>
      <c r="I630" s="186"/>
      <c r="J630" s="437"/>
      <c r="K630" s="437"/>
      <c r="L630" s="437"/>
      <c r="M630" s="437"/>
      <c r="N630" s="187"/>
      <c r="O630" s="187"/>
      <c r="P630" s="187"/>
      <c r="Q630" s="187"/>
      <c r="R630" s="188"/>
      <c r="S630" s="188"/>
      <c r="T630" s="189"/>
      <c r="U630" s="189"/>
      <c r="V630" s="189"/>
      <c r="W630" s="189"/>
      <c r="X630" s="189"/>
      <c r="Y630" s="189"/>
      <c r="Z630" s="189"/>
      <c r="AA630" s="190"/>
      <c r="AB630" s="190"/>
    </row>
    <row r="631" spans="2:28" ht="14.1" customHeight="1">
      <c r="B631" s="182"/>
      <c r="C631" s="182"/>
      <c r="D631" s="183"/>
      <c r="E631" s="184"/>
      <c r="F631" s="185"/>
      <c r="G631" s="185"/>
      <c r="H631" s="9"/>
      <c r="I631" s="186"/>
      <c r="J631" s="437"/>
      <c r="K631" s="437"/>
      <c r="L631" s="437"/>
      <c r="M631" s="437"/>
      <c r="N631" s="187"/>
      <c r="O631" s="187"/>
      <c r="P631" s="187"/>
      <c r="Q631" s="187"/>
      <c r="R631" s="188"/>
      <c r="S631" s="188"/>
      <c r="T631" s="189"/>
      <c r="U631" s="189"/>
      <c r="V631" s="189"/>
      <c r="W631" s="189"/>
      <c r="X631" s="189"/>
      <c r="Y631" s="189"/>
      <c r="Z631" s="189"/>
      <c r="AA631" s="190"/>
      <c r="AB631" s="190"/>
    </row>
    <row r="632" spans="2:28" ht="14.1" customHeight="1">
      <c r="B632" s="182"/>
      <c r="C632" s="182"/>
      <c r="D632" s="183"/>
      <c r="E632" s="184"/>
      <c r="F632" s="185"/>
      <c r="G632" s="185"/>
      <c r="H632" s="9"/>
      <c r="I632" s="186"/>
      <c r="J632" s="437"/>
      <c r="K632" s="437"/>
      <c r="L632" s="437"/>
      <c r="M632" s="437"/>
      <c r="N632" s="187"/>
      <c r="O632" s="187"/>
      <c r="P632" s="187"/>
      <c r="Q632" s="187"/>
      <c r="R632" s="188"/>
      <c r="S632" s="188"/>
      <c r="T632" s="189"/>
      <c r="U632" s="189"/>
      <c r="V632" s="189"/>
      <c r="W632" s="189"/>
      <c r="X632" s="189"/>
      <c r="Y632" s="189"/>
      <c r="Z632" s="189"/>
      <c r="AA632" s="190"/>
      <c r="AB632" s="190"/>
    </row>
    <row r="633" spans="2:28" ht="14.1" customHeight="1">
      <c r="B633" s="182"/>
      <c r="C633" s="182"/>
      <c r="D633" s="183"/>
      <c r="E633" s="184"/>
      <c r="F633" s="185"/>
      <c r="G633" s="185"/>
      <c r="H633" s="9"/>
      <c r="I633" s="186"/>
      <c r="J633" s="437"/>
      <c r="K633" s="437"/>
      <c r="L633" s="437"/>
      <c r="M633" s="437"/>
      <c r="N633" s="187"/>
      <c r="O633" s="187"/>
      <c r="P633" s="187"/>
      <c r="Q633" s="187"/>
      <c r="R633" s="188"/>
      <c r="S633" s="188"/>
      <c r="T633" s="189"/>
      <c r="U633" s="189"/>
      <c r="V633" s="189"/>
      <c r="W633" s="189"/>
      <c r="X633" s="189"/>
      <c r="Y633" s="189"/>
      <c r="Z633" s="189"/>
      <c r="AA633" s="190"/>
      <c r="AB633" s="190"/>
    </row>
    <row r="634" spans="2:28" ht="14.1" customHeight="1">
      <c r="B634" s="182"/>
      <c r="C634" s="182"/>
      <c r="D634" s="183"/>
      <c r="E634" s="184"/>
      <c r="F634" s="185"/>
      <c r="G634" s="185"/>
      <c r="H634" s="9"/>
      <c r="I634" s="186"/>
      <c r="J634" s="437"/>
      <c r="K634" s="437"/>
      <c r="L634" s="437"/>
      <c r="M634" s="437"/>
      <c r="N634" s="187"/>
      <c r="O634" s="187"/>
      <c r="P634" s="187"/>
      <c r="Q634" s="187"/>
      <c r="R634" s="188"/>
      <c r="S634" s="188"/>
      <c r="T634" s="189"/>
      <c r="U634" s="189"/>
      <c r="V634" s="189"/>
      <c r="W634" s="189"/>
      <c r="X634" s="189"/>
      <c r="Y634" s="189"/>
      <c r="Z634" s="189"/>
      <c r="AA634" s="190"/>
      <c r="AB634" s="190"/>
    </row>
    <row r="635" spans="2:28" ht="14.1" customHeight="1">
      <c r="B635" s="182"/>
      <c r="C635" s="182"/>
      <c r="D635" s="183"/>
      <c r="E635" s="184"/>
      <c r="F635" s="185"/>
      <c r="G635" s="185"/>
      <c r="H635" s="9"/>
      <c r="I635" s="186"/>
      <c r="J635" s="437"/>
      <c r="K635" s="437"/>
      <c r="L635" s="437"/>
      <c r="M635" s="437"/>
      <c r="N635" s="187"/>
      <c r="O635" s="187"/>
      <c r="P635" s="187"/>
      <c r="Q635" s="187"/>
      <c r="R635" s="188"/>
      <c r="S635" s="188"/>
      <c r="T635" s="189"/>
      <c r="U635" s="189"/>
      <c r="V635" s="189"/>
      <c r="W635" s="189"/>
      <c r="X635" s="189"/>
      <c r="Y635" s="189"/>
      <c r="Z635" s="189"/>
      <c r="AA635" s="190"/>
      <c r="AB635" s="190"/>
    </row>
    <row r="636" spans="2:28" ht="14.1" customHeight="1">
      <c r="B636" s="182"/>
      <c r="C636" s="182"/>
      <c r="D636" s="183"/>
      <c r="E636" s="184"/>
      <c r="F636" s="185"/>
      <c r="G636" s="185"/>
      <c r="H636" s="9"/>
      <c r="I636" s="186"/>
      <c r="J636" s="437"/>
      <c r="K636" s="437"/>
      <c r="L636" s="437"/>
      <c r="M636" s="437"/>
      <c r="N636" s="187"/>
      <c r="O636" s="187"/>
      <c r="P636" s="187"/>
      <c r="Q636" s="187"/>
      <c r="R636" s="188"/>
      <c r="S636" s="188"/>
      <c r="T636" s="189"/>
      <c r="U636" s="189"/>
      <c r="V636" s="189"/>
      <c r="W636" s="189"/>
      <c r="X636" s="189"/>
      <c r="Y636" s="189"/>
      <c r="Z636" s="189"/>
      <c r="AA636" s="190"/>
      <c r="AB636" s="190"/>
    </row>
    <row r="637" spans="2:28" ht="14.1" customHeight="1">
      <c r="B637" s="182"/>
      <c r="C637" s="182"/>
      <c r="D637" s="183"/>
      <c r="E637" s="184"/>
      <c r="F637" s="185"/>
      <c r="G637" s="185"/>
      <c r="H637" s="9"/>
      <c r="I637" s="186"/>
      <c r="J637" s="437"/>
      <c r="K637" s="437"/>
      <c r="L637" s="437"/>
      <c r="M637" s="437"/>
      <c r="N637" s="187"/>
      <c r="O637" s="187"/>
      <c r="P637" s="187"/>
      <c r="Q637" s="187"/>
      <c r="R637" s="188"/>
      <c r="S637" s="188"/>
      <c r="T637" s="189"/>
      <c r="U637" s="189"/>
      <c r="V637" s="189"/>
      <c r="W637" s="189"/>
      <c r="X637" s="189"/>
      <c r="Y637" s="189"/>
      <c r="Z637" s="189"/>
      <c r="AA637" s="190"/>
      <c r="AB637" s="190"/>
    </row>
    <row r="638" spans="2:28" ht="14.1" customHeight="1">
      <c r="B638" s="182"/>
      <c r="C638" s="182"/>
      <c r="D638" s="183"/>
      <c r="E638" s="184"/>
      <c r="F638" s="185"/>
      <c r="G638" s="185"/>
      <c r="H638" s="9"/>
      <c r="I638" s="186"/>
      <c r="J638" s="437"/>
      <c r="K638" s="437"/>
      <c r="L638" s="437"/>
      <c r="M638" s="437"/>
      <c r="N638" s="187"/>
      <c r="O638" s="187"/>
      <c r="P638" s="187"/>
      <c r="Q638" s="187"/>
      <c r="R638" s="188"/>
      <c r="S638" s="188"/>
      <c r="T638" s="189"/>
      <c r="U638" s="189"/>
      <c r="V638" s="189"/>
      <c r="W638" s="189"/>
      <c r="X638" s="189"/>
      <c r="Y638" s="189"/>
      <c r="Z638" s="189"/>
      <c r="AA638" s="190"/>
      <c r="AB638" s="190"/>
    </row>
    <row r="639" spans="2:28" ht="14.1" customHeight="1">
      <c r="B639" s="182"/>
      <c r="C639" s="182"/>
      <c r="D639" s="183"/>
      <c r="E639" s="184"/>
      <c r="F639" s="185"/>
      <c r="G639" s="185"/>
      <c r="H639" s="9"/>
      <c r="I639" s="186"/>
      <c r="J639" s="437"/>
      <c r="K639" s="437"/>
      <c r="L639" s="437"/>
      <c r="M639" s="437"/>
      <c r="N639" s="187"/>
      <c r="O639" s="187"/>
      <c r="P639" s="187"/>
      <c r="Q639" s="187"/>
      <c r="R639" s="188"/>
      <c r="S639" s="188"/>
      <c r="T639" s="189"/>
      <c r="U639" s="189"/>
      <c r="V639" s="189"/>
      <c r="W639" s="189"/>
      <c r="X639" s="189"/>
      <c r="Y639" s="189"/>
      <c r="Z639" s="189"/>
      <c r="AA639" s="190"/>
      <c r="AB639" s="190"/>
    </row>
    <row r="640" spans="2:28" ht="14.1" customHeight="1">
      <c r="B640" s="182"/>
      <c r="C640" s="182"/>
      <c r="D640" s="183"/>
      <c r="E640" s="184"/>
      <c r="F640" s="185"/>
      <c r="G640" s="185"/>
      <c r="H640" s="9"/>
      <c r="I640" s="186"/>
      <c r="J640" s="437"/>
      <c r="K640" s="437"/>
      <c r="L640" s="437"/>
      <c r="M640" s="437"/>
      <c r="N640" s="187"/>
      <c r="O640" s="187"/>
      <c r="P640" s="187"/>
      <c r="Q640" s="187"/>
      <c r="R640" s="188"/>
      <c r="S640" s="188"/>
      <c r="T640" s="189"/>
      <c r="U640" s="189"/>
      <c r="V640" s="189"/>
      <c r="W640" s="189"/>
      <c r="X640" s="189"/>
      <c r="Y640" s="189"/>
      <c r="Z640" s="189"/>
      <c r="AA640" s="190"/>
      <c r="AB640" s="190"/>
    </row>
    <row r="641" spans="2:28" ht="14.1" customHeight="1">
      <c r="B641" s="182"/>
      <c r="C641" s="182"/>
      <c r="D641" s="183"/>
      <c r="E641" s="184"/>
      <c r="F641" s="185"/>
      <c r="G641" s="185"/>
      <c r="H641" s="9"/>
      <c r="I641" s="186"/>
      <c r="J641" s="437"/>
      <c r="K641" s="437"/>
      <c r="L641" s="437"/>
      <c r="M641" s="437"/>
      <c r="N641" s="187"/>
      <c r="O641" s="187"/>
      <c r="P641" s="187"/>
      <c r="Q641" s="187"/>
      <c r="R641" s="188"/>
      <c r="S641" s="188"/>
      <c r="T641" s="189"/>
      <c r="U641" s="189"/>
      <c r="V641" s="189"/>
      <c r="W641" s="189"/>
      <c r="X641" s="189"/>
      <c r="Y641" s="189"/>
      <c r="Z641" s="189"/>
      <c r="AA641" s="190"/>
      <c r="AB641" s="190"/>
    </row>
    <row r="642" spans="2:28" ht="14.1" customHeight="1">
      <c r="B642" s="182"/>
      <c r="C642" s="182"/>
      <c r="D642" s="183"/>
      <c r="E642" s="184"/>
      <c r="F642" s="185"/>
      <c r="G642" s="185"/>
      <c r="H642" s="9"/>
      <c r="I642" s="186"/>
      <c r="J642" s="437"/>
      <c r="K642" s="437"/>
      <c r="L642" s="437"/>
      <c r="M642" s="437"/>
      <c r="N642" s="187"/>
      <c r="O642" s="187"/>
      <c r="P642" s="187"/>
      <c r="Q642" s="187"/>
      <c r="R642" s="188"/>
      <c r="S642" s="188"/>
      <c r="T642" s="189"/>
      <c r="U642" s="189"/>
      <c r="V642" s="189"/>
      <c r="W642" s="189"/>
      <c r="X642" s="189"/>
      <c r="Y642" s="189"/>
      <c r="Z642" s="189"/>
      <c r="AA642" s="190"/>
      <c r="AB642" s="190"/>
    </row>
    <row r="643" spans="2:28" ht="14.1" customHeight="1">
      <c r="B643" s="182"/>
      <c r="C643" s="182"/>
      <c r="D643" s="183"/>
      <c r="E643" s="184"/>
      <c r="F643" s="185"/>
      <c r="G643" s="185"/>
      <c r="H643" s="9"/>
      <c r="I643" s="186"/>
      <c r="J643" s="437"/>
      <c r="K643" s="437"/>
      <c r="L643" s="437"/>
      <c r="M643" s="437"/>
      <c r="N643" s="187"/>
      <c r="O643" s="187"/>
      <c r="P643" s="187"/>
      <c r="Q643" s="187"/>
      <c r="R643" s="188"/>
      <c r="S643" s="188"/>
      <c r="T643" s="189"/>
      <c r="U643" s="189"/>
      <c r="V643" s="189"/>
      <c r="W643" s="189"/>
      <c r="X643" s="189"/>
      <c r="Y643" s="189"/>
      <c r="Z643" s="189"/>
      <c r="AA643" s="190"/>
      <c r="AB643" s="190"/>
    </row>
    <row r="644" spans="2:28" ht="14.1" customHeight="1">
      <c r="B644" s="182"/>
      <c r="C644" s="182"/>
      <c r="D644" s="183"/>
      <c r="E644" s="184"/>
      <c r="F644" s="185"/>
      <c r="G644" s="185"/>
      <c r="H644" s="9"/>
      <c r="I644" s="186"/>
      <c r="J644" s="437"/>
      <c r="K644" s="437"/>
      <c r="L644" s="437"/>
      <c r="M644" s="437"/>
      <c r="N644" s="187"/>
      <c r="O644" s="187"/>
      <c r="P644" s="187"/>
      <c r="Q644" s="187"/>
      <c r="R644" s="188"/>
      <c r="S644" s="188"/>
      <c r="T644" s="189"/>
      <c r="U644" s="189"/>
      <c r="V644" s="189"/>
      <c r="W644" s="189"/>
      <c r="X644" s="189"/>
      <c r="Y644" s="189"/>
      <c r="Z644" s="189"/>
      <c r="AA644" s="190"/>
      <c r="AB644" s="190"/>
    </row>
    <row r="645" spans="2:28" ht="14.1" customHeight="1">
      <c r="B645" s="182"/>
      <c r="C645" s="182"/>
      <c r="D645" s="183"/>
      <c r="E645" s="184"/>
      <c r="F645" s="185"/>
      <c r="G645" s="185"/>
      <c r="H645" s="9"/>
      <c r="I645" s="186"/>
      <c r="J645" s="437"/>
      <c r="K645" s="437"/>
      <c r="L645" s="437"/>
      <c r="M645" s="437"/>
      <c r="N645" s="187"/>
      <c r="O645" s="187"/>
      <c r="P645" s="187"/>
      <c r="Q645" s="187"/>
      <c r="R645" s="188"/>
      <c r="S645" s="188"/>
      <c r="T645" s="189"/>
      <c r="U645" s="189"/>
      <c r="V645" s="189"/>
      <c r="W645" s="189"/>
      <c r="X645" s="189"/>
      <c r="Y645" s="189"/>
      <c r="Z645" s="189"/>
      <c r="AA645" s="190"/>
      <c r="AB645" s="190"/>
    </row>
    <row r="646" spans="2:28" ht="14.1" customHeight="1">
      <c r="B646" s="182"/>
      <c r="C646" s="182"/>
      <c r="D646" s="183"/>
      <c r="E646" s="184"/>
      <c r="F646" s="185"/>
      <c r="G646" s="185"/>
      <c r="H646" s="9"/>
      <c r="I646" s="186"/>
      <c r="J646" s="437"/>
      <c r="K646" s="437"/>
      <c r="L646" s="437"/>
      <c r="M646" s="437"/>
      <c r="N646" s="187"/>
      <c r="O646" s="187"/>
      <c r="P646" s="187"/>
      <c r="Q646" s="187"/>
      <c r="R646" s="188"/>
      <c r="S646" s="188"/>
      <c r="T646" s="189"/>
      <c r="U646" s="189"/>
      <c r="V646" s="189"/>
      <c r="W646" s="189"/>
      <c r="X646" s="189"/>
      <c r="Y646" s="189"/>
      <c r="Z646" s="189"/>
      <c r="AA646" s="190"/>
      <c r="AB646" s="190"/>
    </row>
    <row r="647" spans="2:28" ht="14.1" customHeight="1">
      <c r="B647" s="182"/>
      <c r="C647" s="182"/>
      <c r="D647" s="183"/>
      <c r="E647" s="184"/>
      <c r="F647" s="185"/>
      <c r="G647" s="185"/>
      <c r="H647" s="9"/>
      <c r="I647" s="186"/>
      <c r="J647" s="437"/>
      <c r="K647" s="437"/>
      <c r="L647" s="437"/>
      <c r="M647" s="437"/>
      <c r="N647" s="187"/>
      <c r="O647" s="187"/>
      <c r="P647" s="187"/>
      <c r="Q647" s="187"/>
      <c r="R647" s="188"/>
      <c r="S647" s="188"/>
      <c r="T647" s="189"/>
      <c r="U647" s="189"/>
      <c r="V647" s="189"/>
      <c r="W647" s="189"/>
      <c r="X647" s="189"/>
      <c r="Y647" s="189"/>
      <c r="Z647" s="189"/>
      <c r="AA647" s="190"/>
      <c r="AB647" s="190"/>
    </row>
    <row r="648" spans="2:28" ht="14.1" customHeight="1">
      <c r="B648" s="182"/>
      <c r="C648" s="182"/>
      <c r="D648" s="183"/>
      <c r="E648" s="184"/>
      <c r="F648" s="185"/>
      <c r="G648" s="185"/>
      <c r="H648" s="9"/>
      <c r="I648" s="186"/>
      <c r="J648" s="437"/>
      <c r="K648" s="437"/>
      <c r="L648" s="437"/>
      <c r="M648" s="437"/>
      <c r="N648" s="187"/>
      <c r="O648" s="187"/>
      <c r="P648" s="187"/>
      <c r="Q648" s="187"/>
      <c r="R648" s="188"/>
      <c r="S648" s="188"/>
      <c r="T648" s="189"/>
      <c r="U648" s="189"/>
      <c r="V648" s="189"/>
      <c r="W648" s="189"/>
      <c r="X648" s="189"/>
      <c r="Y648" s="189"/>
      <c r="Z648" s="189"/>
      <c r="AA648" s="190"/>
      <c r="AB648" s="190"/>
    </row>
    <row r="649" spans="2:28" ht="14.1" customHeight="1">
      <c r="B649" s="182"/>
      <c r="C649" s="182"/>
      <c r="D649" s="183"/>
      <c r="E649" s="184"/>
      <c r="F649" s="185"/>
      <c r="G649" s="185"/>
      <c r="H649" s="9"/>
      <c r="I649" s="186"/>
      <c r="J649" s="437"/>
      <c r="K649" s="437"/>
      <c r="L649" s="437"/>
      <c r="M649" s="437"/>
      <c r="N649" s="187"/>
      <c r="O649" s="187"/>
      <c r="P649" s="187"/>
      <c r="Q649" s="187"/>
      <c r="R649" s="188"/>
      <c r="S649" s="188"/>
      <c r="T649" s="189"/>
      <c r="U649" s="189"/>
      <c r="V649" s="189"/>
      <c r="W649" s="189"/>
      <c r="X649" s="189"/>
      <c r="Y649" s="189"/>
      <c r="Z649" s="189"/>
      <c r="AA649" s="190"/>
      <c r="AB649" s="190"/>
    </row>
    <row r="650" spans="2:28" ht="14.1" customHeight="1">
      <c r="B650" s="182"/>
      <c r="C650" s="182"/>
      <c r="D650" s="183"/>
      <c r="E650" s="184"/>
      <c r="F650" s="185"/>
      <c r="G650" s="185"/>
      <c r="H650" s="9"/>
      <c r="I650" s="186"/>
      <c r="J650" s="437"/>
      <c r="K650" s="437"/>
      <c r="L650" s="437"/>
      <c r="M650" s="437"/>
      <c r="N650" s="187"/>
      <c r="O650" s="187"/>
      <c r="P650" s="187"/>
      <c r="Q650" s="187"/>
      <c r="R650" s="188"/>
      <c r="S650" s="188"/>
      <c r="T650" s="189"/>
      <c r="U650" s="189"/>
      <c r="V650" s="189"/>
      <c r="W650" s="189"/>
      <c r="X650" s="189"/>
      <c r="Y650" s="189"/>
      <c r="Z650" s="189"/>
      <c r="AA650" s="190"/>
      <c r="AB650" s="190"/>
    </row>
    <row r="651" spans="2:28" ht="14.1" customHeight="1">
      <c r="B651" s="182"/>
      <c r="C651" s="182"/>
      <c r="D651" s="183"/>
      <c r="E651" s="184"/>
      <c r="F651" s="185"/>
      <c r="G651" s="185"/>
      <c r="H651" s="9"/>
      <c r="I651" s="186"/>
      <c r="J651" s="437"/>
      <c r="K651" s="437"/>
      <c r="L651" s="437"/>
      <c r="M651" s="437"/>
      <c r="N651" s="187"/>
      <c r="O651" s="187"/>
      <c r="P651" s="187"/>
      <c r="Q651" s="187"/>
      <c r="R651" s="188"/>
      <c r="S651" s="188"/>
      <c r="T651" s="189"/>
      <c r="U651" s="189"/>
      <c r="V651" s="189"/>
      <c r="W651" s="189"/>
      <c r="X651" s="189"/>
      <c r="Y651" s="189"/>
      <c r="Z651" s="189"/>
      <c r="AA651" s="190"/>
      <c r="AB651" s="190"/>
    </row>
    <row r="652" spans="2:28" ht="14.1" customHeight="1">
      <c r="B652" s="182"/>
      <c r="C652" s="182"/>
      <c r="D652" s="183"/>
      <c r="E652" s="184"/>
      <c r="F652" s="185"/>
      <c r="G652" s="185"/>
      <c r="H652" s="9"/>
      <c r="I652" s="186"/>
      <c r="J652" s="437"/>
      <c r="K652" s="437"/>
      <c r="L652" s="437"/>
      <c r="M652" s="437"/>
      <c r="N652" s="187"/>
      <c r="O652" s="187"/>
      <c r="P652" s="187"/>
      <c r="Q652" s="187"/>
      <c r="R652" s="188"/>
      <c r="S652" s="188"/>
      <c r="T652" s="189"/>
      <c r="U652" s="189"/>
      <c r="V652" s="189"/>
      <c r="W652" s="189"/>
      <c r="X652" s="189"/>
      <c r="Y652" s="189"/>
      <c r="Z652" s="189"/>
      <c r="AA652" s="190"/>
      <c r="AB652" s="190"/>
    </row>
    <row r="653" spans="2:28" ht="14.1" customHeight="1">
      <c r="B653" s="182"/>
      <c r="C653" s="182"/>
      <c r="D653" s="183"/>
      <c r="E653" s="184"/>
      <c r="F653" s="185"/>
      <c r="G653" s="185"/>
      <c r="H653" s="9"/>
      <c r="I653" s="186"/>
      <c r="J653" s="437"/>
      <c r="K653" s="437"/>
      <c r="L653" s="437"/>
      <c r="M653" s="437"/>
      <c r="N653" s="187"/>
      <c r="O653" s="187"/>
      <c r="P653" s="187"/>
      <c r="Q653" s="187"/>
      <c r="R653" s="188"/>
      <c r="S653" s="188"/>
      <c r="T653" s="189"/>
      <c r="U653" s="189"/>
      <c r="V653" s="189"/>
      <c r="W653" s="189"/>
      <c r="X653" s="189"/>
      <c r="Y653" s="189"/>
      <c r="Z653" s="189"/>
      <c r="AA653" s="190"/>
      <c r="AB653" s="190"/>
    </row>
    <row r="654" spans="2:28" ht="14.1" customHeight="1">
      <c r="B654" s="182"/>
      <c r="C654" s="182"/>
      <c r="D654" s="183"/>
      <c r="E654" s="184"/>
      <c r="F654" s="185"/>
      <c r="G654" s="185"/>
      <c r="H654" s="9"/>
      <c r="I654" s="186"/>
      <c r="J654" s="437"/>
      <c r="K654" s="437"/>
      <c r="L654" s="437"/>
      <c r="M654" s="437"/>
      <c r="N654" s="187"/>
      <c r="O654" s="187"/>
      <c r="P654" s="187"/>
      <c r="Q654" s="187"/>
      <c r="R654" s="188"/>
      <c r="S654" s="188"/>
      <c r="T654" s="189"/>
      <c r="U654" s="189"/>
      <c r="V654" s="189"/>
      <c r="W654" s="189"/>
      <c r="X654" s="189"/>
      <c r="Y654" s="189"/>
      <c r="Z654" s="189"/>
      <c r="AA654" s="190"/>
      <c r="AB654" s="190"/>
    </row>
    <row r="655" spans="2:28" ht="14.1" customHeight="1">
      <c r="B655" s="182"/>
      <c r="C655" s="182"/>
      <c r="D655" s="183"/>
      <c r="E655" s="184"/>
      <c r="F655" s="185"/>
      <c r="G655" s="185"/>
      <c r="H655" s="9"/>
      <c r="I655" s="186"/>
      <c r="J655" s="437"/>
      <c r="K655" s="437"/>
      <c r="L655" s="437"/>
      <c r="M655" s="437"/>
      <c r="N655" s="187"/>
      <c r="O655" s="187"/>
      <c r="P655" s="187"/>
      <c r="Q655" s="187"/>
      <c r="R655" s="188"/>
      <c r="S655" s="188"/>
      <c r="T655" s="189"/>
      <c r="U655" s="189"/>
      <c r="V655" s="189"/>
      <c r="W655" s="189"/>
      <c r="X655" s="189"/>
      <c r="Y655" s="189"/>
      <c r="Z655" s="189"/>
      <c r="AA655" s="190"/>
      <c r="AB655" s="190"/>
    </row>
    <row r="656" spans="2:28" ht="14.1" customHeight="1">
      <c r="B656" s="182"/>
      <c r="C656" s="182"/>
      <c r="D656" s="183"/>
      <c r="E656" s="184"/>
      <c r="F656" s="185"/>
      <c r="G656" s="185"/>
      <c r="H656" s="9"/>
      <c r="I656" s="186"/>
      <c r="J656" s="437"/>
      <c r="K656" s="437"/>
      <c r="L656" s="437"/>
      <c r="M656" s="437"/>
      <c r="N656" s="187"/>
      <c r="O656" s="187"/>
      <c r="P656" s="187"/>
      <c r="Q656" s="187"/>
      <c r="R656" s="188"/>
      <c r="S656" s="188"/>
      <c r="T656" s="189"/>
      <c r="U656" s="189"/>
      <c r="V656" s="189"/>
      <c r="W656" s="189"/>
      <c r="X656" s="189"/>
      <c r="Y656" s="189"/>
      <c r="Z656" s="189"/>
      <c r="AA656" s="190"/>
      <c r="AB656" s="190"/>
    </row>
    <row r="657" spans="2:28" ht="14.1" customHeight="1">
      <c r="B657" s="182"/>
      <c r="C657" s="182"/>
      <c r="D657" s="183"/>
      <c r="E657" s="184"/>
      <c r="F657" s="185"/>
      <c r="G657" s="185"/>
      <c r="H657" s="9"/>
      <c r="I657" s="186"/>
      <c r="J657" s="437"/>
      <c r="K657" s="437"/>
      <c r="L657" s="437"/>
      <c r="M657" s="437"/>
      <c r="N657" s="187"/>
      <c r="O657" s="187"/>
      <c r="P657" s="187"/>
      <c r="Q657" s="187"/>
      <c r="R657" s="188"/>
      <c r="S657" s="188"/>
      <c r="T657" s="189"/>
      <c r="U657" s="189"/>
      <c r="V657" s="189"/>
      <c r="W657" s="189"/>
      <c r="X657" s="189"/>
      <c r="Y657" s="189"/>
      <c r="Z657" s="189"/>
      <c r="AA657" s="190"/>
      <c r="AB657" s="190"/>
    </row>
    <row r="658" spans="2:28" ht="14.1" customHeight="1">
      <c r="B658" s="182"/>
      <c r="C658" s="182"/>
      <c r="D658" s="183"/>
      <c r="E658" s="184"/>
      <c r="F658" s="185"/>
      <c r="G658" s="185"/>
      <c r="H658" s="9"/>
      <c r="I658" s="186"/>
      <c r="J658" s="437"/>
      <c r="K658" s="437"/>
      <c r="L658" s="437"/>
      <c r="M658" s="437"/>
      <c r="N658" s="187"/>
      <c r="O658" s="187"/>
      <c r="P658" s="187"/>
      <c r="Q658" s="187"/>
      <c r="R658" s="188"/>
      <c r="S658" s="188"/>
      <c r="T658" s="189"/>
      <c r="U658" s="189"/>
      <c r="V658" s="189"/>
      <c r="W658" s="189"/>
      <c r="X658" s="189"/>
      <c r="Y658" s="189"/>
      <c r="Z658" s="189"/>
      <c r="AA658" s="190"/>
      <c r="AB658" s="190"/>
    </row>
    <row r="659" spans="2:28" ht="14.1" customHeight="1">
      <c r="B659" s="182"/>
      <c r="C659" s="182"/>
      <c r="D659" s="183"/>
      <c r="E659" s="184"/>
      <c r="F659" s="185"/>
      <c r="G659" s="185"/>
      <c r="H659" s="9"/>
      <c r="I659" s="186"/>
      <c r="J659" s="437"/>
      <c r="K659" s="437"/>
      <c r="L659" s="437"/>
      <c r="M659" s="437"/>
      <c r="N659" s="187"/>
      <c r="O659" s="187"/>
      <c r="P659" s="187"/>
      <c r="Q659" s="187"/>
      <c r="R659" s="188"/>
      <c r="S659" s="188"/>
      <c r="T659" s="189"/>
      <c r="U659" s="189"/>
      <c r="V659" s="189"/>
      <c r="W659" s="189"/>
      <c r="X659" s="189"/>
      <c r="Y659" s="189"/>
      <c r="Z659" s="189"/>
      <c r="AA659" s="190"/>
      <c r="AB659" s="190"/>
    </row>
    <row r="660" spans="2:28" ht="14.1" customHeight="1">
      <c r="B660" s="182"/>
      <c r="C660" s="182"/>
      <c r="D660" s="183"/>
      <c r="E660" s="184"/>
      <c r="F660" s="185"/>
      <c r="G660" s="185"/>
      <c r="H660" s="9"/>
      <c r="I660" s="186"/>
      <c r="J660" s="437"/>
      <c r="K660" s="437"/>
      <c r="L660" s="437"/>
      <c r="M660" s="437"/>
      <c r="N660" s="187"/>
      <c r="O660" s="187"/>
      <c r="P660" s="187"/>
      <c r="Q660" s="187"/>
      <c r="R660" s="188"/>
      <c r="S660" s="188"/>
      <c r="T660" s="189"/>
      <c r="U660" s="189"/>
      <c r="V660" s="189"/>
      <c r="W660" s="189"/>
      <c r="X660" s="189"/>
      <c r="Y660" s="189"/>
      <c r="Z660" s="189"/>
      <c r="AA660" s="190"/>
      <c r="AB660" s="190"/>
    </row>
    <row r="661" spans="2:28" ht="14.1" customHeight="1">
      <c r="B661" s="182"/>
      <c r="C661" s="182"/>
      <c r="D661" s="183"/>
      <c r="E661" s="184"/>
      <c r="F661" s="185"/>
      <c r="G661" s="185"/>
      <c r="H661" s="9"/>
      <c r="I661" s="186"/>
      <c r="J661" s="437"/>
      <c r="K661" s="437"/>
      <c r="L661" s="437"/>
      <c r="M661" s="437"/>
      <c r="N661" s="187"/>
      <c r="O661" s="187"/>
      <c r="P661" s="187"/>
      <c r="Q661" s="187"/>
      <c r="R661" s="188"/>
      <c r="S661" s="188"/>
      <c r="T661" s="189"/>
      <c r="U661" s="189"/>
      <c r="V661" s="189"/>
      <c r="W661" s="189"/>
      <c r="X661" s="189"/>
      <c r="Y661" s="189"/>
      <c r="Z661" s="189"/>
      <c r="AA661" s="190"/>
      <c r="AB661" s="190"/>
    </row>
    <row r="662" spans="2:28" ht="14.1" customHeight="1">
      <c r="B662" s="182"/>
      <c r="C662" s="182"/>
      <c r="D662" s="183"/>
      <c r="E662" s="184"/>
      <c r="F662" s="185"/>
      <c r="G662" s="185"/>
      <c r="H662" s="9"/>
      <c r="I662" s="186"/>
      <c r="J662" s="437"/>
      <c r="K662" s="437"/>
      <c r="L662" s="437"/>
      <c r="M662" s="437"/>
      <c r="N662" s="187"/>
      <c r="O662" s="187"/>
      <c r="P662" s="187"/>
      <c r="Q662" s="187"/>
      <c r="R662" s="188"/>
      <c r="S662" s="188"/>
      <c r="T662" s="189"/>
      <c r="U662" s="189"/>
      <c r="V662" s="189"/>
      <c r="W662" s="189"/>
      <c r="X662" s="189"/>
      <c r="Y662" s="189"/>
      <c r="Z662" s="189"/>
      <c r="AA662" s="190"/>
      <c r="AB662" s="190"/>
    </row>
    <row r="663" spans="2:28" ht="14.1" customHeight="1">
      <c r="B663" s="182"/>
      <c r="C663" s="182"/>
      <c r="D663" s="183"/>
      <c r="E663" s="184"/>
      <c r="F663" s="185"/>
      <c r="G663" s="185"/>
      <c r="H663" s="9"/>
      <c r="I663" s="186"/>
      <c r="J663" s="437"/>
      <c r="K663" s="437"/>
      <c r="L663" s="437"/>
      <c r="M663" s="437"/>
      <c r="N663" s="187"/>
      <c r="O663" s="187"/>
      <c r="P663" s="187"/>
      <c r="Q663" s="187"/>
      <c r="R663" s="188"/>
      <c r="S663" s="188"/>
      <c r="T663" s="189"/>
      <c r="U663" s="189"/>
      <c r="V663" s="189"/>
      <c r="W663" s="189"/>
      <c r="X663" s="189"/>
      <c r="Y663" s="189"/>
      <c r="Z663" s="189"/>
      <c r="AA663" s="190"/>
      <c r="AB663" s="190"/>
    </row>
    <row r="664" spans="2:28" ht="14.1" customHeight="1">
      <c r="B664" s="182"/>
      <c r="C664" s="182"/>
      <c r="D664" s="183"/>
      <c r="E664" s="184"/>
      <c r="F664" s="185"/>
      <c r="G664" s="185"/>
      <c r="H664" s="9"/>
      <c r="I664" s="186"/>
      <c r="J664" s="437"/>
      <c r="K664" s="437"/>
      <c r="L664" s="437"/>
      <c r="M664" s="437"/>
      <c r="N664" s="187"/>
      <c r="O664" s="187"/>
      <c r="P664" s="187"/>
      <c r="Q664" s="187"/>
      <c r="R664" s="188"/>
      <c r="S664" s="188"/>
      <c r="T664" s="189"/>
      <c r="U664" s="189"/>
      <c r="V664" s="189"/>
      <c r="W664" s="189"/>
      <c r="X664" s="189"/>
      <c r="Y664" s="189"/>
      <c r="Z664" s="189"/>
      <c r="AA664" s="190"/>
      <c r="AB664" s="190"/>
    </row>
    <row r="665" spans="2:28" ht="14.1" customHeight="1">
      <c r="B665" s="182"/>
      <c r="C665" s="182"/>
      <c r="D665" s="183"/>
      <c r="E665" s="184"/>
      <c r="F665" s="185"/>
      <c r="G665" s="185"/>
      <c r="H665" s="9"/>
      <c r="I665" s="186"/>
      <c r="J665" s="437"/>
      <c r="K665" s="437"/>
      <c r="L665" s="437"/>
      <c r="M665" s="437"/>
      <c r="N665" s="187"/>
      <c r="O665" s="187"/>
      <c r="P665" s="187"/>
      <c r="Q665" s="187"/>
      <c r="R665" s="188"/>
      <c r="S665" s="188"/>
      <c r="T665" s="189"/>
      <c r="U665" s="189"/>
      <c r="V665" s="189"/>
      <c r="W665" s="189"/>
      <c r="X665" s="189"/>
      <c r="Y665" s="189"/>
      <c r="Z665" s="189"/>
      <c r="AA665" s="190"/>
      <c r="AB665" s="190"/>
    </row>
    <row r="666" spans="2:28" ht="14.1" customHeight="1">
      <c r="B666" s="182"/>
      <c r="C666" s="182"/>
      <c r="D666" s="183"/>
      <c r="E666" s="184"/>
      <c r="F666" s="185"/>
      <c r="G666" s="185"/>
      <c r="H666" s="9"/>
      <c r="I666" s="186"/>
      <c r="J666" s="437"/>
      <c r="K666" s="437"/>
      <c r="L666" s="437"/>
      <c r="M666" s="437"/>
      <c r="N666" s="187"/>
      <c r="O666" s="187"/>
      <c r="P666" s="187"/>
      <c r="Q666" s="187"/>
      <c r="R666" s="188"/>
      <c r="S666" s="188"/>
      <c r="T666" s="189"/>
      <c r="U666" s="189"/>
      <c r="V666" s="189"/>
      <c r="W666" s="189"/>
      <c r="X666" s="189"/>
      <c r="Y666" s="189"/>
      <c r="Z666" s="189"/>
      <c r="AA666" s="190"/>
      <c r="AB666" s="190"/>
    </row>
    <row r="667" spans="2:28" ht="14.1" customHeight="1">
      <c r="B667" s="182"/>
      <c r="C667" s="182"/>
      <c r="D667" s="183"/>
      <c r="E667" s="184"/>
      <c r="F667" s="185"/>
      <c r="G667" s="185"/>
      <c r="H667" s="9"/>
      <c r="I667" s="186"/>
      <c r="J667" s="437"/>
      <c r="K667" s="437"/>
      <c r="L667" s="437"/>
      <c r="M667" s="437"/>
      <c r="N667" s="187"/>
      <c r="O667" s="187"/>
      <c r="P667" s="187"/>
      <c r="Q667" s="187"/>
      <c r="R667" s="188"/>
      <c r="S667" s="188"/>
      <c r="T667" s="189"/>
      <c r="U667" s="189"/>
      <c r="V667" s="189"/>
      <c r="W667" s="189"/>
      <c r="X667" s="189"/>
      <c r="Y667" s="189"/>
      <c r="Z667" s="189"/>
      <c r="AA667" s="190"/>
      <c r="AB667" s="190"/>
    </row>
    <row r="668" spans="2:28" ht="14.1" customHeight="1">
      <c r="B668" s="182"/>
      <c r="C668" s="182"/>
      <c r="D668" s="183"/>
      <c r="E668" s="184"/>
      <c r="F668" s="185"/>
      <c r="G668" s="185"/>
      <c r="H668" s="9"/>
      <c r="I668" s="186"/>
      <c r="J668" s="437"/>
      <c r="K668" s="437"/>
      <c r="L668" s="437"/>
      <c r="M668" s="437"/>
      <c r="N668" s="187"/>
      <c r="O668" s="187"/>
      <c r="P668" s="187"/>
      <c r="Q668" s="187"/>
      <c r="R668" s="188"/>
      <c r="S668" s="188"/>
      <c r="T668" s="189"/>
      <c r="U668" s="189"/>
      <c r="V668" s="189"/>
      <c r="W668" s="189"/>
      <c r="X668" s="189"/>
      <c r="Y668" s="189"/>
      <c r="Z668" s="189"/>
      <c r="AA668" s="190"/>
      <c r="AB668" s="190"/>
    </row>
    <row r="669" spans="2:28" ht="14.1" customHeight="1">
      <c r="B669" s="182"/>
      <c r="C669" s="182"/>
      <c r="D669" s="183"/>
      <c r="E669" s="184"/>
      <c r="F669" s="185"/>
      <c r="G669" s="185"/>
      <c r="H669" s="9"/>
      <c r="I669" s="186"/>
      <c r="J669" s="437"/>
      <c r="K669" s="437"/>
      <c r="L669" s="437"/>
      <c r="M669" s="437"/>
      <c r="N669" s="187"/>
      <c r="O669" s="187"/>
      <c r="P669" s="187"/>
      <c r="Q669" s="187"/>
      <c r="R669" s="188"/>
      <c r="S669" s="188"/>
      <c r="T669" s="189"/>
      <c r="U669" s="189"/>
      <c r="V669" s="189"/>
      <c r="W669" s="189"/>
      <c r="X669" s="189"/>
      <c r="Y669" s="189"/>
      <c r="Z669" s="189"/>
      <c r="AA669" s="190"/>
      <c r="AB669" s="190"/>
    </row>
    <row r="670" spans="2:28" ht="14.1" customHeight="1">
      <c r="B670" s="182"/>
      <c r="C670" s="182"/>
      <c r="D670" s="183"/>
      <c r="E670" s="184"/>
      <c r="F670" s="185"/>
      <c r="G670" s="185"/>
      <c r="H670" s="9"/>
      <c r="I670" s="186"/>
      <c r="J670" s="437"/>
      <c r="K670" s="437"/>
      <c r="L670" s="437"/>
      <c r="M670" s="437"/>
      <c r="N670" s="187"/>
      <c r="O670" s="187"/>
      <c r="P670" s="187"/>
      <c r="Q670" s="187"/>
      <c r="R670" s="188"/>
      <c r="S670" s="188"/>
      <c r="T670" s="189"/>
      <c r="U670" s="189"/>
      <c r="V670" s="189"/>
      <c r="W670" s="189"/>
      <c r="X670" s="189"/>
      <c r="Y670" s="189"/>
      <c r="Z670" s="189"/>
      <c r="AA670" s="190"/>
      <c r="AB670" s="190"/>
    </row>
    <row r="671" spans="2:28" ht="14.1" customHeight="1">
      <c r="B671" s="182"/>
      <c r="C671" s="182"/>
      <c r="D671" s="183"/>
      <c r="E671" s="184"/>
      <c r="F671" s="185"/>
      <c r="G671" s="185"/>
      <c r="H671" s="9"/>
      <c r="I671" s="186"/>
      <c r="J671" s="437"/>
      <c r="K671" s="437"/>
      <c r="L671" s="437"/>
      <c r="M671" s="437"/>
      <c r="N671" s="187"/>
      <c r="O671" s="187"/>
      <c r="P671" s="187"/>
      <c r="Q671" s="187"/>
      <c r="R671" s="188"/>
      <c r="S671" s="188"/>
      <c r="T671" s="189"/>
      <c r="U671" s="189"/>
      <c r="V671" s="189"/>
      <c r="W671" s="189"/>
      <c r="X671" s="189"/>
      <c r="Y671" s="189"/>
      <c r="Z671" s="189"/>
      <c r="AA671" s="190"/>
      <c r="AB671" s="190"/>
    </row>
    <row r="672" spans="2:28" ht="14.1" customHeight="1">
      <c r="B672" s="182"/>
      <c r="C672" s="182"/>
      <c r="D672" s="183"/>
      <c r="E672" s="184"/>
      <c r="F672" s="185"/>
      <c r="G672" s="185"/>
      <c r="H672" s="9"/>
      <c r="I672" s="186"/>
      <c r="J672" s="437"/>
      <c r="K672" s="437"/>
      <c r="L672" s="437"/>
      <c r="M672" s="437"/>
      <c r="N672" s="187"/>
      <c r="O672" s="187"/>
      <c r="P672" s="187"/>
      <c r="Q672" s="187"/>
      <c r="R672" s="188"/>
      <c r="S672" s="188"/>
      <c r="T672" s="189"/>
      <c r="U672" s="189"/>
      <c r="V672" s="189"/>
      <c r="W672" s="189"/>
      <c r="X672" s="189"/>
      <c r="Y672" s="189"/>
      <c r="Z672" s="189"/>
      <c r="AA672" s="190"/>
      <c r="AB672" s="190"/>
    </row>
    <row r="673" spans="2:28" ht="14.1" customHeight="1">
      <c r="B673" s="182"/>
      <c r="C673" s="182"/>
      <c r="D673" s="183"/>
      <c r="E673" s="184"/>
      <c r="F673" s="185"/>
      <c r="G673" s="185"/>
      <c r="H673" s="9"/>
      <c r="I673" s="186"/>
      <c r="J673" s="437"/>
      <c r="K673" s="437"/>
      <c r="L673" s="437"/>
      <c r="M673" s="437"/>
      <c r="N673" s="187"/>
      <c r="O673" s="187"/>
      <c r="P673" s="187"/>
      <c r="Q673" s="187"/>
      <c r="R673" s="188"/>
      <c r="S673" s="188"/>
      <c r="T673" s="189"/>
      <c r="U673" s="189"/>
      <c r="V673" s="189"/>
      <c r="W673" s="189"/>
      <c r="X673" s="189"/>
      <c r="Y673" s="189"/>
      <c r="Z673" s="189"/>
      <c r="AA673" s="190"/>
      <c r="AB673" s="190"/>
    </row>
    <row r="674" spans="2:28" ht="14.1" customHeight="1">
      <c r="B674" s="182"/>
      <c r="C674" s="182"/>
      <c r="D674" s="183"/>
      <c r="E674" s="184"/>
      <c r="F674" s="185"/>
      <c r="G674" s="185"/>
      <c r="H674" s="9"/>
      <c r="I674" s="186"/>
      <c r="J674" s="437"/>
      <c r="K674" s="437"/>
      <c r="L674" s="437"/>
      <c r="M674" s="437"/>
      <c r="N674" s="187"/>
      <c r="O674" s="187"/>
      <c r="P674" s="187"/>
      <c r="Q674" s="187"/>
      <c r="R674" s="188"/>
      <c r="S674" s="188"/>
      <c r="T674" s="189"/>
      <c r="U674" s="189"/>
      <c r="V674" s="189"/>
      <c r="W674" s="189"/>
      <c r="X674" s="189"/>
      <c r="Y674" s="189"/>
      <c r="Z674" s="189"/>
      <c r="AA674" s="190"/>
      <c r="AB674" s="190"/>
    </row>
    <row r="675" spans="2:28" ht="14.1" customHeight="1">
      <c r="B675" s="182"/>
      <c r="C675" s="182"/>
      <c r="D675" s="183"/>
      <c r="E675" s="184"/>
      <c r="F675" s="185"/>
      <c r="G675" s="185"/>
      <c r="H675" s="9"/>
      <c r="I675" s="186"/>
      <c r="J675" s="437"/>
      <c r="K675" s="437"/>
      <c r="L675" s="437"/>
      <c r="M675" s="437"/>
      <c r="N675" s="187"/>
      <c r="O675" s="187"/>
      <c r="P675" s="187"/>
      <c r="Q675" s="187"/>
      <c r="R675" s="188"/>
      <c r="S675" s="188"/>
      <c r="T675" s="189"/>
      <c r="U675" s="189"/>
      <c r="V675" s="189"/>
      <c r="W675" s="189"/>
      <c r="X675" s="189"/>
      <c r="Y675" s="189"/>
      <c r="Z675" s="189"/>
      <c r="AA675" s="190"/>
      <c r="AB675" s="190"/>
    </row>
    <row r="676" spans="2:28" ht="14.1" customHeight="1">
      <c r="B676" s="182"/>
      <c r="C676" s="182"/>
      <c r="D676" s="183"/>
      <c r="E676" s="184"/>
      <c r="F676" s="185"/>
      <c r="G676" s="185"/>
      <c r="H676" s="9"/>
      <c r="I676" s="186"/>
      <c r="J676" s="437"/>
      <c r="K676" s="437"/>
      <c r="L676" s="437"/>
      <c r="M676" s="437"/>
      <c r="N676" s="187"/>
      <c r="O676" s="187"/>
      <c r="P676" s="187"/>
      <c r="Q676" s="187"/>
      <c r="R676" s="188"/>
      <c r="S676" s="188"/>
      <c r="T676" s="189"/>
      <c r="U676" s="189"/>
      <c r="V676" s="189"/>
      <c r="W676" s="189"/>
      <c r="X676" s="189"/>
      <c r="Y676" s="189"/>
      <c r="Z676" s="189"/>
      <c r="AA676" s="190"/>
      <c r="AB676" s="190"/>
    </row>
    <row r="677" spans="2:28" ht="14.1" customHeight="1">
      <c r="B677" s="182"/>
      <c r="C677" s="182"/>
      <c r="D677" s="183"/>
      <c r="E677" s="184"/>
      <c r="F677" s="185"/>
      <c r="G677" s="185"/>
      <c r="H677" s="9"/>
      <c r="I677" s="186"/>
      <c r="J677" s="437"/>
      <c r="K677" s="437"/>
      <c r="L677" s="437"/>
      <c r="M677" s="437"/>
      <c r="N677" s="187"/>
      <c r="O677" s="187"/>
      <c r="P677" s="187"/>
      <c r="Q677" s="187"/>
      <c r="R677" s="188"/>
      <c r="S677" s="188"/>
      <c r="T677" s="189"/>
      <c r="U677" s="189"/>
      <c r="V677" s="189"/>
      <c r="W677" s="189"/>
      <c r="X677" s="189"/>
      <c r="Y677" s="189"/>
      <c r="Z677" s="189"/>
      <c r="AA677" s="190"/>
      <c r="AB677" s="190"/>
    </row>
    <row r="678" spans="2:28" ht="14.1" customHeight="1">
      <c r="B678" s="182"/>
      <c r="C678" s="182"/>
      <c r="D678" s="183"/>
      <c r="E678" s="184"/>
      <c r="F678" s="185"/>
      <c r="G678" s="185"/>
      <c r="H678" s="9"/>
      <c r="I678" s="186"/>
      <c r="J678" s="437"/>
      <c r="K678" s="437"/>
      <c r="L678" s="437"/>
      <c r="M678" s="437"/>
      <c r="N678" s="187"/>
      <c r="O678" s="187"/>
      <c r="P678" s="187"/>
      <c r="Q678" s="187"/>
      <c r="R678" s="188"/>
      <c r="S678" s="188"/>
      <c r="T678" s="189"/>
      <c r="U678" s="189"/>
      <c r="V678" s="189"/>
      <c r="W678" s="189"/>
      <c r="X678" s="189"/>
      <c r="Y678" s="189"/>
      <c r="Z678" s="189"/>
      <c r="AA678" s="190"/>
      <c r="AB678" s="190"/>
    </row>
    <row r="679" spans="2:28" ht="14.1" customHeight="1">
      <c r="B679" s="182"/>
      <c r="C679" s="182"/>
      <c r="D679" s="183"/>
      <c r="E679" s="184"/>
      <c r="F679" s="185"/>
      <c r="G679" s="185"/>
      <c r="H679" s="9"/>
      <c r="I679" s="186"/>
      <c r="J679" s="437"/>
      <c r="K679" s="437"/>
      <c r="L679" s="437"/>
      <c r="M679" s="437"/>
      <c r="N679" s="187"/>
      <c r="O679" s="187"/>
      <c r="P679" s="187"/>
      <c r="Q679" s="187"/>
      <c r="R679" s="188"/>
      <c r="S679" s="188"/>
      <c r="T679" s="189"/>
      <c r="U679" s="189"/>
      <c r="V679" s="189"/>
      <c r="W679" s="189"/>
      <c r="X679" s="189"/>
      <c r="Y679" s="189"/>
      <c r="Z679" s="189"/>
      <c r="AA679" s="190"/>
      <c r="AB679" s="190"/>
    </row>
    <row r="680" spans="2:28" ht="14.1" customHeight="1">
      <c r="B680" s="182"/>
      <c r="C680" s="182"/>
      <c r="D680" s="183"/>
      <c r="E680" s="184"/>
      <c r="F680" s="185"/>
      <c r="G680" s="185"/>
      <c r="H680" s="9"/>
      <c r="I680" s="186"/>
      <c r="J680" s="437"/>
      <c r="K680" s="437"/>
      <c r="L680" s="437"/>
      <c r="M680" s="437"/>
      <c r="N680" s="187"/>
      <c r="O680" s="187"/>
      <c r="P680" s="187"/>
      <c r="Q680" s="187"/>
      <c r="R680" s="188"/>
      <c r="S680" s="188"/>
      <c r="T680" s="189"/>
      <c r="U680" s="189"/>
      <c r="V680" s="189"/>
      <c r="W680" s="189"/>
      <c r="X680" s="189"/>
      <c r="Y680" s="189"/>
      <c r="Z680" s="189"/>
      <c r="AA680" s="190"/>
      <c r="AB680" s="190"/>
    </row>
    <row r="681" spans="2:28" ht="14.1" customHeight="1">
      <c r="B681" s="182"/>
      <c r="C681" s="182"/>
      <c r="D681" s="183"/>
      <c r="E681" s="184"/>
      <c r="F681" s="185"/>
      <c r="G681" s="185"/>
      <c r="H681" s="9"/>
      <c r="I681" s="186"/>
      <c r="J681" s="437"/>
      <c r="K681" s="437"/>
      <c r="L681" s="437"/>
      <c r="M681" s="437"/>
      <c r="N681" s="187"/>
      <c r="O681" s="187"/>
      <c r="P681" s="187"/>
      <c r="Q681" s="187"/>
      <c r="R681" s="188"/>
      <c r="S681" s="188"/>
      <c r="T681" s="189"/>
      <c r="U681" s="189"/>
      <c r="V681" s="189"/>
      <c r="W681" s="189"/>
      <c r="X681" s="189"/>
      <c r="Y681" s="189"/>
      <c r="Z681" s="189"/>
      <c r="AA681" s="190"/>
      <c r="AB681" s="190"/>
    </row>
    <row r="682" spans="2:28" ht="14.1" customHeight="1">
      <c r="B682" s="182"/>
      <c r="C682" s="182"/>
      <c r="D682" s="183"/>
      <c r="E682" s="184"/>
      <c r="F682" s="185"/>
      <c r="G682" s="185"/>
      <c r="H682" s="9"/>
      <c r="I682" s="186"/>
      <c r="J682" s="437"/>
      <c r="K682" s="437"/>
      <c r="L682" s="437"/>
      <c r="M682" s="437"/>
      <c r="N682" s="187"/>
      <c r="O682" s="187"/>
      <c r="P682" s="187"/>
      <c r="Q682" s="187"/>
      <c r="R682" s="188"/>
      <c r="S682" s="188"/>
      <c r="T682" s="189"/>
      <c r="U682" s="189"/>
      <c r="V682" s="189"/>
      <c r="W682" s="189"/>
      <c r="X682" s="189"/>
      <c r="Y682" s="189"/>
      <c r="Z682" s="189"/>
      <c r="AA682" s="190"/>
      <c r="AB682" s="190"/>
    </row>
    <row r="683" spans="2:28" ht="14.1" customHeight="1">
      <c r="B683" s="182"/>
      <c r="C683" s="182"/>
      <c r="D683" s="183"/>
      <c r="E683" s="184"/>
      <c r="F683" s="185"/>
      <c r="G683" s="185"/>
      <c r="H683" s="9"/>
      <c r="I683" s="186"/>
      <c r="J683" s="437"/>
      <c r="K683" s="437"/>
      <c r="L683" s="437"/>
      <c r="M683" s="437"/>
      <c r="N683" s="187"/>
      <c r="O683" s="187"/>
      <c r="P683" s="187"/>
      <c r="Q683" s="187"/>
      <c r="R683" s="188"/>
      <c r="S683" s="188"/>
      <c r="T683" s="189"/>
      <c r="U683" s="189"/>
      <c r="V683" s="189"/>
      <c r="W683" s="189"/>
      <c r="X683" s="189"/>
      <c r="Y683" s="189"/>
      <c r="Z683" s="189"/>
      <c r="AA683" s="190"/>
      <c r="AB683" s="190"/>
    </row>
    <row r="684" spans="2:28" ht="14.1" customHeight="1">
      <c r="B684" s="182"/>
      <c r="C684" s="182"/>
      <c r="D684" s="183"/>
      <c r="E684" s="184"/>
      <c r="F684" s="185"/>
      <c r="G684" s="185"/>
      <c r="H684" s="9"/>
      <c r="I684" s="186"/>
      <c r="J684" s="437"/>
      <c r="K684" s="437"/>
      <c r="L684" s="437"/>
      <c r="M684" s="437"/>
      <c r="N684" s="187"/>
      <c r="O684" s="187"/>
      <c r="P684" s="187"/>
      <c r="Q684" s="187"/>
      <c r="R684" s="188"/>
      <c r="S684" s="188"/>
      <c r="T684" s="189"/>
      <c r="U684" s="189"/>
      <c r="V684" s="189"/>
      <c r="W684" s="189"/>
      <c r="X684" s="189"/>
      <c r="Y684" s="189"/>
      <c r="Z684" s="189"/>
      <c r="AA684" s="190"/>
      <c r="AB684" s="190"/>
    </row>
    <row r="685" spans="2:28" ht="14.1" customHeight="1">
      <c r="B685" s="182"/>
      <c r="C685" s="182"/>
      <c r="D685" s="183"/>
      <c r="E685" s="184"/>
      <c r="F685" s="185"/>
      <c r="G685" s="185"/>
      <c r="H685" s="9"/>
      <c r="I685" s="186"/>
      <c r="J685" s="437"/>
      <c r="K685" s="437"/>
      <c r="L685" s="437"/>
      <c r="M685" s="437"/>
      <c r="N685" s="187"/>
      <c r="O685" s="187"/>
      <c r="P685" s="187"/>
      <c r="Q685" s="187"/>
      <c r="R685" s="188"/>
      <c r="S685" s="188"/>
      <c r="T685" s="189"/>
      <c r="U685" s="189"/>
      <c r="V685" s="189"/>
      <c r="W685" s="189"/>
      <c r="X685" s="189"/>
      <c r="Y685" s="189"/>
      <c r="Z685" s="189"/>
      <c r="AA685" s="190"/>
      <c r="AB685" s="190"/>
    </row>
    <row r="686" spans="2:28" ht="14.1" customHeight="1">
      <c r="B686" s="182"/>
      <c r="C686" s="182"/>
      <c r="D686" s="183"/>
      <c r="E686" s="184"/>
      <c r="F686" s="185"/>
      <c r="G686" s="185"/>
      <c r="H686" s="9"/>
      <c r="I686" s="186"/>
      <c r="J686" s="437"/>
      <c r="K686" s="437"/>
      <c r="L686" s="437"/>
      <c r="M686" s="437"/>
      <c r="N686" s="187"/>
      <c r="O686" s="187"/>
      <c r="P686" s="187"/>
      <c r="Q686" s="187"/>
      <c r="R686" s="188"/>
      <c r="S686" s="188"/>
      <c r="T686" s="189"/>
      <c r="U686" s="189"/>
      <c r="V686" s="189"/>
      <c r="W686" s="189"/>
      <c r="X686" s="189"/>
      <c r="Y686" s="189"/>
      <c r="Z686" s="189"/>
      <c r="AA686" s="190"/>
      <c r="AB686" s="190"/>
    </row>
    <row r="687" spans="2:28" ht="14.1" customHeight="1">
      <c r="B687" s="182"/>
      <c r="C687" s="182"/>
      <c r="D687" s="183"/>
      <c r="E687" s="184"/>
      <c r="F687" s="185"/>
      <c r="G687" s="185"/>
      <c r="H687" s="9"/>
      <c r="I687" s="186"/>
      <c r="J687" s="437"/>
      <c r="K687" s="437"/>
      <c r="L687" s="437"/>
      <c r="M687" s="437"/>
      <c r="N687" s="187"/>
      <c r="O687" s="187"/>
      <c r="P687" s="187"/>
      <c r="Q687" s="187"/>
      <c r="R687" s="188"/>
      <c r="S687" s="188"/>
      <c r="T687" s="189"/>
      <c r="U687" s="189"/>
      <c r="V687" s="189"/>
      <c r="W687" s="189"/>
      <c r="X687" s="189"/>
      <c r="Y687" s="189"/>
      <c r="Z687" s="189"/>
      <c r="AA687" s="190"/>
      <c r="AB687" s="190"/>
    </row>
    <row r="688" spans="2:28" ht="14.1" customHeight="1">
      <c r="B688" s="182"/>
      <c r="C688" s="182"/>
      <c r="D688" s="183"/>
      <c r="E688" s="184"/>
      <c r="F688" s="185"/>
      <c r="G688" s="185"/>
      <c r="H688" s="9"/>
      <c r="I688" s="186"/>
      <c r="J688" s="437"/>
      <c r="K688" s="437"/>
      <c r="L688" s="437"/>
      <c r="M688" s="437"/>
      <c r="N688" s="187"/>
      <c r="O688" s="187"/>
      <c r="P688" s="187"/>
      <c r="Q688" s="187"/>
      <c r="R688" s="188"/>
      <c r="S688" s="188"/>
      <c r="T688" s="189"/>
      <c r="U688" s="189"/>
      <c r="V688" s="189"/>
      <c r="W688" s="189"/>
      <c r="X688" s="189"/>
      <c r="Y688" s="189"/>
      <c r="Z688" s="189"/>
      <c r="AA688" s="190"/>
      <c r="AB688" s="190"/>
    </row>
    <row r="689" spans="2:28" ht="14.1" customHeight="1">
      <c r="B689" s="182"/>
      <c r="C689" s="182"/>
      <c r="D689" s="183"/>
      <c r="E689" s="184"/>
      <c r="F689" s="185"/>
      <c r="G689" s="185"/>
      <c r="H689" s="9"/>
      <c r="I689" s="186"/>
      <c r="J689" s="437"/>
      <c r="K689" s="437"/>
      <c r="L689" s="437"/>
      <c r="M689" s="437"/>
      <c r="N689" s="187"/>
      <c r="O689" s="187"/>
      <c r="P689" s="187"/>
      <c r="Q689" s="187"/>
      <c r="R689" s="188"/>
      <c r="S689" s="188"/>
      <c r="T689" s="189"/>
      <c r="U689" s="189"/>
      <c r="V689" s="189"/>
      <c r="W689" s="189"/>
      <c r="X689" s="189"/>
      <c r="Y689" s="189"/>
      <c r="Z689" s="189"/>
      <c r="AA689" s="190"/>
      <c r="AB689" s="190"/>
    </row>
    <row r="690" spans="2:28" ht="14.1" customHeight="1">
      <c r="B690" s="182"/>
      <c r="C690" s="182"/>
      <c r="D690" s="183"/>
      <c r="E690" s="184"/>
      <c r="F690" s="185"/>
      <c r="G690" s="185"/>
      <c r="H690" s="9"/>
      <c r="I690" s="186"/>
      <c r="J690" s="437"/>
      <c r="K690" s="437"/>
      <c r="L690" s="437"/>
      <c r="M690" s="437"/>
      <c r="N690" s="187"/>
      <c r="O690" s="187"/>
      <c r="P690" s="187"/>
      <c r="Q690" s="187"/>
      <c r="R690" s="188"/>
      <c r="S690" s="188"/>
      <c r="T690" s="189"/>
      <c r="U690" s="189"/>
      <c r="V690" s="189"/>
      <c r="W690" s="189"/>
      <c r="X690" s="189"/>
      <c r="Y690" s="189"/>
      <c r="Z690" s="189"/>
      <c r="AA690" s="190"/>
      <c r="AB690" s="190"/>
    </row>
    <row r="691" spans="2:28" ht="14.1" customHeight="1">
      <c r="B691" s="182"/>
      <c r="C691" s="182"/>
      <c r="D691" s="183"/>
      <c r="E691" s="184"/>
      <c r="F691" s="185"/>
      <c r="G691" s="185"/>
      <c r="H691" s="9"/>
      <c r="I691" s="186"/>
      <c r="J691" s="437"/>
      <c r="K691" s="437"/>
      <c r="L691" s="437"/>
      <c r="M691" s="437"/>
      <c r="N691" s="187"/>
      <c r="O691" s="187"/>
      <c r="P691" s="187"/>
      <c r="Q691" s="187"/>
      <c r="R691" s="188"/>
      <c r="S691" s="188"/>
      <c r="T691" s="189"/>
      <c r="U691" s="189"/>
      <c r="V691" s="189"/>
      <c r="W691" s="189"/>
      <c r="X691" s="189"/>
      <c r="Y691" s="189"/>
      <c r="Z691" s="189"/>
      <c r="AA691" s="190"/>
      <c r="AB691" s="190"/>
    </row>
    <row r="692" spans="2:28" ht="14.1" customHeight="1">
      <c r="B692" s="182"/>
      <c r="C692" s="182"/>
      <c r="D692" s="183"/>
      <c r="E692" s="184"/>
      <c r="F692" s="185"/>
      <c r="G692" s="185"/>
      <c r="H692" s="9"/>
      <c r="I692" s="186"/>
      <c r="J692" s="437"/>
      <c r="K692" s="437"/>
      <c r="L692" s="437"/>
      <c r="M692" s="437"/>
      <c r="N692" s="187"/>
      <c r="O692" s="187"/>
      <c r="P692" s="187"/>
      <c r="Q692" s="187"/>
      <c r="R692" s="188"/>
      <c r="S692" s="188"/>
      <c r="T692" s="189"/>
      <c r="U692" s="189"/>
      <c r="V692" s="189"/>
      <c r="W692" s="189"/>
      <c r="X692" s="189"/>
      <c r="Y692" s="189"/>
      <c r="Z692" s="189"/>
      <c r="AA692" s="190"/>
      <c r="AB692" s="190"/>
    </row>
    <row r="693" spans="2:28" ht="14.1" customHeight="1">
      <c r="B693" s="182"/>
      <c r="C693" s="182"/>
      <c r="D693" s="183"/>
      <c r="E693" s="184"/>
      <c r="F693" s="185"/>
      <c r="G693" s="185"/>
      <c r="H693" s="9"/>
      <c r="I693" s="186"/>
      <c r="J693" s="437"/>
      <c r="K693" s="437"/>
      <c r="L693" s="437"/>
      <c r="M693" s="437"/>
      <c r="N693" s="187"/>
      <c r="O693" s="187"/>
      <c r="P693" s="187"/>
      <c r="Q693" s="187"/>
      <c r="R693" s="188"/>
      <c r="S693" s="188"/>
      <c r="T693" s="189"/>
      <c r="U693" s="189"/>
      <c r="V693" s="189"/>
      <c r="W693" s="189"/>
      <c r="X693" s="189"/>
      <c r="Y693" s="189"/>
      <c r="Z693" s="189"/>
      <c r="AA693" s="190"/>
      <c r="AB693" s="190"/>
    </row>
    <row r="694" spans="2:28" ht="14.1" customHeight="1">
      <c r="B694" s="182"/>
      <c r="C694" s="182"/>
      <c r="D694" s="183"/>
      <c r="E694" s="184"/>
      <c r="F694" s="185"/>
      <c r="G694" s="185"/>
      <c r="H694" s="9"/>
      <c r="I694" s="186"/>
      <c r="J694" s="437"/>
      <c r="K694" s="437"/>
      <c r="L694" s="437"/>
      <c r="M694" s="437"/>
      <c r="N694" s="187"/>
      <c r="O694" s="187"/>
      <c r="P694" s="187"/>
      <c r="Q694" s="187"/>
      <c r="R694" s="188"/>
      <c r="S694" s="188"/>
      <c r="T694" s="189"/>
      <c r="U694" s="189"/>
      <c r="V694" s="189"/>
      <c r="W694" s="189"/>
      <c r="X694" s="189"/>
      <c r="Y694" s="189"/>
      <c r="Z694" s="189"/>
      <c r="AA694" s="190"/>
      <c r="AB694" s="190"/>
    </row>
    <row r="695" spans="2:28" ht="14.1" customHeight="1">
      <c r="B695" s="182"/>
      <c r="C695" s="182"/>
      <c r="D695" s="183"/>
      <c r="E695" s="184"/>
      <c r="F695" s="185"/>
      <c r="G695" s="185"/>
      <c r="H695" s="9"/>
      <c r="I695" s="186"/>
      <c r="J695" s="437"/>
      <c r="K695" s="437"/>
      <c r="L695" s="437"/>
      <c r="M695" s="437"/>
      <c r="N695" s="187"/>
      <c r="O695" s="187"/>
      <c r="P695" s="187"/>
      <c r="Q695" s="187"/>
      <c r="R695" s="188"/>
      <c r="S695" s="188"/>
      <c r="T695" s="189"/>
      <c r="U695" s="189"/>
      <c r="V695" s="189"/>
      <c r="W695" s="189"/>
      <c r="X695" s="189"/>
      <c r="Y695" s="189"/>
      <c r="Z695" s="189"/>
      <c r="AA695" s="190"/>
      <c r="AB695" s="190"/>
    </row>
    <row r="696" spans="2:28" ht="14.1" customHeight="1">
      <c r="B696" s="182"/>
      <c r="C696" s="182"/>
      <c r="D696" s="183"/>
      <c r="E696" s="184"/>
      <c r="F696" s="185"/>
      <c r="G696" s="185"/>
      <c r="H696" s="9"/>
      <c r="I696" s="186"/>
      <c r="J696" s="437"/>
      <c r="K696" s="437"/>
      <c r="L696" s="437"/>
      <c r="M696" s="437"/>
      <c r="N696" s="187"/>
      <c r="O696" s="187"/>
      <c r="P696" s="187"/>
      <c r="Q696" s="187"/>
      <c r="R696" s="188"/>
      <c r="S696" s="188"/>
      <c r="T696" s="189"/>
      <c r="U696" s="189"/>
      <c r="V696" s="189"/>
      <c r="W696" s="189"/>
      <c r="X696" s="189"/>
      <c r="Y696" s="189"/>
      <c r="Z696" s="189"/>
      <c r="AA696" s="190"/>
      <c r="AB696" s="190"/>
    </row>
    <row r="697" spans="2:28" ht="14.1" customHeight="1">
      <c r="B697" s="182"/>
      <c r="C697" s="182"/>
      <c r="D697" s="183"/>
      <c r="E697" s="184"/>
      <c r="F697" s="185"/>
      <c r="G697" s="185"/>
      <c r="H697" s="9"/>
      <c r="I697" s="186"/>
      <c r="J697" s="437"/>
      <c r="K697" s="437"/>
      <c r="L697" s="437"/>
      <c r="M697" s="437"/>
      <c r="N697" s="187"/>
      <c r="O697" s="187"/>
      <c r="P697" s="187"/>
      <c r="Q697" s="187"/>
      <c r="R697" s="188"/>
      <c r="S697" s="188"/>
      <c r="T697" s="189"/>
      <c r="U697" s="189"/>
      <c r="V697" s="189"/>
      <c r="W697" s="189"/>
      <c r="X697" s="189"/>
      <c r="Y697" s="189"/>
      <c r="Z697" s="189"/>
      <c r="AA697" s="190"/>
      <c r="AB697" s="190"/>
    </row>
    <row r="698" spans="2:28" ht="14.1" customHeight="1">
      <c r="B698" s="182"/>
      <c r="C698" s="182"/>
      <c r="D698" s="183"/>
      <c r="E698" s="184"/>
      <c r="F698" s="185"/>
      <c r="G698" s="185"/>
      <c r="H698" s="9"/>
      <c r="I698" s="186"/>
      <c r="J698" s="437"/>
      <c r="K698" s="437"/>
      <c r="L698" s="437"/>
      <c r="M698" s="437"/>
      <c r="N698" s="187"/>
      <c r="O698" s="187"/>
      <c r="P698" s="187"/>
      <c r="Q698" s="187"/>
      <c r="R698" s="188"/>
      <c r="S698" s="188"/>
      <c r="T698" s="189"/>
      <c r="U698" s="189"/>
      <c r="V698" s="189"/>
      <c r="W698" s="189"/>
      <c r="X698" s="189"/>
      <c r="Y698" s="189"/>
      <c r="Z698" s="189"/>
      <c r="AA698" s="190"/>
      <c r="AB698" s="190"/>
    </row>
    <row r="699" spans="2:28" ht="14.1" customHeight="1">
      <c r="B699" s="182"/>
      <c r="C699" s="182"/>
      <c r="D699" s="183"/>
      <c r="E699" s="184"/>
      <c r="F699" s="185"/>
      <c r="G699" s="185"/>
      <c r="H699" s="9"/>
      <c r="I699" s="186"/>
      <c r="J699" s="437"/>
      <c r="K699" s="437"/>
      <c r="L699" s="437"/>
      <c r="M699" s="437"/>
      <c r="N699" s="187"/>
      <c r="O699" s="187"/>
      <c r="P699" s="187"/>
      <c r="Q699" s="187"/>
      <c r="R699" s="188"/>
      <c r="S699" s="188"/>
      <c r="T699" s="189"/>
      <c r="U699" s="189"/>
      <c r="V699" s="189"/>
      <c r="W699" s="189"/>
      <c r="X699" s="189"/>
      <c r="Y699" s="189"/>
      <c r="Z699" s="189"/>
      <c r="AA699" s="190"/>
      <c r="AB699" s="190"/>
    </row>
    <row r="700" spans="2:28" ht="14.1" customHeight="1">
      <c r="B700" s="182"/>
      <c r="C700" s="182"/>
      <c r="D700" s="183"/>
      <c r="E700" s="184"/>
      <c r="F700" s="185"/>
      <c r="G700" s="185"/>
      <c r="H700" s="9"/>
      <c r="I700" s="186"/>
      <c r="J700" s="437"/>
      <c r="K700" s="437"/>
      <c r="L700" s="437"/>
      <c r="M700" s="437"/>
      <c r="N700" s="187"/>
      <c r="O700" s="187"/>
      <c r="P700" s="187"/>
      <c r="Q700" s="187"/>
      <c r="R700" s="188"/>
      <c r="S700" s="188"/>
      <c r="T700" s="189"/>
      <c r="U700" s="189"/>
      <c r="V700" s="189"/>
      <c r="W700" s="189"/>
      <c r="X700" s="189"/>
      <c r="Y700" s="189"/>
      <c r="Z700" s="189"/>
      <c r="AA700" s="190"/>
      <c r="AB700" s="190"/>
    </row>
    <row r="701" spans="2:28" ht="14.1" customHeight="1">
      <c r="B701" s="182"/>
      <c r="C701" s="182"/>
      <c r="D701" s="183"/>
      <c r="E701" s="184"/>
      <c r="F701" s="185"/>
      <c r="G701" s="185"/>
      <c r="H701" s="9"/>
      <c r="I701" s="186"/>
      <c r="J701" s="437"/>
      <c r="K701" s="437"/>
      <c r="L701" s="437"/>
      <c r="M701" s="437"/>
      <c r="N701" s="187"/>
      <c r="O701" s="187"/>
      <c r="P701" s="187"/>
      <c r="Q701" s="187"/>
      <c r="R701" s="188"/>
      <c r="S701" s="188"/>
      <c r="T701" s="189"/>
      <c r="U701" s="189"/>
      <c r="V701" s="189"/>
      <c r="W701" s="189"/>
      <c r="X701" s="189"/>
      <c r="Y701" s="189"/>
      <c r="Z701" s="189"/>
      <c r="AA701" s="190"/>
      <c r="AB701" s="190"/>
    </row>
    <row r="702" spans="2:28" ht="14.1" customHeight="1">
      <c r="B702" s="182"/>
      <c r="C702" s="182"/>
      <c r="D702" s="183"/>
      <c r="E702" s="184"/>
      <c r="F702" s="185"/>
      <c r="G702" s="185"/>
      <c r="H702" s="9"/>
      <c r="I702" s="186"/>
      <c r="J702" s="437"/>
      <c r="K702" s="437"/>
      <c r="L702" s="437"/>
      <c r="M702" s="437"/>
      <c r="N702" s="187"/>
      <c r="O702" s="187"/>
      <c r="P702" s="187"/>
      <c r="Q702" s="187"/>
      <c r="R702" s="188"/>
      <c r="S702" s="188"/>
      <c r="T702" s="189"/>
      <c r="U702" s="189"/>
      <c r="V702" s="189"/>
      <c r="W702" s="189"/>
      <c r="X702" s="189"/>
      <c r="Y702" s="189"/>
      <c r="Z702" s="189"/>
      <c r="AA702" s="190"/>
      <c r="AB702" s="190"/>
    </row>
    <row r="703" spans="2:28" ht="14.1" customHeight="1">
      <c r="B703" s="182"/>
      <c r="C703" s="182"/>
      <c r="D703" s="183"/>
      <c r="E703" s="184"/>
      <c r="F703" s="185"/>
      <c r="G703" s="185"/>
      <c r="H703" s="9"/>
      <c r="I703" s="186"/>
      <c r="J703" s="437"/>
      <c r="K703" s="437"/>
      <c r="L703" s="437"/>
      <c r="M703" s="437"/>
      <c r="N703" s="187"/>
      <c r="O703" s="187"/>
      <c r="P703" s="187"/>
      <c r="Q703" s="187"/>
      <c r="R703" s="188"/>
      <c r="S703" s="188"/>
      <c r="T703" s="189"/>
      <c r="U703" s="189"/>
      <c r="V703" s="189"/>
      <c r="W703" s="189"/>
      <c r="X703" s="189"/>
      <c r="Y703" s="189"/>
      <c r="Z703" s="189"/>
      <c r="AA703" s="190"/>
      <c r="AB703" s="190"/>
    </row>
    <row r="704" spans="2:28" ht="14.1" customHeight="1">
      <c r="B704" s="182"/>
      <c r="C704" s="182"/>
      <c r="D704" s="183"/>
      <c r="E704" s="184"/>
      <c r="F704" s="185"/>
      <c r="G704" s="185"/>
      <c r="H704" s="9"/>
      <c r="I704" s="186"/>
      <c r="J704" s="437"/>
      <c r="K704" s="437"/>
      <c r="L704" s="437"/>
      <c r="M704" s="437"/>
      <c r="N704" s="187"/>
      <c r="O704" s="187"/>
      <c r="P704" s="187"/>
      <c r="Q704" s="187"/>
      <c r="R704" s="188"/>
      <c r="S704" s="188"/>
      <c r="T704" s="189"/>
      <c r="U704" s="189"/>
      <c r="V704" s="189"/>
      <c r="W704" s="189"/>
      <c r="X704" s="189"/>
      <c r="Y704" s="189"/>
      <c r="Z704" s="189"/>
      <c r="AA704" s="190"/>
      <c r="AB704" s="190"/>
    </row>
    <row r="705" spans="2:28" ht="14.1" customHeight="1">
      <c r="B705" s="182"/>
      <c r="C705" s="182"/>
      <c r="D705" s="183"/>
      <c r="E705" s="184"/>
      <c r="F705" s="185"/>
      <c r="G705" s="185"/>
      <c r="H705" s="9"/>
      <c r="I705" s="186"/>
      <c r="J705" s="437"/>
      <c r="K705" s="437"/>
      <c r="L705" s="437"/>
      <c r="M705" s="437"/>
      <c r="N705" s="187"/>
      <c r="O705" s="187"/>
      <c r="P705" s="187"/>
      <c r="Q705" s="187"/>
      <c r="R705" s="188"/>
      <c r="S705" s="188"/>
      <c r="T705" s="189"/>
      <c r="U705" s="189"/>
      <c r="V705" s="189"/>
      <c r="W705" s="189"/>
      <c r="X705" s="189"/>
      <c r="Y705" s="189"/>
      <c r="Z705" s="189"/>
      <c r="AA705" s="190"/>
      <c r="AB705" s="190"/>
    </row>
    <row r="706" spans="2:28" ht="14.1" customHeight="1">
      <c r="B706" s="182"/>
      <c r="C706" s="182"/>
      <c r="D706" s="183"/>
      <c r="E706" s="184"/>
      <c r="F706" s="185"/>
      <c r="G706" s="185"/>
      <c r="H706" s="9"/>
      <c r="I706" s="186"/>
      <c r="J706" s="437"/>
      <c r="K706" s="437"/>
      <c r="L706" s="437"/>
      <c r="M706" s="437"/>
      <c r="N706" s="187"/>
      <c r="O706" s="187"/>
      <c r="P706" s="187"/>
      <c r="Q706" s="187"/>
      <c r="R706" s="188"/>
      <c r="S706" s="188"/>
      <c r="T706" s="189"/>
      <c r="U706" s="189"/>
      <c r="V706" s="189"/>
      <c r="W706" s="189"/>
      <c r="X706" s="189"/>
      <c r="Y706" s="189"/>
      <c r="Z706" s="189"/>
      <c r="AA706" s="190"/>
      <c r="AB706" s="190"/>
    </row>
    <row r="707" spans="2:28" ht="14.1" customHeight="1">
      <c r="B707" s="182"/>
      <c r="C707" s="182"/>
      <c r="D707" s="183"/>
      <c r="E707" s="184"/>
      <c r="F707" s="185"/>
      <c r="G707" s="185"/>
      <c r="H707" s="9"/>
      <c r="I707" s="186"/>
      <c r="J707" s="437"/>
      <c r="K707" s="437"/>
      <c r="L707" s="437"/>
      <c r="M707" s="437"/>
      <c r="N707" s="187"/>
      <c r="O707" s="187"/>
      <c r="P707" s="187"/>
      <c r="Q707" s="187"/>
      <c r="R707" s="188"/>
      <c r="S707" s="188"/>
      <c r="T707" s="189"/>
      <c r="U707" s="189"/>
      <c r="V707" s="189"/>
      <c r="W707" s="189"/>
      <c r="X707" s="189"/>
      <c r="Y707" s="189"/>
      <c r="Z707" s="189"/>
      <c r="AA707" s="190"/>
      <c r="AB707" s="190"/>
    </row>
    <row r="708" spans="2:28" ht="14.1" customHeight="1">
      <c r="B708" s="182"/>
      <c r="C708" s="182"/>
      <c r="D708" s="183"/>
      <c r="E708" s="184"/>
      <c r="F708" s="185"/>
      <c r="G708" s="185"/>
      <c r="H708" s="9"/>
      <c r="I708" s="186"/>
      <c r="J708" s="437"/>
      <c r="K708" s="437"/>
      <c r="L708" s="437"/>
      <c r="M708" s="437"/>
      <c r="N708" s="187"/>
      <c r="O708" s="187"/>
      <c r="P708" s="187"/>
      <c r="Q708" s="187"/>
      <c r="R708" s="188"/>
      <c r="S708" s="188"/>
      <c r="T708" s="189"/>
      <c r="U708" s="189"/>
      <c r="V708" s="189"/>
      <c r="W708" s="189"/>
      <c r="X708" s="189"/>
      <c r="Y708" s="189"/>
      <c r="Z708" s="189"/>
      <c r="AA708" s="190"/>
      <c r="AB708" s="190"/>
    </row>
    <row r="709" spans="2:28" ht="14.1" customHeight="1">
      <c r="B709" s="182"/>
      <c r="C709" s="182"/>
      <c r="D709" s="183"/>
      <c r="E709" s="184"/>
      <c r="F709" s="185"/>
      <c r="G709" s="185"/>
      <c r="H709" s="9"/>
      <c r="I709" s="186"/>
      <c r="J709" s="437"/>
      <c r="K709" s="437"/>
      <c r="L709" s="437"/>
      <c r="M709" s="437"/>
      <c r="N709" s="187"/>
      <c r="O709" s="187"/>
      <c r="P709" s="187"/>
      <c r="Q709" s="187"/>
      <c r="R709" s="188"/>
      <c r="S709" s="188"/>
      <c r="T709" s="189"/>
      <c r="U709" s="189"/>
      <c r="V709" s="189"/>
      <c r="W709" s="189"/>
      <c r="X709" s="189"/>
      <c r="Y709" s="189"/>
      <c r="Z709" s="189"/>
      <c r="AA709" s="190"/>
      <c r="AB709" s="190"/>
    </row>
    <row r="710" spans="2:28" ht="14.1" customHeight="1">
      <c r="B710" s="182"/>
      <c r="C710" s="182"/>
      <c r="D710" s="183"/>
      <c r="E710" s="184"/>
      <c r="F710" s="185"/>
      <c r="G710" s="185"/>
      <c r="H710" s="9"/>
      <c r="I710" s="186"/>
      <c r="J710" s="437"/>
      <c r="K710" s="437"/>
      <c r="L710" s="437"/>
      <c r="M710" s="437"/>
      <c r="N710" s="187"/>
      <c r="O710" s="187"/>
      <c r="P710" s="187"/>
      <c r="Q710" s="187"/>
      <c r="R710" s="188"/>
      <c r="S710" s="188"/>
      <c r="T710" s="189"/>
      <c r="U710" s="189"/>
      <c r="V710" s="189"/>
      <c r="W710" s="189"/>
      <c r="X710" s="189"/>
      <c r="Y710" s="189"/>
      <c r="Z710" s="189"/>
      <c r="AA710" s="190"/>
      <c r="AB710" s="190"/>
    </row>
    <row r="711" spans="2:28" ht="14.1" customHeight="1">
      <c r="B711" s="182"/>
      <c r="C711" s="182"/>
      <c r="D711" s="183"/>
      <c r="E711" s="184"/>
      <c r="F711" s="185"/>
      <c r="G711" s="185"/>
      <c r="H711" s="9"/>
      <c r="I711" s="186"/>
      <c r="J711" s="437"/>
      <c r="K711" s="437"/>
      <c r="L711" s="437"/>
      <c r="M711" s="437"/>
      <c r="N711" s="187"/>
      <c r="O711" s="187"/>
      <c r="P711" s="187"/>
      <c r="Q711" s="187"/>
      <c r="R711" s="188"/>
      <c r="S711" s="188"/>
      <c r="T711" s="189"/>
      <c r="U711" s="189"/>
      <c r="V711" s="189"/>
      <c r="W711" s="189"/>
      <c r="X711" s="189"/>
      <c r="Y711" s="189"/>
      <c r="Z711" s="189"/>
      <c r="AA711" s="190"/>
      <c r="AB711" s="190"/>
    </row>
    <row r="712" spans="2:28" ht="14.1" customHeight="1">
      <c r="B712" s="182"/>
      <c r="C712" s="182"/>
      <c r="D712" s="183"/>
      <c r="E712" s="184"/>
      <c r="F712" s="185"/>
      <c r="G712" s="185"/>
      <c r="H712" s="9"/>
      <c r="I712" s="186"/>
      <c r="J712" s="437"/>
      <c r="K712" s="437"/>
      <c r="L712" s="437"/>
      <c r="M712" s="437"/>
      <c r="N712" s="187"/>
      <c r="O712" s="187"/>
      <c r="P712" s="187"/>
      <c r="Q712" s="187"/>
      <c r="R712" s="188"/>
      <c r="S712" s="188"/>
      <c r="T712" s="189"/>
      <c r="U712" s="189"/>
      <c r="V712" s="189"/>
      <c r="W712" s="189"/>
      <c r="X712" s="189"/>
      <c r="Y712" s="189"/>
      <c r="Z712" s="189"/>
      <c r="AA712" s="190"/>
      <c r="AB712" s="190"/>
    </row>
    <row r="713" spans="2:28" ht="14.1" customHeight="1">
      <c r="B713" s="182"/>
      <c r="C713" s="182"/>
      <c r="D713" s="183"/>
      <c r="E713" s="184"/>
      <c r="F713" s="185"/>
      <c r="G713" s="185"/>
      <c r="H713" s="9"/>
      <c r="I713" s="186"/>
      <c r="J713" s="437"/>
      <c r="K713" s="437"/>
      <c r="L713" s="437"/>
      <c r="M713" s="437"/>
      <c r="N713" s="187"/>
      <c r="O713" s="187"/>
      <c r="P713" s="187"/>
      <c r="Q713" s="187"/>
      <c r="R713" s="188"/>
      <c r="S713" s="188"/>
      <c r="T713" s="189"/>
      <c r="U713" s="189"/>
      <c r="V713" s="189"/>
      <c r="W713" s="189"/>
      <c r="X713" s="189"/>
      <c r="Y713" s="189"/>
      <c r="Z713" s="189"/>
      <c r="AA713" s="190"/>
      <c r="AB713" s="190"/>
    </row>
    <row r="714" spans="2:28" ht="14.1" customHeight="1">
      <c r="B714" s="182"/>
      <c r="C714" s="182"/>
      <c r="D714" s="183"/>
      <c r="E714" s="184"/>
      <c r="F714" s="185"/>
      <c r="G714" s="185"/>
      <c r="H714" s="9"/>
      <c r="I714" s="186"/>
      <c r="J714" s="437"/>
      <c r="K714" s="437"/>
      <c r="L714" s="437"/>
      <c r="M714" s="437"/>
      <c r="N714" s="187"/>
      <c r="O714" s="187"/>
      <c r="P714" s="187"/>
      <c r="Q714" s="187"/>
      <c r="R714" s="188"/>
      <c r="S714" s="188"/>
      <c r="T714" s="189"/>
      <c r="U714" s="189"/>
      <c r="V714" s="189"/>
      <c r="W714" s="189"/>
      <c r="X714" s="189"/>
      <c r="Y714" s="189"/>
      <c r="Z714" s="189"/>
      <c r="AA714" s="190"/>
      <c r="AB714" s="190"/>
    </row>
    <row r="715" spans="2:28" ht="14.1" customHeight="1">
      <c r="B715" s="182"/>
      <c r="C715" s="182"/>
      <c r="D715" s="183"/>
      <c r="E715" s="184"/>
      <c r="F715" s="185"/>
      <c r="G715" s="185"/>
      <c r="H715" s="9"/>
      <c r="I715" s="186"/>
      <c r="J715" s="437"/>
      <c r="K715" s="437"/>
      <c r="L715" s="437"/>
      <c r="M715" s="437"/>
      <c r="N715" s="187"/>
      <c r="O715" s="187"/>
      <c r="P715" s="187"/>
      <c r="Q715" s="187"/>
      <c r="R715" s="188"/>
      <c r="S715" s="188"/>
      <c r="T715" s="189"/>
      <c r="U715" s="189"/>
      <c r="V715" s="189"/>
      <c r="W715" s="189"/>
      <c r="X715" s="189"/>
      <c r="Y715" s="189"/>
      <c r="Z715" s="189"/>
      <c r="AA715" s="190"/>
      <c r="AB715" s="190"/>
    </row>
    <row r="716" spans="2:28" ht="14.1" customHeight="1">
      <c r="B716" s="182"/>
      <c r="C716" s="182"/>
      <c r="D716" s="183"/>
      <c r="E716" s="184"/>
      <c r="F716" s="185"/>
      <c r="G716" s="185"/>
      <c r="H716" s="9"/>
      <c r="I716" s="186"/>
      <c r="J716" s="437"/>
      <c r="K716" s="437"/>
      <c r="L716" s="437"/>
      <c r="M716" s="437"/>
      <c r="N716" s="187"/>
      <c r="O716" s="187"/>
      <c r="P716" s="187"/>
      <c r="Q716" s="187"/>
      <c r="R716" s="188"/>
      <c r="S716" s="188"/>
      <c r="T716" s="189"/>
      <c r="U716" s="189"/>
      <c r="V716" s="189"/>
      <c r="W716" s="189"/>
      <c r="X716" s="189"/>
      <c r="Y716" s="189"/>
      <c r="Z716" s="189"/>
      <c r="AA716" s="190"/>
      <c r="AB716" s="190"/>
    </row>
    <row r="717" spans="2:28" ht="14.1" customHeight="1">
      <c r="B717" s="182"/>
      <c r="C717" s="182"/>
      <c r="D717" s="183"/>
      <c r="E717" s="184"/>
      <c r="F717" s="185"/>
      <c r="G717" s="185"/>
      <c r="H717" s="9"/>
      <c r="I717" s="186"/>
      <c r="J717" s="437"/>
      <c r="K717" s="437"/>
      <c r="L717" s="437"/>
      <c r="M717" s="437"/>
      <c r="N717" s="187"/>
      <c r="O717" s="187"/>
      <c r="P717" s="187"/>
      <c r="Q717" s="187"/>
      <c r="R717" s="188"/>
      <c r="S717" s="188"/>
      <c r="T717" s="189"/>
      <c r="U717" s="189"/>
      <c r="V717" s="189"/>
      <c r="W717" s="189"/>
      <c r="X717" s="189"/>
      <c r="Y717" s="189"/>
      <c r="Z717" s="189"/>
      <c r="AA717" s="190"/>
      <c r="AB717" s="190"/>
    </row>
    <row r="718" spans="2:28" ht="14.1" customHeight="1">
      <c r="B718" s="182"/>
      <c r="C718" s="182"/>
      <c r="D718" s="183"/>
      <c r="E718" s="184"/>
      <c r="F718" s="185"/>
      <c r="G718" s="185"/>
      <c r="H718" s="9"/>
      <c r="I718" s="186"/>
      <c r="J718" s="437"/>
      <c r="K718" s="437"/>
      <c r="L718" s="437"/>
      <c r="M718" s="437"/>
      <c r="N718" s="187"/>
      <c r="O718" s="187"/>
      <c r="P718" s="187"/>
      <c r="Q718" s="187"/>
      <c r="R718" s="188"/>
      <c r="S718" s="188"/>
      <c r="T718" s="189"/>
      <c r="U718" s="189"/>
      <c r="V718" s="189"/>
      <c r="W718" s="189"/>
      <c r="X718" s="189"/>
      <c r="Y718" s="189"/>
      <c r="Z718" s="189"/>
      <c r="AA718" s="190"/>
      <c r="AB718" s="190"/>
    </row>
    <row r="719" spans="2:28" ht="14.1" customHeight="1">
      <c r="B719" s="182"/>
      <c r="C719" s="182"/>
      <c r="D719" s="183"/>
      <c r="E719" s="184"/>
      <c r="F719" s="185"/>
      <c r="G719" s="185"/>
      <c r="H719" s="9"/>
      <c r="I719" s="186"/>
      <c r="J719" s="437"/>
      <c r="K719" s="437"/>
      <c r="L719" s="437"/>
      <c r="M719" s="437"/>
      <c r="N719" s="187"/>
      <c r="O719" s="187"/>
      <c r="P719" s="187"/>
      <c r="Q719" s="187"/>
      <c r="R719" s="188"/>
      <c r="S719" s="188"/>
      <c r="T719" s="189"/>
      <c r="U719" s="189"/>
      <c r="V719" s="189"/>
      <c r="W719" s="189"/>
      <c r="X719" s="189"/>
      <c r="Y719" s="189"/>
      <c r="Z719" s="189"/>
      <c r="AA719" s="190"/>
      <c r="AB719" s="190"/>
    </row>
    <row r="720" spans="2:28" ht="14.1" customHeight="1">
      <c r="B720" s="182"/>
      <c r="C720" s="182"/>
      <c r="D720" s="183"/>
      <c r="E720" s="184"/>
      <c r="F720" s="185"/>
      <c r="G720" s="185"/>
      <c r="H720" s="9"/>
      <c r="I720" s="186"/>
      <c r="J720" s="437"/>
      <c r="K720" s="437"/>
      <c r="L720" s="437"/>
      <c r="M720" s="437"/>
      <c r="N720" s="187"/>
      <c r="O720" s="187"/>
      <c r="P720" s="187"/>
      <c r="Q720" s="187"/>
      <c r="R720" s="188"/>
      <c r="S720" s="188"/>
      <c r="T720" s="189"/>
      <c r="U720" s="189"/>
      <c r="V720" s="189"/>
      <c r="W720" s="189"/>
      <c r="X720" s="189"/>
      <c r="Y720" s="189"/>
      <c r="Z720" s="189"/>
      <c r="AA720" s="190"/>
      <c r="AB720" s="190"/>
    </row>
    <row r="721" spans="2:28" ht="14.1" customHeight="1">
      <c r="B721" s="182"/>
      <c r="C721" s="182"/>
      <c r="D721" s="183"/>
      <c r="E721" s="184"/>
      <c r="F721" s="185"/>
      <c r="G721" s="185"/>
      <c r="H721" s="9"/>
      <c r="I721" s="186"/>
      <c r="J721" s="437"/>
      <c r="K721" s="437"/>
      <c r="L721" s="437"/>
      <c r="M721" s="437"/>
      <c r="N721" s="187"/>
      <c r="O721" s="187"/>
      <c r="P721" s="187"/>
      <c r="Q721" s="187"/>
      <c r="R721" s="188"/>
      <c r="S721" s="188"/>
      <c r="T721" s="189"/>
      <c r="U721" s="189"/>
      <c r="V721" s="189"/>
      <c r="W721" s="189"/>
      <c r="X721" s="189"/>
      <c r="Y721" s="189"/>
      <c r="Z721" s="189"/>
      <c r="AA721" s="190"/>
      <c r="AB721" s="190"/>
    </row>
    <row r="722" spans="2:28" ht="14.1" customHeight="1">
      <c r="B722" s="182"/>
      <c r="C722" s="182"/>
      <c r="D722" s="183"/>
      <c r="E722" s="184"/>
      <c r="F722" s="185"/>
      <c r="G722" s="185"/>
      <c r="H722" s="9"/>
      <c r="I722" s="186"/>
      <c r="J722" s="437"/>
      <c r="K722" s="437"/>
      <c r="L722" s="437"/>
      <c r="M722" s="437"/>
      <c r="N722" s="187"/>
      <c r="O722" s="187"/>
      <c r="P722" s="187"/>
      <c r="Q722" s="187"/>
      <c r="R722" s="188"/>
      <c r="S722" s="188"/>
      <c r="T722" s="189"/>
      <c r="U722" s="189"/>
      <c r="V722" s="189"/>
      <c r="W722" s="189"/>
      <c r="X722" s="189"/>
      <c r="Y722" s="189"/>
      <c r="Z722" s="189"/>
      <c r="AA722" s="190"/>
      <c r="AB722" s="190"/>
    </row>
    <row r="723" spans="2:28" ht="14.1" customHeight="1">
      <c r="B723" s="182"/>
      <c r="C723" s="182"/>
      <c r="D723" s="183"/>
      <c r="E723" s="184"/>
      <c r="F723" s="185"/>
      <c r="G723" s="185"/>
      <c r="H723" s="9"/>
      <c r="I723" s="186"/>
      <c r="J723" s="437"/>
      <c r="K723" s="437"/>
      <c r="L723" s="437"/>
      <c r="M723" s="437"/>
      <c r="N723" s="187"/>
      <c r="O723" s="187"/>
      <c r="P723" s="187"/>
      <c r="Q723" s="187"/>
      <c r="R723" s="188"/>
      <c r="S723" s="188"/>
      <c r="T723" s="189"/>
      <c r="U723" s="189"/>
      <c r="V723" s="189"/>
      <c r="W723" s="189"/>
      <c r="X723" s="189"/>
      <c r="Y723" s="189"/>
      <c r="Z723" s="189"/>
      <c r="AA723" s="190"/>
      <c r="AB723" s="190"/>
    </row>
    <row r="724" spans="2:28" ht="14.1" customHeight="1">
      <c r="B724" s="182"/>
      <c r="C724" s="182"/>
      <c r="D724" s="183"/>
      <c r="E724" s="184"/>
      <c r="F724" s="185"/>
      <c r="G724" s="185"/>
      <c r="H724" s="9"/>
      <c r="I724" s="186"/>
      <c r="J724" s="437"/>
      <c r="K724" s="437"/>
      <c r="L724" s="437"/>
      <c r="M724" s="437"/>
      <c r="N724" s="187"/>
      <c r="O724" s="187"/>
      <c r="P724" s="187"/>
      <c r="Q724" s="187"/>
      <c r="R724" s="188"/>
      <c r="S724" s="188"/>
      <c r="T724" s="189"/>
      <c r="U724" s="189"/>
      <c r="V724" s="189"/>
      <c r="W724" s="189"/>
      <c r="X724" s="189"/>
      <c r="Y724" s="189"/>
      <c r="Z724" s="189"/>
      <c r="AA724" s="190"/>
      <c r="AB724" s="190"/>
    </row>
    <row r="725" spans="2:28" ht="14.1" customHeight="1">
      <c r="B725" s="182"/>
      <c r="C725" s="182"/>
      <c r="D725" s="183"/>
      <c r="E725" s="184"/>
      <c r="F725" s="185"/>
      <c r="G725" s="185"/>
      <c r="H725" s="9"/>
      <c r="I725" s="186"/>
      <c r="J725" s="437"/>
      <c r="K725" s="437"/>
      <c r="L725" s="437"/>
      <c r="M725" s="437"/>
      <c r="N725" s="187"/>
      <c r="O725" s="187"/>
      <c r="P725" s="187"/>
      <c r="Q725" s="187"/>
      <c r="R725" s="188"/>
      <c r="S725" s="188"/>
      <c r="T725" s="189"/>
      <c r="U725" s="189"/>
      <c r="V725" s="189"/>
      <c r="W725" s="189"/>
      <c r="X725" s="189"/>
      <c r="Y725" s="189"/>
      <c r="Z725" s="189"/>
      <c r="AA725" s="190"/>
      <c r="AB725" s="190"/>
    </row>
    <row r="726" spans="2:28" ht="14.1" customHeight="1">
      <c r="B726" s="182"/>
      <c r="C726" s="182"/>
      <c r="D726" s="183"/>
      <c r="E726" s="184"/>
      <c r="F726" s="185"/>
      <c r="G726" s="185"/>
      <c r="H726" s="9"/>
      <c r="I726" s="186"/>
      <c r="J726" s="437"/>
      <c r="K726" s="437"/>
      <c r="L726" s="437"/>
      <c r="M726" s="437"/>
      <c r="N726" s="187"/>
      <c r="O726" s="187"/>
      <c r="P726" s="187"/>
      <c r="Q726" s="187"/>
      <c r="R726" s="188"/>
      <c r="S726" s="188"/>
      <c r="T726" s="189"/>
      <c r="U726" s="189"/>
      <c r="V726" s="189"/>
      <c r="W726" s="189"/>
      <c r="X726" s="189"/>
      <c r="Y726" s="189"/>
      <c r="Z726" s="189"/>
      <c r="AA726" s="190"/>
      <c r="AB726" s="190"/>
    </row>
    <row r="727" spans="2:28" ht="14.1" customHeight="1">
      <c r="B727" s="182"/>
      <c r="C727" s="182"/>
      <c r="D727" s="183"/>
      <c r="E727" s="184"/>
      <c r="F727" s="185"/>
      <c r="G727" s="185"/>
      <c r="H727" s="9"/>
      <c r="I727" s="186"/>
      <c r="J727" s="437"/>
      <c r="K727" s="437"/>
      <c r="L727" s="437"/>
      <c r="M727" s="437"/>
      <c r="N727" s="187"/>
      <c r="O727" s="187"/>
      <c r="P727" s="187"/>
      <c r="Q727" s="187"/>
      <c r="R727" s="188"/>
      <c r="S727" s="188"/>
      <c r="T727" s="189"/>
      <c r="U727" s="189"/>
      <c r="V727" s="189"/>
      <c r="W727" s="189"/>
      <c r="X727" s="189"/>
      <c r="Y727" s="189"/>
      <c r="Z727" s="189"/>
      <c r="AA727" s="190"/>
      <c r="AB727" s="190"/>
    </row>
    <row r="728" spans="2:28" ht="14.1" customHeight="1">
      <c r="B728" s="182"/>
      <c r="C728" s="182"/>
      <c r="D728" s="183"/>
      <c r="E728" s="184"/>
      <c r="F728" s="185"/>
      <c r="G728" s="185"/>
      <c r="H728" s="9"/>
      <c r="I728" s="186"/>
      <c r="J728" s="437"/>
      <c r="K728" s="437"/>
      <c r="L728" s="437"/>
      <c r="M728" s="437"/>
      <c r="N728" s="187"/>
      <c r="O728" s="187"/>
      <c r="P728" s="187"/>
      <c r="Q728" s="187"/>
      <c r="R728" s="188"/>
      <c r="S728" s="188"/>
      <c r="T728" s="189"/>
      <c r="U728" s="189"/>
      <c r="V728" s="189"/>
      <c r="W728" s="189"/>
      <c r="X728" s="189"/>
      <c r="Y728" s="189"/>
      <c r="Z728" s="189"/>
      <c r="AA728" s="190"/>
      <c r="AB728" s="190"/>
    </row>
    <row r="729" spans="2:28" ht="14.1" customHeight="1">
      <c r="B729" s="182"/>
      <c r="C729" s="182"/>
      <c r="D729" s="183"/>
      <c r="E729" s="184"/>
      <c r="F729" s="185"/>
      <c r="G729" s="185"/>
      <c r="H729" s="9"/>
      <c r="I729" s="186"/>
      <c r="J729" s="437"/>
      <c r="K729" s="437"/>
      <c r="L729" s="437"/>
      <c r="M729" s="437"/>
      <c r="N729" s="187"/>
      <c r="O729" s="187"/>
      <c r="P729" s="187"/>
      <c r="Q729" s="187"/>
      <c r="R729" s="188"/>
      <c r="S729" s="188"/>
      <c r="T729" s="189"/>
      <c r="U729" s="189"/>
      <c r="V729" s="189"/>
      <c r="W729" s="189"/>
      <c r="X729" s="189"/>
      <c r="Y729" s="189"/>
      <c r="Z729" s="189"/>
      <c r="AA729" s="190"/>
      <c r="AB729" s="190"/>
    </row>
    <row r="730" spans="2:28" ht="14.1" customHeight="1">
      <c r="B730" s="182"/>
      <c r="C730" s="182"/>
      <c r="D730" s="183"/>
      <c r="E730" s="184"/>
      <c r="F730" s="185"/>
      <c r="G730" s="185"/>
      <c r="H730" s="9"/>
      <c r="I730" s="186"/>
      <c r="J730" s="437"/>
      <c r="K730" s="437"/>
      <c r="L730" s="437"/>
      <c r="M730" s="437"/>
      <c r="N730" s="187"/>
      <c r="O730" s="187"/>
      <c r="P730" s="187"/>
      <c r="Q730" s="187"/>
      <c r="R730" s="188"/>
      <c r="S730" s="188"/>
      <c r="T730" s="189"/>
      <c r="U730" s="189"/>
      <c r="V730" s="189"/>
      <c r="W730" s="189"/>
      <c r="X730" s="189"/>
      <c r="Y730" s="189"/>
      <c r="Z730" s="189"/>
      <c r="AA730" s="190"/>
      <c r="AB730" s="190"/>
    </row>
    <row r="731" spans="2:28" ht="14.1" customHeight="1">
      <c r="B731" s="182"/>
      <c r="C731" s="182"/>
      <c r="D731" s="183"/>
      <c r="E731" s="184"/>
      <c r="F731" s="185"/>
      <c r="G731" s="185"/>
      <c r="H731" s="9"/>
      <c r="I731" s="186"/>
      <c r="J731" s="437"/>
      <c r="K731" s="437"/>
      <c r="L731" s="437"/>
      <c r="M731" s="437"/>
      <c r="N731" s="187"/>
      <c r="O731" s="187"/>
      <c r="P731" s="187"/>
      <c r="Q731" s="187"/>
      <c r="R731" s="188"/>
      <c r="S731" s="188"/>
      <c r="T731" s="189"/>
      <c r="U731" s="189"/>
      <c r="V731" s="189"/>
      <c r="W731" s="189"/>
      <c r="X731" s="189"/>
      <c r="Y731" s="189"/>
      <c r="Z731" s="189"/>
      <c r="AA731" s="190"/>
      <c r="AB731" s="190"/>
    </row>
    <row r="732" spans="2:28" ht="14.1" customHeight="1">
      <c r="B732" s="182"/>
      <c r="C732" s="182"/>
      <c r="D732" s="183"/>
      <c r="E732" s="184"/>
      <c r="F732" s="185"/>
      <c r="G732" s="185"/>
      <c r="H732" s="9"/>
      <c r="I732" s="186"/>
      <c r="J732" s="437"/>
      <c r="K732" s="437"/>
      <c r="L732" s="437"/>
      <c r="M732" s="437"/>
      <c r="N732" s="187"/>
      <c r="O732" s="187"/>
      <c r="P732" s="187"/>
      <c r="Q732" s="187"/>
      <c r="R732" s="188"/>
      <c r="S732" s="188"/>
      <c r="T732" s="189"/>
      <c r="U732" s="189"/>
      <c r="V732" s="189"/>
      <c r="W732" s="189"/>
      <c r="X732" s="189"/>
      <c r="Y732" s="189"/>
      <c r="Z732" s="189"/>
      <c r="AA732" s="190"/>
      <c r="AB732" s="190"/>
    </row>
    <row r="733" spans="2:28" ht="14.1" customHeight="1">
      <c r="B733" s="182"/>
      <c r="C733" s="182"/>
      <c r="D733" s="183"/>
      <c r="E733" s="184"/>
      <c r="F733" s="185"/>
      <c r="G733" s="185"/>
      <c r="H733" s="9"/>
      <c r="I733" s="186"/>
      <c r="J733" s="437"/>
      <c r="K733" s="437"/>
      <c r="L733" s="437"/>
      <c r="M733" s="437"/>
      <c r="N733" s="187"/>
      <c r="O733" s="187"/>
      <c r="P733" s="187"/>
      <c r="Q733" s="187"/>
      <c r="R733" s="188"/>
      <c r="S733" s="188"/>
      <c r="T733" s="189"/>
      <c r="U733" s="189"/>
      <c r="V733" s="189"/>
      <c r="W733" s="189"/>
      <c r="X733" s="189"/>
      <c r="Y733" s="189"/>
      <c r="Z733" s="189"/>
      <c r="AA733" s="190"/>
      <c r="AB733" s="190"/>
    </row>
    <row r="734" spans="2:28" ht="14.1" customHeight="1">
      <c r="B734" s="182"/>
      <c r="C734" s="182"/>
      <c r="D734" s="183"/>
      <c r="E734" s="184"/>
      <c r="F734" s="185"/>
      <c r="G734" s="185"/>
      <c r="H734" s="9"/>
      <c r="I734" s="186"/>
      <c r="J734" s="437"/>
      <c r="K734" s="437"/>
      <c r="L734" s="437"/>
      <c r="M734" s="437"/>
      <c r="N734" s="187"/>
      <c r="O734" s="187"/>
      <c r="P734" s="187"/>
      <c r="Q734" s="187"/>
      <c r="R734" s="188"/>
      <c r="S734" s="188"/>
      <c r="T734" s="189"/>
      <c r="U734" s="189"/>
      <c r="V734" s="189"/>
      <c r="W734" s="189"/>
      <c r="X734" s="189"/>
      <c r="Y734" s="189"/>
      <c r="Z734" s="189"/>
      <c r="AA734" s="190"/>
      <c r="AB734" s="190"/>
    </row>
    <row r="735" spans="2:28" ht="14.1" customHeight="1">
      <c r="B735" s="182"/>
      <c r="C735" s="182"/>
      <c r="D735" s="183"/>
      <c r="E735" s="184"/>
      <c r="F735" s="185"/>
      <c r="G735" s="185"/>
      <c r="H735" s="9"/>
      <c r="I735" s="186"/>
      <c r="J735" s="437"/>
      <c r="K735" s="437"/>
      <c r="L735" s="437"/>
      <c r="M735" s="437"/>
      <c r="N735" s="187"/>
      <c r="O735" s="187"/>
      <c r="P735" s="187"/>
      <c r="Q735" s="187"/>
      <c r="R735" s="188"/>
      <c r="S735" s="188"/>
      <c r="T735" s="189"/>
      <c r="U735" s="189"/>
      <c r="V735" s="189"/>
      <c r="W735" s="189"/>
      <c r="X735" s="189"/>
      <c r="Y735" s="189"/>
      <c r="Z735" s="189"/>
      <c r="AA735" s="190"/>
      <c r="AB735" s="190"/>
    </row>
    <row r="736" spans="2:28" ht="14.1" customHeight="1">
      <c r="B736" s="182"/>
      <c r="C736" s="182"/>
      <c r="D736" s="183"/>
      <c r="E736" s="184"/>
      <c r="F736" s="185"/>
      <c r="G736" s="185"/>
      <c r="H736" s="9"/>
      <c r="I736" s="186"/>
      <c r="J736" s="437"/>
      <c r="K736" s="437"/>
      <c r="L736" s="437"/>
      <c r="M736" s="437"/>
      <c r="N736" s="187"/>
      <c r="O736" s="187"/>
      <c r="P736" s="187"/>
      <c r="Q736" s="187"/>
      <c r="R736" s="188"/>
      <c r="S736" s="188"/>
      <c r="T736" s="189"/>
      <c r="U736" s="189"/>
      <c r="V736" s="189"/>
      <c r="W736" s="189"/>
      <c r="X736" s="189"/>
      <c r="Y736" s="189"/>
      <c r="Z736" s="189"/>
      <c r="AA736" s="190"/>
      <c r="AB736" s="190"/>
    </row>
    <row r="737" spans="2:28" ht="14.1" customHeight="1">
      <c r="B737" s="182"/>
      <c r="C737" s="182"/>
      <c r="D737" s="183"/>
      <c r="E737" s="184"/>
      <c r="F737" s="185"/>
      <c r="G737" s="185"/>
      <c r="H737" s="9"/>
      <c r="I737" s="186"/>
      <c r="J737" s="437"/>
      <c r="K737" s="437"/>
      <c r="L737" s="437"/>
      <c r="M737" s="437"/>
      <c r="N737" s="187"/>
      <c r="O737" s="187"/>
      <c r="P737" s="187"/>
      <c r="Q737" s="187"/>
      <c r="R737" s="188"/>
      <c r="S737" s="188"/>
      <c r="T737" s="189"/>
      <c r="U737" s="189"/>
      <c r="V737" s="189"/>
      <c r="W737" s="189"/>
      <c r="X737" s="189"/>
      <c r="Y737" s="189"/>
      <c r="Z737" s="189"/>
      <c r="AA737" s="190"/>
      <c r="AB737" s="190"/>
    </row>
    <row r="738" spans="2:28" ht="14.1" customHeight="1">
      <c r="B738" s="182"/>
      <c r="C738" s="182"/>
      <c r="D738" s="183"/>
      <c r="E738" s="184"/>
      <c r="F738" s="185"/>
      <c r="G738" s="185"/>
      <c r="H738" s="9"/>
      <c r="I738" s="186"/>
      <c r="J738" s="437"/>
      <c r="K738" s="437"/>
      <c r="L738" s="437"/>
      <c r="M738" s="437"/>
      <c r="N738" s="187"/>
      <c r="O738" s="187"/>
      <c r="P738" s="187"/>
      <c r="Q738" s="187"/>
      <c r="R738" s="188"/>
      <c r="S738" s="188"/>
      <c r="T738" s="189"/>
      <c r="U738" s="189"/>
      <c r="V738" s="189"/>
      <c r="W738" s="189"/>
      <c r="X738" s="189"/>
      <c r="Y738" s="189"/>
      <c r="Z738" s="189"/>
      <c r="AA738" s="190"/>
      <c r="AB738" s="190"/>
    </row>
    <row r="739" spans="2:28" ht="14.1" customHeight="1">
      <c r="B739" s="182"/>
      <c r="C739" s="182"/>
      <c r="D739" s="183"/>
      <c r="E739" s="184"/>
      <c r="F739" s="185"/>
      <c r="G739" s="185"/>
      <c r="H739" s="9"/>
      <c r="I739" s="186"/>
      <c r="J739" s="437"/>
      <c r="K739" s="437"/>
      <c r="L739" s="437"/>
      <c r="M739" s="437"/>
      <c r="N739" s="187"/>
      <c r="O739" s="187"/>
      <c r="P739" s="187"/>
      <c r="Q739" s="187"/>
      <c r="R739" s="188"/>
      <c r="S739" s="188"/>
      <c r="T739" s="189"/>
      <c r="U739" s="189"/>
      <c r="V739" s="189"/>
      <c r="W739" s="189"/>
      <c r="X739" s="189"/>
      <c r="Y739" s="189"/>
      <c r="Z739" s="189"/>
      <c r="AA739" s="190"/>
      <c r="AB739" s="190"/>
    </row>
    <row r="740" spans="2:28" ht="14.1" customHeight="1">
      <c r="B740" s="182"/>
      <c r="C740" s="182"/>
      <c r="D740" s="183"/>
      <c r="E740" s="184"/>
      <c r="F740" s="185"/>
      <c r="G740" s="185"/>
      <c r="H740" s="9"/>
      <c r="I740" s="186"/>
      <c r="J740" s="437"/>
      <c r="K740" s="437"/>
      <c r="L740" s="437"/>
      <c r="M740" s="437"/>
      <c r="N740" s="187"/>
      <c r="O740" s="187"/>
      <c r="P740" s="187"/>
      <c r="Q740" s="187"/>
      <c r="R740" s="188"/>
      <c r="S740" s="188"/>
      <c r="T740" s="189"/>
      <c r="U740" s="189"/>
      <c r="V740" s="189"/>
      <c r="W740" s="189"/>
      <c r="X740" s="189"/>
      <c r="Y740" s="189"/>
      <c r="Z740" s="189"/>
      <c r="AA740" s="190"/>
      <c r="AB740" s="190"/>
    </row>
    <row r="741" spans="2:28" ht="14.1" customHeight="1">
      <c r="B741" s="182"/>
      <c r="C741" s="182"/>
      <c r="D741" s="183"/>
      <c r="E741" s="184"/>
      <c r="F741" s="185"/>
      <c r="G741" s="185"/>
      <c r="H741" s="9"/>
      <c r="I741" s="186"/>
      <c r="J741" s="437"/>
      <c r="K741" s="437"/>
      <c r="L741" s="437"/>
      <c r="M741" s="437"/>
      <c r="N741" s="187"/>
      <c r="O741" s="187"/>
      <c r="P741" s="187"/>
      <c r="Q741" s="187"/>
      <c r="R741" s="188"/>
      <c r="S741" s="188"/>
      <c r="T741" s="189"/>
      <c r="U741" s="189"/>
      <c r="V741" s="189"/>
      <c r="W741" s="189"/>
      <c r="X741" s="189"/>
      <c r="Y741" s="189"/>
      <c r="Z741" s="189"/>
      <c r="AA741" s="190"/>
      <c r="AB741" s="190"/>
    </row>
    <row r="742" spans="2:28" ht="14.1" customHeight="1">
      <c r="B742" s="182"/>
      <c r="C742" s="182"/>
      <c r="D742" s="183"/>
      <c r="E742" s="184"/>
      <c r="F742" s="185"/>
      <c r="G742" s="185"/>
      <c r="H742" s="9"/>
      <c r="I742" s="186"/>
      <c r="J742" s="437"/>
      <c r="K742" s="437"/>
      <c r="L742" s="437"/>
      <c r="M742" s="437"/>
      <c r="N742" s="187"/>
      <c r="O742" s="187"/>
      <c r="P742" s="187"/>
      <c r="Q742" s="187"/>
      <c r="R742" s="188"/>
      <c r="S742" s="188"/>
      <c r="T742" s="189"/>
      <c r="U742" s="189"/>
      <c r="V742" s="189"/>
      <c r="W742" s="189"/>
      <c r="X742" s="189"/>
      <c r="Y742" s="189"/>
      <c r="Z742" s="189"/>
      <c r="AA742" s="190"/>
      <c r="AB742" s="190"/>
    </row>
    <row r="743" spans="2:28" ht="14.1" customHeight="1">
      <c r="B743" s="182"/>
      <c r="C743" s="182"/>
      <c r="D743" s="183"/>
      <c r="E743" s="184"/>
      <c r="F743" s="185"/>
      <c r="G743" s="185"/>
      <c r="H743" s="9"/>
      <c r="I743" s="186"/>
      <c r="J743" s="437"/>
      <c r="K743" s="437"/>
      <c r="L743" s="437"/>
      <c r="M743" s="437"/>
      <c r="N743" s="187"/>
      <c r="O743" s="187"/>
      <c r="P743" s="187"/>
      <c r="Q743" s="187"/>
      <c r="R743" s="188"/>
      <c r="S743" s="188"/>
      <c r="T743" s="189"/>
      <c r="U743" s="189"/>
      <c r="V743" s="189"/>
      <c r="W743" s="189"/>
      <c r="X743" s="189"/>
      <c r="Y743" s="189"/>
      <c r="Z743" s="189"/>
      <c r="AA743" s="190"/>
      <c r="AB743" s="190"/>
    </row>
    <row r="744" spans="2:28" ht="14.1" customHeight="1">
      <c r="B744" s="182"/>
      <c r="C744" s="182"/>
      <c r="D744" s="183"/>
      <c r="E744" s="184"/>
      <c r="F744" s="185"/>
      <c r="G744" s="185"/>
      <c r="H744" s="9"/>
      <c r="I744" s="186"/>
      <c r="J744" s="437"/>
      <c r="K744" s="437"/>
      <c r="L744" s="437"/>
      <c r="M744" s="437"/>
      <c r="N744" s="187"/>
      <c r="O744" s="187"/>
      <c r="P744" s="187"/>
      <c r="Q744" s="187"/>
      <c r="R744" s="188"/>
      <c r="S744" s="188"/>
      <c r="T744" s="189"/>
      <c r="U744" s="189"/>
      <c r="V744" s="189"/>
      <c r="W744" s="189"/>
      <c r="X744" s="189"/>
      <c r="Y744" s="189"/>
      <c r="Z744" s="189"/>
      <c r="AA744" s="190"/>
      <c r="AB744" s="190"/>
    </row>
    <row r="745" spans="2:28" ht="14.1" customHeight="1">
      <c r="B745" s="182"/>
      <c r="C745" s="182"/>
      <c r="D745" s="183"/>
      <c r="E745" s="184"/>
      <c r="F745" s="185"/>
      <c r="G745" s="185"/>
      <c r="H745" s="9"/>
      <c r="I745" s="186"/>
      <c r="J745" s="437"/>
      <c r="K745" s="437"/>
      <c r="L745" s="437"/>
      <c r="M745" s="437"/>
      <c r="N745" s="187"/>
      <c r="O745" s="187"/>
      <c r="P745" s="187"/>
      <c r="Q745" s="187"/>
      <c r="R745" s="188"/>
      <c r="S745" s="188"/>
      <c r="T745" s="189"/>
      <c r="U745" s="189"/>
      <c r="V745" s="189"/>
      <c r="W745" s="189"/>
      <c r="X745" s="189"/>
      <c r="Y745" s="189"/>
      <c r="Z745" s="189"/>
      <c r="AA745" s="190"/>
      <c r="AB745" s="190"/>
    </row>
    <row r="746" spans="2:28" ht="14.1" customHeight="1">
      <c r="B746" s="182"/>
      <c r="C746" s="182"/>
      <c r="D746" s="183"/>
      <c r="E746" s="184"/>
      <c r="F746" s="185"/>
      <c r="G746" s="185"/>
      <c r="H746" s="9"/>
      <c r="I746" s="186"/>
      <c r="J746" s="437"/>
      <c r="K746" s="437"/>
      <c r="L746" s="437"/>
      <c r="M746" s="437"/>
      <c r="N746" s="187"/>
      <c r="O746" s="187"/>
      <c r="P746" s="187"/>
      <c r="Q746" s="187"/>
      <c r="R746" s="188"/>
      <c r="S746" s="188"/>
      <c r="T746" s="189"/>
      <c r="U746" s="189"/>
      <c r="V746" s="189"/>
      <c r="W746" s="189"/>
      <c r="X746" s="189"/>
      <c r="Y746" s="189"/>
      <c r="Z746" s="189"/>
      <c r="AA746" s="190"/>
      <c r="AB746" s="190"/>
    </row>
    <row r="747" spans="2:28" ht="14.1" customHeight="1">
      <c r="B747" s="182"/>
      <c r="C747" s="182"/>
      <c r="D747" s="183"/>
      <c r="E747" s="184"/>
      <c r="F747" s="185"/>
      <c r="G747" s="185"/>
      <c r="H747" s="9"/>
      <c r="I747" s="186"/>
      <c r="J747" s="437"/>
      <c r="K747" s="437"/>
      <c r="L747" s="437"/>
      <c r="M747" s="437"/>
      <c r="N747" s="187"/>
      <c r="O747" s="187"/>
      <c r="P747" s="187"/>
      <c r="Q747" s="187"/>
      <c r="R747" s="188"/>
      <c r="S747" s="188"/>
      <c r="T747" s="189"/>
      <c r="U747" s="189"/>
      <c r="V747" s="189"/>
      <c r="W747" s="189"/>
      <c r="X747" s="189"/>
      <c r="Y747" s="189"/>
      <c r="Z747" s="189"/>
      <c r="AA747" s="190"/>
      <c r="AB747" s="190"/>
    </row>
    <row r="748" spans="2:28" ht="14.1" customHeight="1">
      <c r="B748" s="182"/>
      <c r="C748" s="182"/>
      <c r="D748" s="183"/>
      <c r="E748" s="184"/>
      <c r="F748" s="185"/>
      <c r="G748" s="185"/>
      <c r="H748" s="9"/>
      <c r="I748" s="186"/>
      <c r="J748" s="437"/>
      <c r="K748" s="437"/>
      <c r="L748" s="437"/>
      <c r="M748" s="437"/>
      <c r="N748" s="187"/>
      <c r="O748" s="187"/>
      <c r="P748" s="187"/>
      <c r="Q748" s="187"/>
      <c r="R748" s="188"/>
      <c r="S748" s="188"/>
      <c r="T748" s="189"/>
      <c r="U748" s="189"/>
      <c r="V748" s="189"/>
      <c r="W748" s="189"/>
      <c r="X748" s="189"/>
      <c r="Y748" s="189"/>
      <c r="Z748" s="189"/>
      <c r="AA748" s="190"/>
      <c r="AB748" s="190"/>
    </row>
    <row r="749" spans="2:28" ht="14.1" customHeight="1">
      <c r="B749" s="182"/>
      <c r="C749" s="182"/>
      <c r="D749" s="183"/>
      <c r="E749" s="184"/>
      <c r="F749" s="185"/>
      <c r="G749" s="185"/>
      <c r="H749" s="9"/>
      <c r="I749" s="186"/>
      <c r="J749" s="437"/>
      <c r="K749" s="437"/>
      <c r="L749" s="437"/>
      <c r="M749" s="437"/>
      <c r="N749" s="187"/>
      <c r="O749" s="187"/>
      <c r="P749" s="187"/>
      <c r="Q749" s="187"/>
      <c r="R749" s="188"/>
      <c r="S749" s="188"/>
      <c r="T749" s="189"/>
      <c r="U749" s="189"/>
      <c r="V749" s="189"/>
      <c r="W749" s="189"/>
      <c r="X749" s="189"/>
      <c r="Y749" s="189"/>
      <c r="Z749" s="189"/>
      <c r="AA749" s="190"/>
      <c r="AB749" s="190"/>
    </row>
    <row r="750" spans="2:28" ht="14.1" customHeight="1">
      <c r="B750" s="182"/>
      <c r="C750" s="182"/>
      <c r="D750" s="183"/>
      <c r="E750" s="184"/>
      <c r="F750" s="185"/>
      <c r="G750" s="185"/>
      <c r="H750" s="9"/>
      <c r="I750" s="186"/>
      <c r="J750" s="437"/>
      <c r="K750" s="437"/>
      <c r="L750" s="437"/>
      <c r="M750" s="437"/>
      <c r="N750" s="187"/>
      <c r="O750" s="187"/>
      <c r="P750" s="187"/>
      <c r="Q750" s="187"/>
      <c r="R750" s="188"/>
      <c r="S750" s="188"/>
      <c r="T750" s="189"/>
      <c r="U750" s="189"/>
      <c r="V750" s="189"/>
      <c r="W750" s="189"/>
      <c r="X750" s="189"/>
      <c r="Y750" s="189"/>
      <c r="Z750" s="189"/>
      <c r="AA750" s="190"/>
      <c r="AB750" s="190"/>
    </row>
    <row r="751" spans="2:28" ht="14.1" customHeight="1">
      <c r="B751" s="182"/>
      <c r="C751" s="182"/>
      <c r="D751" s="183"/>
      <c r="E751" s="184"/>
      <c r="F751" s="185"/>
      <c r="G751" s="185"/>
      <c r="H751" s="9"/>
      <c r="I751" s="186"/>
      <c r="J751" s="437"/>
      <c r="K751" s="437"/>
      <c r="L751" s="437"/>
      <c r="M751" s="437"/>
      <c r="N751" s="187"/>
      <c r="O751" s="187"/>
      <c r="P751" s="187"/>
      <c r="Q751" s="187"/>
      <c r="R751" s="188"/>
      <c r="S751" s="188"/>
      <c r="T751" s="189"/>
      <c r="U751" s="189"/>
      <c r="V751" s="189"/>
      <c r="W751" s="189"/>
      <c r="X751" s="189"/>
      <c r="Y751" s="189"/>
      <c r="Z751" s="189"/>
      <c r="AA751" s="190"/>
      <c r="AB751" s="190"/>
    </row>
    <row r="752" spans="2:28" ht="14.1" customHeight="1">
      <c r="B752" s="182"/>
      <c r="C752" s="182"/>
      <c r="D752" s="183"/>
      <c r="E752" s="184"/>
      <c r="F752" s="185"/>
      <c r="G752" s="185"/>
      <c r="H752" s="9"/>
      <c r="I752" s="186"/>
      <c r="J752" s="437"/>
      <c r="K752" s="437"/>
      <c r="L752" s="437"/>
      <c r="M752" s="437"/>
      <c r="N752" s="187"/>
      <c r="O752" s="187"/>
      <c r="P752" s="187"/>
      <c r="Q752" s="187"/>
      <c r="R752" s="188"/>
      <c r="S752" s="188"/>
      <c r="T752" s="189"/>
      <c r="U752" s="189"/>
      <c r="V752" s="189"/>
      <c r="W752" s="189"/>
      <c r="X752" s="189"/>
      <c r="Y752" s="189"/>
      <c r="Z752" s="189"/>
      <c r="AA752" s="190"/>
      <c r="AB752" s="190"/>
    </row>
    <row r="753" spans="2:28" ht="14.1" customHeight="1">
      <c r="B753" s="182"/>
      <c r="C753" s="182"/>
      <c r="D753" s="183"/>
      <c r="E753" s="184"/>
      <c r="F753" s="185"/>
      <c r="G753" s="185"/>
      <c r="H753" s="9"/>
      <c r="I753" s="186"/>
      <c r="J753" s="437"/>
      <c r="K753" s="437"/>
      <c r="L753" s="437"/>
      <c r="M753" s="437"/>
      <c r="N753" s="187"/>
      <c r="O753" s="187"/>
      <c r="P753" s="187"/>
      <c r="Q753" s="187"/>
      <c r="R753" s="188"/>
      <c r="S753" s="188"/>
      <c r="T753" s="189"/>
      <c r="U753" s="189"/>
      <c r="V753" s="189"/>
      <c r="W753" s="189"/>
      <c r="X753" s="189"/>
      <c r="Y753" s="189"/>
      <c r="Z753" s="189"/>
      <c r="AA753" s="190"/>
      <c r="AB753" s="190"/>
    </row>
    <row r="754" spans="2:28" ht="14.1" customHeight="1">
      <c r="B754" s="182"/>
      <c r="C754" s="182"/>
      <c r="D754" s="183"/>
      <c r="E754" s="184"/>
      <c r="F754" s="185"/>
      <c r="G754" s="185"/>
      <c r="H754" s="9"/>
      <c r="I754" s="186"/>
      <c r="J754" s="437"/>
      <c r="K754" s="437"/>
      <c r="L754" s="437"/>
      <c r="M754" s="437"/>
      <c r="N754" s="187"/>
      <c r="O754" s="187"/>
      <c r="P754" s="187"/>
      <c r="Q754" s="187"/>
      <c r="R754" s="188"/>
      <c r="S754" s="188"/>
      <c r="T754" s="189"/>
      <c r="U754" s="189"/>
      <c r="V754" s="189"/>
      <c r="W754" s="189"/>
      <c r="X754" s="189"/>
      <c r="Y754" s="189"/>
      <c r="Z754" s="189"/>
      <c r="AA754" s="190"/>
      <c r="AB754" s="190"/>
    </row>
    <row r="755" spans="2:28" ht="14.1" customHeight="1">
      <c r="B755" s="182"/>
      <c r="C755" s="182"/>
      <c r="D755" s="183"/>
      <c r="E755" s="184"/>
      <c r="F755" s="185"/>
      <c r="G755" s="185"/>
      <c r="H755" s="9"/>
      <c r="I755" s="186"/>
      <c r="J755" s="437"/>
      <c r="K755" s="437"/>
      <c r="L755" s="437"/>
      <c r="M755" s="437"/>
      <c r="N755" s="187"/>
      <c r="O755" s="187"/>
      <c r="P755" s="187"/>
      <c r="Q755" s="187"/>
      <c r="R755" s="188"/>
      <c r="S755" s="188"/>
      <c r="T755" s="189"/>
      <c r="U755" s="189"/>
      <c r="V755" s="189"/>
      <c r="W755" s="189"/>
      <c r="X755" s="189"/>
      <c r="Y755" s="189"/>
      <c r="Z755" s="189"/>
      <c r="AA755" s="190"/>
      <c r="AB755" s="190"/>
    </row>
    <row r="756" spans="2:28" ht="14.1" customHeight="1">
      <c r="B756" s="182"/>
      <c r="C756" s="182"/>
      <c r="D756" s="183"/>
      <c r="E756" s="184"/>
      <c r="F756" s="185"/>
      <c r="G756" s="185"/>
      <c r="H756" s="9"/>
      <c r="I756" s="186"/>
      <c r="J756" s="437"/>
      <c r="K756" s="437"/>
      <c r="L756" s="437"/>
      <c r="M756" s="437"/>
      <c r="N756" s="187"/>
      <c r="O756" s="187"/>
      <c r="P756" s="187"/>
      <c r="Q756" s="187"/>
      <c r="R756" s="188"/>
      <c r="S756" s="188"/>
      <c r="T756" s="189"/>
      <c r="U756" s="189"/>
      <c r="V756" s="189"/>
      <c r="W756" s="189"/>
      <c r="X756" s="189"/>
      <c r="Y756" s="189"/>
      <c r="Z756" s="189"/>
      <c r="AA756" s="190"/>
      <c r="AB756" s="190"/>
    </row>
    <row r="757" spans="2:28" ht="14.1" customHeight="1">
      <c r="B757" s="182"/>
      <c r="C757" s="182"/>
      <c r="D757" s="183"/>
      <c r="E757" s="184"/>
      <c r="F757" s="185"/>
      <c r="G757" s="185"/>
      <c r="H757" s="9"/>
      <c r="I757" s="186"/>
      <c r="J757" s="437"/>
      <c r="K757" s="437"/>
      <c r="L757" s="437"/>
      <c r="M757" s="437"/>
      <c r="N757" s="187"/>
      <c r="O757" s="187"/>
      <c r="P757" s="187"/>
      <c r="Q757" s="187"/>
      <c r="R757" s="188"/>
      <c r="S757" s="188"/>
      <c r="T757" s="189"/>
      <c r="U757" s="189"/>
      <c r="V757" s="189"/>
      <c r="W757" s="189"/>
      <c r="X757" s="189"/>
      <c r="Y757" s="189"/>
      <c r="Z757" s="189"/>
      <c r="AA757" s="190"/>
      <c r="AB757" s="190"/>
    </row>
    <row r="758" spans="2:28" ht="14.1" customHeight="1">
      <c r="B758" s="182"/>
      <c r="C758" s="182"/>
      <c r="D758" s="183"/>
      <c r="E758" s="184"/>
      <c r="F758" s="185"/>
      <c r="G758" s="185"/>
      <c r="H758" s="9"/>
      <c r="I758" s="186"/>
      <c r="J758" s="437"/>
      <c r="K758" s="437"/>
      <c r="L758" s="437"/>
      <c r="M758" s="437"/>
      <c r="N758" s="187"/>
      <c r="O758" s="187"/>
      <c r="P758" s="187"/>
      <c r="Q758" s="187"/>
      <c r="R758" s="188"/>
      <c r="S758" s="188"/>
      <c r="T758" s="189"/>
      <c r="U758" s="189"/>
      <c r="V758" s="189"/>
      <c r="W758" s="189"/>
      <c r="X758" s="189"/>
      <c r="Y758" s="189"/>
      <c r="Z758" s="189"/>
      <c r="AA758" s="190"/>
      <c r="AB758" s="190"/>
    </row>
    <row r="759" spans="2:28" ht="14.1" customHeight="1">
      <c r="B759" s="182"/>
      <c r="C759" s="182"/>
      <c r="D759" s="183"/>
      <c r="E759" s="184"/>
      <c r="F759" s="185"/>
      <c r="G759" s="185"/>
      <c r="H759" s="9"/>
      <c r="I759" s="186"/>
      <c r="J759" s="437"/>
      <c r="K759" s="437"/>
      <c r="L759" s="437"/>
      <c r="M759" s="437"/>
      <c r="N759" s="187"/>
      <c r="O759" s="187"/>
      <c r="P759" s="187"/>
      <c r="Q759" s="187"/>
      <c r="R759" s="188"/>
      <c r="S759" s="188"/>
      <c r="T759" s="189"/>
      <c r="U759" s="189"/>
      <c r="V759" s="189"/>
      <c r="W759" s="189"/>
      <c r="X759" s="189"/>
      <c r="Y759" s="189"/>
      <c r="Z759" s="189"/>
      <c r="AA759" s="190"/>
      <c r="AB759" s="190"/>
    </row>
    <row r="760" spans="2:28" ht="14.1" customHeight="1">
      <c r="B760" s="182"/>
      <c r="C760" s="182"/>
      <c r="D760" s="183"/>
      <c r="E760" s="184"/>
      <c r="F760" s="185"/>
      <c r="G760" s="185"/>
      <c r="H760" s="9"/>
      <c r="I760" s="186"/>
      <c r="J760" s="437"/>
      <c r="K760" s="437"/>
      <c r="L760" s="437"/>
      <c r="M760" s="437"/>
      <c r="N760" s="187"/>
      <c r="O760" s="187"/>
      <c r="P760" s="187"/>
      <c r="Q760" s="187"/>
      <c r="R760" s="188"/>
      <c r="S760" s="188"/>
      <c r="T760" s="189"/>
      <c r="U760" s="189"/>
      <c r="V760" s="189"/>
      <c r="W760" s="189"/>
      <c r="X760" s="189"/>
      <c r="Y760" s="189"/>
      <c r="Z760" s="189"/>
      <c r="AA760" s="190"/>
      <c r="AB760" s="190"/>
    </row>
    <row r="761" spans="2:28" ht="14.1" customHeight="1">
      <c r="B761" s="182"/>
      <c r="C761" s="182"/>
      <c r="D761" s="183"/>
      <c r="E761" s="184"/>
      <c r="F761" s="185"/>
      <c r="G761" s="185"/>
      <c r="H761" s="9"/>
      <c r="I761" s="186"/>
      <c r="J761" s="437"/>
      <c r="K761" s="437"/>
      <c r="L761" s="437"/>
      <c r="M761" s="437"/>
      <c r="N761" s="187"/>
      <c r="O761" s="187"/>
      <c r="P761" s="187"/>
      <c r="Q761" s="187"/>
      <c r="R761" s="188"/>
      <c r="S761" s="188"/>
      <c r="T761" s="189"/>
      <c r="U761" s="189"/>
      <c r="V761" s="189"/>
      <c r="W761" s="189"/>
      <c r="X761" s="189"/>
      <c r="Y761" s="189"/>
      <c r="Z761" s="189"/>
      <c r="AA761" s="190"/>
      <c r="AB761" s="190"/>
    </row>
    <row r="762" spans="2:28" ht="14.1" customHeight="1">
      <c r="B762" s="182"/>
      <c r="C762" s="182"/>
      <c r="D762" s="183"/>
      <c r="E762" s="184"/>
      <c r="F762" s="185"/>
      <c r="G762" s="185"/>
      <c r="H762" s="9"/>
      <c r="I762" s="186"/>
      <c r="J762" s="437"/>
      <c r="K762" s="437"/>
      <c r="L762" s="437"/>
      <c r="M762" s="437"/>
      <c r="N762" s="187"/>
      <c r="O762" s="187"/>
      <c r="P762" s="187"/>
      <c r="Q762" s="187"/>
      <c r="R762" s="188"/>
      <c r="S762" s="188"/>
      <c r="T762" s="189"/>
      <c r="U762" s="189"/>
      <c r="V762" s="189"/>
      <c r="W762" s="189"/>
      <c r="X762" s="189"/>
      <c r="Y762" s="189"/>
      <c r="Z762" s="189"/>
      <c r="AA762" s="190"/>
      <c r="AB762" s="190"/>
    </row>
    <row r="763" spans="2:28" ht="14.1" customHeight="1">
      <c r="B763" s="182"/>
      <c r="C763" s="182"/>
      <c r="D763" s="183"/>
      <c r="E763" s="184"/>
      <c r="F763" s="185"/>
      <c r="G763" s="185"/>
      <c r="H763" s="9"/>
      <c r="I763" s="186"/>
      <c r="J763" s="437"/>
      <c r="K763" s="437"/>
      <c r="L763" s="437"/>
      <c r="M763" s="437"/>
      <c r="N763" s="187"/>
      <c r="O763" s="187"/>
      <c r="P763" s="187"/>
      <c r="Q763" s="187"/>
      <c r="R763" s="188"/>
      <c r="S763" s="188"/>
      <c r="T763" s="189"/>
      <c r="U763" s="189"/>
      <c r="V763" s="189"/>
      <c r="W763" s="189"/>
      <c r="X763" s="189"/>
      <c r="Y763" s="189"/>
      <c r="Z763" s="189"/>
      <c r="AA763" s="190"/>
      <c r="AB763" s="190"/>
    </row>
    <row r="764" spans="2:28" ht="14.1" customHeight="1">
      <c r="B764" s="182"/>
      <c r="C764" s="182"/>
      <c r="D764" s="183"/>
      <c r="E764" s="184"/>
      <c r="F764" s="185"/>
      <c r="G764" s="185"/>
      <c r="H764" s="9"/>
      <c r="I764" s="186"/>
      <c r="J764" s="437"/>
      <c r="K764" s="437"/>
      <c r="L764" s="437"/>
      <c r="M764" s="437"/>
      <c r="N764" s="187"/>
      <c r="O764" s="187"/>
      <c r="P764" s="187"/>
      <c r="Q764" s="187"/>
      <c r="R764" s="188"/>
      <c r="S764" s="188"/>
      <c r="T764" s="189"/>
      <c r="U764" s="189"/>
      <c r="V764" s="189"/>
      <c r="W764" s="189"/>
      <c r="X764" s="189"/>
      <c r="Y764" s="189"/>
      <c r="Z764" s="189"/>
      <c r="AA764" s="190"/>
      <c r="AB764" s="190"/>
    </row>
    <row r="765" spans="2:28" ht="14.1" customHeight="1">
      <c r="B765" s="182"/>
      <c r="C765" s="182"/>
      <c r="D765" s="183"/>
      <c r="E765" s="184"/>
      <c r="F765" s="185"/>
      <c r="G765" s="185"/>
      <c r="H765" s="9"/>
      <c r="I765" s="186"/>
      <c r="J765" s="437"/>
      <c r="K765" s="437"/>
      <c r="L765" s="437"/>
      <c r="M765" s="437"/>
      <c r="N765" s="187"/>
      <c r="O765" s="187"/>
      <c r="P765" s="187"/>
      <c r="Q765" s="187"/>
      <c r="R765" s="188"/>
      <c r="S765" s="188"/>
      <c r="T765" s="189"/>
      <c r="U765" s="189"/>
      <c r="V765" s="189"/>
      <c r="W765" s="189"/>
      <c r="X765" s="189"/>
      <c r="Y765" s="189"/>
      <c r="Z765" s="189"/>
      <c r="AA765" s="190"/>
      <c r="AB765" s="190"/>
    </row>
    <row r="766" spans="2:28" ht="14.1" customHeight="1">
      <c r="B766" s="182"/>
      <c r="C766" s="182"/>
      <c r="D766" s="183"/>
      <c r="E766" s="184"/>
      <c r="F766" s="185"/>
      <c r="G766" s="185"/>
      <c r="H766" s="9"/>
      <c r="I766" s="186"/>
      <c r="J766" s="437"/>
      <c r="K766" s="437"/>
      <c r="L766" s="437"/>
      <c r="M766" s="437"/>
      <c r="N766" s="187"/>
      <c r="O766" s="187"/>
      <c r="P766" s="187"/>
      <c r="Q766" s="187"/>
      <c r="R766" s="188"/>
      <c r="S766" s="188"/>
      <c r="T766" s="189"/>
      <c r="U766" s="189"/>
      <c r="V766" s="189"/>
      <c r="W766" s="189"/>
      <c r="X766" s="189"/>
      <c r="Y766" s="189"/>
      <c r="Z766" s="189"/>
      <c r="AA766" s="190"/>
      <c r="AB766" s="190"/>
    </row>
    <row r="767" spans="2:28" ht="14.1" customHeight="1">
      <c r="B767" s="182"/>
      <c r="C767" s="182"/>
      <c r="D767" s="183"/>
      <c r="E767" s="184"/>
      <c r="F767" s="185"/>
      <c r="G767" s="185"/>
      <c r="H767" s="9"/>
      <c r="I767" s="186"/>
      <c r="J767" s="437"/>
      <c r="K767" s="437"/>
      <c r="L767" s="437"/>
      <c r="M767" s="437"/>
      <c r="N767" s="187"/>
      <c r="O767" s="187"/>
      <c r="P767" s="187"/>
      <c r="Q767" s="187"/>
      <c r="R767" s="188"/>
      <c r="S767" s="188"/>
      <c r="T767" s="189"/>
      <c r="U767" s="189"/>
      <c r="V767" s="189"/>
      <c r="W767" s="189"/>
      <c r="X767" s="189"/>
      <c r="Y767" s="189"/>
      <c r="Z767" s="189"/>
      <c r="AA767" s="190"/>
      <c r="AB767" s="190"/>
    </row>
    <row r="768" spans="2:28" ht="14.1" customHeight="1">
      <c r="B768" s="182"/>
      <c r="C768" s="182"/>
      <c r="D768" s="183"/>
      <c r="E768" s="184"/>
      <c r="F768" s="185"/>
      <c r="G768" s="185"/>
      <c r="H768" s="9"/>
      <c r="I768" s="186"/>
      <c r="J768" s="437"/>
      <c r="K768" s="437"/>
      <c r="L768" s="437"/>
      <c r="M768" s="437"/>
      <c r="N768" s="187"/>
      <c r="O768" s="187"/>
      <c r="P768" s="187"/>
      <c r="Q768" s="187"/>
      <c r="R768" s="188"/>
      <c r="S768" s="188"/>
      <c r="T768" s="189"/>
      <c r="U768" s="189"/>
      <c r="V768" s="189"/>
      <c r="W768" s="189"/>
      <c r="X768" s="189"/>
      <c r="Y768" s="189"/>
      <c r="Z768" s="189"/>
      <c r="AA768" s="190"/>
      <c r="AB768" s="190"/>
    </row>
    <row r="769" spans="2:28" ht="14.1" customHeight="1">
      <c r="B769" s="182"/>
      <c r="C769" s="182"/>
      <c r="D769" s="183"/>
      <c r="E769" s="184"/>
      <c r="F769" s="185"/>
      <c r="G769" s="185"/>
      <c r="H769" s="9"/>
      <c r="I769" s="186"/>
      <c r="J769" s="437"/>
      <c r="K769" s="437"/>
      <c r="L769" s="437"/>
      <c r="M769" s="437"/>
      <c r="N769" s="187"/>
      <c r="O769" s="187"/>
      <c r="P769" s="187"/>
      <c r="Q769" s="187"/>
      <c r="R769" s="188"/>
      <c r="S769" s="188"/>
      <c r="T769" s="189"/>
      <c r="U769" s="189"/>
      <c r="V769" s="189"/>
      <c r="W769" s="189"/>
      <c r="X769" s="189"/>
      <c r="Y769" s="189"/>
      <c r="Z769" s="189"/>
      <c r="AA769" s="190"/>
      <c r="AB769" s="190"/>
    </row>
    <row r="770" spans="2:28" ht="14.1" customHeight="1">
      <c r="B770" s="182"/>
      <c r="C770" s="182"/>
      <c r="D770" s="183"/>
      <c r="E770" s="184"/>
      <c r="F770" s="185"/>
      <c r="G770" s="185"/>
      <c r="H770" s="9"/>
      <c r="I770" s="186"/>
      <c r="J770" s="437"/>
      <c r="K770" s="437"/>
      <c r="L770" s="437"/>
      <c r="M770" s="437"/>
      <c r="N770" s="187"/>
      <c r="O770" s="187"/>
      <c r="P770" s="187"/>
      <c r="Q770" s="187"/>
      <c r="R770" s="188"/>
      <c r="S770" s="188"/>
      <c r="T770" s="189"/>
      <c r="U770" s="189"/>
      <c r="V770" s="189"/>
      <c r="W770" s="189"/>
      <c r="X770" s="189"/>
      <c r="Y770" s="189"/>
      <c r="Z770" s="189"/>
      <c r="AA770" s="190"/>
      <c r="AB770" s="190"/>
    </row>
    <row r="771" spans="2:28" ht="14.1" customHeight="1">
      <c r="B771" s="182"/>
      <c r="C771" s="182"/>
      <c r="D771" s="183"/>
      <c r="E771" s="184"/>
      <c r="F771" s="185"/>
      <c r="G771" s="185"/>
      <c r="H771" s="9"/>
      <c r="I771" s="186"/>
      <c r="J771" s="437"/>
      <c r="K771" s="437"/>
      <c r="L771" s="437"/>
      <c r="M771" s="437"/>
      <c r="N771" s="187"/>
      <c r="O771" s="187"/>
      <c r="P771" s="187"/>
      <c r="Q771" s="187"/>
      <c r="R771" s="188"/>
      <c r="S771" s="188"/>
      <c r="T771" s="189"/>
      <c r="U771" s="189"/>
      <c r="V771" s="189"/>
      <c r="W771" s="189"/>
      <c r="X771" s="189"/>
      <c r="Y771" s="189"/>
      <c r="Z771" s="189"/>
      <c r="AA771" s="190"/>
      <c r="AB771" s="190"/>
    </row>
    <row r="772" spans="2:28" ht="14.1" customHeight="1">
      <c r="B772" s="182"/>
      <c r="C772" s="182"/>
      <c r="D772" s="183"/>
      <c r="E772" s="184"/>
      <c r="F772" s="185"/>
      <c r="G772" s="185"/>
      <c r="H772" s="9"/>
      <c r="I772" s="186"/>
      <c r="J772" s="437"/>
      <c r="K772" s="437"/>
      <c r="L772" s="437"/>
      <c r="M772" s="437"/>
      <c r="N772" s="187"/>
      <c r="O772" s="187"/>
      <c r="P772" s="187"/>
      <c r="Q772" s="187"/>
      <c r="R772" s="188"/>
      <c r="S772" s="188"/>
      <c r="T772" s="189"/>
      <c r="U772" s="189"/>
      <c r="V772" s="189"/>
      <c r="W772" s="189"/>
      <c r="X772" s="189"/>
      <c r="Y772" s="189"/>
      <c r="Z772" s="189"/>
      <c r="AA772" s="190"/>
      <c r="AB772" s="190"/>
    </row>
    <row r="773" spans="2:28" ht="14.1" customHeight="1">
      <c r="B773" s="182"/>
      <c r="C773" s="182"/>
      <c r="D773" s="183"/>
      <c r="E773" s="184"/>
      <c r="F773" s="185"/>
      <c r="G773" s="185"/>
      <c r="H773" s="9"/>
      <c r="I773" s="186"/>
      <c r="J773" s="437"/>
      <c r="K773" s="437"/>
      <c r="L773" s="437"/>
      <c r="M773" s="437"/>
      <c r="N773" s="187"/>
      <c r="O773" s="187"/>
      <c r="P773" s="187"/>
      <c r="Q773" s="187"/>
      <c r="R773" s="188"/>
      <c r="S773" s="188"/>
      <c r="T773" s="189"/>
      <c r="U773" s="189"/>
      <c r="V773" s="189"/>
      <c r="W773" s="189"/>
      <c r="X773" s="189"/>
      <c r="Y773" s="189"/>
      <c r="Z773" s="189"/>
      <c r="AA773" s="190"/>
      <c r="AB773" s="190"/>
    </row>
    <row r="774" spans="2:28" ht="14.1" customHeight="1">
      <c r="B774" s="182"/>
      <c r="C774" s="182"/>
      <c r="D774" s="183"/>
      <c r="E774" s="184"/>
      <c r="F774" s="185"/>
      <c r="G774" s="185"/>
      <c r="H774" s="9"/>
      <c r="I774" s="186"/>
      <c r="J774" s="437"/>
      <c r="K774" s="437"/>
      <c r="L774" s="437"/>
      <c r="M774" s="437"/>
      <c r="N774" s="187"/>
      <c r="O774" s="187"/>
      <c r="P774" s="187"/>
      <c r="Q774" s="187"/>
      <c r="R774" s="188"/>
      <c r="S774" s="188"/>
      <c r="T774" s="189"/>
      <c r="U774" s="189"/>
      <c r="V774" s="189"/>
      <c r="W774" s="189"/>
      <c r="X774" s="189"/>
      <c r="Y774" s="189"/>
      <c r="Z774" s="189"/>
      <c r="AA774" s="190"/>
      <c r="AB774" s="190"/>
    </row>
    <row r="775" spans="2:28" ht="14.1" customHeight="1">
      <c r="B775" s="182"/>
      <c r="C775" s="182"/>
      <c r="D775" s="183"/>
      <c r="E775" s="184"/>
      <c r="F775" s="185"/>
      <c r="G775" s="185"/>
      <c r="H775" s="9"/>
      <c r="I775" s="186"/>
      <c r="J775" s="437"/>
      <c r="K775" s="437"/>
      <c r="L775" s="437"/>
      <c r="M775" s="437"/>
      <c r="N775" s="187"/>
      <c r="O775" s="187"/>
      <c r="P775" s="187"/>
      <c r="Q775" s="187"/>
      <c r="R775" s="188"/>
      <c r="S775" s="188"/>
      <c r="T775" s="189"/>
      <c r="U775" s="189"/>
      <c r="V775" s="189"/>
      <c r="W775" s="189"/>
      <c r="X775" s="189"/>
      <c r="Y775" s="189"/>
      <c r="Z775" s="189"/>
      <c r="AA775" s="190"/>
      <c r="AB775" s="190"/>
    </row>
    <row r="776" spans="2:28" ht="14.1" customHeight="1">
      <c r="B776" s="182"/>
      <c r="C776" s="182"/>
      <c r="D776" s="183"/>
      <c r="E776" s="184"/>
      <c r="F776" s="185"/>
      <c r="G776" s="185"/>
      <c r="H776" s="9"/>
      <c r="I776" s="186"/>
      <c r="J776" s="437"/>
      <c r="K776" s="437"/>
      <c r="L776" s="437"/>
      <c r="M776" s="437"/>
      <c r="N776" s="187"/>
      <c r="O776" s="187"/>
      <c r="P776" s="187"/>
      <c r="Q776" s="187"/>
      <c r="R776" s="188"/>
      <c r="S776" s="188"/>
      <c r="T776" s="189"/>
      <c r="U776" s="189"/>
      <c r="V776" s="189"/>
      <c r="W776" s="189"/>
      <c r="X776" s="189"/>
      <c r="Y776" s="189"/>
      <c r="Z776" s="189"/>
      <c r="AA776" s="190"/>
      <c r="AB776" s="190"/>
    </row>
    <row r="777" spans="2:28" ht="14.1" customHeight="1">
      <c r="B777" s="182"/>
      <c r="C777" s="182"/>
      <c r="D777" s="183"/>
      <c r="E777" s="184"/>
      <c r="F777" s="185"/>
      <c r="G777" s="185"/>
      <c r="H777" s="9"/>
      <c r="I777" s="186"/>
      <c r="J777" s="437"/>
      <c r="K777" s="437"/>
      <c r="L777" s="437"/>
      <c r="M777" s="437"/>
      <c r="N777" s="187"/>
      <c r="O777" s="187"/>
      <c r="P777" s="187"/>
      <c r="Q777" s="187"/>
      <c r="R777" s="188"/>
      <c r="S777" s="188"/>
      <c r="T777" s="189"/>
      <c r="U777" s="189"/>
      <c r="V777" s="189"/>
      <c r="W777" s="189"/>
      <c r="X777" s="189"/>
      <c r="Y777" s="189"/>
      <c r="Z777" s="189"/>
      <c r="AA777" s="190"/>
      <c r="AB777" s="190"/>
    </row>
    <row r="778" spans="2:28" ht="14.1" customHeight="1">
      <c r="B778" s="182"/>
      <c r="C778" s="182"/>
      <c r="D778" s="183"/>
      <c r="E778" s="184"/>
      <c r="F778" s="185"/>
      <c r="G778" s="185"/>
      <c r="H778" s="9"/>
      <c r="I778" s="186"/>
      <c r="J778" s="437"/>
      <c r="K778" s="437"/>
      <c r="L778" s="437"/>
      <c r="M778" s="437"/>
      <c r="N778" s="187"/>
      <c r="O778" s="187"/>
      <c r="P778" s="187"/>
      <c r="Q778" s="187"/>
      <c r="R778" s="188"/>
      <c r="S778" s="188"/>
      <c r="T778" s="189"/>
      <c r="U778" s="189"/>
      <c r="V778" s="189"/>
      <c r="W778" s="189"/>
      <c r="X778" s="189"/>
      <c r="Y778" s="189"/>
      <c r="Z778" s="189"/>
      <c r="AA778" s="190"/>
      <c r="AB778" s="190"/>
    </row>
    <row r="779" spans="2:28" ht="14.1" customHeight="1">
      <c r="B779" s="182"/>
      <c r="C779" s="182"/>
      <c r="D779" s="183"/>
      <c r="E779" s="184"/>
      <c r="F779" s="185"/>
      <c r="G779" s="185"/>
      <c r="H779" s="9"/>
      <c r="I779" s="186"/>
      <c r="J779" s="437"/>
      <c r="K779" s="437"/>
      <c r="L779" s="437"/>
      <c r="M779" s="437"/>
      <c r="N779" s="187"/>
      <c r="O779" s="187"/>
      <c r="P779" s="187"/>
      <c r="Q779" s="187"/>
      <c r="R779" s="188"/>
      <c r="S779" s="188"/>
      <c r="T779" s="189"/>
      <c r="U779" s="189"/>
      <c r="V779" s="189"/>
      <c r="W779" s="189"/>
      <c r="X779" s="189"/>
      <c r="Y779" s="189"/>
      <c r="Z779" s="189"/>
      <c r="AA779" s="190"/>
      <c r="AB779" s="190"/>
    </row>
    <row r="780" spans="2:28" ht="14.1" customHeight="1">
      <c r="B780" s="182"/>
      <c r="C780" s="182"/>
      <c r="D780" s="183"/>
      <c r="E780" s="184"/>
      <c r="F780" s="185"/>
      <c r="G780" s="185"/>
      <c r="H780" s="9"/>
      <c r="I780" s="186"/>
      <c r="J780" s="437"/>
      <c r="K780" s="437"/>
      <c r="L780" s="437"/>
      <c r="M780" s="437"/>
      <c r="N780" s="187"/>
      <c r="O780" s="187"/>
      <c r="P780" s="187"/>
      <c r="Q780" s="187"/>
      <c r="R780" s="188"/>
      <c r="S780" s="188"/>
      <c r="T780" s="189"/>
      <c r="U780" s="189"/>
      <c r="V780" s="189"/>
      <c r="W780" s="189"/>
      <c r="X780" s="189"/>
      <c r="Y780" s="189"/>
      <c r="Z780" s="189"/>
      <c r="AA780" s="190"/>
      <c r="AB780" s="190"/>
    </row>
    <row r="781" spans="2:28" ht="14.1" customHeight="1">
      <c r="B781" s="182"/>
      <c r="C781" s="182"/>
      <c r="D781" s="183"/>
      <c r="E781" s="184"/>
      <c r="F781" s="185"/>
      <c r="G781" s="185"/>
      <c r="H781" s="9"/>
      <c r="I781" s="186"/>
      <c r="J781" s="437"/>
      <c r="K781" s="437"/>
      <c r="L781" s="437"/>
      <c r="M781" s="437"/>
      <c r="N781" s="187"/>
      <c r="O781" s="187"/>
      <c r="P781" s="187"/>
      <c r="Q781" s="187"/>
      <c r="R781" s="188"/>
      <c r="S781" s="188"/>
      <c r="T781" s="189"/>
      <c r="U781" s="189"/>
      <c r="V781" s="189"/>
      <c r="W781" s="189"/>
      <c r="X781" s="189"/>
      <c r="Y781" s="189"/>
      <c r="Z781" s="189"/>
      <c r="AA781" s="190"/>
      <c r="AB781" s="190"/>
    </row>
    <row r="782" spans="2:28" ht="14.1" customHeight="1">
      <c r="B782" s="182"/>
      <c r="C782" s="182"/>
      <c r="D782" s="183"/>
      <c r="E782" s="184"/>
      <c r="F782" s="185"/>
      <c r="G782" s="185"/>
      <c r="H782" s="9"/>
      <c r="I782" s="186"/>
      <c r="J782" s="437"/>
      <c r="K782" s="437"/>
      <c r="L782" s="437"/>
      <c r="M782" s="437"/>
      <c r="N782" s="187"/>
      <c r="O782" s="187"/>
      <c r="P782" s="187"/>
      <c r="Q782" s="187"/>
      <c r="R782" s="188"/>
      <c r="S782" s="188"/>
      <c r="T782" s="189"/>
      <c r="U782" s="189"/>
      <c r="V782" s="189"/>
      <c r="W782" s="189"/>
      <c r="X782" s="189"/>
      <c r="Y782" s="189"/>
      <c r="Z782" s="189"/>
      <c r="AA782" s="190"/>
      <c r="AB782" s="190"/>
    </row>
    <row r="783" spans="2:28" ht="14.1" customHeight="1">
      <c r="B783" s="182"/>
      <c r="C783" s="182"/>
      <c r="D783" s="183"/>
      <c r="E783" s="184"/>
      <c r="F783" s="185"/>
      <c r="G783" s="185"/>
      <c r="H783" s="9"/>
      <c r="I783" s="186"/>
      <c r="J783" s="437"/>
      <c r="K783" s="437"/>
      <c r="L783" s="437"/>
      <c r="M783" s="437"/>
      <c r="N783" s="187"/>
      <c r="O783" s="187"/>
      <c r="P783" s="187"/>
      <c r="Q783" s="187"/>
      <c r="R783" s="188"/>
      <c r="S783" s="188"/>
      <c r="T783" s="189"/>
      <c r="U783" s="189"/>
      <c r="V783" s="189"/>
      <c r="W783" s="189"/>
      <c r="X783" s="189"/>
      <c r="Y783" s="189"/>
      <c r="Z783" s="189"/>
      <c r="AA783" s="190"/>
      <c r="AB783" s="190"/>
    </row>
    <row r="784" spans="2:28" ht="14.1" customHeight="1">
      <c r="B784" s="182"/>
      <c r="C784" s="182"/>
      <c r="D784" s="183"/>
      <c r="E784" s="184"/>
      <c r="F784" s="185"/>
      <c r="G784" s="185"/>
      <c r="H784" s="9"/>
      <c r="I784" s="186"/>
      <c r="J784" s="437"/>
      <c r="K784" s="437"/>
      <c r="L784" s="437"/>
      <c r="M784" s="437"/>
      <c r="N784" s="187"/>
      <c r="O784" s="187"/>
      <c r="P784" s="187"/>
      <c r="Q784" s="187"/>
      <c r="R784" s="188"/>
      <c r="S784" s="188"/>
      <c r="T784" s="189"/>
      <c r="U784" s="189"/>
      <c r="V784" s="189"/>
      <c r="W784" s="189"/>
      <c r="X784" s="189"/>
      <c r="Y784" s="189"/>
      <c r="Z784" s="189"/>
      <c r="AA784" s="190"/>
      <c r="AB784" s="190"/>
    </row>
    <row r="785" spans="2:28" ht="14.1" customHeight="1">
      <c r="B785" s="182"/>
      <c r="C785" s="182"/>
      <c r="D785" s="183"/>
      <c r="E785" s="184"/>
      <c r="F785" s="185"/>
      <c r="G785" s="185"/>
      <c r="H785" s="9"/>
      <c r="I785" s="186"/>
      <c r="J785" s="437"/>
      <c r="K785" s="437"/>
      <c r="L785" s="437"/>
      <c r="M785" s="437"/>
      <c r="N785" s="187"/>
      <c r="O785" s="187"/>
      <c r="P785" s="187"/>
      <c r="Q785" s="187"/>
      <c r="R785" s="188"/>
      <c r="S785" s="188"/>
      <c r="T785" s="189"/>
      <c r="U785" s="189"/>
      <c r="V785" s="189"/>
      <c r="W785" s="189"/>
      <c r="X785" s="189"/>
      <c r="Y785" s="189"/>
      <c r="Z785" s="189"/>
      <c r="AA785" s="190"/>
      <c r="AB785" s="190"/>
    </row>
    <row r="786" spans="2:28" ht="14.1" customHeight="1">
      <c r="B786" s="182"/>
      <c r="C786" s="182"/>
      <c r="D786" s="183"/>
      <c r="E786" s="184"/>
      <c r="F786" s="185"/>
      <c r="G786" s="185"/>
      <c r="H786" s="9"/>
      <c r="I786" s="186"/>
      <c r="J786" s="437"/>
      <c r="K786" s="437"/>
      <c r="L786" s="437"/>
      <c r="M786" s="437"/>
      <c r="N786" s="187"/>
      <c r="O786" s="187"/>
      <c r="P786" s="187"/>
      <c r="Q786" s="187"/>
      <c r="R786" s="188"/>
      <c r="S786" s="188"/>
      <c r="T786" s="189"/>
      <c r="U786" s="189"/>
      <c r="V786" s="189"/>
      <c r="W786" s="189"/>
      <c r="X786" s="189"/>
      <c r="Y786" s="189"/>
      <c r="Z786" s="189"/>
      <c r="AA786" s="190"/>
      <c r="AB786" s="190"/>
    </row>
    <row r="787" spans="2:28" ht="14.1" customHeight="1">
      <c r="B787" s="182"/>
      <c r="C787" s="182"/>
      <c r="D787" s="183"/>
      <c r="E787" s="184"/>
      <c r="F787" s="185"/>
      <c r="G787" s="185"/>
      <c r="H787" s="9"/>
      <c r="I787" s="186"/>
      <c r="J787" s="437"/>
      <c r="K787" s="437"/>
      <c r="L787" s="437"/>
      <c r="M787" s="437"/>
      <c r="N787" s="187"/>
      <c r="O787" s="187"/>
      <c r="P787" s="187"/>
      <c r="Q787" s="187"/>
      <c r="R787" s="188"/>
      <c r="S787" s="188"/>
      <c r="T787" s="189"/>
      <c r="U787" s="189"/>
      <c r="V787" s="189"/>
      <c r="W787" s="189"/>
      <c r="X787" s="189"/>
      <c r="Y787" s="189"/>
      <c r="Z787" s="189"/>
      <c r="AA787" s="190"/>
      <c r="AB787" s="190"/>
    </row>
    <row r="788" spans="2:28" ht="14.1" customHeight="1">
      <c r="B788" s="182"/>
      <c r="C788" s="182"/>
      <c r="D788" s="183"/>
      <c r="E788" s="184"/>
      <c r="F788" s="185"/>
      <c r="G788" s="185"/>
      <c r="H788" s="9"/>
      <c r="I788" s="186"/>
      <c r="J788" s="437"/>
      <c r="K788" s="437"/>
      <c r="L788" s="437"/>
      <c r="M788" s="437"/>
      <c r="N788" s="187"/>
      <c r="O788" s="187"/>
      <c r="P788" s="187"/>
      <c r="Q788" s="187"/>
      <c r="R788" s="188"/>
      <c r="S788" s="188"/>
      <c r="T788" s="189"/>
      <c r="U788" s="189"/>
      <c r="V788" s="189"/>
      <c r="W788" s="189"/>
      <c r="X788" s="189"/>
      <c r="Y788" s="189"/>
      <c r="Z788" s="189"/>
      <c r="AA788" s="190"/>
      <c r="AB788" s="190"/>
    </row>
    <row r="789" spans="2:28" ht="14.1" customHeight="1">
      <c r="B789" s="182"/>
      <c r="C789" s="182"/>
      <c r="D789" s="183"/>
      <c r="E789" s="184"/>
      <c r="F789" s="185"/>
      <c r="G789" s="185"/>
      <c r="H789" s="9"/>
      <c r="I789" s="186"/>
      <c r="J789" s="437"/>
      <c r="K789" s="437"/>
      <c r="L789" s="437"/>
      <c r="M789" s="437"/>
      <c r="N789" s="187"/>
      <c r="O789" s="187"/>
      <c r="P789" s="187"/>
      <c r="Q789" s="187"/>
      <c r="R789" s="188"/>
      <c r="S789" s="188"/>
      <c r="T789" s="189"/>
      <c r="U789" s="189"/>
      <c r="V789" s="189"/>
      <c r="W789" s="189"/>
      <c r="X789" s="189"/>
      <c r="Y789" s="189"/>
      <c r="Z789" s="189"/>
      <c r="AA789" s="190"/>
      <c r="AB789" s="190"/>
    </row>
    <row r="790" spans="2:28" ht="14.1" customHeight="1">
      <c r="B790" s="182"/>
      <c r="C790" s="182"/>
      <c r="D790" s="183"/>
      <c r="E790" s="184"/>
      <c r="F790" s="185"/>
      <c r="G790" s="185"/>
      <c r="H790" s="9"/>
      <c r="I790" s="186"/>
      <c r="J790" s="437"/>
      <c r="K790" s="437"/>
      <c r="L790" s="437"/>
      <c r="M790" s="437"/>
      <c r="N790" s="187"/>
      <c r="O790" s="187"/>
      <c r="P790" s="187"/>
      <c r="Q790" s="187"/>
      <c r="R790" s="188"/>
      <c r="S790" s="188"/>
      <c r="T790" s="189"/>
      <c r="U790" s="189"/>
      <c r="V790" s="189"/>
      <c r="W790" s="189"/>
      <c r="X790" s="189"/>
      <c r="Y790" s="189"/>
      <c r="Z790" s="189"/>
      <c r="AA790" s="190"/>
      <c r="AB790" s="190"/>
    </row>
    <row r="791" spans="2:28" ht="14.1" customHeight="1">
      <c r="B791" s="182"/>
      <c r="C791" s="182"/>
      <c r="D791" s="183"/>
      <c r="E791" s="184"/>
      <c r="F791" s="185"/>
      <c r="G791" s="185"/>
      <c r="H791" s="9"/>
      <c r="I791" s="186"/>
      <c r="J791" s="437"/>
      <c r="K791" s="437"/>
      <c r="L791" s="437"/>
      <c r="M791" s="437"/>
      <c r="N791" s="187"/>
      <c r="O791" s="187"/>
      <c r="P791" s="187"/>
      <c r="Q791" s="187"/>
      <c r="R791" s="188"/>
      <c r="S791" s="188"/>
      <c r="T791" s="189"/>
      <c r="U791" s="189"/>
      <c r="V791" s="189"/>
      <c r="W791" s="189"/>
      <c r="X791" s="189"/>
      <c r="Y791" s="189"/>
      <c r="Z791" s="189"/>
      <c r="AA791" s="190"/>
      <c r="AB791" s="190"/>
    </row>
    <row r="792" spans="2:28" ht="14.1" customHeight="1">
      <c r="B792" s="182"/>
      <c r="C792" s="182"/>
      <c r="D792" s="183"/>
      <c r="E792" s="184"/>
      <c r="F792" s="185"/>
      <c r="G792" s="185"/>
      <c r="H792" s="9"/>
      <c r="I792" s="186"/>
      <c r="J792" s="437"/>
      <c r="K792" s="437"/>
      <c r="L792" s="437"/>
      <c r="M792" s="437"/>
      <c r="N792" s="187"/>
      <c r="O792" s="187"/>
      <c r="P792" s="187"/>
      <c r="Q792" s="187"/>
      <c r="R792" s="188"/>
      <c r="S792" s="188"/>
      <c r="T792" s="189"/>
      <c r="U792" s="189"/>
      <c r="V792" s="189"/>
      <c r="W792" s="189"/>
      <c r="X792" s="189"/>
      <c r="Y792" s="189"/>
      <c r="Z792" s="189"/>
      <c r="AA792" s="190"/>
      <c r="AB792" s="190"/>
    </row>
    <row r="793" spans="2:28" ht="14.1" customHeight="1">
      <c r="B793" s="182"/>
      <c r="C793" s="182"/>
      <c r="D793" s="183"/>
      <c r="E793" s="184"/>
      <c r="F793" s="185"/>
      <c r="G793" s="185"/>
      <c r="H793" s="9"/>
      <c r="I793" s="186"/>
      <c r="J793" s="437"/>
      <c r="K793" s="437"/>
      <c r="L793" s="437"/>
      <c r="M793" s="437"/>
      <c r="N793" s="187"/>
      <c r="O793" s="187"/>
      <c r="P793" s="187"/>
      <c r="Q793" s="187"/>
      <c r="R793" s="188"/>
      <c r="S793" s="188"/>
      <c r="T793" s="189"/>
      <c r="U793" s="189"/>
      <c r="V793" s="189"/>
      <c r="W793" s="189"/>
      <c r="X793" s="189"/>
      <c r="Y793" s="189"/>
      <c r="Z793" s="189"/>
      <c r="AA793" s="190"/>
      <c r="AB793" s="190"/>
    </row>
    <row r="794" spans="2:28" ht="14.1" customHeight="1">
      <c r="B794" s="182"/>
      <c r="C794" s="182"/>
      <c r="D794" s="183"/>
      <c r="E794" s="184"/>
      <c r="F794" s="185"/>
      <c r="G794" s="185"/>
      <c r="H794" s="9"/>
      <c r="I794" s="186"/>
      <c r="J794" s="437"/>
      <c r="K794" s="437"/>
      <c r="L794" s="437"/>
      <c r="M794" s="437"/>
      <c r="N794" s="187"/>
      <c r="O794" s="187"/>
      <c r="P794" s="187"/>
      <c r="Q794" s="187"/>
      <c r="R794" s="188"/>
      <c r="S794" s="188"/>
      <c r="T794" s="189"/>
      <c r="U794" s="189"/>
      <c r="V794" s="189"/>
      <c r="W794" s="189"/>
      <c r="X794" s="189"/>
      <c r="Y794" s="189"/>
      <c r="Z794" s="189"/>
      <c r="AA794" s="190"/>
      <c r="AB794" s="190"/>
    </row>
    <row r="795" spans="2:28" ht="14.1" customHeight="1">
      <c r="B795" s="182"/>
      <c r="C795" s="182"/>
      <c r="D795" s="183"/>
      <c r="E795" s="184"/>
      <c r="F795" s="185"/>
      <c r="G795" s="185"/>
      <c r="H795" s="9"/>
      <c r="I795" s="186"/>
      <c r="J795" s="437"/>
      <c r="K795" s="437"/>
      <c r="L795" s="437"/>
      <c r="M795" s="437"/>
      <c r="N795" s="187"/>
      <c r="O795" s="187"/>
      <c r="P795" s="187"/>
      <c r="Q795" s="187"/>
      <c r="R795" s="188"/>
      <c r="S795" s="188"/>
      <c r="T795" s="189"/>
      <c r="U795" s="189"/>
      <c r="V795" s="189"/>
      <c r="W795" s="189"/>
      <c r="X795" s="189"/>
      <c r="Y795" s="189"/>
      <c r="Z795" s="189"/>
      <c r="AA795" s="190"/>
      <c r="AB795" s="190"/>
    </row>
    <row r="796" spans="2:28" ht="14.1" customHeight="1">
      <c r="B796" s="182"/>
      <c r="C796" s="182"/>
      <c r="D796" s="183"/>
      <c r="E796" s="184"/>
      <c r="F796" s="185"/>
      <c r="G796" s="185"/>
      <c r="H796" s="9"/>
      <c r="I796" s="186"/>
      <c r="J796" s="437"/>
      <c r="K796" s="437"/>
      <c r="L796" s="437"/>
      <c r="M796" s="437"/>
      <c r="N796" s="187"/>
      <c r="O796" s="187"/>
      <c r="P796" s="187"/>
      <c r="Q796" s="187"/>
      <c r="R796" s="188"/>
      <c r="S796" s="188"/>
      <c r="T796" s="189"/>
      <c r="U796" s="189"/>
      <c r="V796" s="189"/>
      <c r="W796" s="189"/>
      <c r="X796" s="189"/>
      <c r="Y796" s="189"/>
      <c r="Z796" s="189"/>
      <c r="AA796" s="190"/>
      <c r="AB796" s="190"/>
    </row>
    <row r="797" spans="2:28" ht="14.1" customHeight="1">
      <c r="B797" s="182"/>
      <c r="C797" s="182"/>
      <c r="D797" s="183"/>
      <c r="E797" s="184"/>
      <c r="F797" s="185"/>
      <c r="G797" s="185"/>
      <c r="H797" s="9"/>
      <c r="I797" s="186"/>
      <c r="J797" s="437"/>
      <c r="K797" s="437"/>
      <c r="L797" s="437"/>
      <c r="M797" s="437"/>
      <c r="N797" s="187"/>
      <c r="O797" s="187"/>
      <c r="P797" s="187"/>
      <c r="Q797" s="187"/>
      <c r="R797" s="188"/>
      <c r="S797" s="188"/>
      <c r="T797" s="189"/>
      <c r="U797" s="189"/>
      <c r="V797" s="189"/>
      <c r="W797" s="189"/>
      <c r="X797" s="189"/>
      <c r="Y797" s="189"/>
      <c r="Z797" s="189"/>
      <c r="AA797" s="190"/>
      <c r="AB797" s="190"/>
    </row>
    <row r="798" spans="2:28" ht="14.1" customHeight="1">
      <c r="B798" s="191"/>
      <c r="C798" s="191"/>
      <c r="D798" s="191"/>
      <c r="E798" s="192"/>
      <c r="F798" s="9"/>
      <c r="G798" s="9"/>
      <c r="H798" s="9"/>
      <c r="I798" s="9"/>
      <c r="J798" s="438"/>
      <c r="K798" s="438"/>
      <c r="L798" s="438"/>
      <c r="M798" s="438"/>
      <c r="N798" s="193"/>
      <c r="O798" s="193"/>
      <c r="P798" s="193"/>
      <c r="Q798" s="193"/>
      <c r="R798" s="9"/>
      <c r="S798" s="9"/>
      <c r="T798" s="9"/>
      <c r="U798" s="9"/>
      <c r="V798" s="9"/>
      <c r="W798" s="9"/>
      <c r="X798" s="9"/>
      <c r="Y798" s="9"/>
      <c r="Z798" s="9"/>
      <c r="AA798" s="9"/>
      <c r="AB798" s="9"/>
    </row>
    <row r="799" spans="2:28" ht="14.1" customHeight="1">
      <c r="B799" s="191"/>
      <c r="C799" s="191"/>
      <c r="D799" s="191"/>
      <c r="E799" s="192"/>
      <c r="F799" s="9"/>
      <c r="G799" s="9"/>
      <c r="H799" s="9"/>
      <c r="I799" s="9"/>
      <c r="J799" s="438"/>
      <c r="K799" s="438"/>
      <c r="L799" s="438"/>
      <c r="M799" s="438"/>
      <c r="N799" s="193"/>
      <c r="O799" s="193"/>
      <c r="P799" s="193"/>
      <c r="Q799" s="193"/>
      <c r="R799" s="9"/>
      <c r="S799" s="9"/>
      <c r="T799" s="9"/>
      <c r="U799" s="9"/>
      <c r="V799" s="9"/>
      <c r="W799" s="9"/>
      <c r="X799" s="9"/>
      <c r="Y799" s="9"/>
      <c r="Z799" s="9"/>
      <c r="AA799" s="9"/>
      <c r="AB799" s="9"/>
    </row>
    <row r="800" spans="2:28" ht="14.1" customHeight="1">
      <c r="B800" s="191"/>
      <c r="C800" s="191"/>
      <c r="D800" s="191"/>
      <c r="E800" s="192"/>
      <c r="F800" s="9"/>
      <c r="G800" s="9"/>
      <c r="H800" s="9"/>
      <c r="I800" s="9"/>
      <c r="J800" s="438"/>
      <c r="K800" s="438"/>
      <c r="L800" s="438"/>
      <c r="M800" s="438"/>
      <c r="N800" s="193"/>
      <c r="O800" s="193"/>
      <c r="P800" s="193"/>
      <c r="Q800" s="193"/>
      <c r="R800" s="9"/>
      <c r="S800" s="9"/>
      <c r="T800" s="9"/>
      <c r="U800" s="9"/>
      <c r="V800" s="9"/>
      <c r="W800" s="9"/>
      <c r="X800" s="9"/>
      <c r="Y800" s="9"/>
      <c r="Z800" s="9"/>
      <c r="AA800" s="9"/>
      <c r="AB800" s="9"/>
    </row>
    <row r="801" spans="2:28" ht="14.1" customHeight="1">
      <c r="B801" s="191"/>
      <c r="C801" s="191"/>
      <c r="D801" s="191"/>
      <c r="E801" s="192"/>
      <c r="F801" s="9"/>
      <c r="G801" s="9"/>
      <c r="H801" s="9"/>
      <c r="I801" s="9"/>
      <c r="J801" s="438"/>
      <c r="K801" s="438"/>
      <c r="L801" s="438"/>
      <c r="M801" s="438"/>
      <c r="N801" s="193"/>
      <c r="O801" s="193"/>
      <c r="P801" s="193"/>
      <c r="Q801" s="193"/>
      <c r="R801" s="9"/>
      <c r="S801" s="9"/>
      <c r="T801" s="9"/>
      <c r="U801" s="9"/>
      <c r="V801" s="9"/>
      <c r="W801" s="9"/>
      <c r="X801" s="9"/>
      <c r="Y801" s="9"/>
      <c r="Z801" s="9"/>
      <c r="AA801" s="9"/>
      <c r="AB801" s="9"/>
    </row>
    <row r="802" spans="2:28" ht="14.1" customHeight="1">
      <c r="B802" s="191"/>
      <c r="C802" s="191"/>
      <c r="D802" s="191"/>
      <c r="E802" s="192"/>
      <c r="F802" s="9"/>
      <c r="G802" s="9"/>
      <c r="H802" s="9"/>
      <c r="I802" s="9"/>
      <c r="J802" s="438"/>
      <c r="K802" s="438"/>
      <c r="L802" s="438"/>
      <c r="M802" s="438"/>
      <c r="N802" s="193"/>
      <c r="O802" s="193"/>
      <c r="P802" s="193"/>
      <c r="Q802" s="193"/>
      <c r="R802" s="9"/>
      <c r="S802" s="9"/>
      <c r="T802" s="9"/>
      <c r="U802" s="9"/>
      <c r="V802" s="9"/>
      <c r="W802" s="9"/>
      <c r="X802" s="9"/>
      <c r="Y802" s="9"/>
      <c r="Z802" s="9"/>
      <c r="AA802" s="9"/>
      <c r="AB802" s="9"/>
    </row>
    <row r="803" spans="2:28" ht="14.1" customHeight="1">
      <c r="B803" s="191"/>
      <c r="C803" s="191"/>
      <c r="D803" s="191"/>
      <c r="E803" s="192"/>
      <c r="F803" s="9"/>
      <c r="G803" s="9"/>
      <c r="H803" s="9"/>
      <c r="I803" s="9"/>
      <c r="J803" s="438"/>
      <c r="K803" s="438"/>
      <c r="L803" s="438"/>
      <c r="M803" s="438"/>
      <c r="N803" s="193"/>
      <c r="O803" s="193"/>
      <c r="P803" s="193"/>
      <c r="Q803" s="193"/>
      <c r="R803" s="9"/>
      <c r="S803" s="9"/>
      <c r="T803" s="9"/>
      <c r="U803" s="9"/>
      <c r="V803" s="9"/>
      <c r="W803" s="9"/>
      <c r="X803" s="9"/>
      <c r="Y803" s="9"/>
      <c r="Z803" s="9"/>
      <c r="AA803" s="9"/>
      <c r="AB803" s="9"/>
    </row>
    <row r="804" spans="2:28" ht="14.1" customHeight="1">
      <c r="B804" s="191"/>
      <c r="C804" s="191"/>
      <c r="D804" s="191"/>
      <c r="E804" s="192"/>
      <c r="F804" s="9"/>
      <c r="G804" s="9"/>
      <c r="H804" s="9"/>
      <c r="I804" s="9"/>
      <c r="J804" s="438"/>
      <c r="K804" s="438"/>
      <c r="L804" s="438"/>
      <c r="M804" s="438"/>
      <c r="N804" s="193"/>
      <c r="O804" s="193"/>
      <c r="P804" s="193"/>
      <c r="Q804" s="193"/>
      <c r="R804" s="9"/>
      <c r="S804" s="9"/>
      <c r="T804" s="9"/>
      <c r="U804" s="9"/>
      <c r="V804" s="9"/>
      <c r="W804" s="9"/>
      <c r="X804" s="9"/>
      <c r="Y804" s="9"/>
      <c r="Z804" s="9"/>
      <c r="AA804" s="9"/>
      <c r="AB804" s="9"/>
    </row>
    <row r="805" spans="2:28" ht="14.1" customHeight="1">
      <c r="B805" s="191"/>
      <c r="C805" s="191"/>
      <c r="D805" s="191"/>
      <c r="E805" s="192"/>
      <c r="F805" s="9"/>
      <c r="G805" s="9"/>
      <c r="H805" s="9"/>
      <c r="I805" s="9"/>
      <c r="J805" s="438"/>
      <c r="K805" s="438"/>
      <c r="L805" s="438"/>
      <c r="M805" s="438"/>
      <c r="N805" s="193"/>
      <c r="O805" s="193"/>
      <c r="P805" s="193"/>
      <c r="Q805" s="193"/>
      <c r="R805" s="9"/>
      <c r="S805" s="9"/>
      <c r="T805" s="9"/>
      <c r="U805" s="9"/>
      <c r="V805" s="9"/>
      <c r="W805" s="9"/>
      <c r="X805" s="9"/>
      <c r="Y805" s="9"/>
      <c r="Z805" s="9"/>
      <c r="AA805" s="9"/>
      <c r="AB805" s="9"/>
    </row>
    <row r="806" spans="2:28" ht="14.1" customHeight="1">
      <c r="B806" s="191"/>
      <c r="C806" s="191"/>
      <c r="D806" s="191"/>
      <c r="E806" s="192"/>
      <c r="F806" s="9"/>
      <c r="G806" s="9"/>
      <c r="H806" s="9"/>
      <c r="I806" s="9"/>
      <c r="J806" s="438"/>
      <c r="K806" s="438"/>
      <c r="L806" s="438"/>
      <c r="M806" s="438"/>
      <c r="N806" s="193"/>
      <c r="O806" s="193"/>
      <c r="P806" s="193"/>
      <c r="Q806" s="193"/>
      <c r="R806" s="9"/>
      <c r="S806" s="9"/>
      <c r="T806" s="9"/>
      <c r="U806" s="9"/>
      <c r="V806" s="9"/>
      <c r="W806" s="9"/>
      <c r="X806" s="9"/>
      <c r="Y806" s="9"/>
      <c r="Z806" s="9"/>
      <c r="AA806" s="9"/>
      <c r="AB806" s="9"/>
    </row>
    <row r="807" spans="2:28" ht="14.1" customHeight="1">
      <c r="B807" s="191"/>
      <c r="C807" s="191"/>
      <c r="D807" s="191"/>
      <c r="E807" s="192"/>
      <c r="F807" s="9"/>
      <c r="G807" s="9"/>
      <c r="H807" s="9"/>
      <c r="I807" s="9"/>
      <c r="J807" s="438"/>
      <c r="K807" s="438"/>
      <c r="L807" s="438"/>
      <c r="M807" s="438"/>
      <c r="N807" s="193"/>
      <c r="O807" s="193"/>
      <c r="P807" s="193"/>
      <c r="Q807" s="193"/>
      <c r="R807" s="9"/>
      <c r="S807" s="9"/>
      <c r="T807" s="9"/>
      <c r="U807" s="9"/>
      <c r="V807" s="9"/>
      <c r="W807" s="9"/>
      <c r="X807" s="9"/>
      <c r="Y807" s="9"/>
      <c r="Z807" s="9"/>
      <c r="AA807" s="9"/>
      <c r="AB807" s="9"/>
    </row>
    <row r="808" spans="2:28" ht="14.1" customHeight="1">
      <c r="B808" s="191"/>
      <c r="C808" s="191"/>
      <c r="D808" s="191"/>
      <c r="E808" s="192"/>
      <c r="F808" s="9"/>
      <c r="G808" s="9"/>
      <c r="H808" s="9"/>
      <c r="I808" s="9"/>
      <c r="J808" s="438"/>
      <c r="K808" s="438"/>
      <c r="L808" s="438"/>
      <c r="M808" s="438"/>
      <c r="N808" s="193"/>
      <c r="O808" s="193"/>
      <c r="P808" s="193"/>
      <c r="Q808" s="193"/>
      <c r="R808" s="9"/>
      <c r="S808" s="9"/>
      <c r="T808" s="9"/>
      <c r="U808" s="9"/>
      <c r="V808" s="9"/>
      <c r="W808" s="9"/>
      <c r="X808" s="9"/>
      <c r="Y808" s="9"/>
      <c r="Z808" s="9"/>
      <c r="AA808" s="9"/>
      <c r="AB808" s="9"/>
    </row>
    <row r="809" spans="2:28" ht="14.1" customHeight="1">
      <c r="B809" s="191"/>
      <c r="C809" s="191"/>
      <c r="D809" s="191"/>
      <c r="E809" s="192"/>
      <c r="F809" s="9"/>
      <c r="G809" s="9"/>
      <c r="H809" s="9"/>
      <c r="I809" s="9"/>
      <c r="J809" s="438"/>
      <c r="K809" s="438"/>
      <c r="L809" s="438"/>
      <c r="M809" s="438"/>
      <c r="N809" s="193"/>
      <c r="O809" s="193"/>
      <c r="P809" s="193"/>
      <c r="Q809" s="193"/>
      <c r="R809" s="9"/>
      <c r="S809" s="9"/>
      <c r="T809" s="9"/>
      <c r="U809" s="9"/>
      <c r="V809" s="9"/>
      <c r="W809" s="9"/>
      <c r="X809" s="9"/>
      <c r="Y809" s="9"/>
      <c r="Z809" s="9"/>
      <c r="AA809" s="9"/>
      <c r="AB809" s="9"/>
    </row>
    <row r="810" spans="2:28" ht="14.1" customHeight="1">
      <c r="B810" s="191"/>
      <c r="C810" s="191"/>
      <c r="D810" s="191"/>
      <c r="E810" s="192"/>
      <c r="F810" s="9"/>
      <c r="G810" s="9"/>
      <c r="H810" s="9"/>
      <c r="I810" s="9"/>
      <c r="J810" s="438"/>
      <c r="K810" s="438"/>
      <c r="L810" s="438"/>
      <c r="M810" s="438"/>
      <c r="N810" s="193"/>
      <c r="O810" s="193"/>
      <c r="P810" s="193"/>
      <c r="Q810" s="193"/>
      <c r="R810" s="9"/>
      <c r="S810" s="9"/>
      <c r="T810" s="9"/>
      <c r="U810" s="9"/>
      <c r="V810" s="9"/>
      <c r="W810" s="9"/>
      <c r="X810" s="9"/>
      <c r="Y810" s="9"/>
      <c r="Z810" s="9"/>
      <c r="AA810" s="9"/>
      <c r="AB810" s="9"/>
    </row>
    <row r="811" spans="2:28" ht="14.1" customHeight="1">
      <c r="B811" s="191"/>
      <c r="C811" s="191"/>
      <c r="D811" s="191"/>
      <c r="E811" s="192"/>
      <c r="F811" s="9"/>
      <c r="G811" s="9"/>
      <c r="H811" s="9"/>
      <c r="I811" s="9"/>
      <c r="J811" s="438"/>
      <c r="K811" s="438"/>
      <c r="L811" s="438"/>
      <c r="M811" s="438"/>
      <c r="N811" s="193"/>
      <c r="O811" s="193"/>
      <c r="P811" s="193"/>
      <c r="Q811" s="193"/>
      <c r="R811" s="9"/>
      <c r="S811" s="9"/>
      <c r="T811" s="9"/>
      <c r="U811" s="9"/>
      <c r="V811" s="9"/>
      <c r="W811" s="9"/>
      <c r="X811" s="9"/>
      <c r="Y811" s="9"/>
      <c r="Z811" s="9"/>
      <c r="AA811" s="9"/>
      <c r="AB811" s="9"/>
    </row>
    <row r="812" spans="2:28" ht="14.1" customHeight="1">
      <c r="B812" s="191"/>
      <c r="C812" s="191"/>
      <c r="D812" s="191"/>
      <c r="E812" s="192"/>
      <c r="F812" s="9"/>
      <c r="G812" s="9"/>
      <c r="H812" s="9"/>
      <c r="I812" s="9"/>
      <c r="J812" s="438"/>
      <c r="K812" s="438"/>
      <c r="L812" s="438"/>
      <c r="M812" s="438"/>
      <c r="N812" s="193"/>
      <c r="O812" s="193"/>
      <c r="P812" s="193"/>
      <c r="Q812" s="193"/>
      <c r="R812" s="9"/>
      <c r="S812" s="9"/>
      <c r="T812" s="9"/>
      <c r="U812" s="9"/>
      <c r="V812" s="9"/>
      <c r="W812" s="9"/>
      <c r="X812" s="9"/>
      <c r="Y812" s="9"/>
      <c r="Z812" s="9"/>
      <c r="AA812" s="9"/>
      <c r="AB812" s="9"/>
    </row>
    <row r="813" spans="2:28" ht="14.1" customHeight="1">
      <c r="B813" s="191"/>
      <c r="C813" s="191"/>
      <c r="D813" s="191"/>
      <c r="E813" s="192"/>
      <c r="F813" s="9"/>
      <c r="G813" s="9"/>
      <c r="H813" s="9"/>
      <c r="I813" s="9"/>
      <c r="J813" s="438"/>
      <c r="K813" s="438"/>
      <c r="L813" s="438"/>
      <c r="M813" s="438"/>
      <c r="N813" s="193"/>
      <c r="O813" s="193"/>
      <c r="P813" s="193"/>
      <c r="Q813" s="193"/>
      <c r="R813" s="9"/>
      <c r="S813" s="9"/>
      <c r="T813" s="9"/>
      <c r="U813" s="9"/>
      <c r="V813" s="9"/>
      <c r="W813" s="9"/>
      <c r="X813" s="9"/>
      <c r="Y813" s="9"/>
      <c r="Z813" s="9"/>
      <c r="AA813" s="9"/>
      <c r="AB813" s="9"/>
    </row>
    <row r="814" spans="2:28" ht="14.1" customHeight="1">
      <c r="B814" s="191"/>
      <c r="C814" s="191"/>
      <c r="D814" s="191"/>
      <c r="E814" s="192"/>
      <c r="F814" s="9"/>
      <c r="G814" s="9"/>
      <c r="H814" s="9"/>
      <c r="I814" s="9"/>
      <c r="J814" s="438"/>
      <c r="K814" s="438"/>
      <c r="L814" s="438"/>
      <c r="M814" s="438"/>
      <c r="N814" s="193"/>
      <c r="O814" s="193"/>
      <c r="P814" s="193"/>
      <c r="Q814" s="193"/>
      <c r="R814" s="9"/>
      <c r="S814" s="9"/>
      <c r="T814" s="9"/>
      <c r="U814" s="9"/>
      <c r="V814" s="9"/>
      <c r="W814" s="9"/>
      <c r="X814" s="9"/>
      <c r="Y814" s="9"/>
      <c r="Z814" s="9"/>
      <c r="AA814" s="9"/>
      <c r="AB814" s="9"/>
    </row>
    <row r="815" spans="2:28" ht="14.1" customHeight="1">
      <c r="B815" s="191"/>
      <c r="C815" s="191"/>
      <c r="D815" s="191"/>
      <c r="E815" s="192"/>
      <c r="F815" s="9"/>
      <c r="G815" s="9"/>
      <c r="H815" s="9"/>
      <c r="I815" s="9"/>
      <c r="J815" s="438"/>
      <c r="K815" s="438"/>
      <c r="L815" s="438"/>
      <c r="M815" s="438"/>
      <c r="N815" s="193"/>
      <c r="O815" s="193"/>
      <c r="P815" s="193"/>
      <c r="Q815" s="193"/>
      <c r="R815" s="9"/>
      <c r="S815" s="9"/>
      <c r="T815" s="9"/>
      <c r="U815" s="9"/>
      <c r="V815" s="9"/>
      <c r="W815" s="9"/>
      <c r="X815" s="9"/>
      <c r="Y815" s="9"/>
      <c r="Z815" s="9"/>
      <c r="AA815" s="9"/>
      <c r="AB815" s="9"/>
    </row>
    <row r="816" spans="2:28" ht="14.1" customHeight="1">
      <c r="B816" s="191"/>
      <c r="C816" s="191"/>
      <c r="D816" s="191"/>
      <c r="E816" s="192"/>
      <c r="F816" s="9"/>
      <c r="G816" s="9"/>
      <c r="H816" s="9"/>
      <c r="I816" s="9"/>
      <c r="J816" s="438"/>
      <c r="K816" s="438"/>
      <c r="L816" s="438"/>
      <c r="M816" s="438"/>
      <c r="N816" s="193"/>
      <c r="O816" s="193"/>
      <c r="P816" s="193"/>
      <c r="Q816" s="193"/>
      <c r="R816" s="9"/>
      <c r="S816" s="9"/>
      <c r="T816" s="9"/>
      <c r="U816" s="9"/>
      <c r="V816" s="9"/>
      <c r="W816" s="9"/>
      <c r="X816" s="9"/>
      <c r="Y816" s="9"/>
      <c r="Z816" s="9"/>
      <c r="AA816" s="9"/>
      <c r="AB816" s="9"/>
    </row>
    <row r="817" spans="2:28" ht="14.1" customHeight="1">
      <c r="B817" s="191"/>
      <c r="C817" s="191"/>
      <c r="D817" s="191"/>
      <c r="E817" s="192"/>
      <c r="F817" s="9"/>
      <c r="G817" s="9"/>
      <c r="H817" s="9"/>
      <c r="I817" s="9"/>
      <c r="J817" s="438"/>
      <c r="K817" s="438"/>
      <c r="L817" s="438"/>
      <c r="M817" s="438"/>
      <c r="N817" s="193"/>
      <c r="O817" s="193"/>
      <c r="P817" s="193"/>
      <c r="Q817" s="193"/>
      <c r="R817" s="9"/>
      <c r="S817" s="9"/>
      <c r="T817" s="9"/>
      <c r="U817" s="9"/>
      <c r="V817" s="9"/>
      <c r="W817" s="9"/>
      <c r="X817" s="9"/>
      <c r="Y817" s="9"/>
      <c r="Z817" s="9"/>
      <c r="AA817" s="9"/>
      <c r="AB817" s="9"/>
    </row>
    <row r="818" spans="2:28" ht="14.1" customHeight="1">
      <c r="B818" s="191"/>
      <c r="C818" s="191"/>
      <c r="D818" s="191"/>
      <c r="E818" s="192"/>
      <c r="F818" s="9"/>
      <c r="G818" s="9"/>
      <c r="H818" s="9"/>
      <c r="I818" s="9"/>
      <c r="J818" s="438"/>
      <c r="K818" s="438"/>
      <c r="L818" s="438"/>
      <c r="M818" s="438"/>
      <c r="N818" s="193"/>
      <c r="O818" s="193"/>
      <c r="P818" s="193"/>
      <c r="Q818" s="193"/>
      <c r="R818" s="9"/>
      <c r="S818" s="9"/>
      <c r="T818" s="9"/>
      <c r="U818" s="9"/>
      <c r="V818" s="9"/>
      <c r="W818" s="9"/>
      <c r="X818" s="9"/>
      <c r="Y818" s="9"/>
      <c r="Z818" s="9"/>
      <c r="AA818" s="9"/>
      <c r="AB818" s="9"/>
    </row>
    <row r="819" spans="2:28" ht="14.1" customHeight="1">
      <c r="B819" s="191"/>
      <c r="C819" s="191"/>
      <c r="D819" s="191"/>
      <c r="E819" s="192"/>
      <c r="F819" s="9"/>
      <c r="G819" s="9"/>
      <c r="H819" s="9"/>
      <c r="I819" s="9"/>
      <c r="J819" s="438"/>
      <c r="K819" s="438"/>
      <c r="L819" s="438"/>
      <c r="M819" s="438"/>
      <c r="N819" s="193"/>
      <c r="O819" s="193"/>
      <c r="P819" s="193"/>
      <c r="Q819" s="193"/>
      <c r="R819" s="9"/>
      <c r="S819" s="9"/>
      <c r="T819" s="9"/>
      <c r="U819" s="9"/>
      <c r="V819" s="9"/>
      <c r="W819" s="9"/>
      <c r="X819" s="9"/>
      <c r="Y819" s="9"/>
      <c r="Z819" s="9"/>
      <c r="AA819" s="9"/>
      <c r="AB819" s="9"/>
    </row>
    <row r="820" spans="2:28" ht="14.1" customHeight="1">
      <c r="B820" s="191"/>
      <c r="C820" s="191"/>
      <c r="D820" s="191"/>
      <c r="E820" s="192"/>
      <c r="F820" s="9"/>
      <c r="G820" s="9"/>
      <c r="H820" s="9"/>
      <c r="I820" s="9"/>
      <c r="J820" s="438"/>
      <c r="K820" s="438"/>
      <c r="L820" s="438"/>
      <c r="M820" s="438"/>
      <c r="N820" s="193"/>
      <c r="O820" s="193"/>
      <c r="P820" s="193"/>
      <c r="Q820" s="193"/>
      <c r="R820" s="9"/>
      <c r="S820" s="9"/>
      <c r="T820" s="9"/>
      <c r="U820" s="9"/>
      <c r="V820" s="9"/>
      <c r="W820" s="9"/>
      <c r="X820" s="9"/>
      <c r="Y820" s="9"/>
      <c r="Z820" s="9"/>
      <c r="AA820" s="9"/>
      <c r="AB820" s="9"/>
    </row>
    <row r="821" spans="2:28" ht="14.1" customHeight="1">
      <c r="B821" s="191"/>
      <c r="C821" s="191"/>
      <c r="D821" s="191"/>
      <c r="E821" s="192"/>
      <c r="F821" s="9"/>
      <c r="G821" s="9"/>
      <c r="H821" s="9"/>
      <c r="I821" s="9"/>
      <c r="J821" s="438"/>
      <c r="K821" s="438"/>
      <c r="L821" s="438"/>
      <c r="M821" s="438"/>
      <c r="N821" s="193"/>
      <c r="O821" s="193"/>
      <c r="P821" s="193"/>
      <c r="Q821" s="193"/>
      <c r="R821" s="9"/>
      <c r="S821" s="9"/>
      <c r="T821" s="9"/>
      <c r="U821" s="9"/>
      <c r="V821" s="9"/>
      <c r="W821" s="9"/>
      <c r="X821" s="9"/>
      <c r="Y821" s="9"/>
      <c r="Z821" s="9"/>
      <c r="AA821" s="9"/>
      <c r="AB821" s="9"/>
    </row>
    <row r="822" spans="2:28" ht="14.1" customHeight="1">
      <c r="B822" s="191"/>
      <c r="C822" s="191"/>
      <c r="D822" s="191"/>
      <c r="E822" s="192"/>
      <c r="F822" s="9"/>
      <c r="G822" s="9"/>
      <c r="H822" s="9"/>
      <c r="I822" s="9"/>
      <c r="J822" s="438"/>
      <c r="K822" s="438"/>
      <c r="L822" s="438"/>
      <c r="M822" s="438"/>
      <c r="N822" s="193"/>
      <c r="O822" s="193"/>
      <c r="P822" s="193"/>
      <c r="Q822" s="193"/>
      <c r="R822" s="9"/>
      <c r="S822" s="9"/>
      <c r="T822" s="9"/>
      <c r="U822" s="9"/>
      <c r="V822" s="9"/>
      <c r="W822" s="9"/>
      <c r="X822" s="9"/>
      <c r="Y822" s="9"/>
      <c r="Z822" s="9"/>
      <c r="AA822" s="9"/>
      <c r="AB822" s="9"/>
    </row>
    <row r="823" spans="2:28" ht="14.1" customHeight="1">
      <c r="B823" s="191"/>
      <c r="C823" s="191"/>
      <c r="D823" s="191"/>
      <c r="E823" s="192"/>
      <c r="F823" s="9"/>
      <c r="G823" s="9"/>
      <c r="H823" s="9"/>
      <c r="I823" s="9"/>
      <c r="J823" s="438"/>
      <c r="K823" s="438"/>
      <c r="L823" s="438"/>
      <c r="M823" s="438"/>
      <c r="N823" s="193"/>
      <c r="O823" s="193"/>
      <c r="P823" s="193"/>
      <c r="Q823" s="193"/>
      <c r="R823" s="9"/>
      <c r="S823" s="9"/>
      <c r="T823" s="9"/>
      <c r="U823" s="9"/>
      <c r="V823" s="9"/>
      <c r="W823" s="9"/>
      <c r="X823" s="9"/>
      <c r="Y823" s="9"/>
      <c r="Z823" s="9"/>
      <c r="AA823" s="9"/>
      <c r="AB823" s="9"/>
    </row>
    <row r="824" spans="2:28" ht="14.1" customHeight="1">
      <c r="B824" s="191"/>
      <c r="C824" s="191"/>
      <c r="D824" s="191"/>
      <c r="E824" s="192"/>
      <c r="F824" s="9"/>
      <c r="G824" s="9"/>
      <c r="H824" s="9"/>
      <c r="I824" s="9"/>
      <c r="J824" s="438"/>
      <c r="K824" s="438"/>
      <c r="L824" s="438"/>
      <c r="M824" s="438"/>
      <c r="N824" s="193"/>
      <c r="O824" s="193"/>
      <c r="P824" s="193"/>
      <c r="Q824" s="193"/>
      <c r="R824" s="9"/>
      <c r="S824" s="9"/>
      <c r="T824" s="9"/>
      <c r="U824" s="9"/>
      <c r="V824" s="9"/>
      <c r="W824" s="9"/>
      <c r="X824" s="9"/>
      <c r="Y824" s="9"/>
      <c r="Z824" s="9"/>
      <c r="AA824" s="9"/>
      <c r="AB824" s="9"/>
    </row>
    <row r="825" spans="2:28" ht="14.1" customHeight="1">
      <c r="B825" s="191"/>
      <c r="C825" s="191"/>
      <c r="D825" s="191"/>
      <c r="E825" s="192"/>
      <c r="F825" s="9"/>
      <c r="G825" s="9"/>
      <c r="H825" s="9"/>
      <c r="I825" s="9"/>
      <c r="J825" s="438"/>
      <c r="K825" s="438"/>
      <c r="L825" s="438"/>
      <c r="M825" s="438"/>
      <c r="N825" s="193"/>
      <c r="O825" s="193"/>
      <c r="P825" s="193"/>
      <c r="Q825" s="193"/>
      <c r="R825" s="9"/>
      <c r="S825" s="9"/>
      <c r="T825" s="9"/>
      <c r="U825" s="9"/>
      <c r="V825" s="9"/>
      <c r="W825" s="9"/>
      <c r="X825" s="9"/>
      <c r="Y825" s="9"/>
      <c r="Z825" s="9"/>
      <c r="AA825" s="9"/>
      <c r="AB825" s="9"/>
    </row>
    <row r="826" spans="2:28" ht="14.1" customHeight="1">
      <c r="B826" s="191"/>
      <c r="C826" s="191"/>
      <c r="D826" s="191"/>
      <c r="E826" s="192"/>
      <c r="F826" s="9"/>
      <c r="G826" s="9"/>
      <c r="H826" s="9"/>
      <c r="I826" s="9"/>
      <c r="J826" s="438"/>
      <c r="K826" s="438"/>
      <c r="L826" s="438"/>
      <c r="M826" s="438"/>
      <c r="N826" s="193"/>
      <c r="O826" s="193"/>
      <c r="P826" s="193"/>
      <c r="Q826" s="193"/>
      <c r="R826" s="9"/>
      <c r="S826" s="9"/>
      <c r="T826" s="9"/>
      <c r="U826" s="9"/>
      <c r="V826" s="9"/>
      <c r="W826" s="9"/>
      <c r="X826" s="9"/>
      <c r="Y826" s="9"/>
      <c r="Z826" s="9"/>
      <c r="AA826" s="9"/>
      <c r="AB826" s="9"/>
    </row>
    <row r="827" spans="2:28" ht="14.1" customHeight="1">
      <c r="B827" s="191"/>
      <c r="C827" s="191"/>
      <c r="D827" s="191"/>
      <c r="E827" s="192"/>
      <c r="F827" s="9"/>
      <c r="G827" s="9"/>
      <c r="H827" s="9"/>
      <c r="I827" s="9"/>
      <c r="J827" s="438"/>
      <c r="K827" s="438"/>
      <c r="L827" s="438"/>
      <c r="M827" s="438"/>
      <c r="N827" s="193"/>
      <c r="O827" s="193"/>
      <c r="P827" s="193"/>
      <c r="Q827" s="193"/>
      <c r="R827" s="9"/>
      <c r="S827" s="9"/>
      <c r="T827" s="9"/>
      <c r="U827" s="9"/>
      <c r="V827" s="9"/>
      <c r="W827" s="9"/>
      <c r="X827" s="9"/>
      <c r="Y827" s="9"/>
      <c r="Z827" s="9"/>
      <c r="AA827" s="9"/>
      <c r="AB827" s="9"/>
    </row>
    <row r="828" spans="2:28" ht="14.1" customHeight="1">
      <c r="B828" s="191"/>
      <c r="C828" s="191"/>
      <c r="D828" s="191"/>
      <c r="E828" s="192"/>
      <c r="F828" s="9"/>
      <c r="G828" s="9"/>
      <c r="H828" s="9"/>
      <c r="I828" s="9"/>
      <c r="J828" s="438"/>
      <c r="K828" s="438"/>
      <c r="L828" s="438"/>
      <c r="M828" s="438"/>
      <c r="N828" s="193"/>
      <c r="O828" s="193"/>
      <c r="P828" s="193"/>
      <c r="Q828" s="193"/>
      <c r="R828" s="9"/>
      <c r="S828" s="9"/>
      <c r="T828" s="9"/>
      <c r="U828" s="9"/>
      <c r="V828" s="9"/>
      <c r="W828" s="9"/>
      <c r="X828" s="9"/>
      <c r="Y828" s="9"/>
      <c r="Z828" s="9"/>
      <c r="AA828" s="9"/>
      <c r="AB828" s="9"/>
    </row>
    <row r="829" spans="2:28" ht="14.1" customHeight="1">
      <c r="B829" s="191"/>
      <c r="C829" s="191"/>
      <c r="D829" s="191"/>
      <c r="E829" s="192"/>
      <c r="F829" s="9"/>
      <c r="G829" s="9"/>
      <c r="H829" s="9"/>
      <c r="I829" s="9"/>
      <c r="J829" s="438"/>
      <c r="K829" s="438"/>
      <c r="L829" s="438"/>
      <c r="M829" s="438"/>
      <c r="N829" s="193"/>
      <c r="O829" s="193"/>
      <c r="P829" s="193"/>
      <c r="Q829" s="193"/>
      <c r="R829" s="9"/>
      <c r="S829" s="9"/>
      <c r="T829" s="9"/>
      <c r="U829" s="9"/>
      <c r="V829" s="9"/>
      <c r="W829" s="9"/>
      <c r="X829" s="9"/>
      <c r="Y829" s="9"/>
      <c r="Z829" s="9"/>
      <c r="AA829" s="9"/>
      <c r="AB829" s="9"/>
    </row>
    <row r="830" spans="2:28" ht="14.1" customHeight="1">
      <c r="B830" s="191"/>
      <c r="C830" s="191"/>
      <c r="D830" s="191"/>
      <c r="E830" s="192"/>
      <c r="F830" s="9"/>
      <c r="G830" s="9"/>
      <c r="H830" s="9"/>
      <c r="I830" s="9"/>
      <c r="J830" s="438"/>
      <c r="K830" s="438"/>
      <c r="L830" s="438"/>
      <c r="M830" s="438"/>
      <c r="N830" s="193"/>
      <c r="O830" s="193"/>
      <c r="P830" s="193"/>
      <c r="Q830" s="193"/>
      <c r="R830" s="9"/>
      <c r="S830" s="9"/>
      <c r="T830" s="9"/>
      <c r="U830" s="9"/>
      <c r="V830" s="9"/>
      <c r="W830" s="9"/>
      <c r="X830" s="9"/>
      <c r="Y830" s="9"/>
      <c r="Z830" s="9"/>
      <c r="AA830" s="9"/>
      <c r="AB830" s="9"/>
    </row>
    <row r="831" spans="2:28" ht="14.1" customHeight="1">
      <c r="B831" s="191"/>
      <c r="C831" s="191"/>
      <c r="D831" s="191"/>
      <c r="E831" s="192"/>
      <c r="F831" s="9"/>
      <c r="G831" s="9"/>
      <c r="H831" s="9"/>
      <c r="I831" s="9"/>
      <c r="J831" s="438"/>
      <c r="K831" s="438"/>
      <c r="L831" s="438"/>
      <c r="M831" s="438"/>
      <c r="N831" s="193"/>
      <c r="O831" s="193"/>
      <c r="P831" s="193"/>
      <c r="Q831" s="193"/>
      <c r="R831" s="9"/>
      <c r="S831" s="9"/>
      <c r="T831" s="9"/>
      <c r="U831" s="9"/>
      <c r="V831" s="9"/>
      <c r="W831" s="9"/>
      <c r="X831" s="9"/>
      <c r="Y831" s="9"/>
      <c r="Z831" s="9"/>
      <c r="AA831" s="9"/>
      <c r="AB831" s="9"/>
    </row>
    <row r="832" spans="2:28" ht="14.1" customHeight="1">
      <c r="B832" s="191"/>
      <c r="C832" s="191"/>
      <c r="D832" s="191"/>
      <c r="E832" s="192"/>
      <c r="F832" s="9"/>
      <c r="G832" s="9"/>
      <c r="H832" s="9"/>
      <c r="I832" s="9"/>
      <c r="J832" s="438"/>
      <c r="K832" s="438"/>
      <c r="L832" s="438"/>
      <c r="M832" s="438"/>
      <c r="N832" s="193"/>
      <c r="O832" s="193"/>
      <c r="P832" s="193"/>
      <c r="Q832" s="193"/>
      <c r="R832" s="9"/>
      <c r="S832" s="9"/>
      <c r="T832" s="9"/>
      <c r="U832" s="9"/>
      <c r="V832" s="9"/>
      <c r="W832" s="9"/>
      <c r="X832" s="9"/>
      <c r="Y832" s="9"/>
      <c r="Z832" s="9"/>
      <c r="AA832" s="9"/>
      <c r="AB832" s="9"/>
    </row>
    <row r="833" spans="2:28" ht="14.1" customHeight="1">
      <c r="B833" s="191"/>
      <c r="C833" s="191"/>
      <c r="D833" s="191"/>
      <c r="E833" s="192"/>
      <c r="F833" s="9"/>
      <c r="G833" s="9"/>
      <c r="H833" s="9"/>
      <c r="I833" s="9"/>
      <c r="J833" s="438"/>
      <c r="K833" s="438"/>
      <c r="L833" s="438"/>
      <c r="M833" s="438"/>
      <c r="N833" s="193"/>
      <c r="O833" s="193"/>
      <c r="P833" s="193"/>
      <c r="Q833" s="193"/>
      <c r="R833" s="9"/>
      <c r="S833" s="9"/>
      <c r="T833" s="9"/>
      <c r="U833" s="9"/>
      <c r="V833" s="9"/>
      <c r="W833" s="9"/>
      <c r="X833" s="9"/>
      <c r="Y833" s="9"/>
      <c r="Z833" s="9"/>
      <c r="AA833" s="9"/>
      <c r="AB833" s="9"/>
    </row>
    <row r="834" spans="2:28" ht="14.1" customHeight="1">
      <c r="B834" s="191"/>
      <c r="C834" s="191"/>
      <c r="D834" s="191"/>
      <c r="E834" s="192"/>
      <c r="F834" s="9"/>
      <c r="G834" s="9"/>
      <c r="H834" s="9"/>
      <c r="I834" s="9"/>
      <c r="J834" s="438"/>
      <c r="K834" s="438"/>
      <c r="L834" s="438"/>
      <c r="M834" s="438"/>
      <c r="N834" s="193"/>
      <c r="O834" s="193"/>
      <c r="P834" s="193"/>
      <c r="Q834" s="193"/>
      <c r="R834" s="9"/>
      <c r="S834" s="9"/>
      <c r="T834" s="9"/>
      <c r="U834" s="9"/>
      <c r="V834" s="9"/>
      <c r="W834" s="9"/>
      <c r="X834" s="9"/>
      <c r="Y834" s="9"/>
      <c r="Z834" s="9"/>
      <c r="AA834" s="9"/>
      <c r="AB834" s="9"/>
    </row>
    <row r="835" spans="2:28" ht="14.1" customHeight="1">
      <c r="B835" s="191"/>
      <c r="C835" s="191"/>
      <c r="D835" s="191"/>
      <c r="E835" s="192"/>
      <c r="F835" s="9"/>
      <c r="G835" s="9"/>
      <c r="H835" s="9"/>
      <c r="I835" s="9"/>
      <c r="J835" s="438"/>
      <c r="K835" s="438"/>
      <c r="L835" s="438"/>
      <c r="M835" s="438"/>
      <c r="N835" s="193"/>
      <c r="O835" s="193"/>
      <c r="P835" s="193"/>
      <c r="Q835" s="193"/>
      <c r="R835" s="9"/>
      <c r="S835" s="9"/>
      <c r="T835" s="9"/>
      <c r="U835" s="9"/>
      <c r="V835" s="9"/>
      <c r="W835" s="9"/>
      <c r="X835" s="9"/>
      <c r="Y835" s="9"/>
      <c r="Z835" s="9"/>
      <c r="AA835" s="9"/>
      <c r="AB835" s="9"/>
    </row>
    <row r="836" spans="2:28" ht="14.1" customHeight="1">
      <c r="B836" s="191"/>
      <c r="C836" s="191"/>
      <c r="D836" s="191"/>
      <c r="E836" s="192"/>
      <c r="F836" s="9"/>
      <c r="G836" s="9"/>
      <c r="H836" s="9"/>
      <c r="I836" s="9"/>
      <c r="J836" s="438"/>
      <c r="K836" s="438"/>
      <c r="L836" s="438"/>
      <c r="M836" s="438"/>
      <c r="N836" s="193"/>
      <c r="O836" s="193"/>
      <c r="P836" s="193"/>
      <c r="Q836" s="193"/>
      <c r="R836" s="9"/>
      <c r="S836" s="9"/>
      <c r="T836" s="9"/>
      <c r="U836" s="9"/>
      <c r="V836" s="9"/>
      <c r="W836" s="9"/>
      <c r="X836" s="9"/>
      <c r="Y836" s="9"/>
      <c r="Z836" s="9"/>
      <c r="AA836" s="9"/>
      <c r="AB836" s="9"/>
    </row>
    <row r="837" spans="2:28" ht="14.1" customHeight="1">
      <c r="B837" s="191"/>
      <c r="C837" s="191"/>
      <c r="D837" s="191"/>
      <c r="E837" s="192"/>
      <c r="F837" s="9"/>
      <c r="G837" s="9"/>
      <c r="H837" s="9"/>
      <c r="I837" s="9"/>
      <c r="J837" s="438"/>
      <c r="K837" s="438"/>
      <c r="L837" s="438"/>
      <c r="M837" s="438"/>
      <c r="N837" s="193"/>
      <c r="O837" s="193"/>
      <c r="P837" s="193"/>
      <c r="Q837" s="193"/>
      <c r="R837" s="9"/>
      <c r="S837" s="9"/>
      <c r="T837" s="9"/>
      <c r="U837" s="9"/>
      <c r="V837" s="9"/>
      <c r="W837" s="9"/>
      <c r="X837" s="9"/>
      <c r="Y837" s="9"/>
      <c r="Z837" s="9"/>
      <c r="AA837" s="9"/>
      <c r="AB837" s="9"/>
    </row>
    <row r="838" spans="2:28" ht="14.1" customHeight="1">
      <c r="B838" s="191"/>
      <c r="C838" s="191"/>
      <c r="D838" s="191"/>
      <c r="E838" s="192"/>
      <c r="F838" s="9"/>
      <c r="G838" s="9"/>
      <c r="H838" s="9"/>
      <c r="I838" s="9"/>
      <c r="J838" s="438"/>
      <c r="K838" s="438"/>
      <c r="L838" s="438"/>
      <c r="M838" s="438"/>
      <c r="N838" s="193"/>
      <c r="O838" s="193"/>
      <c r="P838" s="193"/>
      <c r="Q838" s="193"/>
      <c r="R838" s="9"/>
      <c r="S838" s="9"/>
      <c r="T838" s="9"/>
      <c r="U838" s="9"/>
      <c r="V838" s="9"/>
      <c r="W838" s="9"/>
      <c r="X838" s="9"/>
      <c r="Y838" s="9"/>
      <c r="Z838" s="9"/>
      <c r="AA838" s="9"/>
      <c r="AB838" s="9"/>
    </row>
    <row r="839" spans="2:28" ht="14.1" customHeight="1">
      <c r="B839" s="191"/>
      <c r="C839" s="191"/>
      <c r="D839" s="191"/>
      <c r="E839" s="192"/>
      <c r="F839" s="9"/>
      <c r="G839" s="9"/>
      <c r="H839" s="9"/>
      <c r="I839" s="9"/>
      <c r="J839" s="438"/>
      <c r="K839" s="438"/>
      <c r="L839" s="438"/>
      <c r="M839" s="438"/>
      <c r="N839" s="193"/>
      <c r="O839" s="193"/>
      <c r="P839" s="193"/>
      <c r="Q839" s="193"/>
      <c r="R839" s="9"/>
      <c r="S839" s="9"/>
      <c r="T839" s="9"/>
      <c r="U839" s="9"/>
      <c r="V839" s="9"/>
      <c r="W839" s="9"/>
      <c r="X839" s="9"/>
      <c r="Y839" s="9"/>
      <c r="Z839" s="9"/>
      <c r="AA839" s="9"/>
      <c r="AB839" s="9"/>
    </row>
    <row r="840" spans="2:28" ht="14.1" customHeight="1">
      <c r="B840" s="191"/>
      <c r="C840" s="191"/>
      <c r="D840" s="191"/>
      <c r="E840" s="192"/>
      <c r="F840" s="9"/>
      <c r="G840" s="9"/>
      <c r="H840" s="9"/>
      <c r="I840" s="9"/>
      <c r="J840" s="438"/>
      <c r="K840" s="438"/>
      <c r="L840" s="438"/>
      <c r="M840" s="438"/>
      <c r="N840" s="193"/>
      <c r="O840" s="193"/>
      <c r="P840" s="193"/>
      <c r="Q840" s="193"/>
      <c r="R840" s="9"/>
      <c r="S840" s="9"/>
      <c r="T840" s="9"/>
      <c r="U840" s="9"/>
      <c r="V840" s="9"/>
      <c r="W840" s="9"/>
      <c r="X840" s="9"/>
      <c r="Y840" s="9"/>
      <c r="Z840" s="9"/>
      <c r="AA840" s="9"/>
      <c r="AB840" s="9"/>
    </row>
    <row r="841" spans="2:28" ht="14.1" customHeight="1">
      <c r="B841" s="191"/>
      <c r="C841" s="191"/>
      <c r="D841" s="191"/>
      <c r="E841" s="192"/>
      <c r="F841" s="9"/>
      <c r="G841" s="9"/>
      <c r="H841" s="9"/>
      <c r="I841" s="9"/>
      <c r="J841" s="438"/>
      <c r="K841" s="438"/>
      <c r="L841" s="438"/>
      <c r="M841" s="438"/>
      <c r="N841" s="193"/>
      <c r="O841" s="193"/>
      <c r="P841" s="193"/>
      <c r="Q841" s="193"/>
      <c r="R841" s="9"/>
      <c r="S841" s="9"/>
      <c r="T841" s="9"/>
      <c r="U841" s="9"/>
      <c r="V841" s="9"/>
      <c r="W841" s="9"/>
      <c r="X841" s="9"/>
      <c r="Y841" s="9"/>
      <c r="Z841" s="9"/>
      <c r="AA841" s="9"/>
      <c r="AB841" s="9"/>
    </row>
    <row r="842" spans="2:28" ht="14.1" customHeight="1">
      <c r="B842" s="191"/>
      <c r="C842" s="191"/>
      <c r="D842" s="191"/>
      <c r="E842" s="192"/>
      <c r="F842" s="9"/>
      <c r="G842" s="9"/>
      <c r="H842" s="9"/>
      <c r="I842" s="9"/>
      <c r="J842" s="438"/>
      <c r="K842" s="438"/>
      <c r="L842" s="438"/>
      <c r="M842" s="438"/>
      <c r="N842" s="193"/>
      <c r="O842" s="193"/>
      <c r="P842" s="193"/>
      <c r="Q842" s="193"/>
      <c r="R842" s="9"/>
      <c r="S842" s="9"/>
      <c r="T842" s="9"/>
      <c r="U842" s="9"/>
      <c r="V842" s="9"/>
      <c r="W842" s="9"/>
      <c r="X842" s="9"/>
      <c r="Y842" s="9"/>
      <c r="Z842" s="9"/>
      <c r="AA842" s="9"/>
      <c r="AB842" s="9"/>
    </row>
    <row r="843" spans="2:28" ht="14.1" customHeight="1">
      <c r="B843" s="191"/>
      <c r="C843" s="191"/>
      <c r="D843" s="191"/>
      <c r="E843" s="192"/>
      <c r="F843" s="9"/>
      <c r="G843" s="9"/>
      <c r="H843" s="9"/>
      <c r="I843" s="9"/>
      <c r="J843" s="438"/>
      <c r="K843" s="438"/>
      <c r="L843" s="438"/>
      <c r="M843" s="438"/>
      <c r="N843" s="193"/>
      <c r="O843" s="193"/>
      <c r="P843" s="193"/>
      <c r="Q843" s="193"/>
      <c r="R843" s="9"/>
      <c r="S843" s="9"/>
      <c r="T843" s="9"/>
      <c r="U843" s="9"/>
      <c r="V843" s="9"/>
      <c r="W843" s="9"/>
      <c r="X843" s="9"/>
      <c r="Y843" s="9"/>
      <c r="Z843" s="9"/>
      <c r="AA843" s="9"/>
      <c r="AB843" s="9"/>
    </row>
    <row r="844" spans="2:28" ht="14.1" customHeight="1">
      <c r="B844" s="191"/>
      <c r="C844" s="191"/>
      <c r="D844" s="191"/>
      <c r="E844" s="192"/>
      <c r="F844" s="9"/>
      <c r="G844" s="9"/>
      <c r="H844" s="9"/>
      <c r="I844" s="9"/>
      <c r="J844" s="438"/>
      <c r="K844" s="438"/>
      <c r="L844" s="438"/>
      <c r="M844" s="438"/>
      <c r="N844" s="193"/>
      <c r="O844" s="193"/>
      <c r="P844" s="193"/>
      <c r="Q844" s="193"/>
      <c r="R844" s="9"/>
      <c r="S844" s="9"/>
      <c r="T844" s="9"/>
      <c r="U844" s="9"/>
      <c r="V844" s="9"/>
      <c r="W844" s="9"/>
      <c r="X844" s="9"/>
      <c r="Y844" s="9"/>
      <c r="Z844" s="9"/>
      <c r="AA844" s="9"/>
      <c r="AB844" s="9"/>
    </row>
    <row r="845" spans="2:28" ht="14.1" customHeight="1">
      <c r="B845" s="191"/>
      <c r="C845" s="191"/>
      <c r="D845" s="191"/>
      <c r="E845" s="192"/>
      <c r="F845" s="9"/>
      <c r="G845" s="9"/>
      <c r="H845" s="9"/>
      <c r="I845" s="9"/>
      <c r="J845" s="438"/>
      <c r="K845" s="438"/>
      <c r="L845" s="438"/>
      <c r="M845" s="438"/>
      <c r="N845" s="193"/>
      <c r="O845" s="193"/>
      <c r="P845" s="193"/>
      <c r="Q845" s="193"/>
      <c r="R845" s="9"/>
      <c r="S845" s="9"/>
      <c r="T845" s="9"/>
      <c r="U845" s="9"/>
      <c r="V845" s="9"/>
      <c r="W845" s="9"/>
      <c r="X845" s="9"/>
      <c r="Y845" s="9"/>
      <c r="Z845" s="9"/>
      <c r="AA845" s="9"/>
      <c r="AB845" s="9"/>
    </row>
    <row r="846" spans="2:28" ht="14.1" customHeight="1">
      <c r="B846" s="191"/>
      <c r="C846" s="191"/>
      <c r="D846" s="191"/>
      <c r="E846" s="192"/>
      <c r="F846" s="9"/>
      <c r="G846" s="9"/>
      <c r="H846" s="9"/>
      <c r="I846" s="9"/>
      <c r="J846" s="438"/>
      <c r="K846" s="438"/>
      <c r="L846" s="438"/>
      <c r="M846" s="438"/>
      <c r="N846" s="193"/>
      <c r="O846" s="193"/>
      <c r="P846" s="193"/>
      <c r="Q846" s="193"/>
      <c r="R846" s="9"/>
      <c r="S846" s="9"/>
      <c r="T846" s="9"/>
      <c r="U846" s="9"/>
      <c r="V846" s="9"/>
      <c r="W846" s="9"/>
      <c r="X846" s="9"/>
      <c r="Y846" s="9"/>
      <c r="Z846" s="9"/>
      <c r="AA846" s="9"/>
      <c r="AB846" s="9"/>
    </row>
    <row r="847" spans="2:28" ht="14.1" customHeight="1">
      <c r="B847" s="191"/>
      <c r="C847" s="191"/>
      <c r="D847" s="191"/>
      <c r="E847" s="192"/>
      <c r="F847" s="9"/>
      <c r="G847" s="9"/>
      <c r="H847" s="9"/>
      <c r="I847" s="9"/>
      <c r="J847" s="438"/>
      <c r="K847" s="438"/>
      <c r="L847" s="438"/>
      <c r="M847" s="438"/>
      <c r="N847" s="193"/>
      <c r="O847" s="193"/>
      <c r="P847" s="193"/>
      <c r="Q847" s="193"/>
      <c r="R847" s="9"/>
      <c r="S847" s="9"/>
      <c r="T847" s="9"/>
      <c r="U847" s="9"/>
      <c r="V847" s="9"/>
      <c r="W847" s="9"/>
      <c r="X847" s="9"/>
      <c r="Y847" s="9"/>
      <c r="Z847" s="9"/>
      <c r="AA847" s="9"/>
      <c r="AB847" s="9"/>
    </row>
    <row r="848" spans="2:28" ht="14.1" customHeight="1">
      <c r="B848" s="191"/>
      <c r="C848" s="191"/>
      <c r="D848" s="191"/>
      <c r="E848" s="192"/>
      <c r="F848" s="9"/>
      <c r="G848" s="9"/>
      <c r="H848" s="9"/>
      <c r="I848" s="9"/>
      <c r="J848" s="438"/>
      <c r="K848" s="438"/>
      <c r="L848" s="438"/>
      <c r="M848" s="438"/>
      <c r="N848" s="193"/>
      <c r="O848" s="193"/>
      <c r="P848" s="193"/>
      <c r="Q848" s="193"/>
      <c r="R848" s="9"/>
      <c r="S848" s="9"/>
      <c r="T848" s="9"/>
      <c r="U848" s="9"/>
      <c r="V848" s="9"/>
      <c r="W848" s="9"/>
      <c r="X848" s="9"/>
      <c r="Y848" s="9"/>
      <c r="Z848" s="9"/>
      <c r="AA848" s="9"/>
      <c r="AB848" s="9"/>
    </row>
    <row r="849" spans="2:28" ht="14.1" customHeight="1">
      <c r="B849" s="191"/>
      <c r="C849" s="191"/>
      <c r="D849" s="191"/>
      <c r="E849" s="192"/>
      <c r="F849" s="9"/>
      <c r="G849" s="9"/>
      <c r="H849" s="9"/>
      <c r="I849" s="9"/>
      <c r="J849" s="438"/>
      <c r="K849" s="438"/>
      <c r="L849" s="438"/>
      <c r="M849" s="438"/>
      <c r="N849" s="193"/>
      <c r="O849" s="193"/>
      <c r="P849" s="193"/>
      <c r="Q849" s="193"/>
      <c r="R849" s="9"/>
      <c r="S849" s="9"/>
      <c r="T849" s="9"/>
      <c r="U849" s="9"/>
      <c r="V849" s="9"/>
      <c r="W849" s="9"/>
      <c r="X849" s="9"/>
      <c r="Y849" s="9"/>
      <c r="Z849" s="9"/>
      <c r="AA849" s="9"/>
      <c r="AB849" s="9"/>
    </row>
    <row r="850" spans="2:28" ht="14.1" customHeight="1">
      <c r="B850" s="191"/>
      <c r="C850" s="191"/>
      <c r="D850" s="191"/>
      <c r="E850" s="192"/>
      <c r="F850" s="9"/>
      <c r="G850" s="9"/>
      <c r="H850" s="9"/>
      <c r="I850" s="9"/>
      <c r="J850" s="438"/>
      <c r="K850" s="438"/>
      <c r="L850" s="438"/>
      <c r="M850" s="438"/>
      <c r="N850" s="193"/>
      <c r="O850" s="193"/>
      <c r="P850" s="193"/>
      <c r="Q850" s="193"/>
      <c r="R850" s="9"/>
      <c r="S850" s="9"/>
      <c r="T850" s="9"/>
      <c r="U850" s="9"/>
      <c r="V850" s="9"/>
      <c r="W850" s="9"/>
      <c r="X850" s="9"/>
      <c r="Y850" s="9"/>
      <c r="Z850" s="9"/>
      <c r="AA850" s="9"/>
      <c r="AB850" s="9"/>
    </row>
    <row r="851" spans="2:28" ht="14.1" customHeight="1">
      <c r="B851" s="191"/>
      <c r="C851" s="191"/>
      <c r="D851" s="191"/>
      <c r="E851" s="192"/>
      <c r="F851" s="9"/>
      <c r="G851" s="9"/>
      <c r="H851" s="9"/>
      <c r="I851" s="9"/>
      <c r="J851" s="438"/>
      <c r="K851" s="438"/>
      <c r="L851" s="438"/>
      <c r="M851" s="438"/>
      <c r="N851" s="193"/>
      <c r="O851" s="193"/>
      <c r="P851" s="193"/>
      <c r="Q851" s="193"/>
      <c r="R851" s="9"/>
      <c r="S851" s="9"/>
      <c r="T851" s="9"/>
      <c r="U851" s="9"/>
      <c r="V851" s="9"/>
      <c r="W851" s="9"/>
      <c r="X851" s="9"/>
      <c r="Y851" s="9"/>
      <c r="Z851" s="9"/>
      <c r="AA851" s="9"/>
      <c r="AB851" s="9"/>
    </row>
    <row r="852" spans="2:28" ht="14.1" customHeight="1">
      <c r="B852" s="191"/>
      <c r="C852" s="191"/>
      <c r="D852" s="191"/>
      <c r="E852" s="192"/>
      <c r="F852" s="9"/>
      <c r="G852" s="9"/>
      <c r="H852" s="9"/>
      <c r="I852" s="9"/>
      <c r="J852" s="438"/>
      <c r="K852" s="438"/>
      <c r="L852" s="438"/>
      <c r="M852" s="438"/>
      <c r="N852" s="193"/>
      <c r="O852" s="193"/>
      <c r="P852" s="193"/>
      <c r="Q852" s="193"/>
      <c r="R852" s="9"/>
      <c r="S852" s="9"/>
      <c r="T852" s="9"/>
      <c r="U852" s="9"/>
      <c r="V852" s="9"/>
      <c r="W852" s="9"/>
      <c r="X852" s="9"/>
      <c r="Y852" s="9"/>
      <c r="Z852" s="9"/>
      <c r="AA852" s="9"/>
      <c r="AB852" s="9"/>
    </row>
    <row r="853" spans="2:28" ht="14.1" customHeight="1">
      <c r="B853" s="191"/>
      <c r="C853" s="191"/>
      <c r="D853" s="191"/>
      <c r="E853" s="192"/>
      <c r="F853" s="9"/>
      <c r="G853" s="9"/>
      <c r="H853" s="9"/>
      <c r="I853" s="9"/>
      <c r="J853" s="438"/>
      <c r="K853" s="438"/>
      <c r="L853" s="438"/>
      <c r="M853" s="438"/>
      <c r="N853" s="193"/>
      <c r="O853" s="193"/>
      <c r="P853" s="193"/>
      <c r="Q853" s="193"/>
      <c r="R853" s="9"/>
      <c r="S853" s="9"/>
      <c r="T853" s="9"/>
      <c r="U853" s="9"/>
      <c r="V853" s="9"/>
      <c r="W853" s="9"/>
      <c r="X853" s="9"/>
      <c r="Y853" s="9"/>
      <c r="Z853" s="9"/>
      <c r="AA853" s="9"/>
      <c r="AB853" s="9"/>
    </row>
    <row r="854" spans="2:28" ht="14.1" customHeight="1">
      <c r="B854" s="191"/>
      <c r="C854" s="191"/>
      <c r="D854" s="191"/>
      <c r="E854" s="192"/>
      <c r="F854" s="9"/>
      <c r="G854" s="9"/>
      <c r="H854" s="9"/>
      <c r="I854" s="9"/>
      <c r="J854" s="438"/>
      <c r="K854" s="438"/>
      <c r="L854" s="438"/>
      <c r="M854" s="438"/>
      <c r="N854" s="193"/>
      <c r="O854" s="193"/>
      <c r="P854" s="193"/>
      <c r="Q854" s="193"/>
      <c r="R854" s="9"/>
      <c r="S854" s="9"/>
      <c r="T854" s="9"/>
      <c r="U854" s="9"/>
      <c r="V854" s="9"/>
      <c r="W854" s="9"/>
      <c r="X854" s="9"/>
      <c r="Y854" s="9"/>
      <c r="Z854" s="9"/>
      <c r="AA854" s="9"/>
      <c r="AB854" s="9"/>
    </row>
    <row r="855" spans="2:28" ht="14.1" customHeight="1">
      <c r="B855" s="191"/>
      <c r="C855" s="191"/>
      <c r="D855" s="191"/>
      <c r="E855" s="192"/>
      <c r="F855" s="9"/>
      <c r="G855" s="9"/>
      <c r="H855" s="9"/>
      <c r="I855" s="9"/>
      <c r="J855" s="438"/>
      <c r="K855" s="438"/>
      <c r="L855" s="438"/>
      <c r="M855" s="438"/>
      <c r="N855" s="193"/>
      <c r="O855" s="193"/>
      <c r="P855" s="193"/>
      <c r="Q855" s="193"/>
      <c r="R855" s="9"/>
      <c r="S855" s="9"/>
      <c r="T855" s="9"/>
      <c r="U855" s="9"/>
      <c r="V855" s="9"/>
      <c r="W855" s="9"/>
      <c r="X855" s="9"/>
      <c r="Y855" s="9"/>
      <c r="Z855" s="9"/>
      <c r="AA855" s="9"/>
      <c r="AB855" s="9"/>
    </row>
    <row r="856" spans="2:28" ht="14.1" customHeight="1">
      <c r="B856" s="191"/>
      <c r="C856" s="191"/>
      <c r="D856" s="191"/>
      <c r="E856" s="192"/>
      <c r="F856" s="9"/>
      <c r="G856" s="9"/>
      <c r="H856" s="9"/>
      <c r="I856" s="9"/>
      <c r="J856" s="438"/>
      <c r="K856" s="438"/>
      <c r="L856" s="438"/>
      <c r="M856" s="438"/>
      <c r="N856" s="193"/>
      <c r="O856" s="193"/>
      <c r="P856" s="193"/>
      <c r="Q856" s="193"/>
      <c r="R856" s="9"/>
      <c r="S856" s="9"/>
      <c r="T856" s="9"/>
      <c r="U856" s="9"/>
      <c r="V856" s="9"/>
      <c r="W856" s="9"/>
      <c r="X856" s="9"/>
      <c r="Y856" s="9"/>
      <c r="Z856" s="9"/>
      <c r="AA856" s="9"/>
      <c r="AB856" s="9"/>
    </row>
    <row r="857" spans="2:28" ht="14.1" customHeight="1">
      <c r="B857" s="191"/>
      <c r="C857" s="191"/>
      <c r="D857" s="191"/>
      <c r="E857" s="192"/>
      <c r="F857" s="9"/>
      <c r="G857" s="9"/>
      <c r="H857" s="9"/>
      <c r="I857" s="9"/>
      <c r="J857" s="438"/>
      <c r="K857" s="438"/>
      <c r="L857" s="438"/>
      <c r="M857" s="438"/>
      <c r="N857" s="193"/>
      <c r="O857" s="193"/>
      <c r="P857" s="193"/>
      <c r="Q857" s="193"/>
      <c r="R857" s="9"/>
      <c r="S857" s="9"/>
      <c r="T857" s="9"/>
      <c r="U857" s="9"/>
      <c r="V857" s="9"/>
      <c r="W857" s="9"/>
      <c r="X857" s="9"/>
      <c r="Y857" s="9"/>
      <c r="Z857" s="9"/>
      <c r="AA857" s="9"/>
      <c r="AB857" s="9"/>
    </row>
    <row r="858" spans="2:28" ht="14.1" customHeight="1">
      <c r="B858" s="191"/>
      <c r="C858" s="191"/>
      <c r="D858" s="191"/>
      <c r="E858" s="192"/>
      <c r="F858" s="9"/>
      <c r="G858" s="9"/>
      <c r="H858" s="9"/>
      <c r="I858" s="9"/>
      <c r="J858" s="438"/>
      <c r="K858" s="438"/>
      <c r="L858" s="438"/>
      <c r="M858" s="438"/>
      <c r="N858" s="193"/>
      <c r="O858" s="193"/>
      <c r="P858" s="193"/>
      <c r="Q858" s="193"/>
      <c r="R858" s="9"/>
      <c r="S858" s="9"/>
      <c r="T858" s="9"/>
      <c r="U858" s="9"/>
      <c r="V858" s="9"/>
      <c r="W858" s="9"/>
      <c r="X858" s="9"/>
      <c r="Y858" s="9"/>
      <c r="Z858" s="9"/>
      <c r="AA858" s="9"/>
      <c r="AB858" s="9"/>
    </row>
    <row r="859" spans="2:28" ht="14.1" customHeight="1">
      <c r="B859" s="191"/>
      <c r="C859" s="191"/>
      <c r="D859" s="191"/>
      <c r="E859" s="192"/>
      <c r="F859" s="9"/>
      <c r="G859" s="9"/>
      <c r="H859" s="9"/>
      <c r="I859" s="9"/>
      <c r="J859" s="438"/>
      <c r="K859" s="438"/>
      <c r="L859" s="438"/>
      <c r="M859" s="438"/>
      <c r="N859" s="193"/>
      <c r="O859" s="193"/>
      <c r="P859" s="193"/>
      <c r="Q859" s="193"/>
      <c r="R859" s="9"/>
      <c r="S859" s="9"/>
      <c r="T859" s="9"/>
      <c r="U859" s="9"/>
      <c r="V859" s="9"/>
      <c r="W859" s="9"/>
      <c r="X859" s="9"/>
      <c r="Y859" s="9"/>
      <c r="Z859" s="9"/>
      <c r="AA859" s="9"/>
      <c r="AB859" s="9"/>
    </row>
    <row r="860" spans="2:28" ht="14.1" customHeight="1">
      <c r="B860" s="191"/>
      <c r="C860" s="191"/>
      <c r="D860" s="191"/>
      <c r="E860" s="192"/>
      <c r="F860" s="9"/>
      <c r="G860" s="9"/>
      <c r="H860" s="9"/>
      <c r="I860" s="9"/>
      <c r="J860" s="438"/>
      <c r="K860" s="438"/>
      <c r="L860" s="438"/>
      <c r="M860" s="438"/>
      <c r="N860" s="193"/>
      <c r="O860" s="193"/>
      <c r="P860" s="193"/>
      <c r="Q860" s="193"/>
      <c r="R860" s="9"/>
      <c r="S860" s="9"/>
      <c r="T860" s="9"/>
      <c r="U860" s="9"/>
      <c r="V860" s="9"/>
      <c r="W860" s="9"/>
      <c r="X860" s="9"/>
      <c r="Y860" s="9"/>
      <c r="Z860" s="9"/>
      <c r="AA860" s="9"/>
      <c r="AB860" s="9"/>
    </row>
    <row r="861" spans="2:28" ht="14.1" customHeight="1">
      <c r="B861" s="191"/>
      <c r="C861" s="191"/>
      <c r="D861" s="191"/>
      <c r="E861" s="192"/>
      <c r="F861" s="9"/>
      <c r="G861" s="9"/>
      <c r="H861" s="9"/>
      <c r="I861" s="9"/>
      <c r="J861" s="438"/>
      <c r="K861" s="438"/>
      <c r="L861" s="438"/>
      <c r="M861" s="438"/>
      <c r="N861" s="193"/>
      <c r="O861" s="193"/>
      <c r="P861" s="193"/>
      <c r="Q861" s="193"/>
      <c r="R861" s="9"/>
      <c r="S861" s="9"/>
      <c r="T861" s="9"/>
      <c r="U861" s="9"/>
      <c r="V861" s="9"/>
      <c r="W861" s="9"/>
      <c r="X861" s="9"/>
      <c r="Y861" s="9"/>
      <c r="Z861" s="9"/>
      <c r="AA861" s="9"/>
      <c r="AB861" s="9"/>
    </row>
    <row r="862" spans="2:28" ht="14.1" customHeight="1">
      <c r="B862" s="191"/>
      <c r="C862" s="191"/>
      <c r="D862" s="191"/>
      <c r="E862" s="192"/>
      <c r="F862" s="9"/>
      <c r="G862" s="9"/>
      <c r="H862" s="9"/>
      <c r="I862" s="9"/>
      <c r="J862" s="438"/>
      <c r="K862" s="438"/>
      <c r="L862" s="438"/>
      <c r="M862" s="438"/>
      <c r="N862" s="193"/>
      <c r="O862" s="193"/>
      <c r="P862" s="193"/>
      <c r="Q862" s="193"/>
      <c r="R862" s="9"/>
      <c r="S862" s="9"/>
      <c r="T862" s="9"/>
      <c r="U862" s="9"/>
      <c r="V862" s="9"/>
      <c r="W862" s="9"/>
      <c r="X862" s="9"/>
      <c r="Y862" s="9"/>
      <c r="Z862" s="9"/>
      <c r="AA862" s="9"/>
      <c r="AB862" s="9"/>
    </row>
    <row r="863" spans="2:28" ht="14.1" customHeight="1">
      <c r="B863" s="191"/>
      <c r="C863" s="191"/>
      <c r="D863" s="191"/>
      <c r="E863" s="192"/>
      <c r="F863" s="9"/>
      <c r="G863" s="9"/>
      <c r="H863" s="9"/>
      <c r="I863" s="9"/>
      <c r="J863" s="438"/>
      <c r="K863" s="438"/>
      <c r="L863" s="438"/>
      <c r="M863" s="438"/>
      <c r="N863" s="193"/>
      <c r="O863" s="193"/>
      <c r="P863" s="193"/>
      <c r="Q863" s="193"/>
      <c r="R863" s="9"/>
      <c r="S863" s="9"/>
      <c r="T863" s="9"/>
      <c r="U863" s="9"/>
      <c r="V863" s="9"/>
      <c r="W863" s="9"/>
      <c r="X863" s="9"/>
      <c r="Y863" s="9"/>
      <c r="Z863" s="9"/>
      <c r="AA863" s="9"/>
      <c r="AB863" s="9"/>
    </row>
    <row r="864" spans="2:28" ht="14.1" customHeight="1">
      <c r="B864" s="191"/>
      <c r="C864" s="191"/>
      <c r="D864" s="191"/>
      <c r="E864" s="192"/>
      <c r="F864" s="9"/>
      <c r="G864" s="9"/>
      <c r="H864" s="9"/>
      <c r="I864" s="9"/>
      <c r="J864" s="438"/>
      <c r="K864" s="438"/>
      <c r="L864" s="438"/>
      <c r="M864" s="438"/>
      <c r="N864" s="193"/>
      <c r="O864" s="193"/>
      <c r="P864" s="193"/>
      <c r="Q864" s="193"/>
      <c r="R864" s="9"/>
      <c r="S864" s="9"/>
      <c r="T864" s="9"/>
      <c r="U864" s="9"/>
      <c r="V864" s="9"/>
      <c r="W864" s="9"/>
      <c r="X864" s="9"/>
      <c r="Y864" s="9"/>
      <c r="Z864" s="9"/>
      <c r="AA864" s="9"/>
      <c r="AB864" s="9"/>
    </row>
    <row r="865" spans="2:28" ht="14.1" customHeight="1">
      <c r="B865" s="191"/>
      <c r="C865" s="191"/>
      <c r="D865" s="191"/>
      <c r="E865" s="192"/>
      <c r="F865" s="9"/>
      <c r="G865" s="9"/>
      <c r="H865" s="9"/>
      <c r="I865" s="9"/>
      <c r="J865" s="438"/>
      <c r="K865" s="438"/>
      <c r="L865" s="438"/>
      <c r="M865" s="438"/>
      <c r="N865" s="193"/>
      <c r="O865" s="193"/>
      <c r="P865" s="193"/>
      <c r="Q865" s="193"/>
      <c r="R865" s="9"/>
      <c r="S865" s="9"/>
      <c r="T865" s="9"/>
      <c r="U865" s="9"/>
      <c r="V865" s="9"/>
      <c r="W865" s="9"/>
      <c r="X865" s="9"/>
      <c r="Y865" s="9"/>
      <c r="Z865" s="9"/>
      <c r="AA865" s="9"/>
      <c r="AB865" s="9"/>
    </row>
    <row r="866" spans="2:28" ht="14.1" customHeight="1">
      <c r="B866" s="191"/>
      <c r="C866" s="191"/>
      <c r="D866" s="191"/>
      <c r="E866" s="192"/>
      <c r="F866" s="9"/>
      <c r="G866" s="9"/>
      <c r="H866" s="9"/>
      <c r="I866" s="9"/>
      <c r="J866" s="438"/>
      <c r="K866" s="438"/>
      <c r="L866" s="438"/>
      <c r="M866" s="438"/>
      <c r="N866" s="193"/>
      <c r="O866" s="193"/>
      <c r="P866" s="193"/>
      <c r="Q866" s="193"/>
      <c r="R866" s="9"/>
      <c r="S866" s="9"/>
      <c r="T866" s="9"/>
      <c r="U866" s="9"/>
      <c r="V866" s="9"/>
      <c r="W866" s="9"/>
      <c r="X866" s="9"/>
      <c r="Y866" s="9"/>
      <c r="Z866" s="9"/>
      <c r="AA866" s="9"/>
      <c r="AB866" s="9"/>
    </row>
    <row r="867" spans="2:28" ht="14.1" customHeight="1">
      <c r="B867" s="191"/>
      <c r="C867" s="191"/>
      <c r="D867" s="191"/>
      <c r="E867" s="192"/>
      <c r="F867" s="9"/>
      <c r="G867" s="9"/>
      <c r="H867" s="9"/>
      <c r="I867" s="9"/>
      <c r="J867" s="438"/>
      <c r="K867" s="438"/>
      <c r="L867" s="438"/>
      <c r="M867" s="438"/>
      <c r="N867" s="193"/>
      <c r="O867" s="193"/>
      <c r="P867" s="193"/>
      <c r="Q867" s="193"/>
      <c r="R867" s="9"/>
      <c r="S867" s="9"/>
      <c r="T867" s="9"/>
      <c r="U867" s="9"/>
      <c r="V867" s="9"/>
      <c r="W867" s="9"/>
      <c r="X867" s="9"/>
      <c r="Y867" s="9"/>
      <c r="Z867" s="9"/>
      <c r="AA867" s="9"/>
      <c r="AB867" s="9"/>
    </row>
    <row r="868" spans="2:28" ht="14.1" customHeight="1">
      <c r="B868" s="191"/>
      <c r="C868" s="191"/>
      <c r="D868" s="191"/>
      <c r="E868" s="192"/>
      <c r="F868" s="9"/>
      <c r="G868" s="9"/>
      <c r="H868" s="9"/>
      <c r="I868" s="9"/>
      <c r="J868" s="438"/>
      <c r="K868" s="438"/>
      <c r="L868" s="438"/>
      <c r="M868" s="438"/>
      <c r="N868" s="193"/>
      <c r="O868" s="193"/>
      <c r="P868" s="193"/>
      <c r="Q868" s="193"/>
      <c r="R868" s="9"/>
      <c r="S868" s="9"/>
      <c r="T868" s="9"/>
      <c r="U868" s="9"/>
      <c r="V868" s="9"/>
      <c r="W868" s="9"/>
      <c r="X868" s="9"/>
      <c r="Y868" s="9"/>
      <c r="Z868" s="9"/>
      <c r="AA868" s="9"/>
      <c r="AB868" s="9"/>
    </row>
    <row r="869" spans="2:28" ht="14.1" customHeight="1">
      <c r="B869" s="191"/>
      <c r="C869" s="191"/>
      <c r="D869" s="191"/>
      <c r="E869" s="192"/>
      <c r="F869" s="9"/>
      <c r="G869" s="9"/>
      <c r="H869" s="9"/>
      <c r="I869" s="9"/>
      <c r="J869" s="438"/>
      <c r="K869" s="438"/>
      <c r="L869" s="438"/>
      <c r="M869" s="438"/>
      <c r="N869" s="193"/>
      <c r="O869" s="193"/>
      <c r="P869" s="193"/>
      <c r="Q869" s="193"/>
      <c r="R869" s="9"/>
      <c r="S869" s="9"/>
      <c r="T869" s="9"/>
      <c r="U869" s="9"/>
      <c r="V869" s="9"/>
      <c r="W869" s="9"/>
      <c r="X869" s="9"/>
      <c r="Y869" s="9"/>
      <c r="Z869" s="9"/>
      <c r="AA869" s="9"/>
      <c r="AB869" s="9"/>
    </row>
    <row r="870" spans="2:28" ht="14.1" customHeight="1">
      <c r="B870" s="191"/>
      <c r="C870" s="191"/>
      <c r="D870" s="191"/>
      <c r="E870" s="192"/>
      <c r="F870" s="9"/>
      <c r="G870" s="9"/>
      <c r="H870" s="9"/>
      <c r="I870" s="9"/>
      <c r="J870" s="438"/>
      <c r="K870" s="438"/>
      <c r="L870" s="438"/>
      <c r="M870" s="438"/>
      <c r="N870" s="193"/>
      <c r="O870" s="193"/>
      <c r="P870" s="193"/>
      <c r="Q870" s="193"/>
      <c r="R870" s="9"/>
      <c r="S870" s="9"/>
      <c r="T870" s="9"/>
      <c r="U870" s="9"/>
      <c r="V870" s="9"/>
      <c r="W870" s="9"/>
      <c r="X870" s="9"/>
      <c r="Y870" s="9"/>
      <c r="Z870" s="9"/>
      <c r="AA870" s="9"/>
      <c r="AB870" s="9"/>
    </row>
    <row r="871" spans="2:28" ht="14.1" customHeight="1">
      <c r="B871" s="191"/>
      <c r="C871" s="191"/>
      <c r="D871" s="191"/>
      <c r="E871" s="192"/>
      <c r="F871" s="9"/>
      <c r="G871" s="9"/>
      <c r="H871" s="9"/>
      <c r="I871" s="9"/>
      <c r="J871" s="438"/>
      <c r="K871" s="438"/>
      <c r="L871" s="438"/>
      <c r="M871" s="438"/>
      <c r="N871" s="193"/>
      <c r="O871" s="193"/>
      <c r="P871" s="193"/>
      <c r="Q871" s="193"/>
      <c r="R871" s="9"/>
      <c r="S871" s="9"/>
      <c r="T871" s="9"/>
      <c r="U871" s="9"/>
      <c r="V871" s="9"/>
      <c r="W871" s="9"/>
      <c r="X871" s="9"/>
      <c r="Y871" s="9"/>
      <c r="Z871" s="9"/>
      <c r="AA871" s="9"/>
      <c r="AB871" s="9"/>
    </row>
    <row r="872" spans="2:28" ht="14.1" customHeight="1">
      <c r="B872" s="191"/>
      <c r="C872" s="191"/>
      <c r="D872" s="191"/>
      <c r="E872" s="192"/>
      <c r="F872" s="9"/>
      <c r="G872" s="9"/>
      <c r="H872" s="9"/>
      <c r="I872" s="9"/>
      <c r="J872" s="438"/>
      <c r="K872" s="438"/>
      <c r="L872" s="438"/>
      <c r="M872" s="438"/>
      <c r="N872" s="193"/>
      <c r="O872" s="193"/>
      <c r="P872" s="193"/>
      <c r="Q872" s="193"/>
      <c r="R872" s="9"/>
      <c r="S872" s="9"/>
      <c r="T872" s="9"/>
      <c r="U872" s="9"/>
      <c r="V872" s="9"/>
      <c r="W872" s="9"/>
      <c r="X872" s="9"/>
      <c r="Y872" s="9"/>
      <c r="Z872" s="9"/>
      <c r="AA872" s="9"/>
      <c r="AB872" s="9"/>
    </row>
    <row r="873" spans="2:28" ht="14.1" customHeight="1">
      <c r="B873" s="191"/>
      <c r="C873" s="191"/>
      <c r="D873" s="191"/>
      <c r="E873" s="192"/>
      <c r="F873" s="9"/>
      <c r="G873" s="9"/>
      <c r="H873" s="9"/>
      <c r="I873" s="9"/>
      <c r="J873" s="438"/>
      <c r="K873" s="438"/>
      <c r="L873" s="438"/>
      <c r="M873" s="438"/>
      <c r="N873" s="193"/>
      <c r="O873" s="193"/>
      <c r="P873" s="193"/>
      <c r="Q873" s="193"/>
      <c r="R873" s="9"/>
      <c r="S873" s="9"/>
      <c r="T873" s="9"/>
      <c r="U873" s="9"/>
      <c r="V873" s="9"/>
      <c r="W873" s="9"/>
      <c r="X873" s="9"/>
      <c r="Y873" s="9"/>
      <c r="Z873" s="9"/>
      <c r="AA873" s="9"/>
      <c r="AB873" s="9"/>
    </row>
    <row r="874" spans="2:28" ht="14.1" customHeight="1">
      <c r="B874" s="191"/>
      <c r="C874" s="191"/>
      <c r="D874" s="191"/>
      <c r="E874" s="192"/>
      <c r="F874" s="9"/>
      <c r="G874" s="9"/>
      <c r="H874" s="9"/>
      <c r="I874" s="9"/>
      <c r="J874" s="438"/>
      <c r="K874" s="438"/>
      <c r="L874" s="438"/>
      <c r="M874" s="438"/>
      <c r="N874" s="193"/>
      <c r="O874" s="193"/>
      <c r="P874" s="193"/>
      <c r="Q874" s="193"/>
      <c r="R874" s="9"/>
      <c r="S874" s="9"/>
      <c r="T874" s="9"/>
      <c r="U874" s="9"/>
      <c r="V874" s="9"/>
      <c r="W874" s="9"/>
      <c r="X874" s="9"/>
      <c r="Y874" s="9"/>
      <c r="Z874" s="9"/>
      <c r="AA874" s="9"/>
      <c r="AB874" s="9"/>
    </row>
    <row r="875" spans="2:28" ht="14.1" customHeight="1">
      <c r="B875" s="191"/>
      <c r="C875" s="191"/>
      <c r="D875" s="191"/>
      <c r="E875" s="192"/>
      <c r="F875" s="9"/>
      <c r="G875" s="9"/>
      <c r="H875" s="9"/>
      <c r="I875" s="9"/>
      <c r="J875" s="438"/>
      <c r="K875" s="438"/>
      <c r="L875" s="438"/>
      <c r="M875" s="438"/>
      <c r="N875" s="193"/>
      <c r="O875" s="193"/>
      <c r="P875" s="193"/>
      <c r="Q875" s="193"/>
      <c r="R875" s="9"/>
      <c r="S875" s="9"/>
      <c r="T875" s="9"/>
      <c r="U875" s="9"/>
      <c r="V875" s="9"/>
      <c r="W875" s="9"/>
      <c r="X875" s="9"/>
      <c r="Y875" s="9"/>
      <c r="Z875" s="9"/>
      <c r="AA875" s="9"/>
      <c r="AB875" s="9"/>
    </row>
    <row r="876" spans="2:28" ht="14.1" customHeight="1">
      <c r="B876" s="191"/>
      <c r="C876" s="191"/>
      <c r="D876" s="191"/>
      <c r="E876" s="192"/>
      <c r="F876" s="9"/>
      <c r="G876" s="9"/>
      <c r="H876" s="9"/>
      <c r="I876" s="9"/>
      <c r="J876" s="438"/>
      <c r="K876" s="438"/>
      <c r="L876" s="438"/>
      <c r="M876" s="438"/>
      <c r="N876" s="193"/>
      <c r="O876" s="193"/>
      <c r="P876" s="193"/>
      <c r="Q876" s="193"/>
      <c r="R876" s="9"/>
      <c r="S876" s="9"/>
      <c r="T876" s="9"/>
      <c r="U876" s="9"/>
      <c r="V876" s="9"/>
      <c r="W876" s="9"/>
      <c r="X876" s="9"/>
      <c r="Y876" s="9"/>
      <c r="Z876" s="9"/>
      <c r="AA876" s="9"/>
      <c r="AB876" s="9"/>
    </row>
    <row r="877" spans="2:28" ht="14.1" customHeight="1">
      <c r="B877" s="191"/>
      <c r="C877" s="191"/>
      <c r="D877" s="191"/>
      <c r="E877" s="192"/>
      <c r="F877" s="9"/>
      <c r="G877" s="9"/>
      <c r="H877" s="9"/>
      <c r="I877" s="9"/>
      <c r="J877" s="438"/>
      <c r="K877" s="438"/>
      <c r="L877" s="438"/>
      <c r="M877" s="438"/>
      <c r="N877" s="193"/>
      <c r="O877" s="193"/>
      <c r="P877" s="193"/>
      <c r="Q877" s="193"/>
      <c r="R877" s="9"/>
      <c r="S877" s="9"/>
      <c r="T877" s="9"/>
      <c r="U877" s="9"/>
      <c r="V877" s="9"/>
      <c r="W877" s="9"/>
      <c r="X877" s="9"/>
      <c r="Y877" s="9"/>
      <c r="Z877" s="9"/>
      <c r="AA877" s="9"/>
      <c r="AB877" s="9"/>
    </row>
    <row r="878" spans="2:28" ht="14.1" customHeight="1">
      <c r="B878" s="191"/>
      <c r="C878" s="191"/>
      <c r="D878" s="191"/>
      <c r="E878" s="192"/>
      <c r="F878" s="9"/>
      <c r="G878" s="9"/>
      <c r="H878" s="9"/>
      <c r="I878" s="9"/>
      <c r="J878" s="438"/>
      <c r="K878" s="438"/>
      <c r="L878" s="438"/>
      <c r="M878" s="438"/>
      <c r="N878" s="193"/>
      <c r="O878" s="193"/>
      <c r="P878" s="193"/>
      <c r="Q878" s="193"/>
      <c r="R878" s="9"/>
      <c r="S878" s="9"/>
      <c r="T878" s="9"/>
      <c r="U878" s="9"/>
      <c r="V878" s="9"/>
      <c r="W878" s="9"/>
      <c r="X878" s="9"/>
      <c r="Y878" s="9"/>
      <c r="Z878" s="9"/>
      <c r="AA878" s="9"/>
      <c r="AB878" s="9"/>
    </row>
    <row r="879" spans="2:28" ht="14.1" customHeight="1">
      <c r="B879" s="191"/>
      <c r="C879" s="191"/>
      <c r="D879" s="191"/>
      <c r="E879" s="192"/>
      <c r="F879" s="9"/>
      <c r="G879" s="9"/>
      <c r="H879" s="9"/>
      <c r="I879" s="9"/>
      <c r="J879" s="438"/>
      <c r="K879" s="438"/>
      <c r="L879" s="438"/>
      <c r="M879" s="438"/>
      <c r="N879" s="193"/>
      <c r="O879" s="193"/>
      <c r="P879" s="193"/>
      <c r="Q879" s="193"/>
      <c r="R879" s="9"/>
      <c r="S879" s="9"/>
      <c r="T879" s="9"/>
      <c r="U879" s="9"/>
      <c r="V879" s="9"/>
      <c r="W879" s="9"/>
      <c r="X879" s="9"/>
      <c r="Y879" s="9"/>
      <c r="Z879" s="9"/>
      <c r="AA879" s="9"/>
      <c r="AB879" s="9"/>
    </row>
    <row r="880" spans="2:28" ht="14.1" customHeight="1">
      <c r="B880" s="191"/>
      <c r="C880" s="191"/>
      <c r="D880" s="191"/>
      <c r="E880" s="192"/>
      <c r="F880" s="9"/>
      <c r="G880" s="9"/>
      <c r="H880" s="9"/>
      <c r="I880" s="9"/>
      <c r="J880" s="438"/>
      <c r="K880" s="438"/>
      <c r="L880" s="438"/>
      <c r="M880" s="438"/>
      <c r="N880" s="193"/>
      <c r="O880" s="193"/>
      <c r="P880" s="193"/>
      <c r="Q880" s="193"/>
      <c r="R880" s="9"/>
      <c r="S880" s="9"/>
      <c r="T880" s="9"/>
      <c r="U880" s="9"/>
      <c r="V880" s="9"/>
      <c r="W880" s="9"/>
      <c r="X880" s="9"/>
      <c r="Y880" s="9"/>
      <c r="Z880" s="9"/>
      <c r="AA880" s="9"/>
      <c r="AB880" s="9"/>
    </row>
    <row r="881" spans="2:28" ht="14.1" customHeight="1">
      <c r="B881" s="191"/>
      <c r="C881" s="191"/>
      <c r="D881" s="191"/>
      <c r="E881" s="192"/>
      <c r="F881" s="9"/>
      <c r="G881" s="9"/>
      <c r="H881" s="9"/>
      <c r="I881" s="9"/>
      <c r="J881" s="438"/>
      <c r="K881" s="438"/>
      <c r="L881" s="438"/>
      <c r="M881" s="438"/>
      <c r="N881" s="193"/>
      <c r="O881" s="193"/>
      <c r="P881" s="193"/>
      <c r="Q881" s="193"/>
      <c r="R881" s="9"/>
      <c r="S881" s="9"/>
      <c r="T881" s="9"/>
      <c r="U881" s="9"/>
      <c r="V881" s="9"/>
      <c r="W881" s="9"/>
      <c r="X881" s="9"/>
      <c r="Y881" s="9"/>
      <c r="Z881" s="9"/>
      <c r="AA881" s="9"/>
      <c r="AB881" s="9"/>
    </row>
    <row r="882" spans="2:28" ht="14.1" customHeight="1">
      <c r="B882" s="191"/>
      <c r="C882" s="191"/>
      <c r="D882" s="191"/>
      <c r="E882" s="192"/>
      <c r="F882" s="9"/>
      <c r="G882" s="9"/>
      <c r="H882" s="9"/>
      <c r="I882" s="9"/>
      <c r="J882" s="438"/>
      <c r="K882" s="438"/>
      <c r="L882" s="438"/>
      <c r="M882" s="438"/>
      <c r="N882" s="193"/>
      <c r="O882" s="193"/>
      <c r="P882" s="193"/>
      <c r="Q882" s="193"/>
      <c r="R882" s="9"/>
      <c r="S882" s="9"/>
      <c r="T882" s="9"/>
      <c r="U882" s="9"/>
      <c r="V882" s="9"/>
      <c r="W882" s="9"/>
      <c r="X882" s="9"/>
      <c r="Y882" s="9"/>
      <c r="Z882" s="9"/>
      <c r="AA882" s="9"/>
      <c r="AB882" s="9"/>
    </row>
    <row r="883" spans="2:28" ht="14.1" customHeight="1">
      <c r="B883" s="191"/>
      <c r="C883" s="191"/>
      <c r="D883" s="191"/>
      <c r="E883" s="192"/>
      <c r="F883" s="9"/>
      <c r="G883" s="9"/>
      <c r="H883" s="9"/>
      <c r="I883" s="9"/>
      <c r="J883" s="438"/>
      <c r="K883" s="438"/>
      <c r="L883" s="438"/>
      <c r="M883" s="438"/>
      <c r="N883" s="193"/>
      <c r="O883" s="193"/>
      <c r="P883" s="193"/>
      <c r="Q883" s="193"/>
      <c r="R883" s="9"/>
      <c r="S883" s="9"/>
      <c r="T883" s="9"/>
      <c r="U883" s="9"/>
      <c r="V883" s="9"/>
      <c r="W883" s="9"/>
      <c r="X883" s="9"/>
      <c r="Y883" s="9"/>
      <c r="Z883" s="9"/>
      <c r="AA883" s="9"/>
      <c r="AB883" s="9"/>
    </row>
    <row r="884" spans="2:28" ht="14.1" customHeight="1">
      <c r="B884" s="191"/>
      <c r="C884" s="191"/>
      <c r="D884" s="191"/>
      <c r="E884" s="192"/>
      <c r="F884" s="9"/>
      <c r="G884" s="9"/>
      <c r="H884" s="9"/>
      <c r="I884" s="9"/>
      <c r="J884" s="438"/>
      <c r="K884" s="438"/>
      <c r="L884" s="438"/>
      <c r="M884" s="438"/>
      <c r="N884" s="193"/>
      <c r="O884" s="193"/>
      <c r="P884" s="193"/>
      <c r="Q884" s="193"/>
      <c r="R884" s="9"/>
      <c r="S884" s="9"/>
      <c r="T884" s="9"/>
      <c r="U884" s="9"/>
      <c r="V884" s="9"/>
      <c r="W884" s="9"/>
      <c r="X884" s="9"/>
      <c r="Y884" s="9"/>
      <c r="Z884" s="9"/>
      <c r="AA884" s="9"/>
      <c r="AB884" s="9"/>
    </row>
    <row r="885" spans="2:28" ht="14.1" customHeight="1">
      <c r="B885" s="191"/>
      <c r="C885" s="191"/>
      <c r="D885" s="191"/>
      <c r="E885" s="192"/>
      <c r="F885" s="9"/>
      <c r="G885" s="9"/>
      <c r="H885" s="9"/>
      <c r="I885" s="9"/>
      <c r="J885" s="438"/>
      <c r="K885" s="438"/>
      <c r="L885" s="438"/>
      <c r="M885" s="438"/>
      <c r="N885" s="193"/>
      <c r="O885" s="193"/>
      <c r="P885" s="193"/>
      <c r="Q885" s="193"/>
      <c r="R885" s="9"/>
      <c r="S885" s="9"/>
      <c r="T885" s="9"/>
      <c r="U885" s="9"/>
      <c r="V885" s="9"/>
      <c r="W885" s="9"/>
      <c r="X885" s="9"/>
      <c r="Y885" s="9"/>
      <c r="Z885" s="9"/>
      <c r="AA885" s="9"/>
      <c r="AB885" s="9"/>
    </row>
    <row r="886" spans="2:28" ht="14.1" customHeight="1">
      <c r="B886" s="191"/>
      <c r="C886" s="191"/>
      <c r="D886" s="191"/>
      <c r="E886" s="192"/>
      <c r="F886" s="9"/>
      <c r="G886" s="9"/>
      <c r="H886" s="9"/>
      <c r="I886" s="9"/>
      <c r="J886" s="438"/>
      <c r="K886" s="438"/>
      <c r="L886" s="438"/>
      <c r="M886" s="438"/>
      <c r="N886" s="193"/>
      <c r="O886" s="193"/>
      <c r="P886" s="193"/>
      <c r="Q886" s="193"/>
      <c r="R886" s="9"/>
      <c r="S886" s="9"/>
      <c r="T886" s="9"/>
      <c r="U886" s="9"/>
      <c r="V886" s="9"/>
      <c r="W886" s="9"/>
      <c r="X886" s="9"/>
      <c r="Y886" s="9"/>
      <c r="Z886" s="9"/>
      <c r="AA886" s="9"/>
      <c r="AB886" s="9"/>
    </row>
    <row r="887" spans="2:28" ht="14.1" customHeight="1">
      <c r="B887" s="191"/>
      <c r="C887" s="191"/>
      <c r="D887" s="191"/>
      <c r="E887" s="192"/>
      <c r="F887" s="9"/>
      <c r="G887" s="9"/>
      <c r="H887" s="9"/>
      <c r="I887" s="9"/>
      <c r="J887" s="438"/>
      <c r="K887" s="438"/>
      <c r="L887" s="438"/>
      <c r="M887" s="438"/>
      <c r="N887" s="193"/>
      <c r="O887" s="193"/>
      <c r="P887" s="193"/>
      <c r="Q887" s="193"/>
      <c r="R887" s="9"/>
      <c r="S887" s="9"/>
      <c r="T887" s="9"/>
      <c r="U887" s="9"/>
      <c r="V887" s="9"/>
      <c r="W887" s="9"/>
      <c r="X887" s="9"/>
      <c r="Y887" s="9"/>
      <c r="Z887" s="9"/>
      <c r="AA887" s="9"/>
      <c r="AB887" s="9"/>
    </row>
    <row r="888" spans="2:28" ht="14.1" customHeight="1">
      <c r="B888" s="191"/>
      <c r="C888" s="191"/>
      <c r="D888" s="191"/>
      <c r="E888" s="192"/>
      <c r="F888" s="9"/>
      <c r="G888" s="9"/>
      <c r="H888" s="9"/>
      <c r="I888" s="9"/>
      <c r="J888" s="438"/>
      <c r="K888" s="438"/>
      <c r="L888" s="438"/>
      <c r="M888" s="438"/>
      <c r="N888" s="193"/>
      <c r="O888" s="193"/>
      <c r="P888" s="193"/>
      <c r="Q888" s="193"/>
      <c r="R888" s="9"/>
      <c r="S888" s="9"/>
      <c r="T888" s="9"/>
      <c r="U888" s="9"/>
      <c r="V888" s="9"/>
      <c r="W888" s="9"/>
      <c r="X888" s="9"/>
      <c r="Y888" s="9"/>
      <c r="Z888" s="9"/>
      <c r="AA888" s="9"/>
      <c r="AB888" s="9"/>
    </row>
    <row r="889" spans="2:28" ht="14.1" customHeight="1">
      <c r="B889" s="191"/>
      <c r="C889" s="191"/>
      <c r="D889" s="191"/>
      <c r="E889" s="192"/>
      <c r="F889" s="9"/>
      <c r="G889" s="9"/>
      <c r="H889" s="9"/>
      <c r="I889" s="9"/>
      <c r="J889" s="438"/>
      <c r="K889" s="438"/>
      <c r="L889" s="438"/>
      <c r="M889" s="438"/>
      <c r="N889" s="193"/>
      <c r="O889" s="193"/>
      <c r="P889" s="193"/>
      <c r="Q889" s="193"/>
      <c r="R889" s="9"/>
      <c r="S889" s="9"/>
      <c r="T889" s="9"/>
      <c r="U889" s="9"/>
      <c r="V889" s="9"/>
      <c r="W889" s="9"/>
      <c r="X889" s="9"/>
      <c r="Y889" s="9"/>
      <c r="Z889" s="9"/>
      <c r="AA889" s="9"/>
      <c r="AB889" s="9"/>
    </row>
    <row r="890" spans="2:28" ht="14.1" customHeight="1">
      <c r="B890" s="191"/>
      <c r="C890" s="191"/>
      <c r="D890" s="191"/>
      <c r="E890" s="192"/>
      <c r="F890" s="9"/>
      <c r="G890" s="9"/>
      <c r="H890" s="9"/>
      <c r="I890" s="9"/>
      <c r="J890" s="438"/>
      <c r="K890" s="438"/>
      <c r="L890" s="438"/>
      <c r="M890" s="438"/>
      <c r="N890" s="193"/>
      <c r="O890" s="193"/>
      <c r="P890" s="193"/>
      <c r="Q890" s="193"/>
      <c r="R890" s="9"/>
      <c r="S890" s="9"/>
      <c r="T890" s="9"/>
      <c r="U890" s="9"/>
      <c r="V890" s="9"/>
      <c r="W890" s="9"/>
      <c r="X890" s="9"/>
      <c r="Y890" s="9"/>
      <c r="Z890" s="9"/>
      <c r="AA890" s="9"/>
      <c r="AB890" s="9"/>
    </row>
    <row r="891" spans="2:28" ht="14.1" customHeight="1">
      <c r="B891" s="191"/>
      <c r="C891" s="191"/>
      <c r="D891" s="191"/>
      <c r="E891" s="192"/>
      <c r="F891" s="9"/>
      <c r="G891" s="9"/>
      <c r="H891" s="9"/>
      <c r="I891" s="9"/>
      <c r="J891" s="438"/>
      <c r="K891" s="438"/>
      <c r="L891" s="438"/>
      <c r="M891" s="438"/>
      <c r="N891" s="193"/>
      <c r="O891" s="193"/>
      <c r="P891" s="193"/>
      <c r="Q891" s="193"/>
      <c r="R891" s="9"/>
      <c r="S891" s="9"/>
      <c r="T891" s="9"/>
      <c r="U891" s="9"/>
      <c r="V891" s="9"/>
      <c r="W891" s="9"/>
      <c r="X891" s="9"/>
      <c r="Y891" s="9"/>
      <c r="Z891" s="9"/>
      <c r="AA891" s="9"/>
      <c r="AB891" s="9"/>
    </row>
    <row r="892" spans="2:28" ht="14.1" customHeight="1">
      <c r="B892" s="191"/>
      <c r="C892" s="191"/>
      <c r="D892" s="191"/>
      <c r="E892" s="192"/>
      <c r="F892" s="9"/>
      <c r="G892" s="9"/>
      <c r="H892" s="9"/>
      <c r="I892" s="9"/>
      <c r="J892" s="438"/>
      <c r="K892" s="438"/>
      <c r="L892" s="438"/>
      <c r="M892" s="438"/>
      <c r="N892" s="193"/>
      <c r="O892" s="193"/>
      <c r="P892" s="193"/>
      <c r="Q892" s="193"/>
      <c r="R892" s="9"/>
      <c r="S892" s="9"/>
      <c r="T892" s="9"/>
      <c r="U892" s="9"/>
      <c r="V892" s="9"/>
      <c r="W892" s="9"/>
      <c r="X892" s="9"/>
      <c r="Y892" s="9"/>
      <c r="Z892" s="9"/>
      <c r="AA892" s="9"/>
      <c r="AB892" s="9"/>
    </row>
    <row r="893" spans="2:28" ht="14.1" customHeight="1">
      <c r="B893" s="191"/>
      <c r="C893" s="191"/>
      <c r="D893" s="191"/>
      <c r="E893" s="192"/>
      <c r="F893" s="9"/>
      <c r="G893" s="9"/>
      <c r="H893" s="9"/>
      <c r="I893" s="9"/>
      <c r="J893" s="438"/>
      <c r="K893" s="438"/>
      <c r="L893" s="438"/>
      <c r="M893" s="438"/>
      <c r="N893" s="193"/>
      <c r="O893" s="193"/>
      <c r="P893" s="193"/>
      <c r="Q893" s="193"/>
      <c r="R893" s="9"/>
      <c r="S893" s="9"/>
      <c r="T893" s="9"/>
      <c r="U893" s="9"/>
      <c r="V893" s="9"/>
      <c r="W893" s="9"/>
      <c r="X893" s="9"/>
      <c r="Y893" s="9"/>
      <c r="Z893" s="9"/>
      <c r="AA893" s="9"/>
      <c r="AB893" s="9"/>
    </row>
    <row r="894" spans="2:28" ht="14.1" customHeight="1">
      <c r="B894" s="191"/>
      <c r="C894" s="191"/>
      <c r="D894" s="191"/>
      <c r="E894" s="192"/>
      <c r="F894" s="9"/>
      <c r="G894" s="9"/>
      <c r="H894" s="9"/>
      <c r="I894" s="9"/>
      <c r="J894" s="438"/>
      <c r="K894" s="438"/>
      <c r="L894" s="438"/>
      <c r="M894" s="438"/>
      <c r="N894" s="193"/>
      <c r="O894" s="193"/>
      <c r="P894" s="193"/>
      <c r="Q894" s="193"/>
      <c r="R894" s="9"/>
      <c r="S894" s="9"/>
      <c r="T894" s="9"/>
      <c r="U894" s="9"/>
      <c r="V894" s="9"/>
      <c r="W894" s="9"/>
      <c r="X894" s="9"/>
      <c r="Y894" s="9"/>
      <c r="Z894" s="9"/>
      <c r="AA894" s="9"/>
      <c r="AB894" s="9"/>
    </row>
    <row r="895" spans="2:28" ht="14.1" customHeight="1">
      <c r="B895" s="191"/>
      <c r="C895" s="191"/>
      <c r="D895" s="191"/>
      <c r="E895" s="192"/>
      <c r="F895" s="9"/>
      <c r="G895" s="9"/>
      <c r="H895" s="9"/>
      <c r="I895" s="9"/>
      <c r="J895" s="438"/>
      <c r="K895" s="438"/>
      <c r="L895" s="438"/>
      <c r="M895" s="438"/>
      <c r="N895" s="193"/>
      <c r="O895" s="193"/>
      <c r="P895" s="193"/>
      <c r="Q895" s="193"/>
      <c r="R895" s="9"/>
      <c r="S895" s="9"/>
      <c r="T895" s="9"/>
      <c r="U895" s="9"/>
      <c r="V895" s="9"/>
      <c r="W895" s="9"/>
      <c r="X895" s="9"/>
      <c r="Y895" s="9"/>
      <c r="Z895" s="9"/>
      <c r="AA895" s="9"/>
      <c r="AB895" s="9"/>
    </row>
    <row r="896" spans="2:28" ht="14.1" customHeight="1">
      <c r="B896" s="191"/>
      <c r="C896" s="191"/>
      <c r="D896" s="191"/>
      <c r="E896" s="192"/>
      <c r="F896" s="9"/>
      <c r="G896" s="9"/>
      <c r="H896" s="9"/>
      <c r="I896" s="9"/>
      <c r="J896" s="438"/>
      <c r="K896" s="438"/>
      <c r="L896" s="438"/>
      <c r="M896" s="438"/>
      <c r="N896" s="193"/>
      <c r="O896" s="193"/>
      <c r="P896" s="193"/>
      <c r="Q896" s="193"/>
      <c r="R896" s="9"/>
      <c r="S896" s="9"/>
      <c r="T896" s="9"/>
      <c r="U896" s="9"/>
      <c r="V896" s="9"/>
      <c r="W896" s="9"/>
      <c r="X896" s="9"/>
      <c r="Y896" s="9"/>
      <c r="Z896" s="9"/>
      <c r="AA896" s="9"/>
      <c r="AB896" s="9"/>
    </row>
    <row r="897" spans="2:28" ht="14.1" customHeight="1">
      <c r="B897" s="191"/>
      <c r="C897" s="191"/>
      <c r="D897" s="191"/>
      <c r="E897" s="192"/>
      <c r="F897" s="9"/>
      <c r="G897" s="9"/>
      <c r="H897" s="9"/>
      <c r="I897" s="9"/>
      <c r="J897" s="438"/>
      <c r="K897" s="438"/>
      <c r="L897" s="438"/>
      <c r="M897" s="438"/>
      <c r="N897" s="193"/>
      <c r="O897" s="193"/>
      <c r="P897" s="193"/>
      <c r="Q897" s="193"/>
      <c r="R897" s="9"/>
      <c r="S897" s="9"/>
      <c r="T897" s="9"/>
      <c r="U897" s="9"/>
      <c r="V897" s="9"/>
      <c r="W897" s="9"/>
      <c r="X897" s="9"/>
      <c r="Y897" s="9"/>
      <c r="Z897" s="9"/>
      <c r="AA897" s="9"/>
      <c r="AB897" s="9"/>
    </row>
    <row r="898" spans="2:28" ht="14.1" customHeight="1">
      <c r="B898" s="191"/>
      <c r="C898" s="191"/>
      <c r="D898" s="191"/>
      <c r="E898" s="192"/>
      <c r="F898" s="9"/>
      <c r="G898" s="9"/>
      <c r="H898" s="9"/>
      <c r="I898" s="9"/>
      <c r="J898" s="438"/>
      <c r="K898" s="438"/>
      <c r="L898" s="438"/>
      <c r="M898" s="438"/>
      <c r="N898" s="193"/>
      <c r="O898" s="193"/>
      <c r="P898" s="193"/>
      <c r="Q898" s="193"/>
      <c r="R898" s="9"/>
      <c r="S898" s="9"/>
      <c r="T898" s="9"/>
      <c r="U898" s="9"/>
      <c r="V898" s="9"/>
      <c r="W898" s="9"/>
      <c r="X898" s="9"/>
      <c r="Y898" s="9"/>
      <c r="Z898" s="9"/>
      <c r="AA898" s="9"/>
      <c r="AB898" s="9"/>
    </row>
    <row r="899" spans="2:28" ht="14.1" customHeight="1">
      <c r="B899" s="191"/>
      <c r="C899" s="191"/>
      <c r="D899" s="191"/>
      <c r="E899" s="192"/>
      <c r="F899" s="9"/>
      <c r="G899" s="9"/>
      <c r="H899" s="9"/>
      <c r="I899" s="9"/>
      <c r="J899" s="438"/>
      <c r="K899" s="438"/>
      <c r="L899" s="438"/>
      <c r="M899" s="438"/>
      <c r="N899" s="193"/>
      <c r="O899" s="193"/>
      <c r="P899" s="193"/>
      <c r="Q899" s="193"/>
      <c r="R899" s="9"/>
      <c r="S899" s="9"/>
      <c r="T899" s="9"/>
      <c r="U899" s="9"/>
      <c r="V899" s="9"/>
      <c r="W899" s="9"/>
      <c r="X899" s="9"/>
      <c r="Y899" s="9"/>
      <c r="Z899" s="9"/>
      <c r="AA899" s="9"/>
      <c r="AB899" s="9"/>
    </row>
    <row r="900" spans="2:28" ht="14.1" customHeight="1">
      <c r="E900" s="192"/>
      <c r="F900" s="9"/>
      <c r="G900" s="9"/>
      <c r="H900" s="9"/>
      <c r="I900" s="9"/>
      <c r="J900" s="438"/>
      <c r="K900" s="438"/>
      <c r="L900" s="438"/>
      <c r="M900" s="438"/>
      <c r="N900" s="193"/>
      <c r="O900" s="193"/>
      <c r="P900" s="193"/>
      <c r="Q900" s="193"/>
      <c r="R900" s="9"/>
      <c r="S900" s="9"/>
      <c r="T900" s="9"/>
      <c r="U900" s="9"/>
      <c r="V900" s="9"/>
      <c r="W900" s="9"/>
      <c r="X900" s="9"/>
      <c r="Y900" s="9"/>
      <c r="Z900" s="9"/>
      <c r="AA900" s="9"/>
      <c r="AB900" s="9"/>
    </row>
    <row r="901" spans="2:28" ht="14.1" customHeight="1">
      <c r="E901" s="192"/>
      <c r="F901" s="9"/>
      <c r="G901" s="9"/>
      <c r="H901" s="9"/>
      <c r="I901" s="9"/>
      <c r="J901" s="438"/>
      <c r="K901" s="438"/>
      <c r="L901" s="438"/>
      <c r="M901" s="438"/>
      <c r="N901" s="193"/>
      <c r="O901" s="193"/>
      <c r="P901" s="193"/>
      <c r="Q901" s="193"/>
      <c r="R901" s="9"/>
      <c r="S901" s="9"/>
      <c r="T901" s="9"/>
      <c r="U901" s="9"/>
      <c r="V901" s="9"/>
      <c r="W901" s="9"/>
      <c r="X901" s="9"/>
      <c r="Y901" s="9"/>
      <c r="Z901" s="9"/>
      <c r="AA901" s="9"/>
      <c r="AB901" s="9"/>
    </row>
    <row r="902" spans="2:28" ht="14.1" customHeight="1">
      <c r="E902" s="192"/>
      <c r="F902" s="9"/>
      <c r="G902" s="9"/>
      <c r="H902" s="9"/>
      <c r="I902" s="9"/>
      <c r="J902" s="438"/>
      <c r="K902" s="438"/>
      <c r="L902" s="438"/>
      <c r="M902" s="438"/>
      <c r="N902" s="193"/>
      <c r="O902" s="193"/>
      <c r="P902" s="193"/>
      <c r="Q902" s="193"/>
      <c r="R902" s="9"/>
      <c r="S902" s="9"/>
      <c r="T902" s="9"/>
      <c r="U902" s="9"/>
      <c r="V902" s="9"/>
      <c r="W902" s="9"/>
      <c r="X902" s="9"/>
      <c r="Y902" s="9"/>
      <c r="Z902" s="9"/>
      <c r="AA902" s="9"/>
      <c r="AB902" s="9"/>
    </row>
    <row r="903" spans="2:28" ht="14.1" customHeight="1">
      <c r="E903" s="192"/>
      <c r="F903" s="9"/>
      <c r="G903" s="9"/>
      <c r="H903" s="9"/>
      <c r="I903" s="9"/>
      <c r="J903" s="438"/>
      <c r="K903" s="438"/>
      <c r="L903" s="438"/>
      <c r="M903" s="438"/>
      <c r="N903" s="193"/>
      <c r="O903" s="193"/>
      <c r="P903" s="193"/>
      <c r="Q903" s="193"/>
      <c r="R903" s="9"/>
      <c r="S903" s="9"/>
      <c r="T903" s="9"/>
      <c r="U903" s="9"/>
      <c r="V903" s="9"/>
      <c r="W903" s="9"/>
      <c r="X903" s="9"/>
      <c r="Y903" s="9"/>
      <c r="Z903" s="9"/>
      <c r="AA903" s="9"/>
      <c r="AB903" s="9"/>
    </row>
  </sheetData>
  <autoFilter ref="B9:AD531" xr:uid="{00000000-0009-0000-0000-000004000000}"/>
  <mergeCells count="1">
    <mergeCell ref="X6:Z7"/>
  </mergeCells>
  <phoneticPr fontId="9"/>
  <printOptions horizontalCentered="1" gridLinesSet="0"/>
  <pageMargins left="0.19685039370078741" right="0.19685039370078741" top="0.59055118110236227" bottom="0.78740157480314965" header="0.39370078740157483" footer="0.19685039370078741"/>
  <pageSetup paperSize="9" scale="51"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25" min="1" max="21" man="1"/>
    <brk id="275" min="1" max="21" man="1"/>
    <brk id="327" min="1" max="21" man="1"/>
    <brk id="366"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4"/>
  <sheetViews>
    <sheetView showGridLines="0" showZeros="0" showOutlineSymbols="0" zoomScaleNormal="100" zoomScaleSheetLayoutView="100" workbookViewId="0">
      <pane ySplit="9" topLeftCell="A10" activePane="bottomLeft" state="frozen"/>
      <selection activeCell="D33" sqref="D33"/>
      <selection pane="bottomLeft" activeCell="A10" sqref="A10"/>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442" t="s">
        <v>25</v>
      </c>
      <c r="B1" s="195"/>
      <c r="C1" s="46"/>
      <c r="D1" s="46"/>
      <c r="E1" s="46"/>
      <c r="F1" s="3"/>
      <c r="G1" s="3"/>
      <c r="H1" s="47"/>
    </row>
    <row r="2" spans="1:9">
      <c r="A2" s="2"/>
      <c r="B2" s="2"/>
      <c r="C2" s="2"/>
      <c r="D2" s="2"/>
      <c r="E2" s="2"/>
      <c r="F2" s="3"/>
      <c r="G2" s="3"/>
    </row>
    <row r="3" spans="1:9" ht="15">
      <c r="A3" s="114" t="str">
        <f>'1-Contractblad totaal'!A3</f>
        <v>Naam opdrachtgever</v>
      </c>
      <c r="B3" s="141" t="str">
        <f>'1-Contractblad totaal'!B3</f>
        <v>Juridisch Loket</v>
      </c>
      <c r="C3" s="2"/>
      <c r="D3" s="2"/>
      <c r="E3" s="502"/>
      <c r="F3" s="3"/>
      <c r="G3" s="3"/>
    </row>
    <row r="4" spans="1:9" ht="15">
      <c r="A4" s="114" t="str">
        <f>'1-Contractblad totaal'!A4</f>
        <v>Calculatie onderdeel</v>
      </c>
      <c r="B4" s="141" t="str">
        <f ca="1">MID(CELL("bestandsnaam",$C$9),SEARCH("]",CELL("bestandsnaam",$C$9),1)+1,256)</f>
        <v>5-Premies en opslagen</v>
      </c>
      <c r="C4" s="196"/>
      <c r="D4" s="197"/>
      <c r="E4" s="198"/>
      <c r="F4" s="6"/>
      <c r="G4" s="6"/>
    </row>
    <row r="5" spans="1:9" ht="15">
      <c r="A5" s="114" t="str">
        <f>'1-Contractblad totaal'!A5</f>
        <v>Gebouw/plaats</v>
      </c>
      <c r="B5" s="141" t="str">
        <f>'1-Contractblad totaal'!B5</f>
        <v>Diverse locaties</v>
      </c>
      <c r="C5" s="114"/>
      <c r="D5" s="199"/>
      <c r="E5" s="200"/>
      <c r="F5" s="8"/>
      <c r="G5" s="6"/>
    </row>
    <row r="6" spans="1:9" ht="15">
      <c r="A6" s="114" t="str">
        <f>'1-Contractblad totaal'!A6</f>
        <v>Referentie nummer</v>
      </c>
      <c r="B6" s="141" t="str">
        <f>'1-Contractblad totaal'!B6</f>
        <v>EU-JL-ID.MvD-2020</v>
      </c>
      <c r="C6" s="149"/>
      <c r="D6" s="199"/>
      <c r="E6" s="509"/>
      <c r="F6" s="508"/>
      <c r="G6" s="510"/>
      <c r="H6" s="511"/>
    </row>
    <row r="7" spans="1:9" ht="15">
      <c r="A7" s="114" t="str">
        <f>'1-Contractblad totaal'!A8</f>
        <v>Naam dienstverlener</v>
      </c>
      <c r="B7" s="141">
        <f>'1-Contractblad totaal'!B8</f>
        <v>0</v>
      </c>
      <c r="C7" s="201"/>
      <c r="D7" s="22"/>
      <c r="E7" s="202"/>
      <c r="F7" s="8"/>
      <c r="G7" s="6"/>
      <c r="H7" s="9"/>
      <c r="I7" s="9"/>
    </row>
    <row r="8" spans="1:9" ht="15">
      <c r="A8" s="114" t="str">
        <f>'1-Contractblad totaal'!A9</f>
        <v>Prijspeil</v>
      </c>
      <c r="B8" s="115">
        <f>'1-Contractblad totaal'!B9</f>
        <v>44013</v>
      </c>
      <c r="C8" s="200"/>
      <c r="D8" s="200"/>
      <c r="E8" s="200"/>
      <c r="F8" s="8"/>
      <c r="G8" s="6"/>
    </row>
    <row r="9" spans="1:9" ht="15">
      <c r="A9" s="203"/>
      <c r="B9" s="200"/>
      <c r="C9" s="200"/>
      <c r="D9" s="200"/>
      <c r="E9" s="200"/>
      <c r="F9" s="8"/>
      <c r="G9" s="6"/>
    </row>
    <row r="10" spans="1:9" ht="17.399999999999999">
      <c r="A10" s="236" t="s">
        <v>3</v>
      </c>
      <c r="B10" s="237"/>
      <c r="C10" s="238"/>
      <c r="D10" s="200"/>
      <c r="E10" s="200"/>
      <c r="F10" s="8"/>
      <c r="G10" s="6"/>
    </row>
    <row r="11" spans="1:9">
      <c r="A11" s="204"/>
      <c r="B11" s="5"/>
      <c r="C11" s="5"/>
      <c r="D11" s="200"/>
      <c r="E11" s="200"/>
      <c r="F11" s="6"/>
      <c r="G11" s="6"/>
    </row>
    <row r="12" spans="1:9">
      <c r="A12" s="205"/>
      <c r="B12" s="206"/>
      <c r="C12" s="207" t="s">
        <v>40</v>
      </c>
      <c r="D12" s="200"/>
      <c r="E12" s="200"/>
      <c r="F12" s="8"/>
      <c r="G12" s="6"/>
    </row>
    <row r="13" spans="1:9">
      <c r="A13" s="208" t="s">
        <v>91</v>
      </c>
      <c r="B13" s="175"/>
      <c r="C13" s="443"/>
      <c r="D13" s="200"/>
      <c r="E13" s="200"/>
      <c r="F13" s="209"/>
      <c r="G13" s="6"/>
    </row>
    <row r="14" spans="1:9">
      <c r="A14" s="208" t="s">
        <v>202</v>
      </c>
      <c r="B14" s="175"/>
      <c r="C14" s="443"/>
      <c r="D14" s="200"/>
      <c r="E14" s="200"/>
      <c r="F14" s="209"/>
      <c r="G14" s="6"/>
      <c r="H14" s="47"/>
    </row>
    <row r="15" spans="1:9">
      <c r="A15" s="208" t="s">
        <v>92</v>
      </c>
      <c r="B15" s="175"/>
      <c r="C15" s="443"/>
      <c r="D15" s="200"/>
      <c r="E15" s="200"/>
      <c r="F15" s="209"/>
      <c r="G15" s="6"/>
      <c r="H15" s="47"/>
    </row>
    <row r="16" spans="1:9">
      <c r="A16" s="210" t="s">
        <v>8</v>
      </c>
      <c r="B16" s="211"/>
      <c r="C16" s="212">
        <f>SUM(C13:C15)</f>
        <v>0</v>
      </c>
      <c r="D16" s="200"/>
      <c r="E16" s="200"/>
      <c r="F16" s="6"/>
      <c r="G16" s="47"/>
    </row>
    <row r="17" spans="1:9">
      <c r="A17" s="210"/>
      <c r="B17" s="211"/>
      <c r="C17" s="212"/>
      <c r="D17" s="200"/>
      <c r="E17" s="200"/>
      <c r="F17" s="6"/>
      <c r="G17" s="47"/>
    </row>
    <row r="18" spans="1:9">
      <c r="A18" s="665" t="s">
        <v>93</v>
      </c>
      <c r="B18" s="666"/>
      <c r="C18" s="443"/>
      <c r="D18" s="200"/>
      <c r="E18" s="200"/>
      <c r="F18" s="6"/>
    </row>
    <row r="19" spans="1:9">
      <c r="A19" s="522" t="s">
        <v>243</v>
      </c>
      <c r="B19" s="520"/>
      <c r="C19" s="521"/>
      <c r="D19" s="200"/>
      <c r="E19" s="200"/>
      <c r="F19" s="6"/>
    </row>
    <row r="20" spans="1:9">
      <c r="A20" s="665" t="s">
        <v>94</v>
      </c>
      <c r="B20" s="666"/>
      <c r="C20" s="443"/>
      <c r="D20" s="200"/>
      <c r="E20" s="200"/>
      <c r="F20" s="6"/>
    </row>
    <row r="21" spans="1:9">
      <c r="A21" s="665" t="s">
        <v>35</v>
      </c>
      <c r="B21" s="666"/>
      <c r="C21" s="213" t="e">
        <f>C35</f>
        <v>#DIV/0!</v>
      </c>
      <c r="D21" s="200"/>
      <c r="E21" s="200"/>
      <c r="F21" s="6"/>
    </row>
    <row r="22" spans="1:9">
      <c r="A22" s="665" t="s">
        <v>36</v>
      </c>
      <c r="B22" s="666"/>
      <c r="C22" s="443"/>
      <c r="D22" s="200"/>
      <c r="E22" s="200"/>
      <c r="F22" s="6"/>
    </row>
    <row r="23" spans="1:9">
      <c r="A23" s="665" t="s">
        <v>76</v>
      </c>
      <c r="B23" s="666"/>
      <c r="C23" s="443"/>
      <c r="D23" s="200"/>
      <c r="E23" s="200"/>
      <c r="F23" s="6"/>
    </row>
    <row r="24" spans="1:9">
      <c r="A24" s="665" t="s">
        <v>227</v>
      </c>
      <c r="B24" s="666"/>
      <c r="C24" s="443"/>
      <c r="D24" s="200"/>
      <c r="E24" s="200"/>
      <c r="F24" s="6"/>
    </row>
    <row r="25" spans="1:9">
      <c r="A25" s="667" t="s">
        <v>75</v>
      </c>
      <c r="B25" s="668"/>
      <c r="C25" s="214" t="e">
        <f>SUM(C16:C24)</f>
        <v>#DIV/0!</v>
      </c>
      <c r="D25" s="200"/>
      <c r="E25" s="200"/>
      <c r="F25" s="6"/>
    </row>
    <row r="26" spans="1:9">
      <c r="A26" s="215"/>
      <c r="B26" s="197"/>
      <c r="C26" s="18"/>
      <c r="D26" s="200"/>
      <c r="E26" s="200"/>
      <c r="F26" s="19"/>
      <c r="G26" s="6"/>
    </row>
    <row r="27" spans="1:9" ht="17.399999999999999">
      <c r="A27" s="236" t="s">
        <v>69</v>
      </c>
      <c r="B27" s="237"/>
      <c r="C27" s="238"/>
      <c r="D27" s="200"/>
      <c r="E27" s="200"/>
      <c r="F27" s="8"/>
      <c r="G27" s="6"/>
    </row>
    <row r="28" spans="1:9">
      <c r="A28" s="204"/>
      <c r="B28" s="5"/>
      <c r="C28" s="5"/>
      <c r="D28" s="200"/>
      <c r="E28" s="200"/>
      <c r="F28" s="6"/>
      <c r="G28" s="6"/>
      <c r="H28" s="47"/>
    </row>
    <row r="29" spans="1:9">
      <c r="A29" s="5"/>
      <c r="B29" s="5"/>
      <c r="C29" s="216" t="s">
        <v>16</v>
      </c>
      <c r="D29" s="200"/>
      <c r="E29" s="200"/>
      <c r="F29" s="6"/>
      <c r="G29" s="6"/>
      <c r="H29" s="47"/>
    </row>
    <row r="30" spans="1:9">
      <c r="A30" s="208" t="s">
        <v>21</v>
      </c>
      <c r="B30" s="206"/>
      <c r="C30" s="217">
        <f>'6-Opbouw uurtarief productie'!E22</f>
        <v>0</v>
      </c>
      <c r="D30" s="200"/>
      <c r="E30" s="200"/>
      <c r="F30" s="47"/>
      <c r="G30" s="6"/>
      <c r="H30" s="47"/>
      <c r="I30" s="47"/>
    </row>
    <row r="31" spans="1:9">
      <c r="A31" s="208" t="s">
        <v>53</v>
      </c>
      <c r="B31" s="484" t="s">
        <v>207</v>
      </c>
      <c r="C31" s="444"/>
      <c r="D31" s="200"/>
      <c r="E31" s="200"/>
      <c r="F31" s="8"/>
      <c r="G31" s="6"/>
      <c r="H31" s="47"/>
      <c r="I31" s="47"/>
    </row>
    <row r="32" spans="1:9">
      <c r="A32" s="208" t="s">
        <v>47</v>
      </c>
      <c r="B32" s="206"/>
      <c r="C32" s="218">
        <f>C30+C31</f>
        <v>0</v>
      </c>
      <c r="D32" s="200"/>
      <c r="E32" s="200"/>
      <c r="F32" s="8"/>
      <c r="G32" s="6"/>
      <c r="H32" s="47"/>
      <c r="I32" s="47"/>
    </row>
    <row r="33" spans="1:8">
      <c r="A33" s="219" t="s">
        <v>0</v>
      </c>
      <c r="B33" s="220"/>
      <c r="C33" s="445"/>
      <c r="E33" s="221"/>
      <c r="F33" s="8"/>
      <c r="G33" s="6"/>
      <c r="H33" s="47"/>
    </row>
    <row r="34" spans="1:8">
      <c r="A34" s="204"/>
      <c r="B34" s="222"/>
      <c r="C34" s="223"/>
      <c r="E34" s="5"/>
      <c r="F34" s="6"/>
      <c r="G34" s="6"/>
      <c r="H34" s="47"/>
    </row>
    <row r="35" spans="1:8">
      <c r="A35" s="395" t="s">
        <v>48</v>
      </c>
      <c r="B35" s="323"/>
      <c r="C35" s="396" t="e">
        <f>(C32/C30)*C33</f>
        <v>#DIV/0!</v>
      </c>
      <c r="E35" s="224"/>
      <c r="F35" s="8"/>
      <c r="G35" s="225"/>
      <c r="H35" s="47"/>
    </row>
    <row r="36" spans="1:8">
      <c r="A36" s="204"/>
      <c r="B36" s="5"/>
      <c r="C36" s="5"/>
      <c r="E36" s="224"/>
      <c r="F36" s="8"/>
      <c r="G36" s="6"/>
    </row>
    <row r="37" spans="1:8" ht="17.399999999999999">
      <c r="A37" s="239" t="s">
        <v>56</v>
      </c>
      <c r="B37" s="240"/>
      <c r="C37" s="241"/>
      <c r="E37" s="224"/>
      <c r="F37" s="8"/>
      <c r="G37" s="6"/>
    </row>
    <row r="38" spans="1:8">
      <c r="A38" s="215"/>
      <c r="B38" s="197"/>
      <c r="C38" s="18"/>
      <c r="E38" s="224"/>
      <c r="F38" s="8"/>
      <c r="G38" s="6"/>
    </row>
    <row r="39" spans="1:8">
      <c r="A39" s="215"/>
      <c r="B39" s="418" t="s">
        <v>81</v>
      </c>
      <c r="C39" s="18"/>
      <c r="E39" s="224"/>
      <c r="F39" s="8"/>
      <c r="G39" s="6"/>
    </row>
    <row r="40" spans="1:8">
      <c r="A40" s="226" t="s">
        <v>5</v>
      </c>
      <c r="B40" s="446"/>
      <c r="C40" s="18"/>
      <c r="E40" s="224"/>
      <c r="F40" s="8"/>
      <c r="G40" s="24"/>
    </row>
    <row r="41" spans="1:8">
      <c r="A41" s="226" t="s">
        <v>4</v>
      </c>
      <c r="B41" s="446"/>
      <c r="C41" s="18"/>
      <c r="E41" s="224"/>
      <c r="F41" s="8"/>
      <c r="G41" s="24"/>
    </row>
    <row r="42" spans="1:8">
      <c r="A42" s="397" t="s">
        <v>6</v>
      </c>
      <c r="B42" s="398">
        <f>B40-B41</f>
        <v>0</v>
      </c>
      <c r="C42" s="18"/>
      <c r="E42" s="224"/>
      <c r="F42" s="8"/>
      <c r="G42" s="12"/>
    </row>
    <row r="43" spans="1:8">
      <c r="A43" s="227"/>
      <c r="B43" s="228"/>
      <c r="C43" s="18"/>
      <c r="E43" s="224"/>
      <c r="F43" s="8"/>
      <c r="G43" s="12"/>
    </row>
    <row r="44" spans="1:8">
      <c r="A44" s="226" t="s">
        <v>30</v>
      </c>
      <c r="B44" s="446"/>
      <c r="C44" s="18"/>
      <c r="E44" s="224"/>
      <c r="F44" s="8"/>
      <c r="G44" s="12"/>
    </row>
    <row r="45" spans="1:8">
      <c r="A45" s="226" t="s">
        <v>20</v>
      </c>
      <c r="B45" s="446"/>
      <c r="C45" s="18"/>
      <c r="E45" s="224"/>
      <c r="F45" s="8"/>
      <c r="G45" s="12"/>
    </row>
    <row r="46" spans="1:8">
      <c r="A46" s="226" t="s">
        <v>42</v>
      </c>
      <c r="B46" s="446"/>
      <c r="C46" s="18"/>
      <c r="E46" s="224"/>
      <c r="F46" s="8"/>
      <c r="G46" s="12"/>
    </row>
    <row r="47" spans="1:8">
      <c r="A47" s="226" t="s">
        <v>51</v>
      </c>
      <c r="B47" s="446"/>
      <c r="C47" s="18"/>
      <c r="E47" s="224"/>
      <c r="F47" s="8"/>
      <c r="G47" s="12"/>
    </row>
    <row r="48" spans="1:8">
      <c r="A48" s="397" t="s">
        <v>27</v>
      </c>
      <c r="B48" s="398">
        <f>B42-SUM(B44:B47)</f>
        <v>0</v>
      </c>
      <c r="C48" s="18"/>
      <c r="E48" s="224"/>
      <c r="F48" s="8"/>
      <c r="G48" s="12"/>
    </row>
    <row r="49" spans="1:7">
      <c r="A49" s="229"/>
      <c r="B49" s="228"/>
      <c r="C49" s="18"/>
      <c r="E49" s="224"/>
      <c r="F49" s="8"/>
      <c r="G49" s="12"/>
    </row>
    <row r="50" spans="1:7">
      <c r="A50" s="230" t="s">
        <v>70</v>
      </c>
      <c r="B50" s="231">
        <f>IF(B44=0,0,B44/$B$48)</f>
        <v>0</v>
      </c>
      <c r="C50" s="18"/>
      <c r="E50" s="224"/>
      <c r="F50" s="8"/>
      <c r="G50" s="12"/>
    </row>
    <row r="51" spans="1:7">
      <c r="A51" s="230" t="s">
        <v>20</v>
      </c>
      <c r="B51" s="231">
        <f>IF(B45=0,0,B45/$B$48)</f>
        <v>0</v>
      </c>
      <c r="C51" s="18"/>
      <c r="E51" s="224"/>
      <c r="F51" s="8"/>
      <c r="G51" s="12"/>
    </row>
    <row r="52" spans="1:7">
      <c r="A52" s="226" t="s">
        <v>42</v>
      </c>
      <c r="B52" s="231">
        <f>IF(B46=0,0,B46/$B$48)</f>
        <v>0</v>
      </c>
      <c r="C52" s="18"/>
      <c r="E52" s="224"/>
      <c r="F52" s="8"/>
      <c r="G52" s="12"/>
    </row>
    <row r="53" spans="1:7">
      <c r="A53" s="230" t="s">
        <v>51</v>
      </c>
      <c r="B53" s="231">
        <f>IF(B47=0,0,B47/$B$48)</f>
        <v>0</v>
      </c>
      <c r="C53" s="18"/>
      <c r="E53" s="224"/>
      <c r="F53" s="8"/>
      <c r="G53" s="33"/>
    </row>
    <row r="54" spans="1:7">
      <c r="A54" s="397" t="s">
        <v>77</v>
      </c>
      <c r="B54" s="399">
        <f>SUM(B50:B53)</f>
        <v>0</v>
      </c>
      <c r="C54" s="18"/>
      <c r="E54" s="224"/>
      <c r="F54" s="8"/>
      <c r="G54" s="36"/>
    </row>
    <row r="55" spans="1:7">
      <c r="A55" s="40"/>
      <c r="B55" s="40"/>
      <c r="C55" s="40"/>
      <c r="E55" s="224"/>
      <c r="F55" s="8"/>
      <c r="G55" s="3"/>
    </row>
    <row r="56" spans="1:7">
      <c r="A56" s="44"/>
      <c r="B56" s="45"/>
      <c r="C56" s="45"/>
      <c r="E56" s="224"/>
      <c r="F56" s="8"/>
      <c r="G56" s="3"/>
    </row>
    <row r="57" spans="1:7" s="47" customFormat="1"/>
    <row r="58" spans="1:7" s="47" customFormat="1"/>
    <row r="59" spans="1:7" s="47" customFormat="1" ht="13.8">
      <c r="A59" s="232"/>
      <c r="B59" s="1"/>
    </row>
    <row r="60" spans="1:7" s="47" customFormat="1" ht="13.8">
      <c r="A60" s="232"/>
      <c r="B60" s="1"/>
    </row>
    <row r="61" spans="1:7" s="47" customFormat="1" ht="13.8">
      <c r="A61" s="232"/>
      <c r="B61" s="1"/>
    </row>
    <row r="62" spans="1:7" s="47" customFormat="1" ht="13.8">
      <c r="A62" s="232"/>
      <c r="B62" s="1"/>
    </row>
    <row r="63" spans="1:7" s="47" customFormat="1" ht="13.8">
      <c r="A63" s="233"/>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1"/>
    </row>
    <row r="71" spans="1:3" s="47" customFormat="1" ht="13.8">
      <c r="A71" s="1"/>
      <c r="B71" s="234"/>
    </row>
    <row r="72" spans="1:3" s="47" customFormat="1" ht="13.8">
      <c r="A72" s="1"/>
      <c r="B72" s="1"/>
    </row>
    <row r="73" spans="1:3" s="47" customFormat="1" ht="13.8">
      <c r="B73" s="1"/>
    </row>
    <row r="74" spans="1:3" s="47" customFormat="1" ht="13.8">
      <c r="A74" s="1"/>
      <c r="B74" s="1"/>
      <c r="C74" s="1"/>
    </row>
    <row r="75" spans="1:3" s="47" customFormat="1" ht="13.8">
      <c r="A75" s="235"/>
      <c r="B75" s="1"/>
      <c r="C75" s="235"/>
    </row>
    <row r="76" spans="1:3" s="47" customFormat="1" ht="13.8">
      <c r="A76" s="1"/>
      <c r="B76" s="1"/>
      <c r="C76" s="1"/>
    </row>
    <row r="77" spans="1:3" s="47" customFormat="1" ht="13.8">
      <c r="A77" s="1"/>
      <c r="B77" s="1"/>
      <c r="C77" s="1"/>
    </row>
    <row r="78" spans="1:3" s="47" customFormat="1" ht="13.8">
      <c r="A78" s="1"/>
      <c r="B78" s="1"/>
      <c r="C78" s="1"/>
    </row>
    <row r="79" spans="1:3" s="47" customFormat="1" ht="13.8">
      <c r="A79" s="235"/>
      <c r="B79" s="1"/>
      <c r="C79" s="235"/>
    </row>
    <row r="80" spans="1:3" s="47" customFormat="1" ht="13.8">
      <c r="A80" s="235"/>
      <c r="B80" s="1"/>
      <c r="C80" s="235"/>
    </row>
    <row r="81" spans="1:3" s="47" customFormat="1" ht="13.8">
      <c r="A81" s="235"/>
      <c r="B81" s="1"/>
      <c r="C81" s="235"/>
    </row>
    <row r="82" spans="1:3" s="47" customFormat="1" ht="13.8">
      <c r="A82" s="1"/>
      <c r="B82" s="1"/>
    </row>
    <row r="83" spans="1:3" s="47" customFormat="1" ht="13.8">
      <c r="A83" s="1"/>
      <c r="B83" s="1"/>
    </row>
    <row r="84" spans="1:3" s="47" customFormat="1" ht="13.8">
      <c r="A84" s="1"/>
      <c r="B84" s="1"/>
    </row>
  </sheetData>
  <dataConsolidate/>
  <mergeCells count="7">
    <mergeCell ref="A18:B18"/>
    <mergeCell ref="A25:B25"/>
    <mergeCell ref="A21:B21"/>
    <mergeCell ref="A20:B20"/>
    <mergeCell ref="A24:B24"/>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7"/>
  <sheetViews>
    <sheetView showGridLines="0" showZeros="0" showOutlineSymbols="0" zoomScale="90" zoomScaleNormal="90" zoomScalePageLayoutView="50" workbookViewId="0">
      <pane ySplit="10" topLeftCell="A11" activePane="bottomLeft" state="frozen"/>
      <selection activeCell="D33" sqref="D33"/>
      <selection pane="bottomLeft" activeCell="A11" sqref="A11"/>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442" t="s">
        <v>25</v>
      </c>
      <c r="B1" s="195"/>
      <c r="C1" s="46"/>
      <c r="D1" s="46"/>
      <c r="E1" s="46"/>
      <c r="F1" s="3"/>
      <c r="G1" s="47"/>
      <c r="H1" s="672"/>
      <c r="I1" s="672"/>
      <c r="J1" s="672"/>
      <c r="K1" s="672"/>
      <c r="L1" s="672"/>
      <c r="M1" s="672"/>
      <c r="N1" s="672"/>
    </row>
    <row r="2" spans="1:15">
      <c r="A2" s="242"/>
      <c r="B2" s="243"/>
      <c r="C2" s="244"/>
      <c r="D2" s="243"/>
      <c r="E2" s="245"/>
      <c r="F2" s="583"/>
      <c r="G2" s="584"/>
      <c r="H2" s="672"/>
      <c r="I2" s="672"/>
      <c r="J2" s="672"/>
      <c r="K2" s="672"/>
      <c r="L2" s="672"/>
      <c r="M2" s="672"/>
      <c r="N2" s="672"/>
    </row>
    <row r="3" spans="1:15" ht="14.25" customHeight="1">
      <c r="A3" s="308" t="str">
        <f>'1-Contractblad totaal'!A3</f>
        <v>Naam opdrachtgever</v>
      </c>
      <c r="B3" s="309" t="str">
        <f>'1-Contractblad totaal'!B3</f>
        <v>Juridisch Loket</v>
      </c>
      <c r="C3" s="310"/>
      <c r="D3" s="243"/>
      <c r="E3" s="247"/>
      <c r="F3" s="248"/>
      <c r="H3" s="673"/>
      <c r="I3" s="673"/>
      <c r="J3" s="673"/>
      <c r="K3" s="673"/>
      <c r="L3" s="673"/>
      <c r="M3" s="673"/>
      <c r="N3" s="673"/>
    </row>
    <row r="4" spans="1:15" ht="15.75" customHeight="1">
      <c r="A4" s="308" t="str">
        <f>'1-Contractblad totaal'!A4</f>
        <v>Calculatie onderdeel</v>
      </c>
      <c r="B4" s="311" t="str">
        <f ca="1">MID(CELL("bestandsnaam",$C$9),SEARCH("]",CELL("bestandsnaam",$C$9),1)+1,256)</f>
        <v>6-Opbouw uurtarief productie</v>
      </c>
      <c r="C4" s="312"/>
      <c r="D4" s="251"/>
      <c r="E4" s="320"/>
      <c r="H4" s="673"/>
      <c r="I4" s="673"/>
      <c r="J4" s="673"/>
      <c r="K4" s="673"/>
      <c r="L4" s="673"/>
      <c r="M4" s="673"/>
      <c r="N4" s="673"/>
    </row>
    <row r="5" spans="1:15" ht="15">
      <c r="A5" s="308" t="str">
        <f>'1-Contractblad totaal'!A5</f>
        <v>Gebouw/plaats</v>
      </c>
      <c r="B5" s="309" t="str">
        <f>'1-Contractblad totaal'!B5</f>
        <v>Diverse locaties</v>
      </c>
      <c r="C5" s="312"/>
      <c r="D5" s="251"/>
      <c r="H5" s="673"/>
      <c r="I5" s="673"/>
      <c r="J5" s="673"/>
      <c r="K5" s="673"/>
      <c r="L5" s="673"/>
      <c r="M5" s="673"/>
      <c r="N5" s="673"/>
    </row>
    <row r="6" spans="1:15" ht="15">
      <c r="A6" s="308" t="str">
        <f>'1-Contractblad totaal'!A6</f>
        <v>Referentie nummer</v>
      </c>
      <c r="B6" s="309" t="str">
        <f>'1-Contractblad totaal'!B6</f>
        <v>EU-JL-ID.MvD-2020</v>
      </c>
      <c r="C6" s="312"/>
      <c r="D6" s="251"/>
      <c r="H6" s="252"/>
      <c r="I6" s="252"/>
      <c r="J6" s="252"/>
      <c r="K6" s="252"/>
      <c r="L6" s="252"/>
      <c r="M6" s="252"/>
      <c r="N6" s="252"/>
    </row>
    <row r="7" spans="1:15" s="9" customFormat="1" ht="15">
      <c r="A7" s="308" t="str">
        <f>'1-Contractblad totaal'!A8</f>
        <v>Naam dienstverlener</v>
      </c>
      <c r="B7" s="309">
        <f>'1-Contractblad totaal'!B8</f>
        <v>0</v>
      </c>
      <c r="C7" s="312"/>
      <c r="D7" s="251"/>
      <c r="H7" s="252"/>
      <c r="I7" s="252"/>
      <c r="J7" s="252"/>
      <c r="K7" s="252"/>
      <c r="L7" s="252"/>
      <c r="M7" s="252"/>
      <c r="N7" s="252"/>
    </row>
    <row r="8" spans="1:15" ht="15">
      <c r="A8" s="308" t="str">
        <f>'1-Contractblad totaal'!A9</f>
        <v>Prijspeil</v>
      </c>
      <c r="B8" s="115">
        <f>'1-Contractblad totaal'!B9</f>
        <v>44013</v>
      </c>
      <c r="C8" s="312"/>
      <c r="D8" s="251"/>
      <c r="I8" s="252"/>
      <c r="J8" s="252"/>
      <c r="K8" s="252"/>
      <c r="L8" s="252"/>
      <c r="M8" s="252"/>
      <c r="N8" s="252"/>
      <c r="O8" s="256"/>
    </row>
    <row r="9" spans="1:15" ht="15">
      <c r="A9" s="246"/>
      <c r="B9" s="249"/>
      <c r="C9" s="250"/>
      <c r="D9" s="251"/>
      <c r="E9" s="253"/>
      <c r="F9" s="254"/>
    </row>
    <row r="10" spans="1:15" s="256" customFormat="1" ht="30.75" customHeight="1">
      <c r="A10" s="313" t="s">
        <v>217</v>
      </c>
      <c r="B10" s="314"/>
      <c r="C10" s="315"/>
      <c r="D10" s="255"/>
      <c r="E10" s="670" t="s">
        <v>218</v>
      </c>
      <c r="F10" s="671"/>
      <c r="H10" s="316" t="s">
        <v>144</v>
      </c>
      <c r="I10" s="674" t="s">
        <v>244</v>
      </c>
      <c r="J10" s="674"/>
      <c r="K10" s="674"/>
      <c r="L10" s="674"/>
      <c r="M10" s="674"/>
      <c r="N10" s="674"/>
    </row>
    <row r="11" spans="1:15" ht="30" customHeight="1">
      <c r="A11" s="257"/>
      <c r="B11" s="258" t="s">
        <v>62</v>
      </c>
      <c r="C11" s="259" t="s">
        <v>62</v>
      </c>
      <c r="D11" s="251"/>
      <c r="E11" s="260"/>
      <c r="F11" s="261"/>
      <c r="H11" s="257"/>
      <c r="I11" s="262">
        <v>1</v>
      </c>
      <c r="J11" s="262">
        <v>2</v>
      </c>
      <c r="K11" s="262">
        <v>3</v>
      </c>
      <c r="L11" s="262">
        <v>4</v>
      </c>
      <c r="M11" s="262">
        <v>5</v>
      </c>
      <c r="N11" s="262">
        <v>6</v>
      </c>
    </row>
    <row r="12" spans="1:15">
      <c r="A12" s="257" t="s">
        <v>39</v>
      </c>
      <c r="B12" s="263"/>
      <c r="C12" s="264"/>
      <c r="D12" s="251"/>
      <c r="E12" s="265">
        <f>SUM(I46:N46)</f>
        <v>0</v>
      </c>
      <c r="F12" s="266"/>
      <c r="H12" s="257" t="s">
        <v>145</v>
      </c>
      <c r="I12" s="516"/>
      <c r="J12" s="516"/>
      <c r="K12" s="516"/>
      <c r="L12" s="516"/>
      <c r="M12" s="516"/>
      <c r="N12" s="517"/>
    </row>
    <row r="13" spans="1:15" ht="13.8">
      <c r="A13" s="257" t="s">
        <v>15</v>
      </c>
      <c r="B13" s="267"/>
      <c r="C13" s="268" t="s">
        <v>67</v>
      </c>
      <c r="D13" s="251"/>
      <c r="E13" s="447"/>
      <c r="F13" s="266"/>
      <c r="H13" s="257" t="s">
        <v>136</v>
      </c>
      <c r="I13" s="516"/>
      <c r="J13" s="516"/>
      <c r="K13" s="516"/>
      <c r="L13" s="516"/>
      <c r="M13" s="516"/>
      <c r="N13" s="517"/>
    </row>
    <row r="14" spans="1:15" ht="13.8">
      <c r="A14" s="257" t="s">
        <v>44</v>
      </c>
      <c r="B14" s="267"/>
      <c r="C14" s="268" t="s">
        <v>67</v>
      </c>
      <c r="D14" s="251"/>
      <c r="E14" s="447"/>
      <c r="F14" s="266"/>
      <c r="H14" s="257" t="s">
        <v>137</v>
      </c>
      <c r="I14" s="516"/>
      <c r="J14" s="516"/>
      <c r="K14" s="516"/>
      <c r="L14" s="516"/>
      <c r="M14" s="516"/>
      <c r="N14" s="517"/>
    </row>
    <row r="15" spans="1:15" s="47" customFormat="1" ht="13.8">
      <c r="A15" s="269" t="s">
        <v>32</v>
      </c>
      <c r="B15" s="270"/>
      <c r="C15" s="271"/>
      <c r="D15" s="251"/>
      <c r="E15" s="272"/>
      <c r="F15" s="266"/>
      <c r="H15" s="257" t="s">
        <v>138</v>
      </c>
      <c r="I15" s="516"/>
      <c r="J15" s="516"/>
      <c r="K15" s="516"/>
      <c r="L15" s="516"/>
      <c r="M15" s="516"/>
      <c r="N15" s="517"/>
    </row>
    <row r="16" spans="1:15" ht="13.8">
      <c r="A16" s="400" t="s">
        <v>13</v>
      </c>
      <c r="B16" s="401"/>
      <c r="C16" s="402"/>
      <c r="D16" s="403"/>
      <c r="E16" s="404">
        <f>SUM(E12:E15)</f>
        <v>0</v>
      </c>
      <c r="F16" s="266"/>
      <c r="H16" s="257" t="s">
        <v>139</v>
      </c>
      <c r="I16" s="516"/>
      <c r="J16" s="516"/>
      <c r="K16" s="516"/>
      <c r="L16" s="516"/>
      <c r="M16" s="516"/>
      <c r="N16" s="517"/>
    </row>
    <row r="17" spans="1:14" ht="13.8">
      <c r="A17" s="269"/>
      <c r="B17" s="273"/>
      <c r="C17" s="274"/>
      <c r="D17" s="251"/>
      <c r="E17" s="275"/>
      <c r="F17" s="266"/>
      <c r="H17" s="257" t="s">
        <v>140</v>
      </c>
      <c r="I17" s="516"/>
      <c r="J17" s="516"/>
      <c r="K17" s="516"/>
      <c r="L17" s="516"/>
      <c r="M17" s="516"/>
      <c r="N17" s="517"/>
    </row>
    <row r="18" spans="1:14" ht="13.8">
      <c r="A18" s="276" t="s">
        <v>57</v>
      </c>
      <c r="B18" s="277"/>
      <c r="C18" s="448"/>
      <c r="D18" s="251"/>
      <c r="E18" s="272">
        <f>$C18*E16</f>
        <v>0</v>
      </c>
      <c r="F18" s="266"/>
      <c r="H18" s="257" t="s">
        <v>141</v>
      </c>
      <c r="I18" s="516"/>
      <c r="J18" s="516"/>
      <c r="K18" s="516"/>
      <c r="L18" s="516"/>
      <c r="M18" s="516"/>
      <c r="N18" s="517"/>
    </row>
    <row r="19" spans="1:14" s="47" customFormat="1" ht="13.8">
      <c r="A19" s="276" t="s">
        <v>88</v>
      </c>
      <c r="B19" s="277"/>
      <c r="C19" s="448"/>
      <c r="D19" s="251"/>
      <c r="E19" s="272">
        <f>$C19*E16</f>
        <v>0</v>
      </c>
      <c r="F19" s="266"/>
      <c r="H19" s="257" t="s">
        <v>142</v>
      </c>
      <c r="I19" s="516"/>
      <c r="J19" s="516"/>
      <c r="K19" s="516"/>
      <c r="L19" s="516"/>
      <c r="M19" s="516"/>
      <c r="N19" s="517"/>
    </row>
    <row r="20" spans="1:14" ht="13.8">
      <c r="A20" s="400" t="s">
        <v>52</v>
      </c>
      <c r="B20" s="278"/>
      <c r="C20" s="271"/>
      <c r="D20" s="251"/>
      <c r="E20" s="404">
        <f>SUM(E16:E19)</f>
        <v>0</v>
      </c>
      <c r="F20" s="279">
        <f>IF(E20=0,0,E20/E$48)</f>
        <v>0</v>
      </c>
      <c r="H20" s="257" t="s">
        <v>143</v>
      </c>
      <c r="I20" s="516"/>
      <c r="J20" s="516"/>
      <c r="K20" s="516"/>
      <c r="L20" s="516"/>
      <c r="M20" s="516"/>
      <c r="N20" s="517"/>
    </row>
    <row r="21" spans="1:14" ht="13.8">
      <c r="A21" s="269"/>
      <c r="B21" s="273"/>
      <c r="C21" s="274"/>
      <c r="D21" s="251"/>
      <c r="E21" s="275"/>
      <c r="F21" s="266"/>
    </row>
    <row r="22" spans="1:14" s="283" customFormat="1" ht="13.8">
      <c r="A22" s="408" t="s">
        <v>59</v>
      </c>
      <c r="B22" s="277"/>
      <c r="C22" s="274"/>
      <c r="D22" s="281"/>
      <c r="E22" s="449"/>
      <c r="F22" s="282"/>
      <c r="H22" s="316" t="s">
        <v>144</v>
      </c>
      <c r="I22" s="675" t="s">
        <v>147</v>
      </c>
      <c r="J22" s="676"/>
      <c r="K22" s="676"/>
      <c r="L22" s="676"/>
      <c r="M22" s="676"/>
      <c r="N22" s="677"/>
    </row>
    <row r="23" spans="1:14" ht="14.25" customHeight="1">
      <c r="A23" s="276" t="s">
        <v>71</v>
      </c>
      <c r="B23" s="277"/>
      <c r="C23" s="284" t="s">
        <v>45</v>
      </c>
      <c r="D23" s="251"/>
      <c r="E23" s="272" t="e">
        <f>E22*'5-Premies en opslagen'!$C25</f>
        <v>#DIV/0!</v>
      </c>
      <c r="F23" s="266"/>
      <c r="H23" s="257"/>
      <c r="I23" s="262">
        <v>1</v>
      </c>
      <c r="J23" s="262">
        <v>2</v>
      </c>
      <c r="K23" s="262">
        <v>3</v>
      </c>
      <c r="L23" s="262">
        <v>4</v>
      </c>
      <c r="M23" s="262">
        <v>5</v>
      </c>
      <c r="N23" s="262">
        <v>6</v>
      </c>
    </row>
    <row r="24" spans="1:14" ht="12.75" customHeight="1">
      <c r="A24" s="400" t="s">
        <v>68</v>
      </c>
      <c r="B24" s="317"/>
      <c r="C24" s="271"/>
      <c r="D24" s="251"/>
      <c r="E24" s="404" t="e">
        <f>E23+E20</f>
        <v>#DIV/0!</v>
      </c>
      <c r="F24" s="279" t="e">
        <f>IF(E24=0,0,E24/E$48)</f>
        <v>#DIV/0!</v>
      </c>
      <c r="H24" s="257" t="s">
        <v>145</v>
      </c>
      <c r="I24" s="451"/>
      <c r="J24" s="451"/>
      <c r="K24" s="451"/>
      <c r="L24" s="451"/>
      <c r="M24" s="451"/>
      <c r="N24" s="451"/>
    </row>
    <row r="25" spans="1:14" ht="12.75" customHeight="1">
      <c r="A25" s="269"/>
      <c r="B25" s="278"/>
      <c r="C25" s="271"/>
      <c r="D25" s="251"/>
      <c r="E25" s="260"/>
      <c r="F25" s="266"/>
      <c r="H25" s="257" t="s">
        <v>136</v>
      </c>
      <c r="I25" s="451"/>
      <c r="J25" s="451"/>
      <c r="K25" s="451"/>
      <c r="L25" s="451"/>
      <c r="M25" s="451"/>
      <c r="N25" s="451"/>
    </row>
    <row r="26" spans="1:14" ht="13.8">
      <c r="A26" s="276" t="s">
        <v>34</v>
      </c>
      <c r="B26" s="277"/>
      <c r="C26" s="284" t="s">
        <v>45</v>
      </c>
      <c r="D26" s="251"/>
      <c r="E26" s="272" t="e">
        <f>E24*'5-Premies en opslagen'!$B54</f>
        <v>#DIV/0!</v>
      </c>
      <c r="F26" s="266"/>
      <c r="H26" s="257" t="s">
        <v>137</v>
      </c>
      <c r="I26" s="451"/>
      <c r="J26" s="451"/>
      <c r="K26" s="451"/>
      <c r="L26" s="451"/>
      <c r="M26" s="451"/>
      <c r="N26" s="451"/>
    </row>
    <row r="27" spans="1:14" ht="13.8">
      <c r="A27" s="400" t="s">
        <v>78</v>
      </c>
      <c r="B27" s="278"/>
      <c r="C27" s="271"/>
      <c r="D27" s="251"/>
      <c r="E27" s="404" t="e">
        <f>SUM(E24:E26)</f>
        <v>#DIV/0!</v>
      </c>
      <c r="F27" s="279" t="e">
        <f>IF(E27=0,0,E27/E$48)</f>
        <v>#DIV/0!</v>
      </c>
      <c r="H27" s="257" t="s">
        <v>138</v>
      </c>
      <c r="I27" s="451"/>
      <c r="J27" s="451"/>
      <c r="K27" s="451"/>
      <c r="L27" s="451"/>
      <c r="M27" s="451"/>
      <c r="N27" s="451"/>
    </row>
    <row r="28" spans="1:14" ht="13.8">
      <c r="A28" s="269"/>
      <c r="B28" s="278"/>
      <c r="C28" s="271"/>
      <c r="D28" s="251"/>
      <c r="E28" s="260"/>
      <c r="F28" s="266"/>
      <c r="H28" s="257" t="s">
        <v>139</v>
      </c>
      <c r="I28" s="451"/>
      <c r="J28" s="451"/>
      <c r="K28" s="451"/>
      <c r="L28" s="451"/>
      <c r="M28" s="451"/>
      <c r="N28" s="451"/>
    </row>
    <row r="29" spans="1:14" ht="13.8">
      <c r="A29" s="269" t="s">
        <v>60</v>
      </c>
      <c r="B29" s="285"/>
      <c r="C29" s="268" t="s">
        <v>67</v>
      </c>
      <c r="D29" s="251"/>
      <c r="E29" s="447"/>
      <c r="F29" s="266">
        <v>0</v>
      </c>
      <c r="H29" s="257" t="s">
        <v>140</v>
      </c>
      <c r="I29" s="451"/>
      <c r="J29" s="451"/>
      <c r="K29" s="451"/>
      <c r="L29" s="451"/>
      <c r="M29" s="451"/>
      <c r="N29" s="451"/>
    </row>
    <row r="30" spans="1:14" ht="13.8">
      <c r="A30" s="269" t="s">
        <v>64</v>
      </c>
      <c r="B30" s="286"/>
      <c r="C30" s="268" t="s">
        <v>67</v>
      </c>
      <c r="D30" s="251"/>
      <c r="E30" s="447"/>
      <c r="F30" s="266">
        <v>0</v>
      </c>
      <c r="H30" s="257" t="s">
        <v>141</v>
      </c>
      <c r="I30" s="451"/>
      <c r="J30" s="451"/>
      <c r="K30" s="451"/>
      <c r="L30" s="451"/>
      <c r="M30" s="451"/>
      <c r="N30" s="451"/>
    </row>
    <row r="31" spans="1:14" ht="12.75" customHeight="1">
      <c r="A31" s="269" t="s">
        <v>65</v>
      </c>
      <c r="B31" s="278"/>
      <c r="C31" s="271" t="s">
        <v>62</v>
      </c>
      <c r="D31" s="251"/>
      <c r="E31" s="447"/>
      <c r="F31" s="266"/>
      <c r="H31" s="257" t="s">
        <v>142</v>
      </c>
      <c r="I31" s="451"/>
      <c r="J31" s="451"/>
      <c r="K31" s="451"/>
      <c r="L31" s="451"/>
      <c r="M31" s="451"/>
      <c r="N31" s="451"/>
    </row>
    <row r="32" spans="1:14" ht="12.75" customHeight="1">
      <c r="A32" s="450"/>
      <c r="B32" s="505"/>
      <c r="C32" s="506" t="s">
        <v>62</v>
      </c>
      <c r="D32" s="251"/>
      <c r="E32" s="447"/>
      <c r="F32" s="266"/>
      <c r="H32" s="257" t="s">
        <v>143</v>
      </c>
      <c r="I32" s="451"/>
      <c r="J32" s="451"/>
      <c r="K32" s="451"/>
      <c r="L32" s="451"/>
      <c r="M32" s="451"/>
      <c r="N32" s="451"/>
    </row>
    <row r="33" spans="1:15" ht="12.75" customHeight="1">
      <c r="A33" s="400" t="s">
        <v>54</v>
      </c>
      <c r="B33" s="278"/>
      <c r="C33" s="271"/>
      <c r="D33" s="251"/>
      <c r="E33" s="404" t="e">
        <f>SUM(E27:E32)</f>
        <v>#DIV/0!</v>
      </c>
      <c r="F33" s="279" t="e">
        <f>IF(E33=0,0,E33/E$48)</f>
        <v>#DIV/0!</v>
      </c>
      <c r="H33" s="288" t="s">
        <v>146</v>
      </c>
      <c r="I33" s="476">
        <f t="shared" ref="I33:N33" si="0">SUM(I24:I32)</f>
        <v>0</v>
      </c>
      <c r="J33" s="476">
        <f t="shared" si="0"/>
        <v>0</v>
      </c>
      <c r="K33" s="476">
        <f t="shared" si="0"/>
        <v>0</v>
      </c>
      <c r="L33" s="476">
        <f t="shared" si="0"/>
        <v>0</v>
      </c>
      <c r="M33" s="476">
        <f t="shared" si="0"/>
        <v>0</v>
      </c>
      <c r="N33" s="476">
        <f t="shared" si="0"/>
        <v>0</v>
      </c>
      <c r="O33" s="318">
        <f>SUM(I33:N33)</f>
        <v>0</v>
      </c>
    </row>
    <row r="34" spans="1:15" ht="12.75" customHeight="1">
      <c r="A34" s="269"/>
      <c r="B34" s="278"/>
      <c r="C34" s="271"/>
      <c r="D34" s="251"/>
      <c r="E34" s="260"/>
      <c r="F34" s="266"/>
      <c r="H34" s="172"/>
      <c r="I34" s="172"/>
      <c r="J34" s="172"/>
      <c r="K34" s="172"/>
      <c r="L34" s="172"/>
      <c r="M34" s="172"/>
      <c r="N34" s="172"/>
    </row>
    <row r="35" spans="1:15" ht="12.75" customHeight="1">
      <c r="A35" s="269" t="s">
        <v>80</v>
      </c>
      <c r="B35" s="278"/>
      <c r="C35" s="287"/>
      <c r="D35" s="251"/>
      <c r="E35" s="447"/>
      <c r="F35" s="266">
        <v>0</v>
      </c>
      <c r="H35" s="485" t="s">
        <v>144</v>
      </c>
      <c r="I35" s="669" t="s">
        <v>148</v>
      </c>
      <c r="J35" s="669"/>
      <c r="K35" s="669"/>
      <c r="L35" s="669"/>
      <c r="M35" s="669"/>
      <c r="N35" s="669"/>
    </row>
    <row r="36" spans="1:15" ht="14.25" customHeight="1">
      <c r="A36" s="269" t="s">
        <v>33</v>
      </c>
      <c r="B36" s="278"/>
      <c r="C36" s="287"/>
      <c r="D36" s="251"/>
      <c r="E36" s="447"/>
      <c r="F36" s="266">
        <v>0</v>
      </c>
      <c r="H36" s="486"/>
      <c r="I36" s="487">
        <v>1</v>
      </c>
      <c r="J36" s="487">
        <v>2</v>
      </c>
      <c r="K36" s="487">
        <v>3</v>
      </c>
      <c r="L36" s="487">
        <v>4</v>
      </c>
      <c r="M36" s="487">
        <v>5</v>
      </c>
      <c r="N36" s="487">
        <v>6</v>
      </c>
    </row>
    <row r="37" spans="1:15" ht="13.8">
      <c r="A37" s="269" t="s">
        <v>24</v>
      </c>
      <c r="B37" s="278"/>
      <c r="C37" s="287"/>
      <c r="D37" s="251"/>
      <c r="E37" s="447"/>
      <c r="F37" s="266">
        <v>0</v>
      </c>
      <c r="H37" s="486" t="s">
        <v>145</v>
      </c>
      <c r="I37" s="488">
        <f t="shared" ref="I37:N45" si="1">I24*I12</f>
        <v>0</v>
      </c>
      <c r="J37" s="488">
        <f t="shared" si="1"/>
        <v>0</v>
      </c>
      <c r="K37" s="488">
        <f t="shared" si="1"/>
        <v>0</v>
      </c>
      <c r="L37" s="488">
        <f t="shared" si="1"/>
        <v>0</v>
      </c>
      <c r="M37" s="488">
        <f t="shared" si="1"/>
        <v>0</v>
      </c>
      <c r="N37" s="489">
        <f t="shared" si="1"/>
        <v>0</v>
      </c>
      <c r="O37" s="283"/>
    </row>
    <row r="38" spans="1:15" ht="13.8">
      <c r="A38" s="269" t="s">
        <v>2</v>
      </c>
      <c r="B38" s="278"/>
      <c r="C38" s="289"/>
      <c r="D38" s="251"/>
      <c r="E38" s="447"/>
      <c r="F38" s="266">
        <v>0</v>
      </c>
      <c r="H38" s="486" t="s">
        <v>136</v>
      </c>
      <c r="I38" s="488">
        <f t="shared" si="1"/>
        <v>0</v>
      </c>
      <c r="J38" s="488">
        <f t="shared" si="1"/>
        <v>0</v>
      </c>
      <c r="K38" s="488">
        <f t="shared" si="1"/>
        <v>0</v>
      </c>
      <c r="L38" s="488">
        <f t="shared" si="1"/>
        <v>0</v>
      </c>
      <c r="M38" s="488">
        <f t="shared" si="1"/>
        <v>0</v>
      </c>
      <c r="N38" s="489">
        <f t="shared" si="1"/>
        <v>0</v>
      </c>
      <c r="O38" s="283"/>
    </row>
    <row r="39" spans="1:15" ht="13.8">
      <c r="A39" s="269" t="s">
        <v>31</v>
      </c>
      <c r="B39" s="278"/>
      <c r="C39" s="287"/>
      <c r="D39" s="251"/>
      <c r="E39" s="447"/>
      <c r="F39" s="266">
        <v>0</v>
      </c>
      <c r="H39" s="486" t="s">
        <v>137</v>
      </c>
      <c r="I39" s="488">
        <f t="shared" si="1"/>
        <v>0</v>
      </c>
      <c r="J39" s="488">
        <f t="shared" si="1"/>
        <v>0</v>
      </c>
      <c r="K39" s="488">
        <f t="shared" si="1"/>
        <v>0</v>
      </c>
      <c r="L39" s="488">
        <f t="shared" si="1"/>
        <v>0</v>
      </c>
      <c r="M39" s="488">
        <f t="shared" si="1"/>
        <v>0</v>
      </c>
      <c r="N39" s="489">
        <f t="shared" si="1"/>
        <v>0</v>
      </c>
      <c r="O39" s="283"/>
    </row>
    <row r="40" spans="1:15" ht="13.8">
      <c r="A40" s="269" t="s">
        <v>28</v>
      </c>
      <c r="B40" s="278"/>
      <c r="C40" s="289"/>
      <c r="D40" s="251"/>
      <c r="E40" s="447"/>
      <c r="F40" s="266">
        <v>0</v>
      </c>
      <c r="H40" s="486" t="s">
        <v>138</v>
      </c>
      <c r="I40" s="488">
        <f t="shared" si="1"/>
        <v>0</v>
      </c>
      <c r="J40" s="488">
        <f t="shared" si="1"/>
        <v>0</v>
      </c>
      <c r="K40" s="488">
        <f t="shared" si="1"/>
        <v>0</v>
      </c>
      <c r="L40" s="488">
        <f t="shared" si="1"/>
        <v>0</v>
      </c>
      <c r="M40" s="488">
        <f t="shared" si="1"/>
        <v>0</v>
      </c>
      <c r="N40" s="489">
        <f t="shared" si="1"/>
        <v>0</v>
      </c>
      <c r="O40" s="172"/>
    </row>
    <row r="41" spans="1:15" ht="13.8">
      <c r="A41" s="269" t="s">
        <v>72</v>
      </c>
      <c r="B41" s="278"/>
      <c r="C41" s="268" t="s">
        <v>67</v>
      </c>
      <c r="D41" s="251"/>
      <c r="E41" s="447"/>
      <c r="F41" s="266">
        <v>0</v>
      </c>
      <c r="H41" s="486" t="s">
        <v>139</v>
      </c>
      <c r="I41" s="488">
        <f t="shared" si="1"/>
        <v>0</v>
      </c>
      <c r="J41" s="488">
        <f t="shared" si="1"/>
        <v>0</v>
      </c>
      <c r="K41" s="488">
        <f t="shared" si="1"/>
        <v>0</v>
      </c>
      <c r="L41" s="488">
        <f t="shared" si="1"/>
        <v>0</v>
      </c>
      <c r="M41" s="488">
        <f t="shared" si="1"/>
        <v>0</v>
      </c>
      <c r="N41" s="489">
        <f t="shared" si="1"/>
        <v>0</v>
      </c>
      <c r="O41" s="172"/>
    </row>
    <row r="42" spans="1:15" ht="13.8">
      <c r="A42" s="269" t="s">
        <v>87</v>
      </c>
      <c r="B42" s="278"/>
      <c r="C42" s="268"/>
      <c r="D42" s="251"/>
      <c r="E42" s="447"/>
      <c r="F42" s="266">
        <v>0</v>
      </c>
      <c r="H42" s="486" t="s">
        <v>140</v>
      </c>
      <c r="I42" s="488">
        <f t="shared" si="1"/>
        <v>0</v>
      </c>
      <c r="J42" s="488">
        <f t="shared" si="1"/>
        <v>0</v>
      </c>
      <c r="K42" s="488">
        <f t="shared" si="1"/>
        <v>0</v>
      </c>
      <c r="L42" s="488">
        <f t="shared" si="1"/>
        <v>0</v>
      </c>
      <c r="M42" s="488">
        <f t="shared" si="1"/>
        <v>0</v>
      </c>
      <c r="N42" s="489">
        <f t="shared" si="1"/>
        <v>0</v>
      </c>
      <c r="O42" s="172"/>
    </row>
    <row r="43" spans="1:15" ht="13.8">
      <c r="A43" s="450"/>
      <c r="B43" s="505"/>
      <c r="C43" s="507"/>
      <c r="D43" s="251"/>
      <c r="E43" s="447"/>
      <c r="F43" s="266"/>
      <c r="H43" s="486" t="s">
        <v>141</v>
      </c>
      <c r="I43" s="488">
        <f t="shared" si="1"/>
        <v>0</v>
      </c>
      <c r="J43" s="488">
        <f t="shared" si="1"/>
        <v>0</v>
      </c>
      <c r="K43" s="488">
        <f t="shared" si="1"/>
        <v>0</v>
      </c>
      <c r="L43" s="488">
        <f t="shared" si="1"/>
        <v>0</v>
      </c>
      <c r="M43" s="488">
        <f t="shared" si="1"/>
        <v>0</v>
      </c>
      <c r="N43" s="489">
        <f t="shared" si="1"/>
        <v>0</v>
      </c>
      <c r="O43" s="172"/>
    </row>
    <row r="44" spans="1:15" ht="13.8">
      <c r="A44" s="400" t="s">
        <v>73</v>
      </c>
      <c r="B44" s="278"/>
      <c r="C44" s="271"/>
      <c r="D44" s="251"/>
      <c r="E44" s="404" t="e">
        <f>SUM(E33:E43)</f>
        <v>#DIV/0!</v>
      </c>
      <c r="F44" s="279" t="e">
        <f>IF(E44=0,0,E44/E$48)</f>
        <v>#DIV/0!</v>
      </c>
      <c r="H44" s="486" t="s">
        <v>142</v>
      </c>
      <c r="I44" s="488">
        <f t="shared" si="1"/>
        <v>0</v>
      </c>
      <c r="J44" s="488">
        <f t="shared" si="1"/>
        <v>0</v>
      </c>
      <c r="K44" s="488">
        <f t="shared" si="1"/>
        <v>0</v>
      </c>
      <c r="L44" s="488">
        <f t="shared" si="1"/>
        <v>0</v>
      </c>
      <c r="M44" s="488">
        <f t="shared" si="1"/>
        <v>0</v>
      </c>
      <c r="N44" s="489">
        <f t="shared" si="1"/>
        <v>0</v>
      </c>
      <c r="O44" s="172"/>
    </row>
    <row r="45" spans="1:15" ht="13.8">
      <c r="A45" s="269"/>
      <c r="B45" s="278"/>
      <c r="C45" s="271"/>
      <c r="D45" s="251"/>
      <c r="E45" s="260"/>
      <c r="F45" s="290"/>
      <c r="H45" s="486" t="s">
        <v>143</v>
      </c>
      <c r="I45" s="488">
        <f t="shared" si="1"/>
        <v>0</v>
      </c>
      <c r="J45" s="488">
        <f t="shared" si="1"/>
        <v>0</v>
      </c>
      <c r="K45" s="488">
        <f t="shared" si="1"/>
        <v>0</v>
      </c>
      <c r="L45" s="488">
        <f t="shared" si="1"/>
        <v>0</v>
      </c>
      <c r="M45" s="488">
        <f t="shared" si="1"/>
        <v>0</v>
      </c>
      <c r="N45" s="489">
        <f t="shared" si="1"/>
        <v>0</v>
      </c>
      <c r="O45" s="172"/>
    </row>
    <row r="46" spans="1:15" ht="13.8">
      <c r="A46" s="269" t="s">
        <v>74</v>
      </c>
      <c r="B46" s="278"/>
      <c r="C46" s="289"/>
      <c r="D46" s="251"/>
      <c r="E46" s="447"/>
      <c r="F46" s="279">
        <f>(IF(E46=0,0,E46/E$48))</f>
        <v>0</v>
      </c>
      <c r="H46" s="490" t="s">
        <v>146</v>
      </c>
      <c r="I46" s="491">
        <f t="shared" ref="I46:N46" si="2">SUM(I37:I45)</f>
        <v>0</v>
      </c>
      <c r="J46" s="491">
        <f t="shared" si="2"/>
        <v>0</v>
      </c>
      <c r="K46" s="491">
        <f t="shared" si="2"/>
        <v>0</v>
      </c>
      <c r="L46" s="491">
        <f t="shared" si="2"/>
        <v>0</v>
      </c>
      <c r="M46" s="491">
        <f t="shared" si="2"/>
        <v>0</v>
      </c>
      <c r="N46" s="491">
        <f t="shared" si="2"/>
        <v>0</v>
      </c>
      <c r="O46" s="172"/>
    </row>
    <row r="47" spans="1:15" ht="13.8">
      <c r="A47" s="269"/>
      <c r="B47" s="270"/>
      <c r="C47" s="271"/>
      <c r="D47" s="251"/>
      <c r="E47" s="260"/>
      <c r="F47" s="266"/>
      <c r="H47" s="283"/>
      <c r="I47" s="283"/>
      <c r="J47" s="283"/>
      <c r="K47" s="283"/>
      <c r="L47" s="283"/>
      <c r="M47" s="283"/>
      <c r="N47" s="283"/>
      <c r="O47" s="172"/>
    </row>
    <row r="48" spans="1:15" ht="13.8">
      <c r="A48" s="400" t="s">
        <v>46</v>
      </c>
      <c r="B48" s="406"/>
      <c r="C48" s="291"/>
      <c r="D48" s="251"/>
      <c r="E48" s="405" t="e">
        <f>SUM(E44:E47)</f>
        <v>#DIV/0!</v>
      </c>
      <c r="F48" s="407" t="e">
        <f>SUM(F44:F47)</f>
        <v>#DIV/0!</v>
      </c>
      <c r="H48" s="283"/>
      <c r="I48" s="283"/>
      <c r="J48" s="283"/>
      <c r="K48" s="283"/>
      <c r="L48" s="283"/>
      <c r="M48" s="283"/>
      <c r="N48" s="283"/>
      <c r="O48" s="172"/>
    </row>
    <row r="49" spans="1:15" ht="13.8">
      <c r="A49" s="192"/>
      <c r="B49" s="292"/>
      <c r="C49" s="293"/>
      <c r="D49" s="251"/>
      <c r="E49" s="9"/>
      <c r="F49" s="294"/>
      <c r="H49" s="283"/>
      <c r="I49" s="283"/>
      <c r="J49" s="283"/>
      <c r="K49" s="283"/>
      <c r="L49" s="283"/>
      <c r="M49" s="283"/>
      <c r="N49" s="283"/>
      <c r="O49" s="172"/>
    </row>
    <row r="50" spans="1:15" s="283" customFormat="1" ht="13.8">
      <c r="A50" s="295" t="s">
        <v>241</v>
      </c>
      <c r="B50" s="296"/>
      <c r="C50" s="297"/>
      <c r="E50" s="298" t="e">
        <f>(E$27*1.3)+($E$48-$E$27)</f>
        <v>#DIV/0!</v>
      </c>
      <c r="F50" s="299"/>
      <c r="H50" s="172"/>
      <c r="I50" s="172"/>
      <c r="J50" s="172"/>
      <c r="K50" s="172"/>
      <c r="L50" s="172"/>
      <c r="M50" s="172"/>
      <c r="N50" s="172"/>
    </row>
    <row r="51" spans="1:15" s="283" customFormat="1" ht="13.8">
      <c r="A51" s="300"/>
      <c r="B51" s="301"/>
      <c r="C51" s="302"/>
      <c r="E51" s="300"/>
      <c r="F51" s="300"/>
      <c r="H51" s="172"/>
      <c r="I51" s="172"/>
      <c r="J51" s="172"/>
      <c r="K51" s="172"/>
      <c r="L51" s="172"/>
      <c r="M51" s="172"/>
      <c r="N51" s="172"/>
    </row>
    <row r="52" spans="1:15" s="283" customFormat="1" ht="13.8">
      <c r="A52" s="295" t="s">
        <v>50</v>
      </c>
      <c r="B52" s="296"/>
      <c r="C52" s="297"/>
      <c r="E52" s="298" t="e">
        <f>(E$27*1.5)+($E$48-$E$27)</f>
        <v>#DIV/0!</v>
      </c>
      <c r="F52" s="299"/>
      <c r="H52" s="172"/>
      <c r="I52" s="172"/>
      <c r="J52" s="172"/>
      <c r="K52" s="172"/>
      <c r="L52" s="172"/>
      <c r="M52" s="172"/>
      <c r="N52" s="172"/>
    </row>
    <row r="53" spans="1:15" s="283" customFormat="1" ht="13.8">
      <c r="A53" s="300"/>
      <c r="B53" s="301"/>
      <c r="C53" s="302"/>
      <c r="E53" s="300"/>
      <c r="F53" s="300"/>
      <c r="H53" s="172"/>
      <c r="I53" s="172"/>
      <c r="J53" s="172"/>
      <c r="K53" s="172"/>
      <c r="L53" s="172"/>
      <c r="M53" s="172"/>
      <c r="N53" s="172"/>
    </row>
    <row r="54" spans="1:15" s="283" customFormat="1" ht="13.8">
      <c r="A54" s="295" t="s">
        <v>85</v>
      </c>
      <c r="B54" s="296"/>
      <c r="C54" s="297"/>
      <c r="E54" s="298" t="e">
        <f>(E$27*2.5)+($E$48-$E$27)</f>
        <v>#DIV/0!</v>
      </c>
      <c r="F54" s="303"/>
      <c r="H54" s="172"/>
      <c r="I54" s="172"/>
      <c r="J54" s="172"/>
      <c r="K54" s="172"/>
      <c r="L54" s="172"/>
      <c r="M54" s="172"/>
      <c r="N54" s="172"/>
    </row>
    <row r="55" spans="1:15" s="172" customFormat="1" ht="13.8">
      <c r="B55" s="304"/>
      <c r="C55" s="305"/>
      <c r="F55" s="306"/>
    </row>
    <row r="56" spans="1:15" s="172" customFormat="1" ht="13.8">
      <c r="A56" s="295" t="s">
        <v>198</v>
      </c>
      <c r="B56" s="296"/>
      <c r="C56" s="297"/>
      <c r="D56" s="283"/>
      <c r="E56" s="298" t="e">
        <f>((E52*102)+(E54*9))/111</f>
        <v>#DIV/0!</v>
      </c>
      <c r="F56" s="306"/>
    </row>
    <row r="57" spans="1:15" s="172" customFormat="1" ht="13.8">
      <c r="B57" s="304"/>
      <c r="C57" s="305"/>
      <c r="F57" s="306"/>
    </row>
    <row r="58" spans="1:15" s="172" customFormat="1">
      <c r="C58" s="307"/>
      <c r="F58" s="306"/>
    </row>
    <row r="59" spans="1:15" s="172" customFormat="1">
      <c r="C59" s="307"/>
      <c r="F59" s="306"/>
    </row>
    <row r="60" spans="1:15" s="172" customFormat="1">
      <c r="A60" s="47"/>
      <c r="C60" s="307"/>
      <c r="F60" s="306"/>
    </row>
    <row r="61" spans="1:15" s="172" customFormat="1">
      <c r="C61" s="307"/>
      <c r="F61" s="306"/>
    </row>
    <row r="62" spans="1:15" s="172" customFormat="1">
      <c r="C62" s="307"/>
      <c r="F62" s="306"/>
      <c r="H62" s="4"/>
      <c r="I62" s="4"/>
      <c r="J62" s="4"/>
      <c r="K62" s="4"/>
      <c r="L62" s="4"/>
      <c r="M62" s="4"/>
      <c r="N62" s="4"/>
    </row>
    <row r="63" spans="1:15" s="172" customFormat="1">
      <c r="C63" s="307"/>
      <c r="F63" s="306"/>
      <c r="H63" s="4"/>
      <c r="I63" s="4"/>
      <c r="J63" s="4"/>
      <c r="K63" s="4"/>
      <c r="L63" s="4"/>
      <c r="M63" s="4"/>
      <c r="N63" s="4"/>
    </row>
    <row r="64" spans="1:15" s="172" customFormat="1">
      <c r="C64" s="307"/>
      <c r="F64" s="306"/>
      <c r="H64" s="4"/>
      <c r="I64" s="4"/>
      <c r="J64" s="4"/>
      <c r="K64" s="4"/>
      <c r="L64" s="4"/>
      <c r="M64" s="4"/>
      <c r="N64" s="4"/>
    </row>
    <row r="65" spans="3:14" s="172" customFormat="1">
      <c r="C65" s="307"/>
      <c r="F65" s="306"/>
      <c r="H65" s="4"/>
      <c r="I65" s="4"/>
      <c r="J65" s="4"/>
      <c r="K65" s="4"/>
      <c r="L65" s="4"/>
      <c r="M65" s="4"/>
      <c r="N65" s="4"/>
    </row>
    <row r="66" spans="3:14" s="172" customFormat="1">
      <c r="C66" s="307"/>
      <c r="F66" s="306"/>
      <c r="H66" s="4"/>
      <c r="I66" s="4"/>
      <c r="J66" s="4"/>
      <c r="K66" s="4"/>
      <c r="L66" s="4"/>
      <c r="M66" s="4"/>
      <c r="N66" s="4"/>
    </row>
    <row r="67" spans="3:14" s="172" customFormat="1">
      <c r="C67" s="307"/>
      <c r="F67" s="306"/>
      <c r="H67" s="4"/>
      <c r="I67" s="4"/>
      <c r="J67" s="4"/>
      <c r="K67" s="4"/>
      <c r="L67" s="4"/>
      <c r="M67" s="4"/>
      <c r="N67" s="4"/>
    </row>
  </sheetData>
  <dataConsolidate/>
  <mergeCells count="7">
    <mergeCell ref="I35:N35"/>
    <mergeCell ref="E10:F10"/>
    <mergeCell ref="H1:N2"/>
    <mergeCell ref="H3:N3"/>
    <mergeCell ref="H4:N5"/>
    <mergeCell ref="I10:N10"/>
    <mergeCell ref="I22:N22"/>
  </mergeCells>
  <phoneticPr fontId="9"/>
  <conditionalFormatting sqref="O33">
    <cfRule type="cellIs" dxfId="33" priority="1" operator="greaterThan">
      <formula>1</formula>
    </cfRule>
    <cfRule type="cellIs" dxfId="32" priority="2" operator="between">
      <formula>0.999999</formula>
      <formula>0</formula>
    </cfRule>
    <cfRule type="cellIs" dxfId="31"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1"/>
  <sheetViews>
    <sheetView showGridLines="0" zoomScale="89" zoomScaleNormal="89" zoomScalePageLayoutView="50" workbookViewId="0">
      <pane ySplit="9" topLeftCell="A10" activePane="bottomLeft" state="frozen"/>
      <selection activeCell="D33" sqref="D33"/>
      <selection pane="bottomLeft" activeCell="A10" sqref="A10"/>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442" t="s">
        <v>25</v>
      </c>
      <c r="B1" s="195"/>
      <c r="C1" s="46"/>
      <c r="D1" s="46"/>
      <c r="E1" s="46"/>
      <c r="F1" s="3"/>
      <c r="H1" s="673"/>
      <c r="I1" s="673"/>
      <c r="J1" s="673"/>
      <c r="K1" s="673"/>
      <c r="L1" s="673"/>
      <c r="M1" s="673"/>
      <c r="N1" s="673"/>
    </row>
    <row r="2" spans="1:15">
      <c r="A2" s="242"/>
      <c r="B2" s="243"/>
      <c r="C2" s="244"/>
      <c r="D2" s="243"/>
      <c r="E2" s="245"/>
      <c r="F2" s="583"/>
      <c r="G2" s="47"/>
      <c r="H2" s="673"/>
      <c r="I2" s="673"/>
      <c r="J2" s="673"/>
      <c r="K2" s="673"/>
      <c r="L2" s="673"/>
      <c r="M2" s="673"/>
      <c r="N2" s="673"/>
    </row>
    <row r="3" spans="1:15" ht="14.25" customHeight="1">
      <c r="A3" s="308" t="str">
        <f>'1-Contractblad totaal'!A3</f>
        <v>Naam opdrachtgever</v>
      </c>
      <c r="B3" s="309" t="str">
        <f>'1-Contractblad totaal'!B3</f>
        <v>Juridisch Loket</v>
      </c>
      <c r="C3" s="310"/>
      <c r="D3" s="243"/>
      <c r="E3" s="247"/>
      <c r="F3" s="248"/>
      <c r="H3" s="673"/>
      <c r="I3" s="673"/>
      <c r="J3" s="673"/>
      <c r="K3" s="673"/>
      <c r="L3" s="673"/>
      <c r="M3" s="673"/>
      <c r="N3" s="673"/>
    </row>
    <row r="4" spans="1:15" ht="15.75" customHeight="1">
      <c r="A4" s="308" t="str">
        <f>'1-Contractblad totaal'!A4</f>
        <v>Calculatie onderdeel</v>
      </c>
      <c r="B4" s="311" t="str">
        <f ca="1">MID(CELL("bestandsnaam",$C$9),SEARCH("]",CELL("bestandsnaam",$C$9),1)+1,256)</f>
        <v>7-Opbouw uurtarief toezicht</v>
      </c>
      <c r="C4" s="312"/>
      <c r="D4" s="251"/>
      <c r="H4" s="673"/>
      <c r="I4" s="673"/>
      <c r="J4" s="673"/>
      <c r="K4" s="673"/>
      <c r="L4" s="673"/>
      <c r="M4" s="673"/>
      <c r="N4" s="673"/>
    </row>
    <row r="5" spans="1:15" ht="15">
      <c r="A5" s="308" t="str">
        <f>'1-Contractblad totaal'!A5</f>
        <v>Gebouw/plaats</v>
      </c>
      <c r="B5" s="309" t="str">
        <f>'1-Contractblad totaal'!B5</f>
        <v>Diverse locaties</v>
      </c>
      <c r="C5" s="312"/>
      <c r="D5" s="251"/>
      <c r="H5" s="673"/>
      <c r="I5" s="673"/>
      <c r="J5" s="673"/>
      <c r="K5" s="673"/>
      <c r="L5" s="673"/>
      <c r="M5" s="673"/>
      <c r="N5" s="673"/>
    </row>
    <row r="6" spans="1:15" ht="15">
      <c r="A6" s="308" t="str">
        <f>'1-Contractblad totaal'!A6</f>
        <v>Referentie nummer</v>
      </c>
      <c r="B6" s="309" t="str">
        <f>'1-Contractblad totaal'!B6</f>
        <v>EU-JL-ID.MvD-2020</v>
      </c>
      <c r="C6" s="312"/>
      <c r="D6" s="251"/>
      <c r="H6" s="252"/>
      <c r="I6" s="252"/>
      <c r="J6" s="252"/>
      <c r="K6" s="252"/>
      <c r="L6" s="252"/>
      <c r="M6" s="252"/>
      <c r="N6" s="252"/>
    </row>
    <row r="7" spans="1:15" s="9" customFormat="1" ht="15">
      <c r="A7" s="308" t="str">
        <f>'1-Contractblad totaal'!A8</f>
        <v>Naam dienstverlener</v>
      </c>
      <c r="B7" s="309">
        <f>'1-Contractblad totaal'!B8</f>
        <v>0</v>
      </c>
      <c r="C7" s="312"/>
      <c r="D7" s="251"/>
      <c r="H7" s="252"/>
      <c r="I7" s="252"/>
      <c r="J7" s="252"/>
      <c r="K7" s="252"/>
      <c r="L7" s="252"/>
      <c r="M7" s="252"/>
      <c r="N7" s="252"/>
      <c r="O7" s="256"/>
    </row>
    <row r="8" spans="1:15" ht="15">
      <c r="A8" s="308" t="str">
        <f>'1-Contractblad totaal'!A9</f>
        <v>Prijspeil</v>
      </c>
      <c r="B8" s="115">
        <f>'1-Contractblad totaal'!B9</f>
        <v>44013</v>
      </c>
      <c r="C8" s="312"/>
      <c r="D8" s="251"/>
      <c r="I8" s="252"/>
      <c r="J8" s="252"/>
      <c r="K8" s="252"/>
      <c r="L8" s="252"/>
      <c r="M8" s="252"/>
      <c r="N8" s="252"/>
    </row>
    <row r="9" spans="1:15" ht="15">
      <c r="A9" s="246"/>
      <c r="B9" s="249"/>
      <c r="C9" s="250"/>
      <c r="D9" s="251"/>
      <c r="E9" s="253"/>
      <c r="F9" s="254"/>
    </row>
    <row r="10" spans="1:15" s="256" customFormat="1" ht="30.75" customHeight="1">
      <c r="A10" s="313" t="s">
        <v>216</v>
      </c>
      <c r="B10" s="314"/>
      <c r="C10" s="315"/>
      <c r="D10" s="255"/>
      <c r="E10" s="670" t="s">
        <v>215</v>
      </c>
      <c r="F10" s="678"/>
      <c r="H10" s="316" t="s">
        <v>144</v>
      </c>
      <c r="I10" s="674" t="s">
        <v>244</v>
      </c>
      <c r="J10" s="674"/>
      <c r="K10" s="674"/>
      <c r="L10" s="674"/>
      <c r="M10" s="674"/>
      <c r="N10" s="674"/>
    </row>
    <row r="11" spans="1:15" ht="30" customHeight="1">
      <c r="A11" s="257"/>
      <c r="B11" s="258" t="s">
        <v>62</v>
      </c>
      <c r="C11" s="259" t="s">
        <v>62</v>
      </c>
      <c r="D11" s="251"/>
      <c r="E11" s="260"/>
      <c r="F11" s="261"/>
      <c r="H11" s="257"/>
      <c r="I11" s="475">
        <v>1</v>
      </c>
      <c r="J11" s="475">
        <v>2</v>
      </c>
      <c r="K11" s="475">
        <v>3</v>
      </c>
      <c r="L11" s="475">
        <v>4</v>
      </c>
      <c r="M11" s="475">
        <v>5</v>
      </c>
      <c r="N11" s="475">
        <v>6</v>
      </c>
    </row>
    <row r="12" spans="1:15" ht="12.75" customHeight="1">
      <c r="A12" s="257" t="s">
        <v>39</v>
      </c>
      <c r="B12" s="263"/>
      <c r="C12" s="264"/>
      <c r="D12" s="251"/>
      <c r="E12" s="265">
        <f>SUM(I34:N34)</f>
        <v>0</v>
      </c>
      <c r="F12" s="266"/>
      <c r="H12" s="474" t="s">
        <v>139</v>
      </c>
      <c r="I12" s="516"/>
      <c r="J12" s="516"/>
      <c r="K12" s="516"/>
      <c r="L12" s="516"/>
      <c r="M12" s="516"/>
      <c r="N12" s="517"/>
    </row>
    <row r="13" spans="1:15" ht="13.8">
      <c r="A13" s="257" t="s">
        <v>15</v>
      </c>
      <c r="B13" s="267"/>
      <c r="C13" s="268" t="s">
        <v>67</v>
      </c>
      <c r="D13" s="251"/>
      <c r="E13" s="447"/>
      <c r="F13" s="266"/>
      <c r="H13" s="474" t="s">
        <v>140</v>
      </c>
      <c r="I13" s="516"/>
      <c r="J13" s="516"/>
      <c r="K13" s="516"/>
      <c r="L13" s="516"/>
      <c r="M13" s="516"/>
      <c r="N13" s="517"/>
    </row>
    <row r="14" spans="1:15" ht="13.8">
      <c r="A14" s="257" t="s">
        <v>44</v>
      </c>
      <c r="B14" s="267"/>
      <c r="C14" s="268" t="s">
        <v>67</v>
      </c>
      <c r="D14" s="251"/>
      <c r="E14" s="447"/>
      <c r="F14" s="266"/>
      <c r="H14" s="474" t="s">
        <v>141</v>
      </c>
      <c r="I14" s="516"/>
      <c r="J14" s="516"/>
      <c r="K14" s="516"/>
      <c r="L14" s="516"/>
      <c r="M14" s="516"/>
      <c r="N14" s="517"/>
    </row>
    <row r="15" spans="1:15" s="47" customFormat="1" ht="13.8">
      <c r="A15" s="269" t="s">
        <v>32</v>
      </c>
      <c r="B15" s="504"/>
      <c r="C15" s="271"/>
      <c r="D15" s="251"/>
      <c r="E15" s="272"/>
      <c r="F15" s="266"/>
      <c r="H15" s="474" t="s">
        <v>142</v>
      </c>
      <c r="I15" s="516"/>
      <c r="J15" s="516"/>
      <c r="K15" s="516"/>
      <c r="L15" s="516"/>
      <c r="M15" s="516"/>
      <c r="N15" s="517"/>
    </row>
    <row r="16" spans="1:15" ht="13.8">
      <c r="A16" s="400" t="s">
        <v>13</v>
      </c>
      <c r="B16" s="270"/>
      <c r="C16" s="271"/>
      <c r="D16" s="251"/>
      <c r="E16" s="404">
        <f>SUM(E12:E15)</f>
        <v>0</v>
      </c>
      <c r="F16" s="266"/>
      <c r="H16" s="474" t="s">
        <v>143</v>
      </c>
      <c r="I16" s="516"/>
      <c r="J16" s="516"/>
      <c r="K16" s="516"/>
      <c r="L16" s="516"/>
      <c r="M16" s="516"/>
      <c r="N16" s="517"/>
    </row>
    <row r="17" spans="1:15" ht="13.8">
      <c r="A17" s="269"/>
      <c r="B17" s="273"/>
      <c r="C17" s="274"/>
      <c r="D17" s="251"/>
      <c r="E17" s="275"/>
      <c r="F17" s="266"/>
      <c r="H17" s="472"/>
      <c r="I17" s="473"/>
      <c r="J17" s="473"/>
      <c r="K17" s="473"/>
      <c r="L17" s="473"/>
      <c r="M17" s="473"/>
      <c r="N17" s="473"/>
    </row>
    <row r="18" spans="1:15" ht="13.8">
      <c r="A18" s="276" t="s">
        <v>57</v>
      </c>
      <c r="B18" s="277"/>
      <c r="C18" s="448"/>
      <c r="D18" s="251"/>
      <c r="E18" s="272">
        <f>$C18*E16</f>
        <v>0</v>
      </c>
      <c r="F18" s="266"/>
      <c r="H18" s="316" t="s">
        <v>144</v>
      </c>
      <c r="I18" s="675" t="s">
        <v>147</v>
      </c>
      <c r="J18" s="676"/>
      <c r="K18" s="676"/>
      <c r="L18" s="676"/>
      <c r="M18" s="676"/>
      <c r="N18" s="677"/>
    </row>
    <row r="19" spans="1:15" s="47" customFormat="1" ht="13.8">
      <c r="A19" s="276" t="s">
        <v>88</v>
      </c>
      <c r="B19" s="277"/>
      <c r="C19" s="448"/>
      <c r="D19" s="251"/>
      <c r="E19" s="272">
        <f>$C19*E16</f>
        <v>0</v>
      </c>
      <c r="F19" s="266"/>
      <c r="H19" s="257"/>
      <c r="I19" s="262">
        <v>1</v>
      </c>
      <c r="J19" s="262">
        <v>2</v>
      </c>
      <c r="K19" s="262">
        <v>3</v>
      </c>
      <c r="L19" s="262">
        <v>4</v>
      </c>
      <c r="M19" s="262">
        <v>5</v>
      </c>
      <c r="N19" s="262">
        <v>6</v>
      </c>
    </row>
    <row r="20" spans="1:15" ht="13.8">
      <c r="A20" s="400" t="s">
        <v>52</v>
      </c>
      <c r="B20" s="278"/>
      <c r="C20" s="271"/>
      <c r="D20" s="251"/>
      <c r="E20" s="404">
        <f>SUM(E16:E19)</f>
        <v>0</v>
      </c>
      <c r="F20" s="279">
        <f>IF(E20=0,0,E20/E$48)</f>
        <v>0</v>
      </c>
      <c r="H20" s="257" t="s">
        <v>139</v>
      </c>
      <c r="I20" s="451"/>
      <c r="J20" s="451"/>
      <c r="K20" s="451"/>
      <c r="L20" s="451"/>
      <c r="M20" s="451"/>
      <c r="N20" s="451"/>
    </row>
    <row r="21" spans="1:15" ht="13.8">
      <c r="A21" s="269"/>
      <c r="B21" s="273"/>
      <c r="C21" s="274"/>
      <c r="D21" s="251"/>
      <c r="E21" s="275"/>
      <c r="F21" s="266"/>
      <c r="H21" s="257" t="s">
        <v>140</v>
      </c>
      <c r="I21" s="451"/>
      <c r="J21" s="451"/>
      <c r="K21" s="451"/>
      <c r="L21" s="451"/>
      <c r="M21" s="451"/>
      <c r="N21" s="451"/>
    </row>
    <row r="22" spans="1:15" s="283" customFormat="1" ht="13.8">
      <c r="A22" s="280" t="s">
        <v>59</v>
      </c>
      <c r="B22" s="277"/>
      <c r="C22" s="274"/>
      <c r="D22" s="281"/>
      <c r="E22" s="449"/>
      <c r="F22" s="282"/>
      <c r="H22" s="257" t="s">
        <v>141</v>
      </c>
      <c r="I22" s="451"/>
      <c r="J22" s="451"/>
      <c r="K22" s="451"/>
      <c r="L22" s="451"/>
      <c r="M22" s="451"/>
      <c r="N22" s="451"/>
      <c r="O22" s="4"/>
    </row>
    <row r="23" spans="1:15" ht="14.25" customHeight="1">
      <c r="A23" s="276" t="s">
        <v>71</v>
      </c>
      <c r="B23" s="277"/>
      <c r="C23" s="284" t="s">
        <v>45</v>
      </c>
      <c r="D23" s="251"/>
      <c r="E23" s="272" t="e">
        <f>E22*'5-Premies en opslagen'!$C25</f>
        <v>#DIV/0!</v>
      </c>
      <c r="F23" s="266"/>
      <c r="H23" s="257" t="s">
        <v>142</v>
      </c>
      <c r="I23" s="451"/>
      <c r="J23" s="451"/>
      <c r="K23" s="451"/>
      <c r="L23" s="451"/>
      <c r="M23" s="451"/>
      <c r="N23" s="451"/>
      <c r="O23" s="283"/>
    </row>
    <row r="24" spans="1:15" ht="12.75" customHeight="1">
      <c r="A24" s="400" t="s">
        <v>68</v>
      </c>
      <c r="B24" s="278"/>
      <c r="C24" s="271"/>
      <c r="D24" s="251"/>
      <c r="E24" s="404" t="e">
        <f>E23+E20</f>
        <v>#DIV/0!</v>
      </c>
      <c r="F24" s="279" t="e">
        <f>IF(E24=0,0,E24/E$48)</f>
        <v>#DIV/0!</v>
      </c>
      <c r="H24" s="257" t="s">
        <v>143</v>
      </c>
      <c r="I24" s="451"/>
      <c r="J24" s="451"/>
      <c r="K24" s="451"/>
      <c r="L24" s="451"/>
      <c r="M24" s="451"/>
      <c r="N24" s="451"/>
    </row>
    <row r="25" spans="1:15" ht="12.75" customHeight="1">
      <c r="A25" s="269"/>
      <c r="B25" s="278"/>
      <c r="C25" s="271"/>
      <c r="D25" s="251"/>
      <c r="E25" s="260"/>
      <c r="F25" s="266"/>
      <c r="H25" s="288" t="s">
        <v>146</v>
      </c>
      <c r="I25" s="477">
        <f t="shared" ref="I25:N25" si="0">SUM(I20:I24)</f>
        <v>0</v>
      </c>
      <c r="J25" s="477">
        <f t="shared" si="0"/>
        <v>0</v>
      </c>
      <c r="K25" s="477">
        <f t="shared" si="0"/>
        <v>0</v>
      </c>
      <c r="L25" s="477">
        <f t="shared" si="0"/>
        <v>0</v>
      </c>
      <c r="M25" s="477">
        <f t="shared" si="0"/>
        <v>0</v>
      </c>
      <c r="N25" s="477">
        <f t="shared" si="0"/>
        <v>0</v>
      </c>
      <c r="O25" s="65">
        <f>SUM(I25:N25)</f>
        <v>0</v>
      </c>
    </row>
    <row r="26" spans="1:15" ht="13.8">
      <c r="A26" s="276" t="s">
        <v>34</v>
      </c>
      <c r="B26" s="277"/>
      <c r="C26" s="284" t="s">
        <v>45</v>
      </c>
      <c r="D26" s="251"/>
      <c r="E26" s="272" t="e">
        <f>E24*'5-Premies en opslagen'!$B54</f>
        <v>#DIV/0!</v>
      </c>
      <c r="F26" s="266"/>
    </row>
    <row r="27" spans="1:15" ht="13.8">
      <c r="A27" s="400" t="s">
        <v>78</v>
      </c>
      <c r="B27" s="278"/>
      <c r="C27" s="271"/>
      <c r="D27" s="251"/>
      <c r="E27" s="404" t="e">
        <f>SUM(E24:E26)</f>
        <v>#DIV/0!</v>
      </c>
      <c r="F27" s="279" t="e">
        <f>IF(E27=0,0,E27/E$48)</f>
        <v>#DIV/0!</v>
      </c>
      <c r="H27" s="485" t="s">
        <v>144</v>
      </c>
      <c r="I27" s="669" t="s">
        <v>148</v>
      </c>
      <c r="J27" s="669"/>
      <c r="K27" s="669"/>
      <c r="L27" s="669"/>
      <c r="M27" s="669"/>
      <c r="N27" s="669"/>
    </row>
    <row r="28" spans="1:15" ht="13.8">
      <c r="A28" s="269"/>
      <c r="B28" s="278"/>
      <c r="C28" s="271"/>
      <c r="D28" s="251"/>
      <c r="E28" s="260"/>
      <c r="F28" s="266"/>
      <c r="H28" s="486"/>
      <c r="I28" s="487">
        <v>1</v>
      </c>
      <c r="J28" s="487">
        <v>2</v>
      </c>
      <c r="K28" s="487">
        <v>3</v>
      </c>
      <c r="L28" s="487">
        <v>4</v>
      </c>
      <c r="M28" s="487">
        <v>5</v>
      </c>
      <c r="N28" s="487">
        <v>6</v>
      </c>
    </row>
    <row r="29" spans="1:15" ht="13.8">
      <c r="A29" s="269" t="s">
        <v>60</v>
      </c>
      <c r="B29" s="285"/>
      <c r="C29" s="268" t="s">
        <v>67</v>
      </c>
      <c r="D29" s="251"/>
      <c r="E29" s="447"/>
      <c r="F29" s="409">
        <v>0</v>
      </c>
      <c r="H29" s="486"/>
      <c r="I29" s="488"/>
      <c r="J29" s="488"/>
      <c r="K29" s="488"/>
      <c r="L29" s="488"/>
      <c r="M29" s="488"/>
      <c r="N29" s="489"/>
    </row>
    <row r="30" spans="1:15" ht="13.8">
      <c r="A30" s="269" t="s">
        <v>64</v>
      </c>
      <c r="B30" s="286"/>
      <c r="C30" s="268" t="s">
        <v>67</v>
      </c>
      <c r="D30" s="251"/>
      <c r="E30" s="447"/>
      <c r="F30" s="409">
        <v>0</v>
      </c>
      <c r="H30" s="486"/>
      <c r="I30" s="488"/>
      <c r="J30" s="488"/>
      <c r="K30" s="488"/>
      <c r="L30" s="488"/>
      <c r="M30" s="488"/>
      <c r="N30" s="489"/>
    </row>
    <row r="31" spans="1:15" ht="12.75" customHeight="1">
      <c r="A31" s="269" t="s">
        <v>65</v>
      </c>
      <c r="B31" s="278"/>
      <c r="C31" s="271" t="s">
        <v>62</v>
      </c>
      <c r="D31" s="251"/>
      <c r="E31" s="447"/>
      <c r="F31" s="266"/>
      <c r="H31" s="486"/>
      <c r="I31" s="488"/>
      <c r="J31" s="488"/>
      <c r="K31" s="488"/>
      <c r="L31" s="488"/>
      <c r="M31" s="488"/>
      <c r="N31" s="489"/>
    </row>
    <row r="32" spans="1:15" ht="12.75" customHeight="1">
      <c r="A32" s="450"/>
      <c r="B32" s="505"/>
      <c r="C32" s="506" t="s">
        <v>62</v>
      </c>
      <c r="D32" s="251"/>
      <c r="E32" s="447"/>
      <c r="F32" s="266"/>
      <c r="H32" s="486"/>
      <c r="I32" s="488"/>
      <c r="J32" s="488"/>
      <c r="K32" s="488"/>
      <c r="L32" s="488"/>
      <c r="M32" s="488"/>
      <c r="N32" s="489"/>
    </row>
    <row r="33" spans="1:14" ht="12.75" customHeight="1">
      <c r="A33" s="400" t="s">
        <v>54</v>
      </c>
      <c r="B33" s="278"/>
      <c r="C33" s="271"/>
      <c r="D33" s="251"/>
      <c r="E33" s="404" t="e">
        <f>SUM(E27:E32)</f>
        <v>#DIV/0!</v>
      </c>
      <c r="F33" s="279" t="e">
        <f>IF(E33=0,0,E33/E$48)</f>
        <v>#DIV/0!</v>
      </c>
      <c r="H33" s="486" t="s">
        <v>143</v>
      </c>
      <c r="I33" s="488">
        <f t="shared" ref="I33:N33" si="1">I24*I16</f>
        <v>0</v>
      </c>
      <c r="J33" s="488">
        <f t="shared" si="1"/>
        <v>0</v>
      </c>
      <c r="K33" s="488">
        <f t="shared" si="1"/>
        <v>0</v>
      </c>
      <c r="L33" s="488">
        <f t="shared" si="1"/>
        <v>0</v>
      </c>
      <c r="M33" s="488">
        <f t="shared" si="1"/>
        <v>0</v>
      </c>
      <c r="N33" s="489">
        <f t="shared" si="1"/>
        <v>0</v>
      </c>
    </row>
    <row r="34" spans="1:14" ht="12.75" customHeight="1">
      <c r="A34" s="269"/>
      <c r="B34" s="278"/>
      <c r="C34" s="271"/>
      <c r="D34" s="251"/>
      <c r="E34" s="260"/>
      <c r="F34" s="266"/>
      <c r="H34" s="490" t="s">
        <v>146</v>
      </c>
      <c r="I34" s="491">
        <f t="shared" ref="I34:N34" si="2">SUM(I29:I33)</f>
        <v>0</v>
      </c>
      <c r="J34" s="491">
        <f t="shared" si="2"/>
        <v>0</v>
      </c>
      <c r="K34" s="491">
        <f t="shared" si="2"/>
        <v>0</v>
      </c>
      <c r="L34" s="491">
        <f t="shared" si="2"/>
        <v>0</v>
      </c>
      <c r="M34" s="491">
        <f t="shared" si="2"/>
        <v>0</v>
      </c>
      <c r="N34" s="491">
        <f t="shared" si="2"/>
        <v>0</v>
      </c>
    </row>
    <row r="35" spans="1:14" ht="12.75" customHeight="1">
      <c r="A35" s="269" t="s">
        <v>80</v>
      </c>
      <c r="B35" s="278"/>
      <c r="C35" s="287"/>
      <c r="D35" s="251"/>
      <c r="E35" s="447"/>
      <c r="F35" s="409">
        <v>0</v>
      </c>
      <c r="H35" s="283"/>
      <c r="I35" s="283"/>
      <c r="J35" s="283"/>
      <c r="K35" s="283"/>
      <c r="L35" s="283"/>
      <c r="M35" s="283"/>
      <c r="N35" s="283"/>
    </row>
    <row r="36" spans="1:14" ht="14.25" customHeight="1">
      <c r="A36" s="269" t="s">
        <v>33</v>
      </c>
      <c r="B36" s="278"/>
      <c r="C36" s="287"/>
      <c r="D36" s="251"/>
      <c r="E36" s="447"/>
      <c r="F36" s="409">
        <v>0</v>
      </c>
      <c r="H36" s="283"/>
      <c r="I36" s="283"/>
      <c r="J36" s="283"/>
      <c r="K36" s="283"/>
      <c r="L36" s="283"/>
      <c r="M36" s="283"/>
      <c r="N36" s="283"/>
    </row>
    <row r="37" spans="1:14" ht="13.8">
      <c r="A37" s="269" t="s">
        <v>24</v>
      </c>
      <c r="B37" s="278"/>
      <c r="C37" s="287"/>
      <c r="D37" s="251"/>
      <c r="E37" s="447"/>
      <c r="F37" s="409">
        <v>0</v>
      </c>
      <c r="H37" s="283"/>
      <c r="I37" s="283"/>
      <c r="J37" s="283"/>
      <c r="K37" s="283"/>
      <c r="L37" s="283"/>
      <c r="M37" s="283"/>
      <c r="N37" s="283"/>
    </row>
    <row r="38" spans="1:14" ht="13.8">
      <c r="A38" s="269" t="s">
        <v>2</v>
      </c>
      <c r="B38" s="278"/>
      <c r="C38" s="289"/>
      <c r="D38" s="251"/>
      <c r="E38" s="447"/>
      <c r="F38" s="409">
        <v>0</v>
      </c>
      <c r="H38" s="172"/>
      <c r="I38" s="172"/>
      <c r="J38" s="172"/>
      <c r="K38" s="172"/>
      <c r="L38" s="172"/>
      <c r="M38" s="172"/>
      <c r="N38" s="172"/>
    </row>
    <row r="39" spans="1:14" ht="13.8">
      <c r="A39" s="269" t="s">
        <v>31</v>
      </c>
      <c r="B39" s="278"/>
      <c r="C39" s="287"/>
      <c r="D39" s="251"/>
      <c r="E39" s="447"/>
      <c r="F39" s="409">
        <v>0</v>
      </c>
      <c r="H39" s="172"/>
      <c r="I39" s="172"/>
      <c r="J39" s="172"/>
      <c r="K39" s="172"/>
      <c r="L39" s="172"/>
      <c r="M39" s="172"/>
      <c r="N39" s="172"/>
    </row>
    <row r="40" spans="1:14" ht="13.8">
      <c r="A40" s="269" t="s">
        <v>28</v>
      </c>
      <c r="B40" s="278"/>
      <c r="C40" s="289"/>
      <c r="D40" s="251"/>
      <c r="E40" s="447"/>
      <c r="F40" s="409">
        <v>0</v>
      </c>
      <c r="H40" s="172"/>
      <c r="I40" s="172"/>
      <c r="J40" s="172"/>
      <c r="K40" s="172"/>
      <c r="L40" s="172"/>
      <c r="M40" s="172"/>
      <c r="N40" s="172"/>
    </row>
    <row r="41" spans="1:14" ht="13.8">
      <c r="A41" s="269" t="s">
        <v>72</v>
      </c>
      <c r="B41" s="278"/>
      <c r="C41" s="268" t="s">
        <v>67</v>
      </c>
      <c r="D41" s="251"/>
      <c r="E41" s="447"/>
      <c r="F41" s="409">
        <v>0</v>
      </c>
      <c r="H41" s="172"/>
      <c r="I41" s="172"/>
      <c r="J41" s="172"/>
      <c r="K41" s="172"/>
      <c r="L41" s="172"/>
      <c r="M41" s="172"/>
      <c r="N41" s="172"/>
    </row>
    <row r="42" spans="1:14" ht="13.8">
      <c r="A42" s="269" t="s">
        <v>87</v>
      </c>
      <c r="B42" s="278"/>
      <c r="C42" s="268"/>
      <c r="D42" s="251"/>
      <c r="E42" s="447"/>
      <c r="F42" s="409">
        <v>0</v>
      </c>
      <c r="H42" s="172"/>
      <c r="I42" s="172"/>
      <c r="J42" s="172"/>
      <c r="K42" s="172"/>
      <c r="L42" s="172"/>
      <c r="M42" s="172"/>
      <c r="N42" s="172"/>
    </row>
    <row r="43" spans="1:14" ht="13.8">
      <c r="A43" s="450"/>
      <c r="B43" s="505"/>
      <c r="C43" s="507"/>
      <c r="D43" s="251"/>
      <c r="E43" s="447"/>
      <c r="F43" s="266"/>
      <c r="H43" s="172"/>
      <c r="I43" s="172"/>
      <c r="J43" s="172"/>
      <c r="K43" s="172"/>
      <c r="L43" s="172"/>
      <c r="M43" s="172"/>
      <c r="N43" s="172"/>
    </row>
    <row r="44" spans="1:14" ht="13.8">
      <c r="A44" s="400" t="s">
        <v>73</v>
      </c>
      <c r="B44" s="278"/>
      <c r="C44" s="271"/>
      <c r="D44" s="251"/>
      <c r="E44" s="404" t="e">
        <f>SUM(E33:E43)</f>
        <v>#DIV/0!</v>
      </c>
      <c r="F44" s="279" t="e">
        <f>IF(E44=0,0,E44/E$48)</f>
        <v>#DIV/0!</v>
      </c>
      <c r="H44" s="172"/>
      <c r="I44" s="172"/>
      <c r="J44" s="172"/>
      <c r="K44" s="172"/>
      <c r="L44" s="172"/>
      <c r="M44" s="172"/>
      <c r="N44" s="172"/>
    </row>
    <row r="45" spans="1:14" ht="13.8">
      <c r="A45" s="269"/>
      <c r="B45" s="278"/>
      <c r="C45" s="271"/>
      <c r="D45" s="251"/>
      <c r="E45" s="260"/>
      <c r="F45" s="290"/>
      <c r="H45" s="172"/>
      <c r="I45" s="172"/>
      <c r="J45" s="172"/>
      <c r="K45" s="172"/>
      <c r="L45" s="172"/>
      <c r="M45" s="172"/>
      <c r="N45" s="172"/>
    </row>
    <row r="46" spans="1:14" ht="13.8">
      <c r="A46" s="269" t="s">
        <v>74</v>
      </c>
      <c r="B46" s="278"/>
      <c r="C46" s="289"/>
      <c r="D46" s="251"/>
      <c r="E46" s="447"/>
      <c r="F46" s="279">
        <f>(IF(E46=0,0,E46/E$48))</f>
        <v>0</v>
      </c>
      <c r="H46" s="172"/>
      <c r="I46" s="172"/>
      <c r="J46" s="172"/>
      <c r="K46" s="172"/>
      <c r="L46" s="172"/>
      <c r="M46" s="172"/>
      <c r="N46" s="172"/>
    </row>
    <row r="47" spans="1:14" ht="13.8">
      <c r="A47" s="269"/>
      <c r="B47" s="270"/>
      <c r="C47" s="271"/>
      <c r="D47" s="251"/>
      <c r="E47" s="260"/>
      <c r="F47" s="266"/>
      <c r="H47" s="172"/>
      <c r="I47" s="172"/>
      <c r="J47" s="172"/>
      <c r="K47" s="172"/>
      <c r="L47" s="172"/>
      <c r="M47" s="172"/>
      <c r="N47" s="172"/>
    </row>
    <row r="48" spans="1:14" ht="13.8">
      <c r="A48" s="400" t="s">
        <v>46</v>
      </c>
      <c r="B48" s="319"/>
      <c r="C48" s="291"/>
      <c r="D48" s="251"/>
      <c r="E48" s="405" t="e">
        <f>SUM(E44:E47)</f>
        <v>#DIV/0!</v>
      </c>
      <c r="F48" s="407" t="e">
        <f>SUM(F44:F47)</f>
        <v>#DIV/0!</v>
      </c>
      <c r="H48" s="172"/>
      <c r="I48" s="172"/>
      <c r="J48" s="172"/>
      <c r="K48" s="172"/>
      <c r="L48" s="172"/>
      <c r="M48" s="172"/>
      <c r="N48" s="172"/>
    </row>
    <row r="49" spans="1:14" ht="13.8">
      <c r="A49" s="192"/>
      <c r="B49" s="292"/>
      <c r="C49" s="293"/>
      <c r="D49" s="251"/>
      <c r="E49" s="9"/>
      <c r="F49" s="294"/>
      <c r="H49" s="172"/>
      <c r="I49" s="172"/>
      <c r="J49" s="172"/>
      <c r="K49" s="172"/>
      <c r="L49" s="172"/>
      <c r="M49" s="172"/>
      <c r="N49" s="172"/>
    </row>
    <row r="50" spans="1:14" s="283" customFormat="1" ht="13.8">
      <c r="A50" s="295" t="s">
        <v>241</v>
      </c>
      <c r="B50" s="296"/>
      <c r="C50" s="297"/>
      <c r="E50" s="298" t="e">
        <f>(E$27*1.3)+($E$48-$E$27)</f>
        <v>#DIV/0!</v>
      </c>
      <c r="F50" s="299"/>
      <c r="H50" s="172"/>
      <c r="I50" s="172"/>
      <c r="J50" s="172"/>
      <c r="K50" s="172"/>
      <c r="L50" s="172"/>
      <c r="M50" s="172"/>
      <c r="N50" s="172"/>
    </row>
    <row r="51" spans="1:14" s="283" customFormat="1" ht="13.8">
      <c r="A51" s="300"/>
      <c r="B51" s="301"/>
      <c r="C51" s="302"/>
      <c r="E51" s="300"/>
      <c r="F51" s="300"/>
      <c r="H51" s="172"/>
      <c r="I51" s="172"/>
      <c r="J51" s="172"/>
      <c r="K51" s="172"/>
      <c r="L51" s="172"/>
      <c r="M51" s="172"/>
      <c r="N51" s="172"/>
    </row>
    <row r="52" spans="1:14" s="283" customFormat="1" ht="13.8">
      <c r="A52" s="295" t="s">
        <v>50</v>
      </c>
      <c r="B52" s="296"/>
      <c r="C52" s="297"/>
      <c r="E52" s="298" t="e">
        <f>(E$27*1.5)+($E$48-$E$27)</f>
        <v>#DIV/0!</v>
      </c>
      <c r="F52" s="299"/>
      <c r="H52" s="172"/>
      <c r="I52" s="172"/>
      <c r="J52" s="172"/>
      <c r="K52" s="172"/>
      <c r="L52" s="172"/>
      <c r="M52" s="172"/>
      <c r="N52" s="172"/>
    </row>
    <row r="53" spans="1:14" s="283" customFormat="1" ht="13.8">
      <c r="A53" s="300"/>
      <c r="B53" s="301"/>
      <c r="C53" s="302"/>
      <c r="E53" s="300"/>
      <c r="F53" s="300"/>
      <c r="H53" s="172"/>
      <c r="I53" s="172"/>
      <c r="J53" s="172"/>
      <c r="K53" s="172"/>
      <c r="L53" s="172"/>
      <c r="M53" s="172"/>
      <c r="N53" s="172"/>
    </row>
    <row r="54" spans="1:14" s="283" customFormat="1" ht="13.8">
      <c r="A54" s="295" t="s">
        <v>85</v>
      </c>
      <c r="B54" s="296"/>
      <c r="C54" s="297"/>
      <c r="E54" s="298" t="e">
        <f>(E$27*2.5)+($E$48-$E$27)</f>
        <v>#DIV/0!</v>
      </c>
      <c r="F54" s="303"/>
      <c r="H54" s="172"/>
      <c r="I54" s="172"/>
      <c r="J54" s="172"/>
      <c r="K54" s="172"/>
      <c r="L54" s="172"/>
      <c r="M54" s="172"/>
      <c r="N54" s="172"/>
    </row>
    <row r="55" spans="1:14" s="172" customFormat="1" ht="13.8">
      <c r="B55" s="304"/>
      <c r="C55" s="305"/>
      <c r="F55" s="306"/>
    </row>
    <row r="56" spans="1:14" s="172" customFormat="1" ht="13.8">
      <c r="A56" s="295" t="s">
        <v>198</v>
      </c>
      <c r="B56" s="296"/>
      <c r="C56" s="297"/>
      <c r="D56" s="283"/>
      <c r="E56" s="298" t="e">
        <f>((E52*102)+(E54*9))/111</f>
        <v>#DIV/0!</v>
      </c>
      <c r="F56" s="306"/>
    </row>
    <row r="57" spans="1:14" s="172" customFormat="1" ht="13.8">
      <c r="B57" s="304"/>
      <c r="C57" s="305"/>
      <c r="F57" s="306"/>
    </row>
    <row r="58" spans="1:14" s="172" customFormat="1">
      <c r="C58" s="307"/>
      <c r="F58" s="306"/>
    </row>
    <row r="59" spans="1:14" s="172" customFormat="1">
      <c r="C59" s="307"/>
      <c r="F59" s="306"/>
    </row>
    <row r="60" spans="1:14" s="172" customFormat="1">
      <c r="A60" s="47"/>
      <c r="C60" s="307"/>
      <c r="F60" s="306"/>
    </row>
    <row r="61" spans="1:14" s="172" customFormat="1">
      <c r="C61" s="307"/>
      <c r="F61" s="306"/>
    </row>
    <row r="62" spans="1:14" s="172" customFormat="1">
      <c r="C62" s="307"/>
      <c r="F62" s="306"/>
    </row>
    <row r="63" spans="1:14" s="172" customFormat="1">
      <c r="C63" s="307"/>
      <c r="F63" s="306"/>
      <c r="H63" s="4"/>
      <c r="I63" s="4"/>
      <c r="J63" s="4"/>
      <c r="K63" s="4"/>
      <c r="L63" s="4"/>
      <c r="M63" s="4"/>
      <c r="N63" s="4"/>
    </row>
    <row r="64" spans="1:14" s="172" customFormat="1">
      <c r="C64" s="307"/>
      <c r="F64" s="306"/>
      <c r="H64" s="4"/>
      <c r="I64" s="4"/>
      <c r="J64" s="4"/>
      <c r="K64" s="4"/>
      <c r="L64" s="4"/>
      <c r="M64" s="4"/>
      <c r="N64" s="4"/>
    </row>
    <row r="65" spans="3:15" s="172" customFormat="1">
      <c r="C65" s="307"/>
      <c r="F65" s="306"/>
      <c r="H65" s="4"/>
      <c r="I65" s="4"/>
      <c r="J65" s="4"/>
      <c r="K65" s="4"/>
      <c r="L65" s="4"/>
      <c r="M65" s="4"/>
      <c r="N65" s="4"/>
      <c r="O65" s="4"/>
    </row>
    <row r="66" spans="3:15" s="172" customFormat="1">
      <c r="C66" s="307"/>
      <c r="F66" s="306"/>
      <c r="H66" s="4"/>
      <c r="I66" s="4"/>
      <c r="J66" s="4"/>
      <c r="K66" s="4"/>
      <c r="L66" s="4"/>
      <c r="M66" s="4"/>
      <c r="N66" s="4"/>
      <c r="O66" s="283"/>
    </row>
    <row r="67" spans="3:15" s="172" customFormat="1">
      <c r="C67" s="307"/>
      <c r="F67" s="306"/>
      <c r="H67" s="4"/>
      <c r="I67" s="4"/>
      <c r="J67" s="4"/>
      <c r="K67" s="4"/>
      <c r="L67" s="4"/>
      <c r="M67" s="4"/>
      <c r="N67" s="4"/>
      <c r="O67" s="283"/>
    </row>
    <row r="68" spans="3:15">
      <c r="O68" s="283"/>
    </row>
    <row r="69" spans="3:15">
      <c r="O69" s="172"/>
    </row>
    <row r="70" spans="3:15">
      <c r="O70" s="172"/>
    </row>
    <row r="71" spans="3:15">
      <c r="O71" s="172"/>
    </row>
    <row r="72" spans="3:15">
      <c r="O72" s="172"/>
    </row>
    <row r="73" spans="3:15">
      <c r="O73" s="172"/>
    </row>
    <row r="74" spans="3:15">
      <c r="O74" s="172"/>
    </row>
    <row r="75" spans="3:15">
      <c r="O75" s="172"/>
    </row>
    <row r="76" spans="3:15">
      <c r="O76" s="172"/>
    </row>
    <row r="77" spans="3:15">
      <c r="O77" s="172"/>
    </row>
    <row r="78" spans="3:15">
      <c r="O78" s="172"/>
    </row>
    <row r="79" spans="3:15">
      <c r="O79" s="172"/>
    </row>
    <row r="80" spans="3:15">
      <c r="O80" s="172"/>
    </row>
    <row r="81" spans="15:15">
      <c r="O81" s="172"/>
    </row>
  </sheetData>
  <mergeCells count="7">
    <mergeCell ref="E10:F10"/>
    <mergeCell ref="I10:N10"/>
    <mergeCell ref="I27:N27"/>
    <mergeCell ref="H1:N2"/>
    <mergeCell ref="H3:N3"/>
    <mergeCell ref="H4:N5"/>
    <mergeCell ref="I18:N18"/>
  </mergeCells>
  <conditionalFormatting sqref="O25">
    <cfRule type="cellIs" dxfId="30" priority="1" operator="greaterThan">
      <formula>1</formula>
    </cfRule>
    <cfRule type="cellIs" dxfId="29" priority="2" operator="between">
      <formula>0.999999</formula>
      <formula>0</formula>
    </cfRule>
    <cfRule type="cellIs" dxfId="28"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K69"/>
  <sheetViews>
    <sheetView showGridLines="0" showZeros="0" zoomScale="96" zoomScaleNormal="96" zoomScaleSheetLayoutView="75" zoomScalePageLayoutView="50" workbookViewId="0">
      <pane ySplit="10" topLeftCell="A11" activePane="bottomLeft" state="frozen"/>
      <selection activeCell="D33" sqref="D33"/>
      <selection pane="bottomLeft" activeCell="A11" sqref="A11"/>
    </sheetView>
  </sheetViews>
  <sheetFormatPr defaultColWidth="11.44140625" defaultRowHeight="13.2"/>
  <cols>
    <col min="1" max="1" width="39" style="4" customWidth="1"/>
    <col min="2" max="2" width="20.33203125" style="4" customWidth="1"/>
    <col min="3" max="6" width="17.5546875" style="4" customWidth="1"/>
    <col min="7" max="16384" width="11.44140625" style="4"/>
  </cols>
  <sheetData>
    <row r="1" spans="1:6" ht="13.8">
      <c r="A1" s="452" t="s">
        <v>25</v>
      </c>
      <c r="B1" s="324"/>
      <c r="C1" s="325"/>
      <c r="D1" s="326"/>
    </row>
    <row r="3" spans="1:6" ht="15.6">
      <c r="A3" s="114" t="str">
        <f>'1-Contractblad totaal'!A3</f>
        <v>Naam opdrachtgever</v>
      </c>
      <c r="B3" s="141" t="str">
        <f>'1-Contractblad totaal'!B3</f>
        <v>Juridisch Loket</v>
      </c>
      <c r="C3" s="327"/>
      <c r="D3" s="327"/>
      <c r="E3" s="47"/>
      <c r="F3" s="47"/>
    </row>
    <row r="4" spans="1:6" ht="15.6">
      <c r="A4" s="114" t="str">
        <f>'1-Contractblad totaal'!A4</f>
        <v>Calculatie onderdeel</v>
      </c>
      <c r="B4" s="141" t="str">
        <f ca="1">MID(CELL("bestandsnaam",$C$9),SEARCH("]",CELL("bestandsnaam",$C$9),1)+1,256)</f>
        <v>8-Afroepprijs</v>
      </c>
      <c r="C4" s="328"/>
      <c r="D4" s="327"/>
      <c r="E4" s="47"/>
      <c r="F4" s="47"/>
    </row>
    <row r="5" spans="1:6" ht="15">
      <c r="A5" s="114" t="str">
        <f>'1-Contractblad totaal'!A5</f>
        <v>Gebouw/plaats</v>
      </c>
      <c r="B5" s="141" t="str">
        <f>'1-Contractblad totaal'!B5</f>
        <v>Diverse locaties</v>
      </c>
      <c r="C5" s="328"/>
      <c r="D5" s="329"/>
    </row>
    <row r="6" spans="1:6" ht="15">
      <c r="A6" s="114" t="str">
        <f>'1-Contractblad totaal'!A6</f>
        <v>Referentie nummer</v>
      </c>
      <c r="B6" s="141" t="str">
        <f>'1-Contractblad totaal'!B6</f>
        <v>EU-JL-ID.MvD-2020</v>
      </c>
      <c r="C6" s="328"/>
      <c r="D6" s="329"/>
    </row>
    <row r="7" spans="1:6" ht="15">
      <c r="A7" s="114" t="str">
        <f>'1-Contractblad totaal'!A8</f>
        <v>Naam dienstverlener</v>
      </c>
      <c r="B7" s="141">
        <f>'1-Contractblad totaal'!B8</f>
        <v>0</v>
      </c>
      <c r="C7" s="328"/>
      <c r="D7" s="585"/>
    </row>
    <row r="8" spans="1:6" ht="15">
      <c r="A8" s="114" t="str">
        <f>'1-Contractblad totaal'!A9</f>
        <v>Prijspeil</v>
      </c>
      <c r="B8" s="115">
        <f>'1-Contractblad totaal'!B9</f>
        <v>44013</v>
      </c>
      <c r="C8" s="328"/>
      <c r="D8" s="329"/>
    </row>
    <row r="9" spans="1:6" ht="15">
      <c r="A9" s="105"/>
      <c r="B9" s="330"/>
      <c r="C9" s="328"/>
      <c r="D9" s="329"/>
    </row>
    <row r="10" spans="1:6">
      <c r="A10" s="331"/>
      <c r="B10" s="332"/>
      <c r="C10" s="332"/>
      <c r="D10" s="332"/>
    </row>
    <row r="11" spans="1:6" ht="15">
      <c r="A11" s="360" t="s">
        <v>159</v>
      </c>
      <c r="B11" s="361"/>
      <c r="C11" s="361"/>
      <c r="D11" s="362"/>
      <c r="E11" s="362"/>
      <c r="F11" s="363"/>
    </row>
    <row r="13" spans="1:6">
      <c r="A13" s="340"/>
      <c r="B13" s="341"/>
      <c r="C13" s="679" t="s">
        <v>123</v>
      </c>
      <c r="D13" s="680"/>
      <c r="E13" s="680"/>
      <c r="F13" s="681"/>
    </row>
    <row r="14" spans="1:6">
      <c r="A14" s="342" t="s">
        <v>55</v>
      </c>
      <c r="B14" s="342" t="s">
        <v>12</v>
      </c>
      <c r="C14" s="343" t="s">
        <v>119</v>
      </c>
      <c r="D14" s="322" t="s">
        <v>120</v>
      </c>
      <c r="E14" s="322" t="s">
        <v>121</v>
      </c>
      <c r="F14" s="322" t="s">
        <v>122</v>
      </c>
    </row>
    <row r="15" spans="1:6" ht="13.8">
      <c r="A15" s="333" t="s">
        <v>82</v>
      </c>
      <c r="B15" s="333" t="s">
        <v>37</v>
      </c>
      <c r="C15" s="460">
        <v>0</v>
      </c>
      <c r="D15" s="460">
        <v>0</v>
      </c>
      <c r="E15" s="460">
        <v>0</v>
      </c>
      <c r="F15" s="460">
        <v>0</v>
      </c>
    </row>
    <row r="16" spans="1:6" ht="13.8">
      <c r="A16" s="333" t="s">
        <v>83</v>
      </c>
      <c r="B16" s="333" t="s">
        <v>38</v>
      </c>
      <c r="C16" s="460">
        <v>0</v>
      </c>
      <c r="D16" s="460">
        <v>0</v>
      </c>
      <c r="E16" s="460">
        <v>0</v>
      </c>
      <c r="F16" s="460">
        <v>0</v>
      </c>
    </row>
    <row r="17" spans="1:8" ht="13.8">
      <c r="A17" s="344" t="s">
        <v>84</v>
      </c>
      <c r="B17" s="461"/>
      <c r="C17" s="460">
        <v>0</v>
      </c>
      <c r="D17" s="460">
        <v>0</v>
      </c>
      <c r="E17" s="460">
        <v>0</v>
      </c>
      <c r="F17" s="460">
        <v>0</v>
      </c>
    </row>
    <row r="18" spans="1:8" ht="13.8">
      <c r="A18" s="344" t="s">
        <v>7</v>
      </c>
      <c r="B18" s="461"/>
      <c r="C18" s="460">
        <v>0</v>
      </c>
      <c r="D18" s="460">
        <v>0</v>
      </c>
      <c r="E18" s="460">
        <v>0</v>
      </c>
      <c r="F18" s="460">
        <v>0</v>
      </c>
    </row>
    <row r="19" spans="1:8" ht="13.8">
      <c r="A19" s="334"/>
      <c r="B19" s="334"/>
      <c r="C19" s="334"/>
      <c r="D19" s="335"/>
    </row>
    <row r="20" spans="1:8" ht="15">
      <c r="A20" s="360" t="s">
        <v>182</v>
      </c>
      <c r="B20" s="364"/>
      <c r="C20" s="364"/>
      <c r="D20" s="364"/>
      <c r="E20" s="364"/>
      <c r="F20" s="365"/>
    </row>
    <row r="21" spans="1:8" ht="13.8">
      <c r="A21" s="345"/>
      <c r="B21" s="334"/>
      <c r="C21" s="334"/>
      <c r="D21" s="335"/>
      <c r="E21" s="679" t="s">
        <v>23</v>
      </c>
      <c r="F21" s="681"/>
    </row>
    <row r="22" spans="1:8">
      <c r="A22" s="344" t="s">
        <v>161</v>
      </c>
      <c r="B22" s="346" t="s">
        <v>12</v>
      </c>
      <c r="C22" s="347"/>
      <c r="D22" s="348"/>
      <c r="E22" s="343" t="s">
        <v>162</v>
      </c>
      <c r="F22" s="343" t="s">
        <v>163</v>
      </c>
    </row>
    <row r="23" spans="1:8" ht="13.8">
      <c r="A23" s="336" t="s">
        <v>164</v>
      </c>
      <c r="B23" s="455" t="s">
        <v>18</v>
      </c>
      <c r="C23" s="456"/>
      <c r="D23" s="456"/>
      <c r="E23" s="457">
        <v>0</v>
      </c>
      <c r="F23" s="457">
        <v>0</v>
      </c>
    </row>
    <row r="24" spans="1:8" ht="13.8">
      <c r="A24" s="336" t="s">
        <v>165</v>
      </c>
      <c r="B24" s="455" t="s">
        <v>18</v>
      </c>
      <c r="C24" s="458"/>
      <c r="D24" s="458"/>
      <c r="E24" s="457">
        <v>0</v>
      </c>
      <c r="F24" s="457">
        <v>0</v>
      </c>
    </row>
    <row r="25" spans="1:8" ht="13.8">
      <c r="A25" s="336" t="s">
        <v>166</v>
      </c>
      <c r="B25" s="455" t="s">
        <v>18</v>
      </c>
      <c r="C25" s="458"/>
      <c r="D25" s="458"/>
      <c r="E25" s="457">
        <v>0</v>
      </c>
      <c r="F25" s="457">
        <v>0</v>
      </c>
    </row>
    <row r="26" spans="1:8" ht="13.8">
      <c r="A26" s="336" t="s">
        <v>167</v>
      </c>
      <c r="B26" s="455" t="s">
        <v>18</v>
      </c>
      <c r="C26" s="459"/>
      <c r="D26" s="458"/>
      <c r="E26" s="457">
        <v>0</v>
      </c>
      <c r="F26" s="457">
        <v>0</v>
      </c>
    </row>
    <row r="27" spans="1:8" ht="13.8">
      <c r="A27" s="336" t="s">
        <v>168</v>
      </c>
      <c r="B27" s="455" t="s">
        <v>18</v>
      </c>
      <c r="C27" s="459"/>
      <c r="D27" s="458"/>
      <c r="E27" s="457">
        <v>0</v>
      </c>
      <c r="F27" s="457">
        <v>0</v>
      </c>
    </row>
    <row r="28" spans="1:8">
      <c r="A28" s="349"/>
      <c r="B28" s="350"/>
      <c r="C28" s="350"/>
      <c r="D28" s="351"/>
    </row>
    <row r="29" spans="1:8" ht="15">
      <c r="A29" s="688" t="s">
        <v>596</v>
      </c>
      <c r="B29" s="689"/>
      <c r="C29" s="689"/>
      <c r="D29" s="689"/>
      <c r="E29" s="689"/>
      <c r="F29" s="689"/>
    </row>
    <row r="30" spans="1:8">
      <c r="A30" s="349"/>
      <c r="B30" s="350"/>
      <c r="C30" s="350"/>
      <c r="D30" s="351"/>
    </row>
    <row r="31" spans="1:8">
      <c r="A31" s="352" t="s">
        <v>55</v>
      </c>
      <c r="B31" s="591" t="s">
        <v>12</v>
      </c>
      <c r="C31" s="347"/>
      <c r="D31" s="348"/>
      <c r="E31" s="354" t="s">
        <v>598</v>
      </c>
      <c r="F31" s="321" t="s">
        <v>602</v>
      </c>
    </row>
    <row r="32" spans="1:8" ht="27">
      <c r="A32" s="336" t="s">
        <v>594</v>
      </c>
      <c r="B32" s="455" t="s">
        <v>18</v>
      </c>
      <c r="C32" s="456"/>
      <c r="D32" s="456"/>
      <c r="E32" s="457">
        <v>0</v>
      </c>
      <c r="F32" s="354" t="s">
        <v>595</v>
      </c>
      <c r="H32" s="511"/>
    </row>
    <row r="33" spans="1:11" ht="40.200000000000003">
      <c r="A33" s="594" t="s">
        <v>597</v>
      </c>
      <c r="B33" s="455" t="s">
        <v>18</v>
      </c>
      <c r="C33" s="456"/>
      <c r="D33" s="456"/>
      <c r="E33" s="457">
        <v>0</v>
      </c>
      <c r="F33" s="595" t="s">
        <v>603</v>
      </c>
      <c r="H33" s="511"/>
    </row>
    <row r="34" spans="1:11" ht="40.200000000000003">
      <c r="A34" s="594" t="s">
        <v>599</v>
      </c>
      <c r="B34" s="455" t="s">
        <v>18</v>
      </c>
      <c r="C34" s="456"/>
      <c r="D34" s="456"/>
      <c r="E34" s="457">
        <v>0</v>
      </c>
      <c r="F34" s="595" t="s">
        <v>600</v>
      </c>
      <c r="H34" s="511"/>
    </row>
    <row r="35" spans="1:11" ht="40.200000000000003">
      <c r="A35" s="594" t="s">
        <v>604</v>
      </c>
      <c r="B35" s="455" t="s">
        <v>18</v>
      </c>
      <c r="C35" s="456"/>
      <c r="D35" s="456"/>
      <c r="E35" s="457">
        <v>0</v>
      </c>
      <c r="F35" s="595" t="s">
        <v>601</v>
      </c>
      <c r="H35" s="511"/>
    </row>
    <row r="36" spans="1:11">
      <c r="A36" s="349"/>
      <c r="B36" s="350"/>
      <c r="C36" s="350"/>
      <c r="D36" s="351"/>
    </row>
    <row r="37" spans="1:11" ht="15">
      <c r="A37" s="360" t="s">
        <v>160</v>
      </c>
      <c r="B37" s="364"/>
      <c r="C37" s="364"/>
      <c r="D37" s="364"/>
      <c r="E37" s="364"/>
      <c r="F37" s="365"/>
    </row>
    <row r="38" spans="1:11">
      <c r="A38" s="337"/>
      <c r="B38" s="337"/>
      <c r="C38" s="337"/>
      <c r="D38" s="337"/>
      <c r="E38" s="191"/>
      <c r="F38" s="191"/>
      <c r="G38" s="191"/>
    </row>
    <row r="39" spans="1:11" ht="26.4">
      <c r="A39" s="352" t="s">
        <v>55</v>
      </c>
      <c r="B39" s="353" t="s">
        <v>12</v>
      </c>
      <c r="C39" s="347"/>
      <c r="D39" s="348"/>
      <c r="E39" s="354" t="s">
        <v>117</v>
      </c>
      <c r="F39" s="355" t="s">
        <v>118</v>
      </c>
    </row>
    <row r="40" spans="1:11" ht="13.8">
      <c r="A40" s="336" t="s">
        <v>169</v>
      </c>
      <c r="B40" s="455" t="s">
        <v>18</v>
      </c>
      <c r="C40" s="456"/>
      <c r="D40" s="456"/>
      <c r="E40" s="457">
        <v>0</v>
      </c>
      <c r="F40" s="457">
        <v>0</v>
      </c>
      <c r="K40" s="320"/>
    </row>
    <row r="41" spans="1:11" ht="13.8">
      <c r="A41" s="336" t="s">
        <v>170</v>
      </c>
      <c r="B41" s="455" t="s">
        <v>18</v>
      </c>
      <c r="C41" s="458"/>
      <c r="D41" s="458"/>
      <c r="E41" s="457">
        <v>0</v>
      </c>
      <c r="F41" s="457">
        <v>0</v>
      </c>
      <c r="K41" s="320"/>
    </row>
    <row r="42" spans="1:11" ht="13.8">
      <c r="A42" s="336" t="s">
        <v>171</v>
      </c>
      <c r="B42" s="455" t="s">
        <v>18</v>
      </c>
      <c r="C42" s="459"/>
      <c r="D42" s="458"/>
      <c r="E42" s="457">
        <v>0</v>
      </c>
      <c r="F42" s="457">
        <v>0</v>
      </c>
      <c r="K42" s="320"/>
    </row>
    <row r="43" spans="1:11" ht="13.8">
      <c r="A43" s="336" t="s">
        <v>172</v>
      </c>
      <c r="B43" s="455" t="s">
        <v>18</v>
      </c>
      <c r="C43" s="459"/>
      <c r="D43" s="458"/>
      <c r="E43" s="457">
        <v>0</v>
      </c>
      <c r="F43" s="457">
        <v>0</v>
      </c>
      <c r="K43" s="320"/>
    </row>
    <row r="44" spans="1:11" ht="13.8">
      <c r="A44" s="336" t="s">
        <v>173</v>
      </c>
      <c r="B44" s="455" t="s">
        <v>18</v>
      </c>
      <c r="C44" s="459"/>
      <c r="D44" s="458"/>
      <c r="E44" s="457">
        <v>0</v>
      </c>
      <c r="F44" s="457">
        <v>0</v>
      </c>
    </row>
    <row r="46" spans="1:11" ht="15">
      <c r="A46" s="360" t="s">
        <v>174</v>
      </c>
      <c r="B46" s="364"/>
      <c r="C46" s="364"/>
      <c r="D46" s="364"/>
      <c r="E46" s="364"/>
      <c r="F46" s="365"/>
    </row>
    <row r="47" spans="1:11" ht="13.8">
      <c r="A47" s="345"/>
      <c r="B47" s="334"/>
      <c r="C47" s="334"/>
      <c r="D47" s="335"/>
    </row>
    <row r="48" spans="1:11">
      <c r="A48" s="342" t="s">
        <v>55</v>
      </c>
      <c r="B48" s="340" t="s">
        <v>12</v>
      </c>
      <c r="C48" s="337"/>
      <c r="D48" s="337"/>
      <c r="E48" s="337"/>
      <c r="F48" s="356" t="s">
        <v>124</v>
      </c>
    </row>
    <row r="49" spans="1:7" ht="13.8">
      <c r="A49" s="336" t="s">
        <v>175</v>
      </c>
      <c r="B49" s="338" t="s">
        <v>125</v>
      </c>
      <c r="C49" s="338"/>
      <c r="D49" s="338"/>
      <c r="E49" s="338"/>
      <c r="F49" s="460">
        <v>0</v>
      </c>
    </row>
    <row r="50" spans="1:7" ht="13.8">
      <c r="A50" s="336" t="s">
        <v>175</v>
      </c>
      <c r="B50" s="338" t="s">
        <v>127</v>
      </c>
      <c r="C50" s="338"/>
      <c r="D50" s="338"/>
      <c r="E50" s="338"/>
      <c r="F50" s="460">
        <v>0</v>
      </c>
    </row>
    <row r="51" spans="1:7" ht="13.8">
      <c r="A51" s="336" t="s">
        <v>175</v>
      </c>
      <c r="B51" s="338" t="s">
        <v>126</v>
      </c>
      <c r="C51" s="338"/>
      <c r="D51" s="338"/>
      <c r="E51" s="338"/>
      <c r="F51" s="460">
        <v>0</v>
      </c>
    </row>
    <row r="52" spans="1:7" ht="13.8">
      <c r="A52" s="336" t="s">
        <v>149</v>
      </c>
      <c r="B52" s="338" t="s">
        <v>125</v>
      </c>
      <c r="C52" s="338"/>
      <c r="D52" s="338"/>
      <c r="E52" s="338"/>
      <c r="F52" s="460">
        <v>0</v>
      </c>
    </row>
    <row r="53" spans="1:7" ht="13.8">
      <c r="A53" s="334"/>
      <c r="B53" s="335"/>
      <c r="C53" s="335"/>
      <c r="D53" s="334"/>
    </row>
    <row r="54" spans="1:7" s="103" customFormat="1" ht="15">
      <c r="A54" s="366" t="s">
        <v>180</v>
      </c>
      <c r="B54" s="367"/>
      <c r="C54" s="367"/>
      <c r="D54" s="364"/>
      <c r="E54" s="365"/>
      <c r="F54" s="592"/>
      <c r="G54" s="592"/>
    </row>
    <row r="55" spans="1:7" s="103" customFormat="1" ht="27" customHeight="1">
      <c r="A55" s="357" t="s">
        <v>176</v>
      </c>
      <c r="B55" s="682" t="s">
        <v>12</v>
      </c>
      <c r="C55" s="683"/>
      <c r="D55" s="684"/>
      <c r="E55" s="358" t="s">
        <v>23</v>
      </c>
    </row>
    <row r="56" spans="1:7" s="103" customFormat="1" ht="13.8">
      <c r="A56" s="333" t="s">
        <v>177</v>
      </c>
      <c r="B56" s="685" t="s">
        <v>178</v>
      </c>
      <c r="C56" s="686"/>
      <c r="D56" s="687"/>
      <c r="E56" s="460">
        <v>0</v>
      </c>
    </row>
    <row r="57" spans="1:7" s="103" customFormat="1" ht="13.8">
      <c r="A57" s="333" t="s">
        <v>179</v>
      </c>
      <c r="B57" s="685" t="s">
        <v>178</v>
      </c>
      <c r="C57" s="686"/>
      <c r="D57" s="687"/>
      <c r="E57" s="460">
        <v>0</v>
      </c>
    </row>
    <row r="58" spans="1:7" s="103" customFormat="1"/>
    <row r="59" spans="1:7" ht="15">
      <c r="A59" s="359" t="s">
        <v>1</v>
      </c>
      <c r="B59" s="335"/>
      <c r="C59" s="335"/>
      <c r="D59" s="334"/>
    </row>
    <row r="60" spans="1:7">
      <c r="A60" s="334" t="s">
        <v>41</v>
      </c>
    </row>
    <row r="61" spans="1:7" ht="13.8">
      <c r="A61" s="334" t="s">
        <v>181</v>
      </c>
      <c r="B61" s="335"/>
      <c r="C61" s="335"/>
      <c r="D61" s="334"/>
    </row>
    <row r="62" spans="1:7" ht="12.75" customHeight="1">
      <c r="A62" s="334"/>
      <c r="B62" s="335"/>
      <c r="C62" s="335"/>
      <c r="D62" s="334"/>
    </row>
    <row r="63" spans="1:7" ht="13.8">
      <c r="A63" s="334"/>
      <c r="B63" s="335"/>
      <c r="C63" s="335"/>
      <c r="D63" s="334"/>
    </row>
    <row r="64" spans="1:7" ht="13.8">
      <c r="A64" s="334"/>
      <c r="B64" s="335"/>
      <c r="C64" s="335"/>
      <c r="D64" s="334"/>
    </row>
    <row r="66" spans="1:4" ht="13.8">
      <c r="A66" s="339"/>
      <c r="B66" s="324"/>
      <c r="C66" s="324"/>
      <c r="D66" s="324"/>
    </row>
    <row r="67" spans="1:4">
      <c r="A67" s="339"/>
    </row>
    <row r="68" spans="1:4">
      <c r="A68" s="339"/>
    </row>
    <row r="69" spans="1:4">
      <c r="A69" s="339"/>
    </row>
  </sheetData>
  <mergeCells count="6">
    <mergeCell ref="C13:F13"/>
    <mergeCell ref="E21:F21"/>
    <mergeCell ref="B55:D55"/>
    <mergeCell ref="B56:D56"/>
    <mergeCell ref="B57:D57"/>
    <mergeCell ref="A29:F29"/>
  </mergeCells>
  <phoneticPr fontId="11"/>
  <conditionalFormatting sqref="E44:F44">
    <cfRule type="cellIs" dxfId="27" priority="23" stopIfTrue="1" operator="equal">
      <formula>"nvt"</formula>
    </cfRule>
  </conditionalFormatting>
  <conditionalFormatting sqref="F23 E26:F26 F25 E23:E25">
    <cfRule type="cellIs" dxfId="26" priority="12" stopIfTrue="1" operator="equal">
      <formula>"nvt"</formula>
    </cfRule>
  </conditionalFormatting>
  <conditionalFormatting sqref="F24">
    <cfRule type="cellIs" dxfId="25" priority="11" stopIfTrue="1" operator="equal">
      <formula>"nvt"</formula>
    </cfRule>
  </conditionalFormatting>
  <conditionalFormatting sqref="F49:F52">
    <cfRule type="cellIs" dxfId="24" priority="13" stopIfTrue="1" operator="equal">
      <formula>"nvt"</formula>
    </cfRule>
  </conditionalFormatting>
  <conditionalFormatting sqref="E27:F27">
    <cfRule type="cellIs" dxfId="23" priority="10" stopIfTrue="1" operator="equal">
      <formula>"nvt"</formula>
    </cfRule>
  </conditionalFormatting>
  <conditionalFormatting sqref="F40 E40:E41 E43:F43">
    <cfRule type="cellIs" dxfId="22" priority="9" stopIfTrue="1" operator="equal">
      <formula>"nvt"</formula>
    </cfRule>
  </conditionalFormatting>
  <conditionalFormatting sqref="F41">
    <cfRule type="cellIs" dxfId="21" priority="8" stopIfTrue="1" operator="equal">
      <formula>"nvt"</formula>
    </cfRule>
  </conditionalFormatting>
  <conditionalFormatting sqref="E42:F42">
    <cfRule type="cellIs" dxfId="20" priority="7" stopIfTrue="1" operator="equal">
      <formula>"nvt"</formula>
    </cfRule>
  </conditionalFormatting>
  <conditionalFormatting sqref="E56:E57">
    <cfRule type="cellIs" dxfId="19" priority="6" stopIfTrue="1" operator="equal">
      <formula>"nvt"</formula>
    </cfRule>
  </conditionalFormatting>
  <conditionalFormatting sqref="E32">
    <cfRule type="cellIs" dxfId="18" priority="4" stopIfTrue="1" operator="equal">
      <formula>"nvt"</formula>
    </cfRule>
  </conditionalFormatting>
  <conditionalFormatting sqref="E33">
    <cfRule type="cellIs" dxfId="17" priority="3" stopIfTrue="1" operator="equal">
      <formula>"nvt"</formula>
    </cfRule>
  </conditionalFormatting>
  <conditionalFormatting sqref="E34">
    <cfRule type="cellIs" dxfId="16" priority="2" stopIfTrue="1" operator="equal">
      <formula>"nvt"</formula>
    </cfRule>
  </conditionalFormatting>
  <conditionalFormatting sqref="E35">
    <cfRule type="cellIs" dxfId="15"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11</vt:i4>
      </vt:variant>
      <vt:variant>
        <vt:lpstr>Benoemde bereiken</vt:lpstr>
      </vt:variant>
      <vt:variant>
        <vt:i4>16</vt:i4>
      </vt:variant>
    </vt:vector>
  </HeadingPairs>
  <TitlesOfParts>
    <vt:vector size="27"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8-Afroepprijs</vt:lpstr>
      <vt:lpstr>9-Glasbewassing</vt:lpstr>
      <vt:lpstr>10-Nulsituatie vloeren</vt:lpstr>
      <vt:lpstr>'1-Contractblad totaal'!Afdrukbereik</vt:lpstr>
      <vt:lpstr>'2-Kosten per locatie'!Afdrukbereik</vt:lpstr>
      <vt:lpstr>'4-Basis ruimtestaat'!Afdrukbereik</vt:lpstr>
      <vt:lpstr>'5-Premies en opslagen'!Afdrukbereik</vt:lpstr>
      <vt:lpstr>'6-Opbouw uurtarief productie'!Afdrukbereik</vt:lpstr>
      <vt:lpstr>'8-Afroepprijs'!Afdrukbereik</vt:lpstr>
      <vt:lpstr>'Info blad'!Afdrukbereik</vt:lpstr>
      <vt:lpstr>'10-Nulsituatie vloeren'!Afdruktitels</vt:lpstr>
      <vt:lpstr>'2-Kosten per locatie'!Afdruktitels</vt:lpstr>
      <vt:lpstr>'4-Basis ruimtestaat'!Afdruktitels</vt:lpstr>
      <vt:lpstr>'6-Opbouw uurtarief productie'!Afdruktitels</vt:lpstr>
      <vt:lpstr>'8-Afroepprijs'!Afdruktitels</vt:lpstr>
      <vt:lpstr>'9-Glasbewassing'!Afdruktitels</vt:lpstr>
      <vt:lpstr>'2-Kosten per locatie'!gebouw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Ilse Donkervoort</cp:lastModifiedBy>
  <cp:lastPrinted>2018-08-21T11:53:14Z</cp:lastPrinted>
  <dcterms:created xsi:type="dcterms:W3CDTF">1999-10-05T12:28:40Z</dcterms:created>
  <dcterms:modified xsi:type="dcterms:W3CDTF">2020-03-23T14:39:06Z</dcterms:modified>
</cp:coreProperties>
</file>