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200" windowHeight="11385"/>
  </bookViews>
  <sheets>
    <sheet name="Blad1" sheetId="1" r:id="rId1"/>
  </sheets>
  <definedNames>
    <definedName name="_xlnm._FilterDatabase" localSheetId="0" hidden="1">Blad1!$B$3:$I$1174</definedName>
    <definedName name="_xlnm.Print_Area" localSheetId="0">Blad1!$A$1:$J$1174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74" i="1" l="1"/>
  <c r="C1174" i="1"/>
  <c r="B1174" i="1"/>
  <c r="I1173" i="1"/>
  <c r="H1173" i="1"/>
  <c r="G1173" i="1"/>
  <c r="D1173" i="1"/>
  <c r="C1173" i="1"/>
  <c r="B1173" i="1"/>
  <c r="I1172" i="1"/>
  <c r="H1172" i="1"/>
  <c r="G1172" i="1"/>
  <c r="D1172" i="1"/>
  <c r="C1172" i="1"/>
  <c r="B1172" i="1"/>
  <c r="D1171" i="1"/>
  <c r="C1171" i="1"/>
  <c r="B1171" i="1"/>
  <c r="D1170" i="1"/>
  <c r="C1170" i="1"/>
  <c r="B1170" i="1"/>
  <c r="D1169" i="1"/>
  <c r="C1169" i="1"/>
  <c r="B1169" i="1"/>
  <c r="I1168" i="1"/>
  <c r="H1168" i="1"/>
  <c r="G1168" i="1"/>
  <c r="D1168" i="1"/>
  <c r="C1168" i="1"/>
  <c r="B1168" i="1"/>
  <c r="D1167" i="1"/>
  <c r="C1167" i="1"/>
  <c r="B1167" i="1"/>
  <c r="D1166" i="1"/>
  <c r="C1166" i="1"/>
  <c r="B1166" i="1"/>
  <c r="D1165" i="1"/>
  <c r="C1165" i="1"/>
  <c r="B1165" i="1"/>
  <c r="I1164" i="1"/>
  <c r="H1164" i="1"/>
  <c r="D1164" i="1"/>
  <c r="C1164" i="1"/>
  <c r="B1164" i="1"/>
  <c r="D1163" i="1"/>
  <c r="C1163" i="1"/>
  <c r="B1163" i="1"/>
  <c r="D1162" i="1"/>
  <c r="C1162" i="1"/>
  <c r="B1162" i="1"/>
  <c r="D1161" i="1"/>
  <c r="C1161" i="1"/>
  <c r="B1161" i="1"/>
  <c r="D1160" i="1"/>
  <c r="C1160" i="1"/>
  <c r="B1160" i="1"/>
  <c r="D1159" i="1"/>
  <c r="C1159" i="1"/>
  <c r="B1159" i="1"/>
  <c r="D1158" i="1"/>
  <c r="C1158" i="1"/>
  <c r="B1158" i="1"/>
  <c r="D1157" i="1"/>
  <c r="C1157" i="1"/>
  <c r="B1157" i="1"/>
  <c r="D1156" i="1"/>
  <c r="C1156" i="1"/>
  <c r="B1156" i="1"/>
  <c r="D1155" i="1"/>
  <c r="C1155" i="1"/>
  <c r="B1155" i="1"/>
  <c r="D1154" i="1"/>
  <c r="C1154" i="1"/>
  <c r="B1154" i="1"/>
  <c r="I1153" i="1"/>
  <c r="H1153" i="1"/>
  <c r="D1153" i="1"/>
  <c r="C1153" i="1"/>
  <c r="B1153" i="1"/>
  <c r="D1152" i="1"/>
  <c r="C1152" i="1"/>
  <c r="B1152" i="1"/>
  <c r="D1151" i="1"/>
  <c r="C1151" i="1"/>
  <c r="B1151" i="1"/>
  <c r="D1150" i="1"/>
  <c r="C1150" i="1"/>
  <c r="B1150" i="1"/>
  <c r="D1149" i="1"/>
  <c r="C1149" i="1"/>
  <c r="B1149" i="1"/>
  <c r="D1148" i="1"/>
  <c r="C1148" i="1"/>
  <c r="B1148" i="1"/>
  <c r="D1147" i="1"/>
  <c r="C1147" i="1"/>
  <c r="B1147" i="1"/>
  <c r="D1146" i="1"/>
  <c r="C1146" i="1"/>
  <c r="B1146" i="1"/>
  <c r="D1145" i="1"/>
  <c r="C1145" i="1"/>
  <c r="B1145" i="1"/>
  <c r="D1144" i="1"/>
  <c r="C1144" i="1"/>
  <c r="B1144" i="1"/>
  <c r="D1143" i="1"/>
  <c r="C1143" i="1"/>
  <c r="B1143" i="1"/>
  <c r="D1142" i="1"/>
  <c r="C1142" i="1"/>
  <c r="B1142" i="1"/>
  <c r="D1141" i="1"/>
  <c r="C1141" i="1"/>
  <c r="B1141" i="1"/>
  <c r="D1140" i="1"/>
  <c r="C1140" i="1"/>
  <c r="B1140" i="1"/>
  <c r="D1139" i="1"/>
  <c r="C1139" i="1"/>
  <c r="B1139" i="1"/>
  <c r="D1138" i="1"/>
  <c r="C1138" i="1"/>
  <c r="B1138" i="1"/>
  <c r="D1137" i="1"/>
  <c r="C1137" i="1"/>
  <c r="B1137" i="1"/>
  <c r="D1136" i="1"/>
  <c r="C1136" i="1"/>
  <c r="B1136" i="1"/>
  <c r="D1135" i="1"/>
  <c r="C1135" i="1"/>
  <c r="B1135" i="1"/>
  <c r="D1134" i="1"/>
  <c r="C1134" i="1"/>
  <c r="B1134" i="1"/>
  <c r="D1133" i="1"/>
  <c r="C1133" i="1"/>
  <c r="B1133" i="1"/>
  <c r="D1132" i="1"/>
  <c r="C1132" i="1"/>
  <c r="B1132" i="1"/>
  <c r="D1131" i="1"/>
  <c r="C1131" i="1"/>
  <c r="B1131" i="1"/>
  <c r="I1130" i="1"/>
  <c r="H1130" i="1"/>
  <c r="D1130" i="1"/>
  <c r="C1130" i="1"/>
  <c r="B1130" i="1"/>
  <c r="I1129" i="1"/>
  <c r="H1129" i="1"/>
  <c r="D1129" i="1"/>
  <c r="C1129" i="1"/>
  <c r="B1129" i="1"/>
  <c r="I1128" i="1"/>
  <c r="H1128" i="1"/>
  <c r="D1128" i="1"/>
  <c r="C1128" i="1"/>
  <c r="B1128" i="1"/>
  <c r="D1127" i="1"/>
  <c r="C1127" i="1"/>
  <c r="B1127" i="1"/>
  <c r="I1126" i="1"/>
  <c r="H1126" i="1"/>
  <c r="D1126" i="1"/>
  <c r="C1126" i="1"/>
  <c r="B1126" i="1"/>
  <c r="I1125" i="1"/>
  <c r="H1125" i="1"/>
  <c r="D1125" i="1"/>
  <c r="C1125" i="1"/>
  <c r="B1125" i="1"/>
  <c r="I1124" i="1"/>
  <c r="H1124" i="1"/>
  <c r="D1124" i="1"/>
  <c r="C1124" i="1"/>
  <c r="B1124" i="1"/>
  <c r="D1123" i="1"/>
  <c r="C1123" i="1"/>
  <c r="B1123" i="1"/>
  <c r="D1122" i="1"/>
  <c r="C1122" i="1"/>
  <c r="B1122" i="1"/>
  <c r="D1121" i="1"/>
  <c r="C1121" i="1"/>
  <c r="B1121" i="1"/>
  <c r="D1120" i="1"/>
  <c r="C1120" i="1"/>
  <c r="B1120" i="1"/>
  <c r="D1119" i="1"/>
  <c r="C1119" i="1"/>
  <c r="B1119" i="1"/>
  <c r="D1118" i="1"/>
  <c r="C1118" i="1"/>
  <c r="B1118" i="1"/>
  <c r="D1117" i="1"/>
  <c r="C1117" i="1"/>
  <c r="B1117" i="1"/>
  <c r="D1116" i="1"/>
  <c r="C1116" i="1"/>
  <c r="B1116" i="1"/>
  <c r="D1115" i="1"/>
  <c r="C1115" i="1"/>
  <c r="B1115" i="1"/>
  <c r="D1114" i="1"/>
  <c r="C1114" i="1"/>
  <c r="B1114" i="1"/>
  <c r="D1113" i="1"/>
  <c r="C1113" i="1"/>
  <c r="B1113" i="1"/>
  <c r="D1112" i="1"/>
  <c r="C1112" i="1"/>
  <c r="B1112" i="1"/>
  <c r="D1111" i="1"/>
  <c r="C1111" i="1"/>
  <c r="B1111" i="1"/>
  <c r="D1110" i="1"/>
  <c r="C1110" i="1"/>
  <c r="B1110" i="1"/>
  <c r="D1109" i="1"/>
  <c r="C1109" i="1"/>
  <c r="B1109" i="1"/>
  <c r="D1108" i="1"/>
  <c r="C1108" i="1"/>
  <c r="B1108" i="1"/>
  <c r="D1107" i="1"/>
  <c r="C1107" i="1"/>
  <c r="B1107" i="1"/>
  <c r="D1106" i="1"/>
  <c r="C1106" i="1"/>
  <c r="B1106" i="1"/>
  <c r="D1105" i="1"/>
  <c r="C1105" i="1"/>
  <c r="B1105" i="1"/>
  <c r="D1104" i="1"/>
  <c r="C1104" i="1"/>
  <c r="B1104" i="1"/>
  <c r="D1103" i="1"/>
  <c r="C1103" i="1"/>
  <c r="B1103" i="1"/>
  <c r="D1102" i="1"/>
  <c r="C1102" i="1"/>
  <c r="B1102" i="1"/>
  <c r="I1101" i="1"/>
  <c r="H1101" i="1"/>
  <c r="D1101" i="1"/>
  <c r="C1101" i="1"/>
  <c r="B1101" i="1"/>
  <c r="D1100" i="1"/>
  <c r="C1100" i="1"/>
  <c r="B1100" i="1"/>
  <c r="D1099" i="1"/>
  <c r="C1099" i="1"/>
  <c r="B1099" i="1"/>
  <c r="D1098" i="1"/>
  <c r="C1098" i="1"/>
  <c r="B1098" i="1"/>
  <c r="D1097" i="1"/>
  <c r="C1097" i="1"/>
  <c r="B1097" i="1"/>
  <c r="D1096" i="1"/>
  <c r="C1096" i="1"/>
  <c r="B1096" i="1"/>
  <c r="D1095" i="1"/>
  <c r="C1095" i="1"/>
  <c r="B1095" i="1"/>
  <c r="I1094" i="1"/>
  <c r="H1094" i="1"/>
  <c r="D1094" i="1"/>
  <c r="C1094" i="1"/>
  <c r="B1094" i="1"/>
  <c r="D1093" i="1"/>
  <c r="C1093" i="1"/>
  <c r="B1093" i="1"/>
  <c r="I1092" i="1"/>
  <c r="H1092" i="1"/>
  <c r="D1092" i="1"/>
  <c r="C1092" i="1"/>
  <c r="B1092" i="1"/>
  <c r="D1091" i="1"/>
  <c r="C1091" i="1"/>
  <c r="B1091" i="1"/>
  <c r="D1090" i="1"/>
  <c r="C1090" i="1"/>
  <c r="B1090" i="1"/>
  <c r="D1089" i="1"/>
  <c r="C1089" i="1"/>
  <c r="B1089" i="1"/>
  <c r="D1088" i="1"/>
  <c r="C1088" i="1"/>
  <c r="B1088" i="1"/>
  <c r="D1087" i="1"/>
  <c r="C1087" i="1"/>
  <c r="B1087" i="1"/>
  <c r="D1086" i="1"/>
  <c r="C1086" i="1"/>
  <c r="B1086" i="1"/>
  <c r="I1085" i="1"/>
  <c r="H1085" i="1"/>
  <c r="D1085" i="1"/>
  <c r="C1085" i="1"/>
  <c r="B1085" i="1"/>
  <c r="D1084" i="1"/>
  <c r="C1084" i="1"/>
  <c r="B1084" i="1"/>
  <c r="D1083" i="1"/>
  <c r="C1083" i="1"/>
  <c r="B1083" i="1"/>
  <c r="D1082" i="1"/>
  <c r="C1082" i="1"/>
  <c r="B1082" i="1"/>
  <c r="D1081" i="1"/>
  <c r="C1081" i="1"/>
  <c r="B1081" i="1"/>
  <c r="D1080" i="1"/>
  <c r="C1080" i="1"/>
  <c r="B1080" i="1"/>
  <c r="D1079" i="1"/>
  <c r="C1079" i="1"/>
  <c r="B1079" i="1"/>
  <c r="D1078" i="1"/>
  <c r="C1078" i="1"/>
  <c r="B1078" i="1"/>
  <c r="D1077" i="1"/>
  <c r="C1077" i="1"/>
  <c r="B1077" i="1"/>
  <c r="D1076" i="1"/>
  <c r="C1076" i="1"/>
  <c r="B1076" i="1"/>
  <c r="D1075" i="1"/>
  <c r="C1075" i="1"/>
  <c r="B1075" i="1"/>
  <c r="D1074" i="1"/>
  <c r="C1074" i="1"/>
  <c r="B1074" i="1"/>
  <c r="I1073" i="1"/>
  <c r="H1073" i="1"/>
  <c r="D1073" i="1"/>
  <c r="C1073" i="1"/>
  <c r="B1073" i="1"/>
  <c r="D1072" i="1"/>
  <c r="C1072" i="1"/>
  <c r="B1072" i="1"/>
  <c r="D1071" i="1"/>
  <c r="C1071" i="1"/>
  <c r="B1071" i="1"/>
  <c r="D1070" i="1"/>
  <c r="C1070" i="1"/>
  <c r="B1070" i="1"/>
  <c r="I1069" i="1"/>
  <c r="H1069" i="1"/>
  <c r="D1069" i="1"/>
  <c r="C1069" i="1"/>
  <c r="B1069" i="1"/>
  <c r="D1068" i="1"/>
  <c r="C1068" i="1"/>
  <c r="B1068" i="1"/>
  <c r="D1067" i="1"/>
  <c r="C1067" i="1"/>
  <c r="B1067" i="1"/>
  <c r="D1066" i="1"/>
  <c r="C1066" i="1"/>
  <c r="B1066" i="1"/>
  <c r="I1065" i="1"/>
  <c r="H1065" i="1"/>
  <c r="D1065" i="1"/>
  <c r="C1065" i="1"/>
  <c r="B1065" i="1"/>
  <c r="D1064" i="1"/>
  <c r="C1064" i="1"/>
  <c r="B1064" i="1"/>
  <c r="I1063" i="1"/>
  <c r="H1063" i="1"/>
  <c r="D1063" i="1"/>
  <c r="C1063" i="1"/>
  <c r="B1063" i="1"/>
  <c r="D1062" i="1"/>
  <c r="C1062" i="1"/>
  <c r="B1062" i="1"/>
  <c r="D1061" i="1"/>
  <c r="C1061" i="1"/>
  <c r="B1061" i="1"/>
  <c r="D1060" i="1"/>
  <c r="C1060" i="1"/>
  <c r="B1060" i="1"/>
  <c r="D1059" i="1"/>
  <c r="C1059" i="1"/>
  <c r="B1059" i="1"/>
  <c r="D1058" i="1"/>
  <c r="C1058" i="1"/>
  <c r="B1058" i="1"/>
  <c r="D1057" i="1"/>
  <c r="C1057" i="1"/>
  <c r="B1057" i="1"/>
  <c r="D1056" i="1"/>
  <c r="C1056" i="1"/>
  <c r="B1056" i="1"/>
  <c r="D1055" i="1"/>
  <c r="C1055" i="1"/>
  <c r="B1055" i="1"/>
  <c r="D1054" i="1"/>
  <c r="C1054" i="1"/>
  <c r="B1054" i="1"/>
  <c r="D1053" i="1"/>
  <c r="C1053" i="1"/>
  <c r="B1053" i="1"/>
  <c r="D1052" i="1"/>
  <c r="C1052" i="1"/>
  <c r="B1052" i="1"/>
  <c r="D1051" i="1"/>
  <c r="C1051" i="1"/>
  <c r="B1051" i="1"/>
  <c r="D1050" i="1"/>
  <c r="C1050" i="1"/>
  <c r="B1050" i="1"/>
  <c r="D1049" i="1"/>
  <c r="C1049" i="1"/>
  <c r="B1049" i="1"/>
  <c r="D1048" i="1"/>
  <c r="C1048" i="1"/>
  <c r="B1048" i="1"/>
  <c r="D1047" i="1"/>
  <c r="C1047" i="1"/>
  <c r="B1047" i="1"/>
  <c r="I1046" i="1"/>
  <c r="H1046" i="1"/>
  <c r="D1046" i="1"/>
  <c r="C1046" i="1"/>
  <c r="B1046" i="1"/>
  <c r="I1045" i="1"/>
  <c r="H1045" i="1"/>
  <c r="D1045" i="1"/>
  <c r="C1045" i="1"/>
  <c r="B1045" i="1"/>
  <c r="D1044" i="1"/>
  <c r="C1044" i="1"/>
  <c r="B1044" i="1"/>
  <c r="D1043" i="1"/>
  <c r="C1043" i="1"/>
  <c r="B1043" i="1"/>
  <c r="D1042" i="1"/>
  <c r="C1042" i="1"/>
  <c r="B1042" i="1"/>
  <c r="D1041" i="1"/>
  <c r="C1041" i="1"/>
  <c r="B1041" i="1"/>
  <c r="D1040" i="1"/>
  <c r="C1040" i="1"/>
  <c r="B1040" i="1"/>
  <c r="I1039" i="1"/>
  <c r="H1039" i="1"/>
  <c r="D1039" i="1"/>
  <c r="C1039" i="1"/>
  <c r="B1039" i="1"/>
  <c r="D1038" i="1"/>
  <c r="C1038" i="1"/>
  <c r="B1038" i="1"/>
  <c r="D1037" i="1"/>
  <c r="C1037" i="1"/>
  <c r="B1037" i="1"/>
  <c r="D1036" i="1"/>
  <c r="C1036" i="1"/>
  <c r="B1036" i="1"/>
  <c r="D1035" i="1"/>
  <c r="C1035" i="1"/>
  <c r="B1035" i="1"/>
  <c r="D1034" i="1"/>
  <c r="C1034" i="1"/>
  <c r="B1034" i="1"/>
  <c r="I1033" i="1"/>
  <c r="H1033" i="1"/>
  <c r="D1033" i="1"/>
  <c r="C1033" i="1"/>
  <c r="B1033" i="1"/>
  <c r="D1032" i="1"/>
  <c r="C1032" i="1"/>
  <c r="B1032" i="1"/>
  <c r="D1031" i="1"/>
  <c r="C1031" i="1"/>
  <c r="B1031" i="1"/>
  <c r="D1030" i="1"/>
  <c r="C1030" i="1"/>
  <c r="B1030" i="1"/>
  <c r="D1029" i="1"/>
  <c r="C1029" i="1"/>
  <c r="B1029" i="1"/>
  <c r="D1028" i="1"/>
  <c r="C1028" i="1"/>
  <c r="B1028" i="1"/>
  <c r="D1027" i="1"/>
  <c r="C1027" i="1"/>
  <c r="B1027" i="1"/>
  <c r="D1026" i="1"/>
  <c r="C1026" i="1"/>
  <c r="B1026" i="1"/>
  <c r="D1025" i="1"/>
  <c r="C1025" i="1"/>
  <c r="B1025" i="1"/>
  <c r="D1024" i="1"/>
  <c r="C1024" i="1"/>
  <c r="B1024" i="1"/>
  <c r="D1023" i="1"/>
  <c r="C1023" i="1"/>
  <c r="B1023" i="1"/>
  <c r="D1022" i="1"/>
  <c r="C1022" i="1"/>
  <c r="B1022" i="1"/>
  <c r="D1021" i="1"/>
  <c r="C1021" i="1"/>
  <c r="B1021" i="1"/>
  <c r="D1020" i="1"/>
  <c r="C1020" i="1"/>
  <c r="B1020" i="1"/>
  <c r="D1019" i="1"/>
  <c r="C1019" i="1"/>
  <c r="B1019" i="1"/>
  <c r="I1018" i="1"/>
  <c r="H1018" i="1"/>
  <c r="D1018" i="1"/>
  <c r="C1018" i="1"/>
  <c r="B1018" i="1"/>
  <c r="D1017" i="1"/>
  <c r="C1017" i="1"/>
  <c r="B1017" i="1"/>
  <c r="D1016" i="1"/>
  <c r="C1016" i="1"/>
  <c r="B1016" i="1"/>
  <c r="D1015" i="1"/>
  <c r="C1015" i="1"/>
  <c r="B1015" i="1"/>
  <c r="D1014" i="1"/>
  <c r="C1014" i="1"/>
  <c r="B1014" i="1"/>
  <c r="D1013" i="1"/>
  <c r="C1013" i="1"/>
  <c r="B1013" i="1"/>
  <c r="D1012" i="1"/>
  <c r="C1012" i="1"/>
  <c r="B1012" i="1"/>
  <c r="D1011" i="1"/>
  <c r="C1011" i="1"/>
  <c r="B1011" i="1"/>
  <c r="D1010" i="1"/>
  <c r="C1010" i="1"/>
  <c r="B1010" i="1"/>
  <c r="D1009" i="1"/>
  <c r="C1009" i="1"/>
  <c r="B1009" i="1"/>
  <c r="D1008" i="1"/>
  <c r="C1008" i="1"/>
  <c r="B1008" i="1"/>
  <c r="D1007" i="1"/>
  <c r="C1007" i="1"/>
  <c r="B1007" i="1"/>
  <c r="D1006" i="1"/>
  <c r="C1006" i="1"/>
  <c r="B1006" i="1"/>
  <c r="D1005" i="1"/>
  <c r="C1005" i="1"/>
  <c r="B1005" i="1"/>
  <c r="D1004" i="1"/>
  <c r="C1004" i="1"/>
  <c r="B1004" i="1"/>
  <c r="D1003" i="1"/>
  <c r="C1003" i="1"/>
  <c r="B1003" i="1"/>
  <c r="D1002" i="1"/>
  <c r="C1002" i="1"/>
  <c r="B1002" i="1"/>
  <c r="D1001" i="1"/>
  <c r="C1001" i="1"/>
  <c r="B1001" i="1"/>
  <c r="D1000" i="1"/>
  <c r="C1000" i="1"/>
  <c r="B1000" i="1"/>
  <c r="D999" i="1"/>
  <c r="C999" i="1"/>
  <c r="B999" i="1"/>
  <c r="D998" i="1"/>
  <c r="C998" i="1"/>
  <c r="B998" i="1"/>
  <c r="D997" i="1"/>
  <c r="C997" i="1"/>
  <c r="B997" i="1"/>
  <c r="D996" i="1"/>
  <c r="C996" i="1"/>
  <c r="B996" i="1"/>
  <c r="D995" i="1"/>
  <c r="C995" i="1"/>
  <c r="B995" i="1"/>
  <c r="D994" i="1"/>
  <c r="C994" i="1"/>
  <c r="B994" i="1"/>
  <c r="D993" i="1"/>
  <c r="C993" i="1"/>
  <c r="B993" i="1"/>
  <c r="D992" i="1"/>
  <c r="C992" i="1"/>
  <c r="B992" i="1"/>
  <c r="D991" i="1"/>
  <c r="C991" i="1"/>
  <c r="B991" i="1"/>
  <c r="D990" i="1"/>
  <c r="C990" i="1"/>
  <c r="B990" i="1"/>
  <c r="D989" i="1"/>
  <c r="C989" i="1"/>
  <c r="B989" i="1"/>
  <c r="D988" i="1"/>
  <c r="C988" i="1"/>
  <c r="B988" i="1"/>
  <c r="D987" i="1"/>
  <c r="C987" i="1"/>
  <c r="B987" i="1"/>
  <c r="I986" i="1"/>
  <c r="H986" i="1"/>
  <c r="D986" i="1"/>
  <c r="C986" i="1"/>
  <c r="B986" i="1"/>
  <c r="D985" i="1"/>
  <c r="C985" i="1"/>
  <c r="B985" i="1"/>
  <c r="D984" i="1"/>
  <c r="C984" i="1"/>
  <c r="B984" i="1"/>
  <c r="D983" i="1"/>
  <c r="C983" i="1"/>
  <c r="B983" i="1"/>
  <c r="D982" i="1"/>
  <c r="C982" i="1"/>
  <c r="B982" i="1"/>
  <c r="D981" i="1"/>
  <c r="C981" i="1"/>
  <c r="B981" i="1"/>
  <c r="D980" i="1"/>
  <c r="C980" i="1"/>
  <c r="B980" i="1"/>
  <c r="D979" i="1"/>
  <c r="C979" i="1"/>
  <c r="B979" i="1"/>
  <c r="D978" i="1"/>
  <c r="C978" i="1"/>
  <c r="B978" i="1"/>
  <c r="D977" i="1"/>
  <c r="C977" i="1"/>
  <c r="B977" i="1"/>
  <c r="D976" i="1"/>
  <c r="C976" i="1"/>
  <c r="B976" i="1"/>
  <c r="D975" i="1"/>
  <c r="C975" i="1"/>
  <c r="B975" i="1"/>
  <c r="D974" i="1"/>
  <c r="C974" i="1"/>
  <c r="B974" i="1"/>
  <c r="D973" i="1"/>
  <c r="C973" i="1"/>
  <c r="B973" i="1"/>
  <c r="D972" i="1"/>
  <c r="C972" i="1"/>
  <c r="B972" i="1"/>
  <c r="D971" i="1"/>
  <c r="C971" i="1"/>
  <c r="B971" i="1"/>
  <c r="D970" i="1"/>
  <c r="C970" i="1"/>
  <c r="B970" i="1"/>
  <c r="D969" i="1"/>
  <c r="C969" i="1"/>
  <c r="B969" i="1"/>
  <c r="D968" i="1"/>
  <c r="C968" i="1"/>
  <c r="B968" i="1"/>
  <c r="D967" i="1"/>
  <c r="C967" i="1"/>
  <c r="B967" i="1"/>
  <c r="D966" i="1"/>
  <c r="C966" i="1"/>
  <c r="B966" i="1"/>
  <c r="D965" i="1"/>
  <c r="C965" i="1"/>
  <c r="B965" i="1"/>
  <c r="D964" i="1"/>
  <c r="C964" i="1"/>
  <c r="B964" i="1"/>
  <c r="D963" i="1"/>
  <c r="C963" i="1"/>
  <c r="B963" i="1"/>
  <c r="D962" i="1"/>
  <c r="C962" i="1"/>
  <c r="B962" i="1"/>
  <c r="D961" i="1"/>
  <c r="C961" i="1"/>
  <c r="B961" i="1"/>
  <c r="D960" i="1"/>
  <c r="C960" i="1"/>
  <c r="B960" i="1"/>
  <c r="D959" i="1"/>
  <c r="C959" i="1"/>
  <c r="B959" i="1"/>
  <c r="D958" i="1"/>
  <c r="C958" i="1"/>
  <c r="B958" i="1"/>
  <c r="D957" i="1"/>
  <c r="C957" i="1"/>
  <c r="B957" i="1"/>
  <c r="D956" i="1"/>
  <c r="C956" i="1"/>
  <c r="B956" i="1"/>
  <c r="D955" i="1"/>
  <c r="C955" i="1"/>
  <c r="B955" i="1"/>
  <c r="D954" i="1"/>
  <c r="C954" i="1"/>
  <c r="B954" i="1"/>
  <c r="D953" i="1"/>
  <c r="C953" i="1"/>
  <c r="B953" i="1"/>
  <c r="D952" i="1"/>
  <c r="C952" i="1"/>
  <c r="B952" i="1"/>
  <c r="D951" i="1"/>
  <c r="C951" i="1"/>
  <c r="B951" i="1"/>
  <c r="D950" i="1"/>
  <c r="C950" i="1"/>
  <c r="B950" i="1"/>
  <c r="D949" i="1"/>
  <c r="C949" i="1"/>
  <c r="B949" i="1"/>
  <c r="D948" i="1"/>
  <c r="C948" i="1"/>
  <c r="B948" i="1"/>
  <c r="D947" i="1"/>
  <c r="C947" i="1"/>
  <c r="B947" i="1"/>
  <c r="D946" i="1"/>
  <c r="C946" i="1"/>
  <c r="B946" i="1"/>
  <c r="D945" i="1"/>
  <c r="C945" i="1"/>
  <c r="B945" i="1"/>
  <c r="D944" i="1"/>
  <c r="C944" i="1"/>
  <c r="B944" i="1"/>
  <c r="D943" i="1"/>
  <c r="C943" i="1"/>
  <c r="B943" i="1"/>
  <c r="D942" i="1"/>
  <c r="C942" i="1"/>
  <c r="B942" i="1"/>
  <c r="D941" i="1"/>
  <c r="C941" i="1"/>
  <c r="B941" i="1"/>
  <c r="D940" i="1"/>
  <c r="C940" i="1"/>
  <c r="B940" i="1"/>
  <c r="D939" i="1"/>
  <c r="C939" i="1"/>
  <c r="B939" i="1"/>
  <c r="D938" i="1"/>
  <c r="C938" i="1"/>
  <c r="B938" i="1"/>
  <c r="D937" i="1"/>
  <c r="C937" i="1"/>
  <c r="B937" i="1"/>
  <c r="D936" i="1"/>
  <c r="C936" i="1"/>
  <c r="B936" i="1"/>
  <c r="D935" i="1"/>
  <c r="C935" i="1"/>
  <c r="B935" i="1"/>
  <c r="D934" i="1"/>
  <c r="C934" i="1"/>
  <c r="B934" i="1"/>
  <c r="D933" i="1"/>
  <c r="C933" i="1"/>
  <c r="B933" i="1"/>
  <c r="D932" i="1"/>
  <c r="C932" i="1"/>
  <c r="B932" i="1"/>
  <c r="D931" i="1"/>
  <c r="C931" i="1"/>
  <c r="B931" i="1"/>
  <c r="D930" i="1"/>
  <c r="C930" i="1"/>
  <c r="B930" i="1"/>
  <c r="D929" i="1"/>
  <c r="C929" i="1"/>
  <c r="B929" i="1"/>
  <c r="D928" i="1"/>
  <c r="C928" i="1"/>
  <c r="B928" i="1"/>
  <c r="D927" i="1"/>
  <c r="C927" i="1"/>
  <c r="B927" i="1"/>
  <c r="D926" i="1"/>
  <c r="C926" i="1"/>
  <c r="B926" i="1"/>
  <c r="D925" i="1"/>
  <c r="C925" i="1"/>
  <c r="B925" i="1"/>
  <c r="D924" i="1"/>
  <c r="C924" i="1"/>
  <c r="B924" i="1"/>
  <c r="D923" i="1"/>
  <c r="C923" i="1"/>
  <c r="B923" i="1"/>
  <c r="D922" i="1"/>
  <c r="C922" i="1"/>
  <c r="B922" i="1"/>
  <c r="D921" i="1"/>
  <c r="C921" i="1"/>
  <c r="B921" i="1"/>
  <c r="D920" i="1"/>
  <c r="C920" i="1"/>
  <c r="B920" i="1"/>
  <c r="I919" i="1"/>
  <c r="H919" i="1"/>
  <c r="D919" i="1"/>
  <c r="C919" i="1"/>
  <c r="B919" i="1"/>
  <c r="D918" i="1"/>
  <c r="C918" i="1"/>
  <c r="B918" i="1"/>
  <c r="D917" i="1"/>
  <c r="C917" i="1"/>
  <c r="B917" i="1"/>
  <c r="D916" i="1"/>
  <c r="C916" i="1"/>
  <c r="B916" i="1"/>
  <c r="D915" i="1"/>
  <c r="C915" i="1"/>
  <c r="B915" i="1"/>
  <c r="D914" i="1"/>
  <c r="C914" i="1"/>
  <c r="B914" i="1"/>
  <c r="D913" i="1"/>
  <c r="C913" i="1"/>
  <c r="B913" i="1"/>
  <c r="D912" i="1"/>
  <c r="C912" i="1"/>
  <c r="B912" i="1"/>
  <c r="D911" i="1"/>
  <c r="C911" i="1"/>
  <c r="B911" i="1"/>
  <c r="D910" i="1"/>
  <c r="C910" i="1"/>
  <c r="B910" i="1"/>
  <c r="D909" i="1"/>
  <c r="C909" i="1"/>
  <c r="B909" i="1"/>
  <c r="D908" i="1"/>
  <c r="C908" i="1"/>
  <c r="B908" i="1"/>
  <c r="D907" i="1"/>
  <c r="C907" i="1"/>
  <c r="B907" i="1"/>
  <c r="D906" i="1"/>
  <c r="C906" i="1"/>
  <c r="B906" i="1"/>
  <c r="D905" i="1"/>
  <c r="C905" i="1"/>
  <c r="B905" i="1"/>
  <c r="D904" i="1"/>
  <c r="C904" i="1"/>
  <c r="B904" i="1"/>
  <c r="D903" i="1"/>
  <c r="C903" i="1"/>
  <c r="B903" i="1"/>
  <c r="D902" i="1"/>
  <c r="C902" i="1"/>
  <c r="B902" i="1"/>
  <c r="D901" i="1"/>
  <c r="C901" i="1"/>
  <c r="B901" i="1"/>
  <c r="D900" i="1"/>
  <c r="C900" i="1"/>
  <c r="B900" i="1"/>
  <c r="D899" i="1"/>
  <c r="C899" i="1"/>
  <c r="B899" i="1"/>
  <c r="D898" i="1"/>
  <c r="C898" i="1"/>
  <c r="B898" i="1"/>
  <c r="D897" i="1"/>
  <c r="C897" i="1"/>
  <c r="B897" i="1"/>
  <c r="D896" i="1"/>
  <c r="C896" i="1"/>
  <c r="B896" i="1"/>
  <c r="D895" i="1"/>
  <c r="C895" i="1"/>
  <c r="B895" i="1"/>
  <c r="D894" i="1"/>
  <c r="C894" i="1"/>
  <c r="B894" i="1"/>
  <c r="D893" i="1"/>
  <c r="C893" i="1"/>
  <c r="B893" i="1"/>
  <c r="D892" i="1"/>
  <c r="C892" i="1"/>
  <c r="B892" i="1"/>
  <c r="D891" i="1"/>
  <c r="C891" i="1"/>
  <c r="B891" i="1"/>
  <c r="D890" i="1"/>
  <c r="C890" i="1"/>
  <c r="B890" i="1"/>
  <c r="D889" i="1"/>
  <c r="C889" i="1"/>
  <c r="B889" i="1"/>
  <c r="D888" i="1"/>
  <c r="C888" i="1"/>
  <c r="B888" i="1"/>
  <c r="D887" i="1"/>
  <c r="C887" i="1"/>
  <c r="B887" i="1"/>
  <c r="D886" i="1"/>
  <c r="C886" i="1"/>
  <c r="B886" i="1"/>
  <c r="D885" i="1"/>
  <c r="C885" i="1"/>
  <c r="B885" i="1"/>
  <c r="I884" i="1"/>
  <c r="H884" i="1"/>
  <c r="D884" i="1"/>
  <c r="C884" i="1"/>
  <c r="B884" i="1"/>
  <c r="D883" i="1"/>
  <c r="C883" i="1"/>
  <c r="B883" i="1"/>
  <c r="D882" i="1"/>
  <c r="C882" i="1"/>
  <c r="B882" i="1"/>
  <c r="D881" i="1"/>
  <c r="C881" i="1"/>
  <c r="B881" i="1"/>
  <c r="D880" i="1"/>
  <c r="C880" i="1"/>
  <c r="B880" i="1"/>
  <c r="D879" i="1"/>
  <c r="C879" i="1"/>
  <c r="B879" i="1"/>
  <c r="D878" i="1"/>
  <c r="C878" i="1"/>
  <c r="B878" i="1"/>
  <c r="D877" i="1"/>
  <c r="C877" i="1"/>
  <c r="B877" i="1"/>
  <c r="D876" i="1"/>
  <c r="C876" i="1"/>
  <c r="B876" i="1"/>
  <c r="D875" i="1"/>
  <c r="C875" i="1"/>
  <c r="B875" i="1"/>
  <c r="D874" i="1"/>
  <c r="C874" i="1"/>
  <c r="B874" i="1"/>
  <c r="D873" i="1"/>
  <c r="C873" i="1"/>
  <c r="B873" i="1"/>
  <c r="D872" i="1"/>
  <c r="C872" i="1"/>
  <c r="B872" i="1"/>
  <c r="D871" i="1"/>
  <c r="C871" i="1"/>
  <c r="B871" i="1"/>
  <c r="D870" i="1"/>
  <c r="C870" i="1"/>
  <c r="B870" i="1"/>
  <c r="D869" i="1"/>
  <c r="C869" i="1"/>
  <c r="B869" i="1"/>
  <c r="D868" i="1"/>
  <c r="C868" i="1"/>
  <c r="B868" i="1"/>
  <c r="D867" i="1"/>
  <c r="C867" i="1"/>
  <c r="B867" i="1"/>
  <c r="D866" i="1"/>
  <c r="C866" i="1"/>
  <c r="B866" i="1"/>
  <c r="D865" i="1"/>
  <c r="C865" i="1"/>
  <c r="B865" i="1"/>
  <c r="D864" i="1"/>
  <c r="C864" i="1"/>
  <c r="B864" i="1"/>
  <c r="D863" i="1"/>
  <c r="C863" i="1"/>
  <c r="B863" i="1"/>
  <c r="D862" i="1"/>
  <c r="C862" i="1"/>
  <c r="B862" i="1"/>
  <c r="D861" i="1"/>
  <c r="C861" i="1"/>
  <c r="B861" i="1"/>
  <c r="D860" i="1"/>
  <c r="C860" i="1"/>
  <c r="B860" i="1"/>
  <c r="D859" i="1"/>
  <c r="C859" i="1"/>
  <c r="B859" i="1"/>
  <c r="D858" i="1"/>
  <c r="C858" i="1"/>
  <c r="B858" i="1"/>
  <c r="D857" i="1"/>
  <c r="C857" i="1"/>
  <c r="B857" i="1"/>
  <c r="D856" i="1"/>
  <c r="C856" i="1"/>
  <c r="B856" i="1"/>
  <c r="I855" i="1"/>
  <c r="H855" i="1"/>
  <c r="D855" i="1"/>
  <c r="C855" i="1"/>
  <c r="B855" i="1"/>
  <c r="D854" i="1"/>
  <c r="C854" i="1"/>
  <c r="B854" i="1"/>
  <c r="D853" i="1"/>
  <c r="C853" i="1"/>
  <c r="B853" i="1"/>
  <c r="D852" i="1"/>
  <c r="C852" i="1"/>
  <c r="B852" i="1"/>
  <c r="D851" i="1"/>
  <c r="C851" i="1"/>
  <c r="B851" i="1"/>
  <c r="D850" i="1"/>
  <c r="C850" i="1"/>
  <c r="B850" i="1"/>
  <c r="D849" i="1"/>
  <c r="C849" i="1"/>
  <c r="B849" i="1"/>
  <c r="D848" i="1"/>
  <c r="C848" i="1"/>
  <c r="B848" i="1"/>
  <c r="D847" i="1"/>
  <c r="C847" i="1"/>
  <c r="B847" i="1"/>
  <c r="D846" i="1"/>
  <c r="C846" i="1"/>
  <c r="B846" i="1"/>
  <c r="D845" i="1"/>
  <c r="C845" i="1"/>
  <c r="B845" i="1"/>
  <c r="D844" i="1"/>
  <c r="C844" i="1"/>
  <c r="B844" i="1"/>
  <c r="D843" i="1"/>
  <c r="C843" i="1"/>
  <c r="B843" i="1"/>
  <c r="I842" i="1"/>
  <c r="H842" i="1"/>
  <c r="D842" i="1"/>
  <c r="C842" i="1"/>
  <c r="B842" i="1"/>
  <c r="D841" i="1"/>
  <c r="C841" i="1"/>
  <c r="B841" i="1"/>
  <c r="D840" i="1"/>
  <c r="C840" i="1"/>
  <c r="B840" i="1"/>
  <c r="D839" i="1"/>
  <c r="C839" i="1"/>
  <c r="B839" i="1"/>
  <c r="D838" i="1"/>
  <c r="C838" i="1"/>
  <c r="B838" i="1"/>
  <c r="D837" i="1"/>
  <c r="C837" i="1"/>
  <c r="B837" i="1"/>
  <c r="D836" i="1"/>
  <c r="C836" i="1"/>
  <c r="B836" i="1"/>
  <c r="D835" i="1"/>
  <c r="C835" i="1"/>
  <c r="B835" i="1"/>
  <c r="I834" i="1"/>
  <c r="H834" i="1"/>
  <c r="D834" i="1"/>
  <c r="C834" i="1"/>
  <c r="B834" i="1"/>
  <c r="D833" i="1"/>
  <c r="C833" i="1"/>
  <c r="B833" i="1"/>
  <c r="D832" i="1"/>
  <c r="C832" i="1"/>
  <c r="B832" i="1"/>
  <c r="D831" i="1"/>
  <c r="C831" i="1"/>
  <c r="B831" i="1"/>
  <c r="D830" i="1"/>
  <c r="C830" i="1"/>
  <c r="B830" i="1"/>
  <c r="D829" i="1"/>
  <c r="C829" i="1"/>
  <c r="B829" i="1"/>
  <c r="D828" i="1"/>
  <c r="C828" i="1"/>
  <c r="B828" i="1"/>
  <c r="D827" i="1"/>
  <c r="C827" i="1"/>
  <c r="B827" i="1"/>
  <c r="D826" i="1"/>
  <c r="C826" i="1"/>
  <c r="B826" i="1"/>
  <c r="D825" i="1"/>
  <c r="C825" i="1"/>
  <c r="B825" i="1"/>
  <c r="I824" i="1"/>
  <c r="H824" i="1"/>
  <c r="D824" i="1"/>
  <c r="C824" i="1"/>
  <c r="B824" i="1"/>
  <c r="D823" i="1"/>
  <c r="C823" i="1"/>
  <c r="B823" i="1"/>
  <c r="D822" i="1"/>
  <c r="C822" i="1"/>
  <c r="B822" i="1"/>
  <c r="D821" i="1"/>
  <c r="C821" i="1"/>
  <c r="B821" i="1"/>
  <c r="D820" i="1"/>
  <c r="C820" i="1"/>
  <c r="B820" i="1"/>
  <c r="D819" i="1"/>
  <c r="C819" i="1"/>
  <c r="B819" i="1"/>
  <c r="I818" i="1"/>
  <c r="H818" i="1"/>
  <c r="D818" i="1"/>
  <c r="C818" i="1"/>
  <c r="B818" i="1"/>
  <c r="D817" i="1"/>
  <c r="C817" i="1"/>
  <c r="B817" i="1"/>
  <c r="D816" i="1"/>
  <c r="C816" i="1"/>
  <c r="B816" i="1"/>
  <c r="D815" i="1"/>
  <c r="C815" i="1"/>
  <c r="B815" i="1"/>
  <c r="D814" i="1"/>
  <c r="C814" i="1"/>
  <c r="B814" i="1"/>
  <c r="D813" i="1"/>
  <c r="C813" i="1"/>
  <c r="B813" i="1"/>
  <c r="I812" i="1"/>
  <c r="H812" i="1"/>
  <c r="D812" i="1"/>
  <c r="C812" i="1"/>
  <c r="B812" i="1"/>
  <c r="I811" i="1"/>
  <c r="H811" i="1"/>
  <c r="D811" i="1"/>
  <c r="C811" i="1"/>
  <c r="B811" i="1"/>
  <c r="D810" i="1"/>
  <c r="C810" i="1"/>
  <c r="B810" i="1"/>
  <c r="D809" i="1"/>
  <c r="C809" i="1"/>
  <c r="B809" i="1"/>
  <c r="D808" i="1"/>
  <c r="C808" i="1"/>
  <c r="B808" i="1"/>
  <c r="I807" i="1"/>
  <c r="H807" i="1"/>
  <c r="D807" i="1"/>
  <c r="C807" i="1"/>
  <c r="B807" i="1"/>
  <c r="D806" i="1"/>
  <c r="C806" i="1"/>
  <c r="B806" i="1"/>
  <c r="I805" i="1"/>
  <c r="H805" i="1"/>
  <c r="D805" i="1"/>
  <c r="C805" i="1"/>
  <c r="B805" i="1"/>
  <c r="I804" i="1"/>
  <c r="H804" i="1"/>
  <c r="D804" i="1"/>
  <c r="C804" i="1"/>
  <c r="B804" i="1"/>
  <c r="D803" i="1"/>
  <c r="C803" i="1"/>
  <c r="B803" i="1"/>
  <c r="D802" i="1"/>
  <c r="C802" i="1"/>
  <c r="B802" i="1"/>
  <c r="D801" i="1"/>
  <c r="C801" i="1"/>
  <c r="B801" i="1"/>
  <c r="I800" i="1"/>
  <c r="H800" i="1"/>
  <c r="D800" i="1"/>
  <c r="C800" i="1"/>
  <c r="B800" i="1"/>
  <c r="D799" i="1"/>
  <c r="C799" i="1"/>
  <c r="B799" i="1"/>
  <c r="D798" i="1"/>
  <c r="C798" i="1"/>
  <c r="B798" i="1"/>
  <c r="I797" i="1"/>
  <c r="H797" i="1"/>
  <c r="D797" i="1"/>
  <c r="C797" i="1"/>
  <c r="B797" i="1"/>
  <c r="I796" i="1"/>
  <c r="H796" i="1"/>
  <c r="D796" i="1"/>
  <c r="C796" i="1"/>
  <c r="B796" i="1"/>
  <c r="I795" i="1"/>
  <c r="H795" i="1"/>
  <c r="D795" i="1"/>
  <c r="C795" i="1"/>
  <c r="B795" i="1"/>
  <c r="D794" i="1"/>
  <c r="C794" i="1"/>
  <c r="B794" i="1"/>
  <c r="D793" i="1"/>
  <c r="C793" i="1"/>
  <c r="B793" i="1"/>
  <c r="I792" i="1"/>
  <c r="H792" i="1"/>
  <c r="D792" i="1"/>
  <c r="C792" i="1"/>
  <c r="B792" i="1"/>
  <c r="D791" i="1"/>
  <c r="C791" i="1"/>
  <c r="B791" i="1"/>
  <c r="D790" i="1"/>
  <c r="C790" i="1"/>
  <c r="B790" i="1"/>
  <c r="I789" i="1"/>
  <c r="H789" i="1"/>
  <c r="D789" i="1"/>
  <c r="C789" i="1"/>
  <c r="B789" i="1"/>
  <c r="I788" i="1"/>
  <c r="H788" i="1"/>
  <c r="D788" i="1"/>
  <c r="C788" i="1"/>
  <c r="B788" i="1"/>
  <c r="D787" i="1"/>
  <c r="C787" i="1"/>
  <c r="B787" i="1"/>
  <c r="D786" i="1"/>
  <c r="C786" i="1"/>
  <c r="B786" i="1"/>
  <c r="I785" i="1"/>
  <c r="H785" i="1"/>
  <c r="D785" i="1"/>
  <c r="C785" i="1"/>
  <c r="B785" i="1"/>
  <c r="D784" i="1"/>
  <c r="C784" i="1"/>
  <c r="B784" i="1"/>
  <c r="I783" i="1"/>
  <c r="H783" i="1"/>
  <c r="D783" i="1"/>
  <c r="C783" i="1"/>
  <c r="B783" i="1"/>
  <c r="D782" i="1"/>
  <c r="C782" i="1"/>
  <c r="B782" i="1"/>
  <c r="D781" i="1"/>
  <c r="C781" i="1"/>
  <c r="B781" i="1"/>
  <c r="D780" i="1"/>
  <c r="C780" i="1"/>
  <c r="B780" i="1"/>
  <c r="D779" i="1"/>
  <c r="C779" i="1"/>
  <c r="B779" i="1"/>
  <c r="D778" i="1"/>
  <c r="C778" i="1"/>
  <c r="B778" i="1"/>
  <c r="D777" i="1"/>
  <c r="C777" i="1"/>
  <c r="B777" i="1"/>
  <c r="I776" i="1"/>
  <c r="H776" i="1"/>
  <c r="D776" i="1"/>
  <c r="C776" i="1"/>
  <c r="B776" i="1"/>
  <c r="D775" i="1"/>
  <c r="C775" i="1"/>
  <c r="B775" i="1"/>
  <c r="D774" i="1"/>
  <c r="C774" i="1"/>
  <c r="B774" i="1"/>
  <c r="D773" i="1"/>
  <c r="C773" i="1"/>
  <c r="B773" i="1"/>
  <c r="D772" i="1"/>
  <c r="C772" i="1"/>
  <c r="B772" i="1"/>
  <c r="I771" i="1"/>
  <c r="H771" i="1"/>
  <c r="D771" i="1"/>
  <c r="C771" i="1"/>
  <c r="B771" i="1"/>
  <c r="D770" i="1"/>
  <c r="C770" i="1"/>
  <c r="B770" i="1"/>
  <c r="D769" i="1"/>
  <c r="C769" i="1"/>
  <c r="B769" i="1"/>
  <c r="I768" i="1"/>
  <c r="H768" i="1"/>
  <c r="D768" i="1"/>
  <c r="C768" i="1"/>
  <c r="B768" i="1"/>
  <c r="I767" i="1"/>
  <c r="H767" i="1"/>
  <c r="D767" i="1"/>
  <c r="C767" i="1"/>
  <c r="B767" i="1"/>
  <c r="D766" i="1"/>
  <c r="C766" i="1"/>
  <c r="B766" i="1"/>
  <c r="I765" i="1"/>
  <c r="H765" i="1"/>
  <c r="D765" i="1"/>
  <c r="C765" i="1"/>
  <c r="B765" i="1"/>
  <c r="I764" i="1"/>
  <c r="H764" i="1"/>
  <c r="D764" i="1"/>
  <c r="C764" i="1"/>
  <c r="B764" i="1"/>
  <c r="I763" i="1"/>
  <c r="H763" i="1"/>
  <c r="D763" i="1"/>
  <c r="C763" i="1"/>
  <c r="B763" i="1"/>
  <c r="I762" i="1"/>
  <c r="H762" i="1"/>
  <c r="D762" i="1"/>
  <c r="C762" i="1"/>
  <c r="B762" i="1"/>
  <c r="I761" i="1"/>
  <c r="D761" i="1"/>
  <c r="C761" i="1"/>
  <c r="B761" i="1"/>
  <c r="I760" i="1"/>
  <c r="H760" i="1"/>
  <c r="D760" i="1"/>
  <c r="C760" i="1"/>
  <c r="B760" i="1"/>
  <c r="D759" i="1"/>
  <c r="C759" i="1"/>
  <c r="B759" i="1"/>
  <c r="D758" i="1"/>
  <c r="C758" i="1"/>
  <c r="B758" i="1"/>
  <c r="D757" i="1"/>
  <c r="C757" i="1"/>
  <c r="B757" i="1"/>
  <c r="D756" i="1"/>
  <c r="C756" i="1"/>
  <c r="B756" i="1"/>
  <c r="D755" i="1"/>
  <c r="C755" i="1"/>
  <c r="B755" i="1"/>
  <c r="D754" i="1"/>
  <c r="C754" i="1"/>
  <c r="B754" i="1"/>
  <c r="I753" i="1"/>
  <c r="D753" i="1"/>
  <c r="C753" i="1"/>
  <c r="B753" i="1"/>
  <c r="D752" i="1"/>
  <c r="C752" i="1"/>
  <c r="B752" i="1"/>
  <c r="D751" i="1"/>
  <c r="C751" i="1"/>
  <c r="B751" i="1"/>
  <c r="D750" i="1"/>
  <c r="C750" i="1"/>
  <c r="B750" i="1"/>
  <c r="D749" i="1"/>
  <c r="C749" i="1"/>
  <c r="B749" i="1"/>
  <c r="I748" i="1"/>
  <c r="H748" i="1"/>
  <c r="D748" i="1"/>
  <c r="C748" i="1"/>
  <c r="B748" i="1"/>
  <c r="I747" i="1"/>
  <c r="D747" i="1"/>
  <c r="C747" i="1"/>
  <c r="B747" i="1"/>
  <c r="D746" i="1"/>
  <c r="C746" i="1"/>
  <c r="B746" i="1"/>
  <c r="D745" i="1"/>
  <c r="C745" i="1"/>
  <c r="B745" i="1"/>
  <c r="I744" i="1"/>
  <c r="D744" i="1"/>
  <c r="C744" i="1"/>
  <c r="B744" i="1"/>
  <c r="D743" i="1"/>
  <c r="C743" i="1"/>
  <c r="B743" i="1"/>
  <c r="D742" i="1"/>
  <c r="C742" i="1"/>
  <c r="B742" i="1"/>
  <c r="I741" i="1"/>
  <c r="D741" i="1"/>
  <c r="C741" i="1"/>
  <c r="B741" i="1"/>
  <c r="D740" i="1"/>
  <c r="C740" i="1"/>
  <c r="B740" i="1"/>
  <c r="D739" i="1"/>
  <c r="C739" i="1"/>
  <c r="B739" i="1"/>
  <c r="D738" i="1"/>
  <c r="C738" i="1"/>
  <c r="B738" i="1"/>
  <c r="I737" i="1"/>
  <c r="D737" i="1"/>
  <c r="C737" i="1"/>
  <c r="B737" i="1"/>
  <c r="D736" i="1"/>
  <c r="C736" i="1"/>
  <c r="B736" i="1"/>
  <c r="I735" i="1"/>
  <c r="D735" i="1"/>
  <c r="C735" i="1"/>
  <c r="B735" i="1"/>
  <c r="D734" i="1"/>
  <c r="C734" i="1"/>
  <c r="B734" i="1"/>
  <c r="I733" i="1"/>
  <c r="D733" i="1"/>
  <c r="C733" i="1"/>
  <c r="B733" i="1"/>
  <c r="D732" i="1"/>
  <c r="C732" i="1"/>
  <c r="B732" i="1"/>
  <c r="I731" i="1"/>
  <c r="D731" i="1"/>
  <c r="C731" i="1"/>
  <c r="B731" i="1"/>
  <c r="D730" i="1"/>
  <c r="C730" i="1"/>
  <c r="B730" i="1"/>
  <c r="I729" i="1"/>
  <c r="D729" i="1"/>
  <c r="C729" i="1"/>
  <c r="B729" i="1"/>
  <c r="I728" i="1"/>
  <c r="D728" i="1"/>
  <c r="C728" i="1"/>
  <c r="B728" i="1"/>
  <c r="D727" i="1"/>
  <c r="C727" i="1"/>
  <c r="B727" i="1"/>
  <c r="D726" i="1"/>
  <c r="C726" i="1"/>
  <c r="B726" i="1"/>
  <c r="D725" i="1"/>
  <c r="C725" i="1"/>
  <c r="B725" i="1"/>
  <c r="D724" i="1"/>
  <c r="C724" i="1"/>
  <c r="B724" i="1"/>
  <c r="D723" i="1"/>
  <c r="C723" i="1"/>
  <c r="B723" i="1"/>
  <c r="D722" i="1"/>
  <c r="C722" i="1"/>
  <c r="B722" i="1"/>
  <c r="D721" i="1"/>
  <c r="C721" i="1"/>
  <c r="B721" i="1"/>
  <c r="I720" i="1"/>
  <c r="D720" i="1"/>
  <c r="C720" i="1"/>
  <c r="B720" i="1"/>
  <c r="D719" i="1"/>
  <c r="C719" i="1"/>
  <c r="B719" i="1"/>
  <c r="D718" i="1"/>
  <c r="C718" i="1"/>
  <c r="B718" i="1"/>
  <c r="D717" i="1"/>
  <c r="C717" i="1"/>
  <c r="B717" i="1"/>
  <c r="D716" i="1"/>
  <c r="C716" i="1"/>
  <c r="B716" i="1"/>
  <c r="D715" i="1"/>
  <c r="C715" i="1"/>
  <c r="B715" i="1"/>
  <c r="D714" i="1"/>
  <c r="C714" i="1"/>
  <c r="B714" i="1"/>
  <c r="D713" i="1"/>
  <c r="C713" i="1"/>
  <c r="B713" i="1"/>
  <c r="D712" i="1"/>
  <c r="C712" i="1"/>
  <c r="B712" i="1"/>
  <c r="D711" i="1"/>
  <c r="C711" i="1"/>
  <c r="B711" i="1"/>
  <c r="I710" i="1"/>
  <c r="D710" i="1"/>
  <c r="C710" i="1"/>
  <c r="B710" i="1"/>
  <c r="I709" i="1"/>
  <c r="H709" i="1"/>
  <c r="D709" i="1"/>
  <c r="C709" i="1"/>
  <c r="B709" i="1"/>
  <c r="I708" i="1"/>
  <c r="D708" i="1"/>
  <c r="C708" i="1"/>
  <c r="B708" i="1"/>
  <c r="D707" i="1"/>
  <c r="C707" i="1"/>
  <c r="B707" i="1"/>
  <c r="I706" i="1"/>
  <c r="D706" i="1"/>
  <c r="C706" i="1"/>
  <c r="B706" i="1"/>
  <c r="D705" i="1"/>
  <c r="C705" i="1"/>
  <c r="B705" i="1"/>
  <c r="D704" i="1"/>
  <c r="C704" i="1"/>
  <c r="B704" i="1"/>
  <c r="D703" i="1"/>
  <c r="C703" i="1"/>
  <c r="B703" i="1"/>
  <c r="D702" i="1"/>
  <c r="C702" i="1"/>
  <c r="B702" i="1"/>
  <c r="D701" i="1"/>
  <c r="C701" i="1"/>
  <c r="B701" i="1"/>
  <c r="D700" i="1"/>
  <c r="C700" i="1"/>
  <c r="B700" i="1"/>
  <c r="D699" i="1"/>
  <c r="C699" i="1"/>
  <c r="B699" i="1"/>
  <c r="I698" i="1"/>
  <c r="D698" i="1"/>
  <c r="C698" i="1"/>
  <c r="B698" i="1"/>
  <c r="D697" i="1"/>
  <c r="C697" i="1"/>
  <c r="B697" i="1"/>
  <c r="D696" i="1"/>
  <c r="C696" i="1"/>
  <c r="B696" i="1"/>
  <c r="D695" i="1"/>
  <c r="C695" i="1"/>
  <c r="B695" i="1"/>
  <c r="D694" i="1"/>
  <c r="C694" i="1"/>
  <c r="B694" i="1"/>
  <c r="D693" i="1"/>
  <c r="C693" i="1"/>
  <c r="B693" i="1"/>
  <c r="D692" i="1"/>
  <c r="C692" i="1"/>
  <c r="B692" i="1"/>
  <c r="D691" i="1"/>
  <c r="C691" i="1"/>
  <c r="B691" i="1"/>
  <c r="I690" i="1"/>
  <c r="D690" i="1"/>
  <c r="C690" i="1"/>
  <c r="B690" i="1"/>
  <c r="I689" i="1"/>
  <c r="D689" i="1"/>
  <c r="C689" i="1"/>
  <c r="B689" i="1"/>
  <c r="I688" i="1"/>
  <c r="D688" i="1"/>
  <c r="C688" i="1"/>
  <c r="B688" i="1"/>
  <c r="I687" i="1"/>
  <c r="D687" i="1"/>
  <c r="C687" i="1"/>
  <c r="B687" i="1"/>
  <c r="I686" i="1"/>
  <c r="D686" i="1"/>
  <c r="C686" i="1"/>
  <c r="B686" i="1"/>
  <c r="I685" i="1"/>
  <c r="D685" i="1"/>
  <c r="C685" i="1"/>
  <c r="B685" i="1"/>
  <c r="I684" i="1"/>
  <c r="D684" i="1"/>
  <c r="C684" i="1"/>
  <c r="B684" i="1"/>
  <c r="I683" i="1"/>
  <c r="D683" i="1"/>
  <c r="C683" i="1"/>
  <c r="B683" i="1"/>
  <c r="I682" i="1"/>
  <c r="D682" i="1"/>
  <c r="C682" i="1"/>
  <c r="B682" i="1"/>
  <c r="D681" i="1"/>
  <c r="C681" i="1"/>
  <c r="B681" i="1"/>
  <c r="I680" i="1"/>
  <c r="D680" i="1"/>
  <c r="C680" i="1"/>
  <c r="B680" i="1"/>
  <c r="I679" i="1"/>
  <c r="D679" i="1"/>
  <c r="C679" i="1"/>
  <c r="B679" i="1"/>
  <c r="D678" i="1"/>
  <c r="C678" i="1"/>
  <c r="B678" i="1"/>
  <c r="D677" i="1"/>
  <c r="C677" i="1"/>
  <c r="B677" i="1"/>
  <c r="I676" i="1"/>
  <c r="D676" i="1"/>
  <c r="C676" i="1"/>
  <c r="B676" i="1"/>
  <c r="D675" i="1"/>
  <c r="C675" i="1"/>
  <c r="B675" i="1"/>
  <c r="D674" i="1"/>
  <c r="C674" i="1"/>
  <c r="B674" i="1"/>
  <c r="D673" i="1"/>
  <c r="C673" i="1"/>
  <c r="B673" i="1"/>
  <c r="D672" i="1"/>
  <c r="C672" i="1"/>
  <c r="B672" i="1"/>
  <c r="D671" i="1"/>
  <c r="C671" i="1"/>
  <c r="B671" i="1"/>
  <c r="D670" i="1"/>
  <c r="C670" i="1"/>
  <c r="B670" i="1"/>
  <c r="D669" i="1"/>
  <c r="C669" i="1"/>
  <c r="B669" i="1"/>
  <c r="D668" i="1"/>
  <c r="C668" i="1"/>
  <c r="B668" i="1"/>
  <c r="D667" i="1"/>
  <c r="C667" i="1"/>
  <c r="B667" i="1"/>
  <c r="D666" i="1"/>
  <c r="C666" i="1"/>
  <c r="B666" i="1"/>
  <c r="D665" i="1"/>
  <c r="C665" i="1"/>
  <c r="B665" i="1"/>
  <c r="D664" i="1"/>
  <c r="C664" i="1"/>
  <c r="B664" i="1"/>
  <c r="D663" i="1"/>
  <c r="C663" i="1"/>
  <c r="B663" i="1"/>
  <c r="D662" i="1"/>
  <c r="C662" i="1"/>
  <c r="B662" i="1"/>
  <c r="D661" i="1"/>
  <c r="C661" i="1"/>
  <c r="B661" i="1"/>
  <c r="D660" i="1"/>
  <c r="C660" i="1"/>
  <c r="B660" i="1"/>
  <c r="D659" i="1"/>
  <c r="C659" i="1"/>
  <c r="B659" i="1"/>
  <c r="D658" i="1"/>
  <c r="C658" i="1"/>
  <c r="B658" i="1"/>
  <c r="D657" i="1"/>
  <c r="C657" i="1"/>
  <c r="B657" i="1"/>
  <c r="D656" i="1"/>
  <c r="C656" i="1"/>
  <c r="B656" i="1"/>
  <c r="D655" i="1"/>
  <c r="C655" i="1"/>
  <c r="B655" i="1"/>
  <c r="D654" i="1"/>
  <c r="C654" i="1"/>
  <c r="B654" i="1"/>
  <c r="D653" i="1"/>
  <c r="C653" i="1"/>
  <c r="B653" i="1"/>
  <c r="D652" i="1"/>
  <c r="C652" i="1"/>
  <c r="B652" i="1"/>
  <c r="D651" i="1"/>
  <c r="C651" i="1"/>
  <c r="B651" i="1"/>
  <c r="D650" i="1"/>
  <c r="C650" i="1"/>
  <c r="B650" i="1"/>
  <c r="D649" i="1"/>
  <c r="C649" i="1"/>
  <c r="B649" i="1"/>
  <c r="D648" i="1"/>
  <c r="C648" i="1"/>
  <c r="B648" i="1"/>
  <c r="I647" i="1"/>
  <c r="D647" i="1"/>
  <c r="C647" i="1"/>
  <c r="B647" i="1"/>
  <c r="D646" i="1"/>
  <c r="C646" i="1"/>
  <c r="B646" i="1"/>
  <c r="D645" i="1"/>
  <c r="C645" i="1"/>
  <c r="B645" i="1"/>
  <c r="D644" i="1"/>
  <c r="C644" i="1"/>
  <c r="B644" i="1"/>
  <c r="D643" i="1"/>
  <c r="C643" i="1"/>
  <c r="B643" i="1"/>
  <c r="D642" i="1"/>
  <c r="C642" i="1"/>
  <c r="B642" i="1"/>
  <c r="D641" i="1"/>
  <c r="C641" i="1"/>
  <c r="B641" i="1"/>
  <c r="D640" i="1"/>
  <c r="C640" i="1"/>
  <c r="B640" i="1"/>
  <c r="D639" i="1"/>
  <c r="C639" i="1"/>
  <c r="B639" i="1"/>
  <c r="D638" i="1"/>
  <c r="C638" i="1"/>
  <c r="B638" i="1"/>
  <c r="D637" i="1"/>
  <c r="C637" i="1"/>
  <c r="B637" i="1"/>
  <c r="D636" i="1"/>
  <c r="C636" i="1"/>
  <c r="B636" i="1"/>
  <c r="D635" i="1"/>
  <c r="C635" i="1"/>
  <c r="B635" i="1"/>
  <c r="D634" i="1"/>
  <c r="C634" i="1"/>
  <c r="B634" i="1"/>
  <c r="I633" i="1"/>
  <c r="D633" i="1"/>
  <c r="C633" i="1"/>
  <c r="B633" i="1"/>
  <c r="D632" i="1"/>
  <c r="C632" i="1"/>
  <c r="B632" i="1"/>
  <c r="D631" i="1"/>
  <c r="C631" i="1"/>
  <c r="B631" i="1"/>
  <c r="D630" i="1"/>
  <c r="C630" i="1"/>
  <c r="B630" i="1"/>
  <c r="D629" i="1"/>
  <c r="C629" i="1"/>
  <c r="B629" i="1"/>
  <c r="D628" i="1"/>
  <c r="C628" i="1"/>
  <c r="B628" i="1"/>
  <c r="D627" i="1"/>
  <c r="C627" i="1"/>
  <c r="B627" i="1"/>
  <c r="D626" i="1"/>
  <c r="C626" i="1"/>
  <c r="B626" i="1"/>
  <c r="D625" i="1"/>
  <c r="C625" i="1"/>
  <c r="B625" i="1"/>
  <c r="D624" i="1"/>
  <c r="C624" i="1"/>
  <c r="B624" i="1"/>
  <c r="D623" i="1"/>
  <c r="C623" i="1"/>
  <c r="B623" i="1"/>
  <c r="D622" i="1"/>
  <c r="C622" i="1"/>
  <c r="B622" i="1"/>
  <c r="I621" i="1"/>
  <c r="D621" i="1"/>
  <c r="C621" i="1"/>
  <c r="B621" i="1"/>
  <c r="I620" i="1"/>
  <c r="D620" i="1"/>
  <c r="C620" i="1"/>
  <c r="B620" i="1"/>
  <c r="I619" i="1"/>
  <c r="D619" i="1"/>
  <c r="C619" i="1"/>
  <c r="B619" i="1"/>
  <c r="I618" i="1"/>
  <c r="D618" i="1"/>
  <c r="C618" i="1"/>
  <c r="B618" i="1"/>
  <c r="D617" i="1"/>
  <c r="C617" i="1"/>
  <c r="B617" i="1"/>
  <c r="D616" i="1"/>
  <c r="C616" i="1"/>
  <c r="B616" i="1"/>
  <c r="I615" i="1"/>
  <c r="D615" i="1"/>
  <c r="C615" i="1"/>
  <c r="B615" i="1"/>
  <c r="D614" i="1"/>
  <c r="C614" i="1"/>
  <c r="B614" i="1"/>
  <c r="I613" i="1"/>
  <c r="D613" i="1"/>
  <c r="C613" i="1"/>
  <c r="B613" i="1"/>
  <c r="D612" i="1"/>
  <c r="C612" i="1"/>
  <c r="B612" i="1"/>
  <c r="D611" i="1"/>
  <c r="C611" i="1"/>
  <c r="B611" i="1"/>
  <c r="D610" i="1"/>
  <c r="C610" i="1"/>
  <c r="B610" i="1"/>
  <c r="D609" i="1"/>
  <c r="C609" i="1"/>
  <c r="B609" i="1"/>
  <c r="D608" i="1"/>
  <c r="C608" i="1"/>
  <c r="B608" i="1"/>
  <c r="D607" i="1"/>
  <c r="C607" i="1"/>
  <c r="B607" i="1"/>
  <c r="D606" i="1"/>
  <c r="C606" i="1"/>
  <c r="B606" i="1"/>
  <c r="D605" i="1"/>
  <c r="C605" i="1"/>
  <c r="B605" i="1"/>
  <c r="D604" i="1"/>
  <c r="C604" i="1"/>
  <c r="B604" i="1"/>
  <c r="I603" i="1"/>
  <c r="D603" i="1"/>
  <c r="C603" i="1"/>
  <c r="B603" i="1"/>
  <c r="D602" i="1"/>
  <c r="C602" i="1"/>
  <c r="B602" i="1"/>
  <c r="D601" i="1"/>
  <c r="C601" i="1"/>
  <c r="B601" i="1"/>
  <c r="D600" i="1"/>
  <c r="C600" i="1"/>
  <c r="B600" i="1"/>
  <c r="D599" i="1"/>
  <c r="C599" i="1"/>
  <c r="B599" i="1"/>
  <c r="D598" i="1"/>
  <c r="C598" i="1"/>
  <c r="B598" i="1"/>
  <c r="D597" i="1"/>
  <c r="C597" i="1"/>
  <c r="B597" i="1"/>
  <c r="D596" i="1"/>
  <c r="C596" i="1"/>
  <c r="B596" i="1"/>
  <c r="D595" i="1"/>
  <c r="C595" i="1"/>
  <c r="B595" i="1"/>
  <c r="D594" i="1"/>
  <c r="C594" i="1"/>
  <c r="B594" i="1"/>
  <c r="D593" i="1"/>
  <c r="C593" i="1"/>
  <c r="B593" i="1"/>
  <c r="D592" i="1"/>
  <c r="C592" i="1"/>
  <c r="B592" i="1"/>
  <c r="D591" i="1"/>
  <c r="C591" i="1"/>
  <c r="B591" i="1"/>
  <c r="D590" i="1"/>
  <c r="C590" i="1"/>
  <c r="B590" i="1"/>
  <c r="D589" i="1"/>
  <c r="C589" i="1"/>
  <c r="B589" i="1"/>
  <c r="D588" i="1"/>
  <c r="C588" i="1"/>
  <c r="B588" i="1"/>
  <c r="D587" i="1"/>
  <c r="C587" i="1"/>
  <c r="B587" i="1"/>
  <c r="D586" i="1"/>
  <c r="C586" i="1"/>
  <c r="B586" i="1"/>
  <c r="D585" i="1"/>
  <c r="C585" i="1"/>
  <c r="B585" i="1"/>
  <c r="D584" i="1"/>
  <c r="C584" i="1"/>
  <c r="B584" i="1"/>
  <c r="D583" i="1"/>
  <c r="C583" i="1"/>
  <c r="B583" i="1"/>
  <c r="D582" i="1"/>
  <c r="C582" i="1"/>
  <c r="B582" i="1"/>
  <c r="D581" i="1"/>
  <c r="C581" i="1"/>
  <c r="B581" i="1"/>
  <c r="D580" i="1"/>
  <c r="C580" i="1"/>
  <c r="B580" i="1"/>
  <c r="D579" i="1"/>
  <c r="C579" i="1"/>
  <c r="B579" i="1"/>
  <c r="D578" i="1"/>
  <c r="C578" i="1"/>
  <c r="B578" i="1"/>
  <c r="D577" i="1"/>
  <c r="C577" i="1"/>
  <c r="B577" i="1"/>
  <c r="D576" i="1"/>
  <c r="C576" i="1"/>
  <c r="B576" i="1"/>
  <c r="D575" i="1"/>
  <c r="C575" i="1"/>
  <c r="B575" i="1"/>
  <c r="D574" i="1"/>
  <c r="C574" i="1"/>
  <c r="B574" i="1"/>
  <c r="D573" i="1"/>
  <c r="C573" i="1"/>
  <c r="B573" i="1"/>
  <c r="D572" i="1"/>
  <c r="C572" i="1"/>
  <c r="B572" i="1"/>
  <c r="D571" i="1"/>
  <c r="C571" i="1"/>
  <c r="B571" i="1"/>
  <c r="D570" i="1"/>
  <c r="C570" i="1"/>
  <c r="B570" i="1"/>
  <c r="D569" i="1"/>
  <c r="C569" i="1"/>
  <c r="B569" i="1"/>
  <c r="D568" i="1"/>
  <c r="C568" i="1"/>
  <c r="B568" i="1"/>
  <c r="D567" i="1"/>
  <c r="C567" i="1"/>
  <c r="B567" i="1"/>
  <c r="D566" i="1"/>
  <c r="C566" i="1"/>
  <c r="B566" i="1"/>
  <c r="D565" i="1"/>
  <c r="C565" i="1"/>
  <c r="B565" i="1"/>
  <c r="D564" i="1"/>
  <c r="C564" i="1"/>
  <c r="B564" i="1"/>
  <c r="D563" i="1"/>
  <c r="C563" i="1"/>
  <c r="B563" i="1"/>
  <c r="D562" i="1"/>
  <c r="C562" i="1"/>
  <c r="B562" i="1"/>
  <c r="D561" i="1"/>
  <c r="C561" i="1"/>
  <c r="B561" i="1"/>
  <c r="D560" i="1"/>
  <c r="C560" i="1"/>
  <c r="B560" i="1"/>
  <c r="D559" i="1"/>
  <c r="C559" i="1"/>
  <c r="B559" i="1"/>
  <c r="D558" i="1"/>
  <c r="C558" i="1"/>
  <c r="B558" i="1"/>
  <c r="D557" i="1"/>
  <c r="C557" i="1"/>
  <c r="B557" i="1"/>
  <c r="D556" i="1"/>
  <c r="C556" i="1"/>
  <c r="B556" i="1"/>
  <c r="D555" i="1"/>
  <c r="C555" i="1"/>
  <c r="B555" i="1"/>
  <c r="D554" i="1"/>
  <c r="C554" i="1"/>
  <c r="B554" i="1"/>
  <c r="D553" i="1"/>
  <c r="C553" i="1"/>
  <c r="B553" i="1"/>
  <c r="D552" i="1"/>
  <c r="C552" i="1"/>
  <c r="B552" i="1"/>
  <c r="D551" i="1"/>
  <c r="C551" i="1"/>
  <c r="B551" i="1"/>
  <c r="D550" i="1"/>
  <c r="C550" i="1"/>
  <c r="B550" i="1"/>
  <c r="D549" i="1"/>
  <c r="C549" i="1"/>
  <c r="B549" i="1"/>
  <c r="D548" i="1"/>
  <c r="C548" i="1"/>
  <c r="B548" i="1"/>
  <c r="D547" i="1"/>
  <c r="C547" i="1"/>
  <c r="B547" i="1"/>
  <c r="D546" i="1"/>
  <c r="C546" i="1"/>
  <c r="B546" i="1"/>
  <c r="D545" i="1"/>
  <c r="C545" i="1"/>
  <c r="B545" i="1"/>
  <c r="D544" i="1"/>
  <c r="C544" i="1"/>
  <c r="B544" i="1"/>
  <c r="D543" i="1"/>
  <c r="C543" i="1"/>
  <c r="B543" i="1"/>
  <c r="D542" i="1"/>
  <c r="C542" i="1"/>
  <c r="B542" i="1"/>
  <c r="D541" i="1"/>
  <c r="C541" i="1"/>
  <c r="B541" i="1"/>
  <c r="D540" i="1"/>
  <c r="C540" i="1"/>
  <c r="B540" i="1"/>
  <c r="D539" i="1"/>
  <c r="C539" i="1"/>
  <c r="B539" i="1"/>
  <c r="D538" i="1"/>
  <c r="C538" i="1"/>
  <c r="B538" i="1"/>
  <c r="D537" i="1"/>
  <c r="C537" i="1"/>
  <c r="B537" i="1"/>
  <c r="D536" i="1"/>
  <c r="C536" i="1"/>
  <c r="B536" i="1"/>
  <c r="D535" i="1"/>
  <c r="C535" i="1"/>
  <c r="B535" i="1"/>
  <c r="D534" i="1"/>
  <c r="C534" i="1"/>
  <c r="B534" i="1"/>
  <c r="D533" i="1"/>
  <c r="C533" i="1"/>
  <c r="B533" i="1"/>
  <c r="D532" i="1"/>
  <c r="C532" i="1"/>
  <c r="B532" i="1"/>
  <c r="D531" i="1"/>
  <c r="C531" i="1"/>
  <c r="B531" i="1"/>
  <c r="D530" i="1"/>
  <c r="C530" i="1"/>
  <c r="B530" i="1"/>
  <c r="D529" i="1"/>
  <c r="C529" i="1"/>
  <c r="B529" i="1"/>
  <c r="D528" i="1"/>
  <c r="C528" i="1"/>
  <c r="B528" i="1"/>
  <c r="D527" i="1"/>
  <c r="C527" i="1"/>
  <c r="B527" i="1"/>
  <c r="D526" i="1"/>
  <c r="C526" i="1"/>
  <c r="B526" i="1"/>
  <c r="D525" i="1"/>
  <c r="C525" i="1"/>
  <c r="B525" i="1"/>
  <c r="D524" i="1"/>
  <c r="C524" i="1"/>
  <c r="B524" i="1"/>
  <c r="D523" i="1"/>
  <c r="C523" i="1"/>
  <c r="B523" i="1"/>
  <c r="D522" i="1"/>
  <c r="C522" i="1"/>
  <c r="B522" i="1"/>
  <c r="D521" i="1"/>
  <c r="C521" i="1"/>
  <c r="B521" i="1"/>
  <c r="D520" i="1"/>
  <c r="C520" i="1"/>
  <c r="B520" i="1"/>
  <c r="D519" i="1"/>
  <c r="C519" i="1"/>
  <c r="B519" i="1"/>
  <c r="D518" i="1"/>
  <c r="C518" i="1"/>
  <c r="B518" i="1"/>
  <c r="D517" i="1"/>
  <c r="C517" i="1"/>
  <c r="B517" i="1"/>
  <c r="D516" i="1"/>
  <c r="C516" i="1"/>
  <c r="B516" i="1"/>
  <c r="D515" i="1"/>
  <c r="C515" i="1"/>
  <c r="B515" i="1"/>
  <c r="I514" i="1"/>
  <c r="H514" i="1"/>
  <c r="D514" i="1"/>
  <c r="C514" i="1"/>
  <c r="B514" i="1"/>
  <c r="D513" i="1"/>
  <c r="C513" i="1"/>
  <c r="B513" i="1"/>
  <c r="D512" i="1"/>
  <c r="C512" i="1"/>
  <c r="B512" i="1"/>
  <c r="D511" i="1"/>
  <c r="C511" i="1"/>
  <c r="B511" i="1"/>
  <c r="D510" i="1"/>
  <c r="C510" i="1"/>
  <c r="B510" i="1"/>
  <c r="D509" i="1"/>
  <c r="C509" i="1"/>
  <c r="B509" i="1"/>
  <c r="D508" i="1"/>
  <c r="C508" i="1"/>
  <c r="B508" i="1"/>
  <c r="I507" i="1"/>
  <c r="D507" i="1"/>
  <c r="C507" i="1"/>
  <c r="B507" i="1"/>
  <c r="D506" i="1"/>
  <c r="C506" i="1"/>
  <c r="B506" i="1"/>
  <c r="D505" i="1"/>
  <c r="C505" i="1"/>
  <c r="B505" i="1"/>
  <c r="I504" i="1"/>
  <c r="D504" i="1"/>
  <c r="C504" i="1"/>
  <c r="B504" i="1"/>
  <c r="I503" i="1"/>
  <c r="D503" i="1"/>
  <c r="C503" i="1"/>
  <c r="B503" i="1"/>
  <c r="I502" i="1"/>
  <c r="H502" i="1"/>
  <c r="D502" i="1"/>
  <c r="C502" i="1"/>
  <c r="B502" i="1"/>
  <c r="D501" i="1"/>
  <c r="C501" i="1"/>
  <c r="B501" i="1"/>
  <c r="D500" i="1"/>
  <c r="C500" i="1"/>
  <c r="B500" i="1"/>
  <c r="D499" i="1"/>
  <c r="C499" i="1"/>
  <c r="B499" i="1"/>
  <c r="D498" i="1"/>
  <c r="C498" i="1"/>
  <c r="B498" i="1"/>
  <c r="D497" i="1"/>
  <c r="C497" i="1"/>
  <c r="B497" i="1"/>
  <c r="D496" i="1"/>
  <c r="C496" i="1"/>
  <c r="B496" i="1"/>
  <c r="D495" i="1"/>
  <c r="C495" i="1"/>
  <c r="B495" i="1"/>
  <c r="D494" i="1"/>
  <c r="C494" i="1"/>
  <c r="B494" i="1"/>
  <c r="D493" i="1"/>
  <c r="C493" i="1"/>
  <c r="B493" i="1"/>
  <c r="D492" i="1"/>
  <c r="C492" i="1"/>
  <c r="B492" i="1"/>
  <c r="D491" i="1"/>
  <c r="C491" i="1"/>
  <c r="B491" i="1"/>
  <c r="I490" i="1"/>
  <c r="H490" i="1"/>
  <c r="D490" i="1"/>
  <c r="C490" i="1"/>
  <c r="B490" i="1"/>
  <c r="D489" i="1"/>
  <c r="C489" i="1"/>
  <c r="B489" i="1"/>
  <c r="I488" i="1"/>
  <c r="D488" i="1"/>
  <c r="C488" i="1"/>
  <c r="B488" i="1"/>
  <c r="D487" i="1"/>
  <c r="C487" i="1"/>
  <c r="B487" i="1"/>
  <c r="D486" i="1"/>
  <c r="C486" i="1"/>
  <c r="B486" i="1"/>
  <c r="D485" i="1"/>
  <c r="C485" i="1"/>
  <c r="B485" i="1"/>
  <c r="I484" i="1"/>
  <c r="H484" i="1"/>
  <c r="D484" i="1"/>
  <c r="C484" i="1"/>
  <c r="B484" i="1"/>
  <c r="D483" i="1"/>
  <c r="C483" i="1"/>
  <c r="B483" i="1"/>
  <c r="I482" i="1"/>
  <c r="D482" i="1"/>
  <c r="C482" i="1"/>
  <c r="B482" i="1"/>
  <c r="D481" i="1"/>
  <c r="C481" i="1"/>
  <c r="B481" i="1"/>
  <c r="D480" i="1"/>
  <c r="C480" i="1"/>
  <c r="B480" i="1"/>
  <c r="I479" i="1"/>
  <c r="D479" i="1"/>
  <c r="C479" i="1"/>
  <c r="B479" i="1"/>
  <c r="D478" i="1"/>
  <c r="C478" i="1"/>
  <c r="B478" i="1"/>
  <c r="D477" i="1"/>
  <c r="C477" i="1"/>
  <c r="B477" i="1"/>
  <c r="D476" i="1"/>
  <c r="C476" i="1"/>
  <c r="B476" i="1"/>
  <c r="D475" i="1"/>
  <c r="C475" i="1"/>
  <c r="B475" i="1"/>
  <c r="D474" i="1"/>
  <c r="C474" i="1"/>
  <c r="B474" i="1"/>
  <c r="D473" i="1"/>
  <c r="C473" i="1"/>
  <c r="B473" i="1"/>
  <c r="D472" i="1"/>
  <c r="C472" i="1"/>
  <c r="B472" i="1"/>
  <c r="D471" i="1"/>
  <c r="C471" i="1"/>
  <c r="B471" i="1"/>
  <c r="D470" i="1"/>
  <c r="C470" i="1"/>
  <c r="B470" i="1"/>
  <c r="D469" i="1"/>
  <c r="C469" i="1"/>
  <c r="B469" i="1"/>
  <c r="D468" i="1"/>
  <c r="C468" i="1"/>
  <c r="B468" i="1"/>
  <c r="D467" i="1"/>
  <c r="C467" i="1"/>
  <c r="B467" i="1"/>
  <c r="D466" i="1"/>
  <c r="C466" i="1"/>
  <c r="B466" i="1"/>
  <c r="D465" i="1"/>
  <c r="C465" i="1"/>
  <c r="B465" i="1"/>
  <c r="D464" i="1"/>
  <c r="C464" i="1"/>
  <c r="B464" i="1"/>
  <c r="D463" i="1"/>
  <c r="C463" i="1"/>
  <c r="B463" i="1"/>
  <c r="D462" i="1"/>
  <c r="C462" i="1"/>
  <c r="B462" i="1"/>
  <c r="D461" i="1"/>
  <c r="C461" i="1"/>
  <c r="B461" i="1"/>
  <c r="D460" i="1"/>
  <c r="C460" i="1"/>
  <c r="B460" i="1"/>
  <c r="D459" i="1"/>
  <c r="C459" i="1"/>
  <c r="B459" i="1"/>
  <c r="D458" i="1"/>
  <c r="C458" i="1"/>
  <c r="B458" i="1"/>
  <c r="D457" i="1"/>
  <c r="C457" i="1"/>
  <c r="B457" i="1"/>
  <c r="D456" i="1"/>
  <c r="C456" i="1"/>
  <c r="B456" i="1"/>
  <c r="D455" i="1"/>
  <c r="C455" i="1"/>
  <c r="B455" i="1"/>
  <c r="D454" i="1"/>
  <c r="C454" i="1"/>
  <c r="B454" i="1"/>
  <c r="D453" i="1"/>
  <c r="C453" i="1"/>
  <c r="B453" i="1"/>
  <c r="D452" i="1"/>
  <c r="C452" i="1"/>
  <c r="B452" i="1"/>
  <c r="D451" i="1"/>
  <c r="C451" i="1"/>
  <c r="B451" i="1"/>
  <c r="D450" i="1"/>
  <c r="C450" i="1"/>
  <c r="B450" i="1"/>
  <c r="D449" i="1"/>
  <c r="C449" i="1"/>
  <c r="B449" i="1"/>
  <c r="D448" i="1"/>
  <c r="C448" i="1"/>
  <c r="B448" i="1"/>
  <c r="D447" i="1"/>
  <c r="C447" i="1"/>
  <c r="B447" i="1"/>
  <c r="D446" i="1"/>
  <c r="C446" i="1"/>
  <c r="B446" i="1"/>
  <c r="D445" i="1"/>
  <c r="C445" i="1"/>
  <c r="B445" i="1"/>
  <c r="D444" i="1"/>
  <c r="C444" i="1"/>
  <c r="B444" i="1"/>
  <c r="D443" i="1"/>
  <c r="C443" i="1"/>
  <c r="B443" i="1"/>
  <c r="D442" i="1"/>
  <c r="C442" i="1"/>
  <c r="B442" i="1"/>
  <c r="D441" i="1"/>
  <c r="C441" i="1"/>
  <c r="B441" i="1"/>
  <c r="D440" i="1"/>
  <c r="C440" i="1"/>
  <c r="B440" i="1"/>
  <c r="D439" i="1"/>
  <c r="C439" i="1"/>
  <c r="B439" i="1"/>
  <c r="D438" i="1"/>
  <c r="C438" i="1"/>
  <c r="B438" i="1"/>
  <c r="D437" i="1"/>
  <c r="C437" i="1"/>
  <c r="B437" i="1"/>
  <c r="D436" i="1"/>
  <c r="C436" i="1"/>
  <c r="B436" i="1"/>
  <c r="D435" i="1"/>
  <c r="C435" i="1"/>
  <c r="B435" i="1"/>
  <c r="D434" i="1"/>
  <c r="C434" i="1"/>
  <c r="B434" i="1"/>
  <c r="D433" i="1"/>
  <c r="C433" i="1"/>
  <c r="B433" i="1"/>
  <c r="D432" i="1"/>
  <c r="C432" i="1"/>
  <c r="B432" i="1"/>
  <c r="D431" i="1"/>
  <c r="C431" i="1"/>
  <c r="B431" i="1"/>
  <c r="D430" i="1"/>
  <c r="C430" i="1"/>
  <c r="B430" i="1"/>
  <c r="D429" i="1"/>
  <c r="C429" i="1"/>
  <c r="B429" i="1"/>
  <c r="D428" i="1"/>
  <c r="C428" i="1"/>
  <c r="B428" i="1"/>
  <c r="D427" i="1"/>
  <c r="C427" i="1"/>
  <c r="B427" i="1"/>
  <c r="D426" i="1"/>
  <c r="C426" i="1"/>
  <c r="B426" i="1"/>
  <c r="D425" i="1"/>
  <c r="C425" i="1"/>
  <c r="B425" i="1"/>
  <c r="D424" i="1"/>
  <c r="C424" i="1"/>
  <c r="B424" i="1"/>
  <c r="D423" i="1"/>
  <c r="C423" i="1"/>
  <c r="B423" i="1"/>
  <c r="D422" i="1"/>
  <c r="C422" i="1"/>
  <c r="B422" i="1"/>
  <c r="D421" i="1"/>
  <c r="C421" i="1"/>
  <c r="B421" i="1"/>
  <c r="D420" i="1"/>
  <c r="C420" i="1"/>
  <c r="B420" i="1"/>
  <c r="D419" i="1"/>
  <c r="C419" i="1"/>
  <c r="B419" i="1"/>
  <c r="D418" i="1"/>
  <c r="C418" i="1"/>
  <c r="B418" i="1"/>
  <c r="D417" i="1"/>
  <c r="C417" i="1"/>
  <c r="B417" i="1"/>
  <c r="D416" i="1"/>
  <c r="C416" i="1"/>
  <c r="B416" i="1"/>
  <c r="I415" i="1"/>
  <c r="D415" i="1"/>
  <c r="C415" i="1"/>
  <c r="B415" i="1"/>
  <c r="D414" i="1"/>
  <c r="C414" i="1"/>
  <c r="B414" i="1"/>
  <c r="D413" i="1"/>
  <c r="C413" i="1"/>
  <c r="B413" i="1"/>
  <c r="D412" i="1"/>
  <c r="C412" i="1"/>
  <c r="B412" i="1"/>
  <c r="D411" i="1"/>
  <c r="C411" i="1"/>
  <c r="B411" i="1"/>
  <c r="D410" i="1"/>
  <c r="C410" i="1"/>
  <c r="B410" i="1"/>
  <c r="D409" i="1"/>
  <c r="C409" i="1"/>
  <c r="B409" i="1"/>
  <c r="D408" i="1"/>
  <c r="C408" i="1"/>
  <c r="B408" i="1"/>
  <c r="D407" i="1"/>
  <c r="C407" i="1"/>
  <c r="B407" i="1"/>
  <c r="D406" i="1"/>
  <c r="C406" i="1"/>
  <c r="B406" i="1"/>
  <c r="D405" i="1"/>
  <c r="C405" i="1"/>
  <c r="B405" i="1"/>
  <c r="D404" i="1"/>
  <c r="C404" i="1"/>
  <c r="B404" i="1"/>
  <c r="I403" i="1"/>
  <c r="D403" i="1"/>
  <c r="C403" i="1"/>
  <c r="B403" i="1"/>
  <c r="D402" i="1"/>
  <c r="C402" i="1"/>
  <c r="B402" i="1"/>
  <c r="D401" i="1"/>
  <c r="C401" i="1"/>
  <c r="B401" i="1"/>
  <c r="D400" i="1"/>
  <c r="C400" i="1"/>
  <c r="B400" i="1"/>
  <c r="D399" i="1"/>
  <c r="C399" i="1"/>
  <c r="B399" i="1"/>
  <c r="I398" i="1"/>
  <c r="D398" i="1"/>
  <c r="C398" i="1"/>
  <c r="B398" i="1"/>
  <c r="I397" i="1"/>
  <c r="D397" i="1"/>
  <c r="C397" i="1"/>
  <c r="B397" i="1"/>
  <c r="I396" i="1"/>
  <c r="D396" i="1"/>
  <c r="C396" i="1"/>
  <c r="B396" i="1"/>
  <c r="I395" i="1"/>
  <c r="D395" i="1"/>
  <c r="C395" i="1"/>
  <c r="B395" i="1"/>
  <c r="D394" i="1"/>
  <c r="C394" i="1"/>
  <c r="B394" i="1"/>
  <c r="I393" i="1"/>
  <c r="D393" i="1"/>
  <c r="C393" i="1"/>
  <c r="B393" i="1"/>
  <c r="D392" i="1"/>
  <c r="C392" i="1"/>
  <c r="B392" i="1"/>
  <c r="I391" i="1"/>
  <c r="D391" i="1"/>
  <c r="C391" i="1"/>
  <c r="B391" i="1"/>
  <c r="I390" i="1"/>
  <c r="D390" i="1"/>
  <c r="C390" i="1"/>
  <c r="B390" i="1"/>
  <c r="I389" i="1"/>
  <c r="D389" i="1"/>
  <c r="C389" i="1"/>
  <c r="B389" i="1"/>
  <c r="I388" i="1"/>
  <c r="D388" i="1"/>
  <c r="C388" i="1"/>
  <c r="B388" i="1"/>
  <c r="D387" i="1"/>
  <c r="C387" i="1"/>
  <c r="B387" i="1"/>
  <c r="D386" i="1"/>
  <c r="C386" i="1"/>
  <c r="B386" i="1"/>
  <c r="D385" i="1"/>
  <c r="C385" i="1"/>
  <c r="B385" i="1"/>
  <c r="D384" i="1"/>
  <c r="C384" i="1"/>
  <c r="B384" i="1"/>
  <c r="D383" i="1"/>
  <c r="C383" i="1"/>
  <c r="B383" i="1"/>
  <c r="I382" i="1"/>
  <c r="H382" i="1"/>
  <c r="D382" i="1"/>
  <c r="C382" i="1"/>
  <c r="B382" i="1"/>
  <c r="I381" i="1"/>
  <c r="D381" i="1"/>
  <c r="C381" i="1"/>
  <c r="B381" i="1"/>
  <c r="D380" i="1"/>
  <c r="C380" i="1"/>
  <c r="B380" i="1"/>
  <c r="I379" i="1"/>
  <c r="D379" i="1"/>
  <c r="C379" i="1"/>
  <c r="B379" i="1"/>
  <c r="D378" i="1"/>
  <c r="C378" i="1"/>
  <c r="B378" i="1"/>
  <c r="I377" i="1"/>
  <c r="D377" i="1"/>
  <c r="C377" i="1"/>
  <c r="B377" i="1"/>
  <c r="D376" i="1"/>
  <c r="C376" i="1"/>
  <c r="B376" i="1"/>
  <c r="D375" i="1"/>
  <c r="C375" i="1"/>
  <c r="B375" i="1"/>
  <c r="D374" i="1"/>
  <c r="C374" i="1"/>
  <c r="B374" i="1"/>
  <c r="D373" i="1"/>
  <c r="C373" i="1"/>
  <c r="B373" i="1"/>
  <c r="D372" i="1"/>
  <c r="C372" i="1"/>
  <c r="B372" i="1"/>
  <c r="D371" i="1"/>
  <c r="C371" i="1"/>
  <c r="B371" i="1"/>
  <c r="D370" i="1"/>
  <c r="C370" i="1"/>
  <c r="B370" i="1"/>
  <c r="D369" i="1"/>
  <c r="C369" i="1"/>
  <c r="B369" i="1"/>
  <c r="D368" i="1"/>
  <c r="C368" i="1"/>
  <c r="B368" i="1"/>
  <c r="D367" i="1"/>
  <c r="C367" i="1"/>
  <c r="B367" i="1"/>
  <c r="I366" i="1"/>
  <c r="D366" i="1"/>
  <c r="C366" i="1"/>
  <c r="B366" i="1"/>
  <c r="I365" i="1"/>
  <c r="D365" i="1"/>
  <c r="C365" i="1"/>
  <c r="B365" i="1"/>
  <c r="I364" i="1"/>
  <c r="D364" i="1"/>
  <c r="C364" i="1"/>
  <c r="B364" i="1"/>
  <c r="I363" i="1"/>
  <c r="D363" i="1"/>
  <c r="C363" i="1"/>
  <c r="B363" i="1"/>
  <c r="I362" i="1"/>
  <c r="D362" i="1"/>
  <c r="C362" i="1"/>
  <c r="B362" i="1"/>
  <c r="I361" i="1"/>
  <c r="D361" i="1"/>
  <c r="C361" i="1"/>
  <c r="B361" i="1"/>
  <c r="I360" i="1"/>
  <c r="D360" i="1"/>
  <c r="C360" i="1"/>
  <c r="B360" i="1"/>
  <c r="D359" i="1"/>
  <c r="C359" i="1"/>
  <c r="B359" i="1"/>
  <c r="I358" i="1"/>
  <c r="D358" i="1"/>
  <c r="C358" i="1"/>
  <c r="B358" i="1"/>
  <c r="D357" i="1"/>
  <c r="C357" i="1"/>
  <c r="B357" i="1"/>
  <c r="D356" i="1"/>
  <c r="C356" i="1"/>
  <c r="B356" i="1"/>
  <c r="I355" i="1"/>
  <c r="D355" i="1"/>
  <c r="C355" i="1"/>
  <c r="B355" i="1"/>
  <c r="I354" i="1"/>
  <c r="D354" i="1"/>
  <c r="C354" i="1"/>
  <c r="B354" i="1"/>
  <c r="I353" i="1"/>
  <c r="D353" i="1"/>
  <c r="C353" i="1"/>
  <c r="B353" i="1"/>
  <c r="D352" i="1"/>
  <c r="C352" i="1"/>
  <c r="B352" i="1"/>
  <c r="D351" i="1"/>
  <c r="C351" i="1"/>
  <c r="B351" i="1"/>
  <c r="I350" i="1"/>
  <c r="D350" i="1"/>
  <c r="C350" i="1"/>
  <c r="B350" i="1"/>
  <c r="I349" i="1"/>
  <c r="D349" i="1"/>
  <c r="C349" i="1"/>
  <c r="B349" i="1"/>
  <c r="I348" i="1"/>
  <c r="D348" i="1"/>
  <c r="C348" i="1"/>
  <c r="B348" i="1"/>
  <c r="I347" i="1"/>
  <c r="D347" i="1"/>
  <c r="C347" i="1"/>
  <c r="B347" i="1"/>
  <c r="D346" i="1"/>
  <c r="C346" i="1"/>
  <c r="B346" i="1"/>
  <c r="D345" i="1"/>
  <c r="C345" i="1"/>
  <c r="B345" i="1"/>
  <c r="D344" i="1"/>
  <c r="C344" i="1"/>
  <c r="B344" i="1"/>
  <c r="D343" i="1"/>
  <c r="C343" i="1"/>
  <c r="B343" i="1"/>
  <c r="D342" i="1"/>
  <c r="C342" i="1"/>
  <c r="B342" i="1"/>
  <c r="I341" i="1"/>
  <c r="D341" i="1"/>
  <c r="C341" i="1"/>
  <c r="B341" i="1"/>
  <c r="D340" i="1"/>
  <c r="C340" i="1"/>
  <c r="B340" i="1"/>
  <c r="D339" i="1"/>
  <c r="C339" i="1"/>
  <c r="B339" i="1"/>
  <c r="D338" i="1"/>
  <c r="C338" i="1"/>
  <c r="B338" i="1"/>
  <c r="I337" i="1"/>
  <c r="D337" i="1"/>
  <c r="C337" i="1"/>
  <c r="B337" i="1"/>
  <c r="D336" i="1"/>
  <c r="C336" i="1"/>
  <c r="B336" i="1"/>
  <c r="D335" i="1"/>
  <c r="C335" i="1"/>
  <c r="B335" i="1"/>
  <c r="D334" i="1"/>
  <c r="C334" i="1"/>
  <c r="B334" i="1"/>
  <c r="D333" i="1"/>
  <c r="C333" i="1"/>
  <c r="B333" i="1"/>
  <c r="D332" i="1"/>
  <c r="C332" i="1"/>
  <c r="B332" i="1"/>
  <c r="D331" i="1"/>
  <c r="C331" i="1"/>
  <c r="B331" i="1"/>
  <c r="D330" i="1"/>
  <c r="C330" i="1"/>
  <c r="B330" i="1"/>
  <c r="I329" i="1"/>
  <c r="D329" i="1"/>
  <c r="C329" i="1"/>
  <c r="B329" i="1"/>
  <c r="D328" i="1"/>
  <c r="C328" i="1"/>
  <c r="B328" i="1"/>
  <c r="D327" i="1"/>
  <c r="C327" i="1"/>
  <c r="B327" i="1"/>
  <c r="D326" i="1"/>
  <c r="C326" i="1"/>
  <c r="B326" i="1"/>
  <c r="D325" i="1"/>
  <c r="C325" i="1"/>
  <c r="B325" i="1"/>
  <c r="D324" i="1"/>
  <c r="C324" i="1"/>
  <c r="B324" i="1"/>
  <c r="D323" i="1"/>
  <c r="C323" i="1"/>
  <c r="B323" i="1"/>
  <c r="D322" i="1"/>
  <c r="C322" i="1"/>
  <c r="B322" i="1"/>
  <c r="D321" i="1"/>
  <c r="C321" i="1"/>
  <c r="B321" i="1"/>
  <c r="D320" i="1"/>
  <c r="C320" i="1"/>
  <c r="B320" i="1"/>
  <c r="D319" i="1"/>
  <c r="C319" i="1"/>
  <c r="B319" i="1"/>
  <c r="D318" i="1"/>
  <c r="C318" i="1"/>
  <c r="B318" i="1"/>
  <c r="I317" i="1"/>
  <c r="D317" i="1"/>
  <c r="C317" i="1"/>
  <c r="B317" i="1"/>
  <c r="I316" i="1"/>
  <c r="D316" i="1"/>
  <c r="C316" i="1"/>
  <c r="B316" i="1"/>
  <c r="I315" i="1"/>
  <c r="D315" i="1"/>
  <c r="C315" i="1"/>
  <c r="B315" i="1"/>
  <c r="I314" i="1"/>
  <c r="D314" i="1"/>
  <c r="C314" i="1"/>
  <c r="B314" i="1"/>
  <c r="I313" i="1"/>
  <c r="D313" i="1"/>
  <c r="C313" i="1"/>
  <c r="B313" i="1"/>
  <c r="I312" i="1"/>
  <c r="D312" i="1"/>
  <c r="C312" i="1"/>
  <c r="B312" i="1"/>
  <c r="I311" i="1"/>
  <c r="D311" i="1"/>
  <c r="C311" i="1"/>
  <c r="B311" i="1"/>
  <c r="I310" i="1"/>
  <c r="D310" i="1"/>
  <c r="C310" i="1"/>
  <c r="B310" i="1"/>
  <c r="I309" i="1"/>
  <c r="D309" i="1"/>
  <c r="C309" i="1"/>
  <c r="B309" i="1"/>
  <c r="D308" i="1"/>
  <c r="C308" i="1"/>
  <c r="B308" i="1"/>
  <c r="I307" i="1"/>
  <c r="D307" i="1"/>
  <c r="C307" i="1"/>
  <c r="B307" i="1"/>
  <c r="I306" i="1"/>
  <c r="D306" i="1"/>
  <c r="C306" i="1"/>
  <c r="B306" i="1"/>
  <c r="I305" i="1"/>
  <c r="D305" i="1"/>
  <c r="C305" i="1"/>
  <c r="B305" i="1"/>
  <c r="I304" i="1"/>
  <c r="D304" i="1"/>
  <c r="C304" i="1"/>
  <c r="B304" i="1"/>
  <c r="I303" i="1"/>
  <c r="D303" i="1"/>
  <c r="C303" i="1"/>
  <c r="B303" i="1"/>
  <c r="I302" i="1"/>
  <c r="D302" i="1"/>
  <c r="C302" i="1"/>
  <c r="B302" i="1"/>
  <c r="I301" i="1"/>
  <c r="D301" i="1"/>
  <c r="C301" i="1"/>
  <c r="B301" i="1"/>
  <c r="I300" i="1"/>
  <c r="D300" i="1"/>
  <c r="C300" i="1"/>
  <c r="B300" i="1"/>
  <c r="D299" i="1"/>
  <c r="C299" i="1"/>
  <c r="B299" i="1"/>
  <c r="I298" i="1"/>
  <c r="D298" i="1"/>
  <c r="C298" i="1"/>
  <c r="B298" i="1"/>
  <c r="I297" i="1"/>
  <c r="D297" i="1"/>
  <c r="C297" i="1"/>
  <c r="B297" i="1"/>
  <c r="D296" i="1"/>
  <c r="C296" i="1"/>
  <c r="B296" i="1"/>
  <c r="D295" i="1"/>
  <c r="C295" i="1"/>
  <c r="B295" i="1"/>
  <c r="I294" i="1"/>
  <c r="D294" i="1"/>
  <c r="C294" i="1"/>
  <c r="B294" i="1"/>
  <c r="D293" i="1"/>
  <c r="C293" i="1"/>
  <c r="B293" i="1"/>
  <c r="D292" i="1"/>
  <c r="C292" i="1"/>
  <c r="B292" i="1"/>
  <c r="D291" i="1"/>
  <c r="C291" i="1"/>
  <c r="B291" i="1"/>
  <c r="D290" i="1"/>
  <c r="C290" i="1"/>
  <c r="B290" i="1"/>
  <c r="D289" i="1"/>
  <c r="C289" i="1"/>
  <c r="B289" i="1"/>
  <c r="D288" i="1"/>
  <c r="C288" i="1"/>
  <c r="B288" i="1"/>
  <c r="D287" i="1"/>
  <c r="C287" i="1"/>
  <c r="B287" i="1"/>
  <c r="D286" i="1"/>
  <c r="C286" i="1"/>
  <c r="B286" i="1"/>
  <c r="I285" i="1"/>
  <c r="H285" i="1"/>
  <c r="D285" i="1"/>
  <c r="C285" i="1"/>
  <c r="B285" i="1"/>
  <c r="D284" i="1"/>
  <c r="C284" i="1"/>
  <c r="B284" i="1"/>
  <c r="D283" i="1"/>
  <c r="C283" i="1"/>
  <c r="B283" i="1"/>
  <c r="D282" i="1"/>
  <c r="C282" i="1"/>
  <c r="B282" i="1"/>
  <c r="D281" i="1"/>
  <c r="C281" i="1"/>
  <c r="B281" i="1"/>
  <c r="D280" i="1"/>
  <c r="C280" i="1"/>
  <c r="B280" i="1"/>
  <c r="I279" i="1"/>
  <c r="H279" i="1"/>
  <c r="D279" i="1"/>
  <c r="C279" i="1"/>
  <c r="B279" i="1"/>
  <c r="D278" i="1"/>
  <c r="C278" i="1"/>
  <c r="B278" i="1"/>
  <c r="D277" i="1"/>
  <c r="C277" i="1"/>
  <c r="B277" i="1"/>
  <c r="D276" i="1"/>
  <c r="C276" i="1"/>
  <c r="B276" i="1"/>
  <c r="D275" i="1"/>
  <c r="C275" i="1"/>
  <c r="B275" i="1"/>
  <c r="D274" i="1"/>
  <c r="C274" i="1"/>
  <c r="B274" i="1"/>
  <c r="D273" i="1"/>
  <c r="C273" i="1"/>
  <c r="B273" i="1"/>
  <c r="D272" i="1"/>
  <c r="C272" i="1"/>
  <c r="B272" i="1"/>
  <c r="D271" i="1"/>
  <c r="C271" i="1"/>
  <c r="B271" i="1"/>
  <c r="D270" i="1"/>
  <c r="C270" i="1"/>
  <c r="B270" i="1"/>
  <c r="D269" i="1"/>
  <c r="C269" i="1"/>
  <c r="B269" i="1"/>
  <c r="D268" i="1"/>
  <c r="C268" i="1"/>
  <c r="B268" i="1"/>
  <c r="D267" i="1"/>
  <c r="C267" i="1"/>
  <c r="B267" i="1"/>
  <c r="D266" i="1"/>
  <c r="C266" i="1"/>
  <c r="B266" i="1"/>
  <c r="D265" i="1"/>
  <c r="C265" i="1"/>
  <c r="B265" i="1"/>
  <c r="D264" i="1"/>
  <c r="C264" i="1"/>
  <c r="B264" i="1"/>
  <c r="D263" i="1"/>
  <c r="C263" i="1"/>
  <c r="B263" i="1"/>
  <c r="D262" i="1"/>
  <c r="C262" i="1"/>
  <c r="B262" i="1"/>
  <c r="D261" i="1"/>
  <c r="C261" i="1"/>
  <c r="B261" i="1"/>
  <c r="D260" i="1"/>
  <c r="C260" i="1"/>
  <c r="B260" i="1"/>
  <c r="D259" i="1"/>
  <c r="C259" i="1"/>
  <c r="B259" i="1"/>
  <c r="D258" i="1"/>
  <c r="C258" i="1"/>
  <c r="B258" i="1"/>
  <c r="D257" i="1"/>
  <c r="C257" i="1"/>
  <c r="B257" i="1"/>
  <c r="D256" i="1"/>
  <c r="C256" i="1"/>
  <c r="B256" i="1"/>
  <c r="D255" i="1"/>
  <c r="C255" i="1"/>
  <c r="B255" i="1"/>
  <c r="D254" i="1"/>
  <c r="C254" i="1"/>
  <c r="B254" i="1"/>
  <c r="I253" i="1"/>
  <c r="D253" i="1"/>
  <c r="C253" i="1"/>
  <c r="B253" i="1"/>
  <c r="D252" i="1"/>
  <c r="C252" i="1"/>
  <c r="B252" i="1"/>
  <c r="D251" i="1"/>
  <c r="C251" i="1"/>
  <c r="B251" i="1"/>
  <c r="I250" i="1"/>
  <c r="D250" i="1"/>
  <c r="C250" i="1"/>
  <c r="B250" i="1"/>
  <c r="D249" i="1"/>
  <c r="C249" i="1"/>
  <c r="B249" i="1"/>
  <c r="I248" i="1"/>
  <c r="D248" i="1"/>
  <c r="C248" i="1"/>
  <c r="B248" i="1"/>
  <c r="D247" i="1"/>
  <c r="C247" i="1"/>
  <c r="B247" i="1"/>
  <c r="D246" i="1"/>
  <c r="C246" i="1"/>
  <c r="B246" i="1"/>
  <c r="D245" i="1"/>
  <c r="C245" i="1"/>
  <c r="B245" i="1"/>
  <c r="I244" i="1"/>
  <c r="D244" i="1"/>
  <c r="C244" i="1"/>
  <c r="B244" i="1"/>
  <c r="D243" i="1"/>
  <c r="C243" i="1"/>
  <c r="B243" i="1"/>
  <c r="I242" i="1"/>
  <c r="D242" i="1"/>
  <c r="C242" i="1"/>
  <c r="B242" i="1"/>
  <c r="D241" i="1"/>
  <c r="C241" i="1"/>
  <c r="B241" i="1"/>
  <c r="D240" i="1"/>
  <c r="C240" i="1"/>
  <c r="B240" i="1"/>
  <c r="D239" i="1"/>
  <c r="C239" i="1"/>
  <c r="B239" i="1"/>
  <c r="I238" i="1"/>
  <c r="H238" i="1"/>
  <c r="D238" i="1"/>
  <c r="C238" i="1"/>
  <c r="B238" i="1"/>
  <c r="D237" i="1"/>
  <c r="C237" i="1"/>
  <c r="B237" i="1"/>
  <c r="D236" i="1"/>
  <c r="C236" i="1"/>
  <c r="B236" i="1"/>
  <c r="I235" i="1"/>
  <c r="H235" i="1"/>
  <c r="D235" i="1"/>
  <c r="C235" i="1"/>
  <c r="B235" i="1"/>
  <c r="D234" i="1"/>
  <c r="C234" i="1"/>
  <c r="B234" i="1"/>
  <c r="D233" i="1"/>
  <c r="C233" i="1"/>
  <c r="B233" i="1"/>
  <c r="I232" i="1"/>
  <c r="D232" i="1"/>
  <c r="C232" i="1"/>
  <c r="B232" i="1"/>
  <c r="D231" i="1"/>
  <c r="C231" i="1"/>
  <c r="B231" i="1"/>
  <c r="D230" i="1"/>
  <c r="C230" i="1"/>
  <c r="B230" i="1"/>
  <c r="D229" i="1"/>
  <c r="C229" i="1"/>
  <c r="B229" i="1"/>
  <c r="D228" i="1"/>
  <c r="C228" i="1"/>
  <c r="B228" i="1"/>
  <c r="I227" i="1"/>
  <c r="D227" i="1"/>
  <c r="C227" i="1"/>
  <c r="B227" i="1"/>
  <c r="I226" i="1"/>
  <c r="D226" i="1"/>
  <c r="C226" i="1"/>
  <c r="B226" i="1"/>
  <c r="I225" i="1"/>
  <c r="D225" i="1"/>
  <c r="C225" i="1"/>
  <c r="B225" i="1"/>
  <c r="I224" i="1"/>
  <c r="D224" i="1"/>
  <c r="C224" i="1"/>
  <c r="B224" i="1"/>
  <c r="D223" i="1"/>
  <c r="C223" i="1"/>
  <c r="B223" i="1"/>
  <c r="I222" i="1"/>
  <c r="D222" i="1"/>
  <c r="C222" i="1"/>
  <c r="B222" i="1"/>
  <c r="D221" i="1"/>
  <c r="C221" i="1"/>
  <c r="B221" i="1"/>
  <c r="D220" i="1"/>
  <c r="C220" i="1"/>
  <c r="B220" i="1"/>
  <c r="D219" i="1"/>
  <c r="C219" i="1"/>
  <c r="B219" i="1"/>
  <c r="I218" i="1"/>
  <c r="D218" i="1"/>
  <c r="C218" i="1"/>
  <c r="B218" i="1"/>
  <c r="I217" i="1"/>
  <c r="D217" i="1"/>
  <c r="C217" i="1"/>
  <c r="B217" i="1"/>
  <c r="D216" i="1"/>
  <c r="C216" i="1"/>
  <c r="B216" i="1"/>
  <c r="I215" i="1"/>
  <c r="H215" i="1"/>
  <c r="D215" i="1"/>
  <c r="C215" i="1"/>
  <c r="B215" i="1"/>
  <c r="I214" i="1"/>
  <c r="D214" i="1"/>
  <c r="C214" i="1"/>
  <c r="B214" i="1"/>
  <c r="I213" i="1"/>
  <c r="D213" i="1"/>
  <c r="C213" i="1"/>
  <c r="B213" i="1"/>
  <c r="I212" i="1"/>
  <c r="D212" i="1"/>
  <c r="C212" i="1"/>
  <c r="B212" i="1"/>
  <c r="I211" i="1"/>
  <c r="D211" i="1"/>
  <c r="C211" i="1"/>
  <c r="B211" i="1"/>
  <c r="D210" i="1"/>
  <c r="C210" i="1"/>
  <c r="B210" i="1"/>
  <c r="D209" i="1"/>
  <c r="C209" i="1"/>
  <c r="B209" i="1"/>
  <c r="I208" i="1"/>
  <c r="D208" i="1"/>
  <c r="C208" i="1"/>
  <c r="B208" i="1"/>
  <c r="I207" i="1"/>
  <c r="D207" i="1"/>
  <c r="C207" i="1"/>
  <c r="B207" i="1"/>
  <c r="D206" i="1"/>
  <c r="C206" i="1"/>
  <c r="B206" i="1"/>
  <c r="I205" i="1"/>
  <c r="D205" i="1"/>
  <c r="C205" i="1"/>
  <c r="B205" i="1"/>
  <c r="I204" i="1"/>
  <c r="D204" i="1"/>
  <c r="C204" i="1"/>
  <c r="B204" i="1"/>
  <c r="I203" i="1"/>
  <c r="D203" i="1"/>
  <c r="C203" i="1"/>
  <c r="B203" i="1"/>
  <c r="I202" i="1"/>
  <c r="D202" i="1"/>
  <c r="C202" i="1"/>
  <c r="B202" i="1"/>
  <c r="I201" i="1"/>
  <c r="D201" i="1"/>
  <c r="C201" i="1"/>
  <c r="B201" i="1"/>
  <c r="D200" i="1"/>
  <c r="C200" i="1"/>
  <c r="B200" i="1"/>
  <c r="I199" i="1"/>
  <c r="H199" i="1"/>
  <c r="D199" i="1"/>
  <c r="C199" i="1"/>
  <c r="B199" i="1"/>
  <c r="D198" i="1"/>
  <c r="C198" i="1"/>
  <c r="B198" i="1"/>
  <c r="D197" i="1"/>
  <c r="C197" i="1"/>
  <c r="B197" i="1"/>
  <c r="D196" i="1"/>
  <c r="C196" i="1"/>
  <c r="B196" i="1"/>
  <c r="D195" i="1"/>
  <c r="C195" i="1"/>
  <c r="B195" i="1"/>
  <c r="D194" i="1"/>
  <c r="C194" i="1"/>
  <c r="B194" i="1"/>
  <c r="I193" i="1"/>
  <c r="D193" i="1"/>
  <c r="C193" i="1"/>
  <c r="B193" i="1"/>
  <c r="D192" i="1"/>
  <c r="C192" i="1"/>
  <c r="B192" i="1"/>
  <c r="I191" i="1"/>
  <c r="H191" i="1"/>
  <c r="D191" i="1"/>
  <c r="C191" i="1"/>
  <c r="B191" i="1"/>
  <c r="I190" i="1"/>
  <c r="H190" i="1"/>
  <c r="D190" i="1"/>
  <c r="C190" i="1"/>
  <c r="B190" i="1"/>
  <c r="D189" i="1"/>
  <c r="C189" i="1"/>
  <c r="B189" i="1"/>
  <c r="I188" i="1"/>
  <c r="H188" i="1"/>
  <c r="D188" i="1"/>
  <c r="C188" i="1"/>
  <c r="B188" i="1"/>
  <c r="D187" i="1"/>
  <c r="C187" i="1"/>
  <c r="B187" i="1"/>
  <c r="I186" i="1"/>
  <c r="H186" i="1"/>
  <c r="D186" i="1"/>
  <c r="C186" i="1"/>
  <c r="B186" i="1"/>
  <c r="I185" i="1"/>
  <c r="H185" i="1"/>
  <c r="D185" i="1"/>
  <c r="C185" i="1"/>
  <c r="B185" i="1"/>
  <c r="I184" i="1"/>
  <c r="H184" i="1"/>
  <c r="D184" i="1"/>
  <c r="C184" i="1"/>
  <c r="B184" i="1"/>
  <c r="I183" i="1"/>
  <c r="H183" i="1"/>
  <c r="D183" i="1"/>
  <c r="C183" i="1"/>
  <c r="B183" i="1"/>
  <c r="I182" i="1"/>
  <c r="H182" i="1"/>
  <c r="D182" i="1"/>
  <c r="C182" i="1"/>
  <c r="B182" i="1"/>
  <c r="I181" i="1"/>
  <c r="D181" i="1"/>
  <c r="C181" i="1"/>
  <c r="B181" i="1"/>
  <c r="I180" i="1"/>
  <c r="H180" i="1"/>
  <c r="D180" i="1"/>
  <c r="C180" i="1"/>
  <c r="B180" i="1"/>
  <c r="D179" i="1"/>
  <c r="C179" i="1"/>
  <c r="B179" i="1"/>
  <c r="D178" i="1"/>
  <c r="C178" i="1"/>
  <c r="B178" i="1"/>
  <c r="D177" i="1"/>
  <c r="C177" i="1"/>
  <c r="B177" i="1"/>
  <c r="I176" i="1"/>
  <c r="H176" i="1"/>
  <c r="D176" i="1"/>
  <c r="C176" i="1"/>
  <c r="B176" i="1"/>
  <c r="D175" i="1"/>
  <c r="C175" i="1"/>
  <c r="B175" i="1"/>
  <c r="D174" i="1"/>
  <c r="C174" i="1"/>
  <c r="B174" i="1"/>
  <c r="D173" i="1"/>
  <c r="C173" i="1"/>
  <c r="B173" i="1"/>
  <c r="D172" i="1"/>
  <c r="C172" i="1"/>
  <c r="B172" i="1"/>
  <c r="D171" i="1"/>
  <c r="C171" i="1"/>
  <c r="B171" i="1"/>
  <c r="D170" i="1"/>
  <c r="C170" i="1"/>
  <c r="B170" i="1"/>
  <c r="D169" i="1"/>
  <c r="C169" i="1"/>
  <c r="B169" i="1"/>
  <c r="D168" i="1"/>
  <c r="C168" i="1"/>
  <c r="B168" i="1"/>
  <c r="I167" i="1"/>
  <c r="H167" i="1"/>
  <c r="D167" i="1"/>
  <c r="C167" i="1"/>
  <c r="B167" i="1"/>
  <c r="I166" i="1"/>
  <c r="H166" i="1"/>
  <c r="D166" i="1"/>
  <c r="C166" i="1"/>
  <c r="B166" i="1"/>
  <c r="D165" i="1"/>
  <c r="C165" i="1"/>
  <c r="B165" i="1"/>
  <c r="D164" i="1"/>
  <c r="C164" i="1"/>
  <c r="B164" i="1"/>
  <c r="D163" i="1"/>
  <c r="C163" i="1"/>
  <c r="B163" i="1"/>
  <c r="I162" i="1"/>
  <c r="H162" i="1"/>
  <c r="D162" i="1"/>
  <c r="C162" i="1"/>
  <c r="B162" i="1"/>
  <c r="D161" i="1"/>
  <c r="C161" i="1"/>
  <c r="B161" i="1"/>
  <c r="D160" i="1"/>
  <c r="C160" i="1"/>
  <c r="B160" i="1"/>
  <c r="D159" i="1"/>
  <c r="C159" i="1"/>
  <c r="B159" i="1"/>
  <c r="D158" i="1"/>
  <c r="C158" i="1"/>
  <c r="B158" i="1"/>
  <c r="D157" i="1"/>
  <c r="C157" i="1"/>
  <c r="B157" i="1"/>
  <c r="D156" i="1"/>
  <c r="C156" i="1"/>
  <c r="B156" i="1"/>
  <c r="D155" i="1"/>
  <c r="C155" i="1"/>
  <c r="B155" i="1"/>
  <c r="D154" i="1"/>
  <c r="C154" i="1"/>
  <c r="B154" i="1"/>
  <c r="D153" i="1"/>
  <c r="C153" i="1"/>
  <c r="B153" i="1"/>
  <c r="D152" i="1"/>
  <c r="C152" i="1"/>
  <c r="B152" i="1"/>
  <c r="D151" i="1"/>
  <c r="C151" i="1"/>
  <c r="B151" i="1"/>
  <c r="D150" i="1"/>
  <c r="C150" i="1"/>
  <c r="B150" i="1"/>
  <c r="D149" i="1"/>
  <c r="C149" i="1"/>
  <c r="B149" i="1"/>
  <c r="I148" i="1"/>
  <c r="H148" i="1"/>
  <c r="D148" i="1"/>
  <c r="C148" i="1"/>
  <c r="B148" i="1"/>
  <c r="D147" i="1"/>
  <c r="C147" i="1"/>
  <c r="B147" i="1"/>
  <c r="D146" i="1"/>
  <c r="C146" i="1"/>
  <c r="B146" i="1"/>
  <c r="I145" i="1"/>
  <c r="H145" i="1"/>
  <c r="D145" i="1"/>
  <c r="C145" i="1"/>
  <c r="B145" i="1"/>
  <c r="D144" i="1"/>
  <c r="C144" i="1"/>
  <c r="B144" i="1"/>
  <c r="I143" i="1"/>
  <c r="H143" i="1"/>
  <c r="D143" i="1"/>
  <c r="C143" i="1"/>
  <c r="B143" i="1"/>
  <c r="I142" i="1"/>
  <c r="H142" i="1"/>
  <c r="D142" i="1"/>
  <c r="C142" i="1"/>
  <c r="B142" i="1"/>
  <c r="D141" i="1"/>
  <c r="C141" i="1"/>
  <c r="B141" i="1"/>
  <c r="D140" i="1"/>
  <c r="C140" i="1"/>
  <c r="B140" i="1"/>
  <c r="D139" i="1"/>
  <c r="C139" i="1"/>
  <c r="B139" i="1"/>
  <c r="I138" i="1"/>
  <c r="H138" i="1"/>
  <c r="D138" i="1"/>
  <c r="C138" i="1"/>
  <c r="B138" i="1"/>
  <c r="D137" i="1"/>
  <c r="C137" i="1"/>
  <c r="B137" i="1"/>
  <c r="D136" i="1"/>
  <c r="C136" i="1"/>
  <c r="B136" i="1"/>
  <c r="D135" i="1"/>
  <c r="C135" i="1"/>
  <c r="B135" i="1"/>
  <c r="D134" i="1"/>
  <c r="C134" i="1"/>
  <c r="B134" i="1"/>
  <c r="D133" i="1"/>
  <c r="C133" i="1"/>
  <c r="B133" i="1"/>
  <c r="I132" i="1"/>
  <c r="H132" i="1"/>
  <c r="D132" i="1"/>
  <c r="C132" i="1"/>
  <c r="B132" i="1"/>
  <c r="D131" i="1"/>
  <c r="C131" i="1"/>
  <c r="B131" i="1"/>
  <c r="D130" i="1"/>
  <c r="C130" i="1"/>
  <c r="B130" i="1"/>
  <c r="D129" i="1"/>
  <c r="C129" i="1"/>
  <c r="B129" i="1"/>
  <c r="D128" i="1"/>
  <c r="C128" i="1"/>
  <c r="B128" i="1"/>
  <c r="I127" i="1"/>
  <c r="H127" i="1"/>
  <c r="D127" i="1"/>
  <c r="C127" i="1"/>
  <c r="B127" i="1"/>
  <c r="D126" i="1"/>
  <c r="C126" i="1"/>
  <c r="B126" i="1"/>
  <c r="D125" i="1"/>
  <c r="C125" i="1"/>
  <c r="B125" i="1"/>
  <c r="I124" i="1"/>
  <c r="H124" i="1"/>
  <c r="D124" i="1"/>
  <c r="C124" i="1"/>
  <c r="B124" i="1"/>
  <c r="I123" i="1"/>
  <c r="H123" i="1"/>
  <c r="D123" i="1"/>
  <c r="C123" i="1"/>
  <c r="B123" i="1"/>
  <c r="D122" i="1"/>
  <c r="C122" i="1"/>
  <c r="B122" i="1"/>
  <c r="I121" i="1"/>
  <c r="H121" i="1"/>
  <c r="D121" i="1"/>
  <c r="C121" i="1"/>
  <c r="B121" i="1"/>
  <c r="D120" i="1"/>
  <c r="C120" i="1"/>
  <c r="B120" i="1"/>
  <c r="D119" i="1"/>
  <c r="C119" i="1"/>
  <c r="B119" i="1"/>
  <c r="D118" i="1"/>
  <c r="C118" i="1"/>
  <c r="B118" i="1"/>
  <c r="I117" i="1"/>
  <c r="H117" i="1"/>
  <c r="D117" i="1"/>
  <c r="C117" i="1"/>
  <c r="B117" i="1"/>
  <c r="I116" i="1"/>
  <c r="H116" i="1"/>
  <c r="D116" i="1"/>
  <c r="C116" i="1"/>
  <c r="B116" i="1"/>
  <c r="D115" i="1"/>
  <c r="C115" i="1"/>
  <c r="B115" i="1"/>
  <c r="I114" i="1"/>
  <c r="H114" i="1"/>
  <c r="D114" i="1"/>
  <c r="C114" i="1"/>
  <c r="B114" i="1"/>
  <c r="I113" i="1"/>
  <c r="H113" i="1"/>
  <c r="D113" i="1"/>
  <c r="C113" i="1"/>
  <c r="B113" i="1"/>
  <c r="I112" i="1"/>
  <c r="H112" i="1"/>
  <c r="D112" i="1"/>
  <c r="C112" i="1"/>
  <c r="B112" i="1"/>
  <c r="D111" i="1"/>
  <c r="C111" i="1"/>
  <c r="B111" i="1"/>
  <c r="D110" i="1"/>
  <c r="C110" i="1"/>
  <c r="B110" i="1"/>
  <c r="D109" i="1"/>
  <c r="C109" i="1"/>
  <c r="B109" i="1"/>
  <c r="D108" i="1"/>
  <c r="C108" i="1"/>
  <c r="B108" i="1"/>
  <c r="D107" i="1"/>
  <c r="C107" i="1"/>
  <c r="B107" i="1"/>
  <c r="D106" i="1"/>
  <c r="C106" i="1"/>
  <c r="B106" i="1"/>
  <c r="D105" i="1"/>
  <c r="C105" i="1"/>
  <c r="B105" i="1"/>
  <c r="I104" i="1"/>
  <c r="H104" i="1"/>
  <c r="D104" i="1"/>
  <c r="C104" i="1"/>
  <c r="B104" i="1"/>
  <c r="I103" i="1"/>
  <c r="H103" i="1"/>
  <c r="D103" i="1"/>
  <c r="C103" i="1"/>
  <c r="B103" i="1"/>
  <c r="D102" i="1"/>
  <c r="C102" i="1"/>
  <c r="B102" i="1"/>
  <c r="D101" i="1"/>
  <c r="C101" i="1"/>
  <c r="B101" i="1"/>
  <c r="D100" i="1"/>
  <c r="C100" i="1"/>
  <c r="B100" i="1"/>
  <c r="D99" i="1"/>
  <c r="C99" i="1"/>
  <c r="B99" i="1"/>
  <c r="D98" i="1"/>
  <c r="C98" i="1"/>
  <c r="B98" i="1"/>
  <c r="I97" i="1"/>
  <c r="H97" i="1"/>
  <c r="D97" i="1"/>
  <c r="C97" i="1"/>
  <c r="B97" i="1"/>
  <c r="D96" i="1"/>
  <c r="C96" i="1"/>
  <c r="B96" i="1"/>
  <c r="D95" i="1"/>
  <c r="C95" i="1"/>
  <c r="B95" i="1"/>
  <c r="I94" i="1"/>
  <c r="H94" i="1"/>
  <c r="D94" i="1"/>
  <c r="C94" i="1"/>
  <c r="B94" i="1"/>
  <c r="D93" i="1"/>
  <c r="C93" i="1"/>
  <c r="B93" i="1"/>
  <c r="D92" i="1"/>
  <c r="C92" i="1"/>
  <c r="B92" i="1"/>
  <c r="D91" i="1"/>
  <c r="C91" i="1"/>
  <c r="B91" i="1"/>
  <c r="D90" i="1"/>
  <c r="C90" i="1"/>
  <c r="B90" i="1"/>
  <c r="D89" i="1"/>
  <c r="C89" i="1"/>
  <c r="B89" i="1"/>
  <c r="D88" i="1"/>
  <c r="C88" i="1"/>
  <c r="B88" i="1"/>
  <c r="D87" i="1"/>
  <c r="C87" i="1"/>
  <c r="B87" i="1"/>
  <c r="I86" i="1"/>
  <c r="H86" i="1"/>
  <c r="D86" i="1"/>
  <c r="C86" i="1"/>
  <c r="B86" i="1"/>
  <c r="D85" i="1"/>
  <c r="C85" i="1"/>
  <c r="B85" i="1"/>
  <c r="I84" i="1"/>
  <c r="H84" i="1"/>
  <c r="D84" i="1"/>
  <c r="C84" i="1"/>
  <c r="B84" i="1"/>
  <c r="D83" i="1"/>
  <c r="C83" i="1"/>
  <c r="B83" i="1"/>
  <c r="D82" i="1"/>
  <c r="C82" i="1"/>
  <c r="B82" i="1"/>
  <c r="I81" i="1"/>
  <c r="H81" i="1"/>
  <c r="D81" i="1"/>
  <c r="C81" i="1"/>
  <c r="B81" i="1"/>
  <c r="D80" i="1"/>
  <c r="C80" i="1"/>
  <c r="B80" i="1"/>
  <c r="D79" i="1"/>
  <c r="C79" i="1"/>
  <c r="B79" i="1"/>
  <c r="D78" i="1"/>
  <c r="C78" i="1"/>
  <c r="B78" i="1"/>
  <c r="D77" i="1"/>
  <c r="C77" i="1"/>
  <c r="B77" i="1"/>
  <c r="D76" i="1"/>
  <c r="C76" i="1"/>
  <c r="B76" i="1"/>
  <c r="D75" i="1"/>
  <c r="C75" i="1"/>
  <c r="B75" i="1"/>
  <c r="D74" i="1"/>
  <c r="C74" i="1"/>
  <c r="B74" i="1"/>
  <c r="D73" i="1"/>
  <c r="C73" i="1"/>
  <c r="B73" i="1"/>
  <c r="I72" i="1"/>
  <c r="H72" i="1"/>
  <c r="D72" i="1"/>
  <c r="C72" i="1"/>
  <c r="B72" i="1"/>
  <c r="D71" i="1"/>
  <c r="C71" i="1"/>
  <c r="B71" i="1"/>
  <c r="D70" i="1"/>
  <c r="C70" i="1"/>
  <c r="B70" i="1"/>
  <c r="D69" i="1"/>
  <c r="C69" i="1"/>
  <c r="B69" i="1"/>
  <c r="D68" i="1"/>
  <c r="C68" i="1"/>
  <c r="B68" i="1"/>
  <c r="D67" i="1"/>
  <c r="C67" i="1"/>
  <c r="B67" i="1"/>
  <c r="I66" i="1"/>
  <c r="H66" i="1"/>
  <c r="D66" i="1"/>
  <c r="C66" i="1"/>
  <c r="B66" i="1"/>
  <c r="D65" i="1"/>
  <c r="C65" i="1"/>
  <c r="B65" i="1"/>
  <c r="D64" i="1"/>
  <c r="C64" i="1"/>
  <c r="B64" i="1"/>
  <c r="D63" i="1"/>
  <c r="C63" i="1"/>
  <c r="B63" i="1"/>
  <c r="D62" i="1"/>
  <c r="C62" i="1"/>
  <c r="B62" i="1"/>
  <c r="D61" i="1"/>
  <c r="C61" i="1"/>
  <c r="B61" i="1"/>
  <c r="D60" i="1"/>
  <c r="C60" i="1"/>
  <c r="B60" i="1"/>
  <c r="D59" i="1"/>
  <c r="C59" i="1"/>
  <c r="B59" i="1"/>
  <c r="D58" i="1"/>
  <c r="C58" i="1"/>
  <c r="B58" i="1"/>
  <c r="D57" i="1"/>
  <c r="C57" i="1"/>
  <c r="B57" i="1"/>
  <c r="D56" i="1"/>
  <c r="C56" i="1"/>
  <c r="B56" i="1"/>
  <c r="D55" i="1"/>
  <c r="C55" i="1"/>
  <c r="B55" i="1"/>
  <c r="D54" i="1"/>
  <c r="C54" i="1"/>
  <c r="B54" i="1"/>
  <c r="D53" i="1"/>
  <c r="C53" i="1"/>
  <c r="B53" i="1"/>
  <c r="D52" i="1"/>
  <c r="C52" i="1"/>
  <c r="B52" i="1"/>
  <c r="D51" i="1"/>
  <c r="C51" i="1"/>
  <c r="B51" i="1"/>
  <c r="D50" i="1"/>
  <c r="C50" i="1"/>
  <c r="B50" i="1"/>
  <c r="D49" i="1"/>
  <c r="C49" i="1"/>
  <c r="B49" i="1"/>
  <c r="D48" i="1"/>
  <c r="C48" i="1"/>
  <c r="B48" i="1"/>
  <c r="D47" i="1"/>
  <c r="C47" i="1"/>
  <c r="B47" i="1"/>
  <c r="D46" i="1"/>
  <c r="C46" i="1"/>
  <c r="B46" i="1"/>
  <c r="D45" i="1"/>
  <c r="C45" i="1"/>
  <c r="B45" i="1"/>
  <c r="D44" i="1"/>
  <c r="C44" i="1"/>
  <c r="B44" i="1"/>
  <c r="D43" i="1"/>
  <c r="C43" i="1"/>
  <c r="B43" i="1"/>
  <c r="D42" i="1"/>
  <c r="C42" i="1"/>
  <c r="B42" i="1"/>
  <c r="D41" i="1"/>
  <c r="C41" i="1"/>
  <c r="B41" i="1"/>
  <c r="D40" i="1"/>
  <c r="C40" i="1"/>
  <c r="B40" i="1"/>
  <c r="D39" i="1"/>
  <c r="C39" i="1"/>
  <c r="B39" i="1"/>
  <c r="D38" i="1"/>
  <c r="C38" i="1"/>
  <c r="B38" i="1"/>
  <c r="D37" i="1"/>
  <c r="C37" i="1"/>
  <c r="B37" i="1"/>
  <c r="D36" i="1"/>
  <c r="C36" i="1"/>
  <c r="B36" i="1"/>
  <c r="D35" i="1"/>
  <c r="C35" i="1"/>
  <c r="B35" i="1"/>
  <c r="D34" i="1"/>
  <c r="C34" i="1"/>
  <c r="B34" i="1"/>
  <c r="D33" i="1"/>
  <c r="C33" i="1"/>
  <c r="B33" i="1"/>
  <c r="D32" i="1"/>
  <c r="C32" i="1"/>
  <c r="B32" i="1"/>
  <c r="D31" i="1"/>
  <c r="C31" i="1"/>
  <c r="B31" i="1"/>
  <c r="D30" i="1"/>
  <c r="C30" i="1"/>
  <c r="B30" i="1"/>
  <c r="D29" i="1"/>
  <c r="C29" i="1"/>
  <c r="B29" i="1"/>
  <c r="D28" i="1"/>
  <c r="C28" i="1"/>
  <c r="B28" i="1"/>
  <c r="D27" i="1"/>
  <c r="C27" i="1"/>
  <c r="B27" i="1"/>
  <c r="I26" i="1"/>
  <c r="H26" i="1"/>
  <c r="D26" i="1"/>
  <c r="C26" i="1"/>
  <c r="B26" i="1"/>
  <c r="I25" i="1"/>
  <c r="H25" i="1"/>
  <c r="D25" i="1"/>
  <c r="C25" i="1"/>
  <c r="B25" i="1"/>
  <c r="D24" i="1"/>
  <c r="C24" i="1"/>
  <c r="B24" i="1"/>
  <c r="D23" i="1"/>
  <c r="C23" i="1"/>
  <c r="B23" i="1"/>
  <c r="D22" i="1"/>
  <c r="C22" i="1"/>
  <c r="B22" i="1"/>
  <c r="D21" i="1"/>
  <c r="C21" i="1"/>
  <c r="B21" i="1"/>
  <c r="D20" i="1"/>
  <c r="C20" i="1"/>
  <c r="B20" i="1"/>
  <c r="D19" i="1"/>
  <c r="C19" i="1"/>
  <c r="B19" i="1"/>
  <c r="D18" i="1"/>
  <c r="C18" i="1"/>
  <c r="B18" i="1"/>
  <c r="D17" i="1"/>
  <c r="C17" i="1"/>
  <c r="B17" i="1"/>
  <c r="D16" i="1"/>
  <c r="C16" i="1"/>
  <c r="B16" i="1"/>
  <c r="D15" i="1"/>
  <c r="C15" i="1"/>
  <c r="B15" i="1"/>
  <c r="D14" i="1"/>
  <c r="C14" i="1"/>
  <c r="B14" i="1"/>
  <c r="D13" i="1"/>
  <c r="C13" i="1"/>
  <c r="B13" i="1"/>
  <c r="D12" i="1"/>
  <c r="C12" i="1"/>
  <c r="B12" i="1"/>
  <c r="D11" i="1"/>
  <c r="C11" i="1"/>
  <c r="B11" i="1"/>
  <c r="D10" i="1"/>
  <c r="C10" i="1"/>
  <c r="B10" i="1"/>
  <c r="D9" i="1"/>
  <c r="C9" i="1"/>
  <c r="B9" i="1"/>
  <c r="D8" i="1"/>
  <c r="C8" i="1"/>
  <c r="B8" i="1"/>
  <c r="D7" i="1"/>
  <c r="C7" i="1"/>
  <c r="B7" i="1"/>
  <c r="I6" i="1"/>
  <c r="H6" i="1"/>
  <c r="D6" i="1"/>
  <c r="C6" i="1"/>
  <c r="B6" i="1"/>
  <c r="D5" i="1"/>
  <c r="C5" i="1"/>
  <c r="B5" i="1"/>
  <c r="D4" i="1"/>
  <c r="C4" i="1"/>
  <c r="B4" i="1"/>
</calcChain>
</file>

<file path=xl/sharedStrings.xml><?xml version="1.0" encoding="utf-8"?>
<sst xmlns="http://schemas.openxmlformats.org/spreadsheetml/2006/main" count="1024" uniqueCount="16">
  <si>
    <t>Nr.</t>
  </si>
  <si>
    <t>Artikelnr.</t>
  </si>
  <si>
    <t>Omschrijving</t>
  </si>
  <si>
    <t>Fabricage datum</t>
  </si>
  <si>
    <t>Installatiedatum</t>
  </si>
  <si>
    <t>Laatste servicedatum</t>
  </si>
  <si>
    <t>Datum laatste prev. onderhoud</t>
  </si>
  <si>
    <t>Traplift met 2 bochten</t>
  </si>
  <si>
    <t>Recht</t>
  </si>
  <si>
    <t>Traplift met 1 bocht</t>
  </si>
  <si>
    <t>??</t>
  </si>
  <si>
    <t>Traplift spilzijde</t>
  </si>
  <si>
    <t xml:space="preserve">Type Traplift </t>
  </si>
  <si>
    <t xml:space="preserve">Let op:  onderstaande gegevens dienen ter indicatie, hier worden geen rechten aan ontleent. </t>
  </si>
  <si>
    <t>Bijlage Bestaande trapliften gemeente Utrecht V0.1</t>
  </si>
  <si>
    <t>EA Trapliften', met kenmerk 2019-WI-002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</si>
</sst>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0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9">
    <xf numFmtId="0" fontId="0" fillId="0" borderId="0" xfId="0"/>
    <xf numFmtId="0" fontId="3" fillId="0" borderId="2" xfId="0" applyFont="1" applyBorder="1" applyAlignment="1">
      <alignment vertical="center"/>
    </xf>
    <xf numFmtId="0" fontId="3" fillId="0" borderId="2" xfId="0" applyFont="1" applyBorder="1"/>
    <xf numFmtId="14" fontId="3" fillId="0" borderId="2" xfId="0" applyNumberFormat="1" applyFont="1" applyBorder="1" applyAlignment="1">
      <alignment vertical="center"/>
    </xf>
    <xf numFmtId="0" fontId="1" fillId="3" borderId="1" xfId="1" applyFill="1" applyAlignment="1">
      <alignment horizontal="center" vertical="center"/>
    </xf>
    <xf numFmtId="0" fontId="4" fillId="3" borderId="1" xfId="1" applyFont="1" applyFill="1" applyAlignment="1">
      <alignment horizontal="left" vertical="center"/>
    </xf>
    <xf numFmtId="0" fontId="2" fillId="2" borderId="2" xfId="0" applyFont="1" applyFill="1" applyBorder="1" applyAlignment="1" applyProtection="1">
      <alignment vertical="center"/>
      <protection locked="0"/>
    </xf>
    <xf numFmtId="0" fontId="1" fillId="3" borderId="1" xfId="1" applyFill="1" applyAlignment="1">
      <alignment horizontal="left" vertical="top"/>
    </xf>
    <xf numFmtId="0" fontId="5" fillId="3" borderId="1" xfId="1" quotePrefix="1" applyFont="1" applyFill="1" applyAlignment="1">
      <alignment horizontal="center" vertical="center"/>
    </xf>
  </cellXfs>
  <cellStyles count="2">
    <cellStyle name="Kop 1" xfId="1" builtinId="16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174"/>
  <sheetViews>
    <sheetView showGridLines="0" tabSelected="1" view="pageBreakPreview" zoomScale="115" zoomScaleNormal="100" zoomScaleSheetLayoutView="115" workbookViewId="0">
      <pane ySplit="3" topLeftCell="A181" activePane="bottomLeft" state="frozen"/>
      <selection pane="bottomLeft" activeCell="G78" sqref="G78"/>
    </sheetView>
  </sheetViews>
  <sheetFormatPr defaultRowHeight="15" x14ac:dyDescent="0.25"/>
  <cols>
    <col min="1" max="1" width="5" customWidth="1"/>
    <col min="2" max="2" width="13.42578125" customWidth="1"/>
    <col min="3" max="3" width="10.85546875" bestFit="1" customWidth="1"/>
    <col min="4" max="4" width="29.42578125" customWidth="1"/>
    <col min="5" max="5" width="20.85546875" bestFit="1" customWidth="1"/>
    <col min="6" max="6" width="23.7109375" bestFit="1" customWidth="1"/>
    <col min="7" max="7" width="23" bestFit="1" customWidth="1"/>
    <col min="8" max="8" width="28.7109375" bestFit="1" customWidth="1"/>
    <col min="9" max="9" width="39.85546875" bestFit="1" customWidth="1"/>
    <col min="10" max="10" width="3" customWidth="1"/>
  </cols>
  <sheetData>
    <row r="1" spans="2:9" ht="20.25" thickBot="1" x14ac:dyDescent="0.3">
      <c r="B1" s="7" t="s">
        <v>14</v>
      </c>
      <c r="C1" s="7"/>
      <c r="D1" s="7"/>
      <c r="E1" s="7"/>
      <c r="F1" s="7"/>
      <c r="G1" s="7"/>
      <c r="H1" s="7"/>
      <c r="I1" s="7"/>
    </row>
    <row r="2" spans="2:9" ht="21" thickTop="1" thickBot="1" x14ac:dyDescent="0.3">
      <c r="B2" s="5" t="s">
        <v>13</v>
      </c>
      <c r="C2" s="4"/>
      <c r="D2" s="4"/>
      <c r="F2" s="4"/>
      <c r="G2" s="8" t="s">
        <v>15</v>
      </c>
      <c r="H2" s="4"/>
      <c r="I2" s="4"/>
    </row>
    <row r="3" spans="2:9" ht="15.75" thickTop="1" x14ac:dyDescent="0.25">
      <c r="B3" s="6" t="s">
        <v>0</v>
      </c>
      <c r="C3" s="6" t="s">
        <v>1</v>
      </c>
      <c r="D3" s="6" t="s">
        <v>2</v>
      </c>
      <c r="E3" s="6" t="s">
        <v>12</v>
      </c>
      <c r="F3" s="6" t="s">
        <v>3</v>
      </c>
      <c r="G3" s="6" t="s">
        <v>4</v>
      </c>
      <c r="H3" s="6" t="s">
        <v>5</v>
      </c>
      <c r="I3" s="6" t="s">
        <v>6</v>
      </c>
    </row>
    <row r="4" spans="2:9" x14ac:dyDescent="0.25">
      <c r="B4" s="2" t="str">
        <f>"00058A"</f>
        <v>00058A</v>
      </c>
      <c r="C4" s="2" t="str">
        <f>"TWO-52"</f>
        <v>TWO-52</v>
      </c>
      <c r="D4" s="1" t="str">
        <f>"Hergebruik Flexirail® model G"</f>
        <v>Hergebruik Flexirail® model G</v>
      </c>
      <c r="E4" s="1" t="s">
        <v>7</v>
      </c>
      <c r="F4" s="3">
        <v>37286</v>
      </c>
      <c r="G4" s="3">
        <v>37715</v>
      </c>
      <c r="H4" s="3">
        <v>43732</v>
      </c>
      <c r="I4" s="3">
        <v>43720</v>
      </c>
    </row>
    <row r="5" spans="2:9" x14ac:dyDescent="0.25">
      <c r="B5" s="2" t="str">
        <f>"00858A"</f>
        <v>00858A</v>
      </c>
      <c r="C5" s="2" t="str">
        <f>"TWO-45"</f>
        <v>TWO-45</v>
      </c>
      <c r="D5" s="1" t="str">
        <f>"Hergebruik Flexirail® model A"</f>
        <v>Hergebruik Flexirail® model A</v>
      </c>
      <c r="E5" s="1" t="s">
        <v>8</v>
      </c>
      <c r="F5" s="3">
        <v>37008</v>
      </c>
      <c r="G5" s="3">
        <v>38383</v>
      </c>
      <c r="H5" s="3">
        <v>43383</v>
      </c>
      <c r="I5" s="3">
        <v>43748</v>
      </c>
    </row>
    <row r="6" spans="2:9" x14ac:dyDescent="0.25">
      <c r="B6" s="2" t="str">
        <f>"02388#"</f>
        <v>02388#</v>
      </c>
      <c r="C6" s="2" t="str">
        <f>"TWO"</f>
        <v>TWO</v>
      </c>
      <c r="D6" s="1" t="str">
        <f>"Otolift model B"</f>
        <v>Otolift model B</v>
      </c>
      <c r="E6" s="1" t="s">
        <v>9</v>
      </c>
      <c r="F6" s="3">
        <v>30175</v>
      </c>
      <c r="G6" s="3">
        <v>30175</v>
      </c>
      <c r="H6" s="3" t="str">
        <f>""</f>
        <v/>
      </c>
      <c r="I6" s="3" t="str">
        <f>""</f>
        <v/>
      </c>
    </row>
    <row r="7" spans="2:9" x14ac:dyDescent="0.25">
      <c r="B7" s="2" t="str">
        <f>"02621A"</f>
        <v>02621A</v>
      </c>
      <c r="C7" s="2" t="str">
        <f>"TWO-81"</f>
        <v>TWO-81</v>
      </c>
      <c r="D7" s="1" t="str">
        <f>"Otolift met Flexirail® model B"</f>
        <v>Otolift met Flexirail® model B</v>
      </c>
      <c r="E7" s="1" t="s">
        <v>9</v>
      </c>
      <c r="F7" s="3">
        <v>38362</v>
      </c>
      <c r="G7" s="3">
        <v>38362</v>
      </c>
      <c r="H7" s="3">
        <v>43724</v>
      </c>
      <c r="I7" s="3">
        <v>43470</v>
      </c>
    </row>
    <row r="8" spans="2:9" x14ac:dyDescent="0.25">
      <c r="B8" s="2" t="str">
        <f>"02786A"</f>
        <v>02786A</v>
      </c>
      <c r="C8" s="2" t="str">
        <f>"TWO-81"</f>
        <v>TWO-81</v>
      </c>
      <c r="D8" s="1" t="str">
        <f>"Otolift met Flexirail® model C"</f>
        <v>Otolift met Flexirail® model C</v>
      </c>
      <c r="E8" s="1" t="s">
        <v>9</v>
      </c>
      <c r="F8" s="3">
        <v>37713</v>
      </c>
      <c r="G8" s="3">
        <v>39882</v>
      </c>
      <c r="H8" s="3">
        <v>43735</v>
      </c>
      <c r="I8" s="3">
        <v>44099</v>
      </c>
    </row>
    <row r="9" spans="2:9" x14ac:dyDescent="0.25">
      <c r="B9" s="2" t="str">
        <f>"03132A"</f>
        <v>03132A</v>
      </c>
      <c r="C9" s="2" t="str">
        <f>"TWO-45"</f>
        <v>TWO-45</v>
      </c>
      <c r="D9" s="1" t="str">
        <f>"Hergebruik Flexirail® model B"</f>
        <v>Hergebruik Flexirail® model B</v>
      </c>
      <c r="E9" s="1" t="s">
        <v>9</v>
      </c>
      <c r="F9" s="3">
        <v>36717</v>
      </c>
      <c r="G9" s="3">
        <v>38166</v>
      </c>
      <c r="H9" s="3">
        <v>43714</v>
      </c>
      <c r="I9" s="3">
        <v>43468</v>
      </c>
    </row>
    <row r="10" spans="2:9" x14ac:dyDescent="0.25">
      <c r="B10" s="2" t="str">
        <f>"04444A"</f>
        <v>04444A</v>
      </c>
      <c r="C10" s="2" t="str">
        <f>"TWO-45-S"</f>
        <v>TWO-45-S</v>
      </c>
      <c r="D10" s="1" t="str">
        <f>"Hergebruik Flexirail® model C"</f>
        <v>Hergebruik Flexirail® model C</v>
      </c>
      <c r="E10" s="1" t="s">
        <v>9</v>
      </c>
      <c r="F10" s="3">
        <v>36763</v>
      </c>
      <c r="G10" s="3">
        <v>38604</v>
      </c>
      <c r="H10" s="3">
        <v>43665</v>
      </c>
      <c r="I10" s="3">
        <v>43624</v>
      </c>
    </row>
    <row r="11" spans="2:9" x14ac:dyDescent="0.25">
      <c r="B11" s="2" t="str">
        <f>"088320#"</f>
        <v>088320#</v>
      </c>
      <c r="C11" s="2" t="str">
        <f>"TWO-81"</f>
        <v>TWO-81</v>
      </c>
      <c r="D11" s="1" t="str">
        <f>"Hergebruik Flexirail® model A"</f>
        <v>Hergebruik Flexirail® model A</v>
      </c>
      <c r="E11" s="1" t="s">
        <v>8</v>
      </c>
      <c r="F11" s="3">
        <v>38246</v>
      </c>
      <c r="G11" s="3">
        <v>40823</v>
      </c>
      <c r="H11" s="3">
        <v>43483</v>
      </c>
      <c r="I11" s="3">
        <v>43848</v>
      </c>
    </row>
    <row r="12" spans="2:9" x14ac:dyDescent="0.25">
      <c r="B12" s="2" t="str">
        <f>"08991A"</f>
        <v>08991A</v>
      </c>
      <c r="C12" s="2" t="str">
        <f>""</f>
        <v/>
      </c>
      <c r="D12" s="1" t="str">
        <f>"."</f>
        <v>.</v>
      </c>
      <c r="E12" s="1" t="s">
        <v>10</v>
      </c>
      <c r="F12" s="3">
        <v>38317</v>
      </c>
      <c r="G12" s="3">
        <v>38317</v>
      </c>
      <c r="H12" s="3">
        <v>43263</v>
      </c>
      <c r="I12" s="3">
        <v>43628</v>
      </c>
    </row>
    <row r="13" spans="2:9" x14ac:dyDescent="0.25">
      <c r="B13" s="2" t="str">
        <f>"089123#"</f>
        <v>089123#</v>
      </c>
      <c r="C13" s="2" t="str">
        <f>"TWO-85-S"</f>
        <v>TWO-85-S</v>
      </c>
      <c r="D13" s="1" t="str">
        <f>"Otolift met Flexirail® model A"</f>
        <v>Otolift met Flexirail® model A</v>
      </c>
      <c r="E13" s="1" t="s">
        <v>8</v>
      </c>
      <c r="F13" s="3">
        <v>38770</v>
      </c>
      <c r="G13" s="3">
        <v>41001</v>
      </c>
      <c r="H13" s="3">
        <v>43630</v>
      </c>
      <c r="I13" s="3">
        <v>43585</v>
      </c>
    </row>
    <row r="14" spans="2:9" x14ac:dyDescent="0.25">
      <c r="B14" s="2" t="str">
        <f>"117166#"</f>
        <v>117166#</v>
      </c>
      <c r="C14" s="2" t="str">
        <f>""</f>
        <v/>
      </c>
      <c r="D14" s="1" t="str">
        <f>"Thyssen lift"</f>
        <v>Thyssen lift</v>
      </c>
      <c r="E14" s="1" t="s">
        <v>10</v>
      </c>
      <c r="F14" s="3">
        <v>41229</v>
      </c>
      <c r="G14" s="3">
        <v>41229</v>
      </c>
      <c r="H14" s="3">
        <v>42481</v>
      </c>
      <c r="I14" s="3">
        <v>42846</v>
      </c>
    </row>
    <row r="15" spans="2:9" x14ac:dyDescent="0.25">
      <c r="B15" s="2" t="str">
        <f>"089174#"</f>
        <v>089174#</v>
      </c>
      <c r="C15" s="2" t="str">
        <f>"TWO-85"</f>
        <v>TWO-85</v>
      </c>
      <c r="D15" s="1" t="str">
        <f>"Otolift met Flexirail® model C"</f>
        <v>Otolift met Flexirail® model C</v>
      </c>
      <c r="E15" s="1" t="s">
        <v>9</v>
      </c>
      <c r="F15" s="3">
        <v>38779</v>
      </c>
      <c r="G15" s="3">
        <v>38779</v>
      </c>
      <c r="H15" s="3">
        <v>43609</v>
      </c>
      <c r="I15" s="3">
        <v>43975</v>
      </c>
    </row>
    <row r="16" spans="2:9" x14ac:dyDescent="0.25">
      <c r="B16" s="2" t="str">
        <f>"089176#"</f>
        <v>089176#</v>
      </c>
      <c r="C16" s="2" t="str">
        <f>"TWO-85-S"</f>
        <v>TWO-85-S</v>
      </c>
      <c r="D16" s="1" t="str">
        <f>"Otolift met Flexirail® model C"</f>
        <v>Otolift met Flexirail® model C</v>
      </c>
      <c r="E16" s="1" t="s">
        <v>9</v>
      </c>
      <c r="F16" s="3">
        <v>38779</v>
      </c>
      <c r="G16" s="3">
        <v>38779</v>
      </c>
      <c r="H16" s="3">
        <v>43618</v>
      </c>
      <c r="I16" s="3">
        <v>43975</v>
      </c>
    </row>
    <row r="17" spans="2:9" x14ac:dyDescent="0.25">
      <c r="B17" s="2" t="str">
        <f>"32180A"</f>
        <v>32180A</v>
      </c>
      <c r="C17" s="2" t="str">
        <f>""</f>
        <v/>
      </c>
      <c r="D17" s="1" t="str">
        <f>"."</f>
        <v>.</v>
      </c>
      <c r="E17" s="1" t="s">
        <v>10</v>
      </c>
      <c r="F17" s="3">
        <v>35811</v>
      </c>
      <c r="G17" s="3">
        <v>35811</v>
      </c>
      <c r="H17" s="3">
        <v>43256</v>
      </c>
      <c r="I17" s="3">
        <v>43259</v>
      </c>
    </row>
    <row r="18" spans="2:9" x14ac:dyDescent="0.25">
      <c r="B18" s="2" t="str">
        <f>"HC121103"</f>
        <v>HC121103</v>
      </c>
      <c r="C18" s="2" t="str">
        <f>""</f>
        <v/>
      </c>
      <c r="D18" s="1" t="str">
        <f>"Derden"</f>
        <v>Derden</v>
      </c>
      <c r="E18" s="1" t="s">
        <v>10</v>
      </c>
      <c r="F18" s="3">
        <v>37937</v>
      </c>
      <c r="G18" s="3">
        <v>37937</v>
      </c>
      <c r="H18" s="3">
        <v>43179</v>
      </c>
      <c r="I18" s="3">
        <v>43544</v>
      </c>
    </row>
    <row r="19" spans="2:9" x14ac:dyDescent="0.25">
      <c r="B19" s="2" t="str">
        <f>"089298#"</f>
        <v>089298#</v>
      </c>
      <c r="C19" s="2" t="str">
        <f>"TWO-85"</f>
        <v>TWO-85</v>
      </c>
      <c r="D19" s="1" t="str">
        <f>"Otolift met Flexirail® model F"</f>
        <v>Otolift met Flexirail® model F</v>
      </c>
      <c r="E19" s="1" t="s">
        <v>9</v>
      </c>
      <c r="F19" s="3">
        <v>38993</v>
      </c>
      <c r="G19" s="3">
        <v>39763</v>
      </c>
      <c r="H19" s="3">
        <v>43486</v>
      </c>
      <c r="I19" s="3">
        <v>43851</v>
      </c>
    </row>
    <row r="20" spans="2:9" x14ac:dyDescent="0.25">
      <c r="B20" s="2" t="str">
        <f>"089339#"</f>
        <v>089339#</v>
      </c>
      <c r="C20" s="2" t="str">
        <f>"TWO-85"</f>
        <v>TWO-85</v>
      </c>
      <c r="D20" s="1" t="str">
        <f>"Otolift met Flexirail® model B"</f>
        <v>Otolift met Flexirail® model B</v>
      </c>
      <c r="E20" s="1" t="s">
        <v>9</v>
      </c>
      <c r="F20" s="3">
        <v>38789</v>
      </c>
      <c r="G20" s="3">
        <v>38789</v>
      </c>
      <c r="H20" s="3">
        <v>43776</v>
      </c>
      <c r="I20" s="3">
        <v>43487</v>
      </c>
    </row>
    <row r="21" spans="2:9" x14ac:dyDescent="0.25">
      <c r="B21" s="2" t="str">
        <f>"089393#"</f>
        <v>089393#</v>
      </c>
      <c r="C21" s="2" t="str">
        <f>"TWO-85"</f>
        <v>TWO-85</v>
      </c>
      <c r="D21" s="1" t="str">
        <f>"Otolift met Flexirail® model B"</f>
        <v>Otolift met Flexirail® model B</v>
      </c>
      <c r="E21" s="1" t="s">
        <v>9</v>
      </c>
      <c r="F21" s="3">
        <v>38905</v>
      </c>
      <c r="G21" s="3">
        <v>40093</v>
      </c>
      <c r="H21" s="3">
        <v>43713</v>
      </c>
      <c r="I21" s="3">
        <v>43615</v>
      </c>
    </row>
    <row r="22" spans="2:9" x14ac:dyDescent="0.25">
      <c r="B22" s="2" t="str">
        <f>"089566#"</f>
        <v>089566#</v>
      </c>
      <c r="C22" s="2" t="str">
        <f>"TWO-85"</f>
        <v>TWO-85</v>
      </c>
      <c r="D22" s="1" t="str">
        <f>"Otolift met Flexirail® model G"</f>
        <v>Otolift met Flexirail® model G</v>
      </c>
      <c r="E22" s="1" t="s">
        <v>7</v>
      </c>
      <c r="F22" s="3">
        <v>38810</v>
      </c>
      <c r="G22" s="3">
        <v>40638</v>
      </c>
      <c r="H22" s="3">
        <v>43431</v>
      </c>
      <c r="I22" s="3">
        <v>43796</v>
      </c>
    </row>
    <row r="23" spans="2:9" x14ac:dyDescent="0.25">
      <c r="B23" s="2" t="str">
        <f>"089644#"</f>
        <v>089644#</v>
      </c>
      <c r="C23" s="2" t="str">
        <f>"TWO-85"</f>
        <v>TWO-85</v>
      </c>
      <c r="D23" s="1" t="str">
        <f>"Otolift met Flexirail® model G"</f>
        <v>Otolift met Flexirail® model G</v>
      </c>
      <c r="E23" s="1" t="s">
        <v>7</v>
      </c>
      <c r="F23" s="3">
        <v>38810</v>
      </c>
      <c r="G23" s="3">
        <v>39875</v>
      </c>
      <c r="H23" s="3">
        <v>43718</v>
      </c>
      <c r="I23" s="3">
        <v>44084</v>
      </c>
    </row>
    <row r="24" spans="2:9" x14ac:dyDescent="0.25">
      <c r="B24" s="2" t="str">
        <f>"089702#"</f>
        <v>089702#</v>
      </c>
      <c r="C24" s="2" t="str">
        <f>"TWO-81"</f>
        <v>TWO-81</v>
      </c>
      <c r="D24" s="1" t="str">
        <f>"Otolift met Flexirail® model B"</f>
        <v>Otolift met Flexirail® model B</v>
      </c>
      <c r="E24" s="1" t="s">
        <v>9</v>
      </c>
      <c r="F24" s="3">
        <v>38828</v>
      </c>
      <c r="G24" s="3">
        <v>41473</v>
      </c>
      <c r="H24" s="3">
        <v>43595</v>
      </c>
      <c r="I24" s="3">
        <v>43961</v>
      </c>
    </row>
    <row r="25" spans="2:9" x14ac:dyDescent="0.25">
      <c r="B25" s="2" t="str">
        <f>"141650#"</f>
        <v>141650#</v>
      </c>
      <c r="C25" s="2" t="str">
        <f>"MOD-G-6050-1"</f>
        <v>MOD-G-6050-1</v>
      </c>
      <c r="D25" s="1" t="str">
        <f>"Hergebruik Otolift Modul-AIR buitenbocht"</f>
        <v>Hergebruik Otolift Modul-AIR buitenbocht</v>
      </c>
      <c r="E25" s="1" t="s">
        <v>7</v>
      </c>
      <c r="F25" s="3">
        <v>42736</v>
      </c>
      <c r="G25" s="3">
        <v>32760</v>
      </c>
      <c r="H25" s="3" t="str">
        <f>""</f>
        <v/>
      </c>
      <c r="I25" s="3" t="str">
        <f>""</f>
        <v/>
      </c>
    </row>
    <row r="26" spans="2:9" x14ac:dyDescent="0.25">
      <c r="B26" s="2" t="str">
        <f>"141773#"</f>
        <v>141773#</v>
      </c>
      <c r="C26" s="2" t="str">
        <f>"MOD-G-6050-1"</f>
        <v>MOD-G-6050-1</v>
      </c>
      <c r="D26" s="1" t="str">
        <f>"Hergebruik Otolift Modul-AIR buitenbocht"</f>
        <v>Hergebruik Otolift Modul-AIR buitenbocht</v>
      </c>
      <c r="E26" s="1" t="s">
        <v>7</v>
      </c>
      <c r="F26" s="3">
        <v>42736</v>
      </c>
      <c r="G26" s="3">
        <v>32760</v>
      </c>
      <c r="H26" s="3" t="str">
        <f>""</f>
        <v/>
      </c>
      <c r="I26" s="3" t="str">
        <f>""</f>
        <v/>
      </c>
    </row>
    <row r="27" spans="2:9" x14ac:dyDescent="0.25">
      <c r="B27" s="2" t="str">
        <f>"TK131108"</f>
        <v>TK131108</v>
      </c>
      <c r="C27" s="2" t="str">
        <f>""</f>
        <v/>
      </c>
      <c r="D27" s="1" t="str">
        <f>"Derden"</f>
        <v>Derden</v>
      </c>
      <c r="E27" s="1" t="s">
        <v>10</v>
      </c>
      <c r="F27" s="3">
        <v>39765</v>
      </c>
      <c r="G27" s="3">
        <v>39765</v>
      </c>
      <c r="H27" s="3">
        <v>40781</v>
      </c>
      <c r="I27" s="3">
        <v>41147</v>
      </c>
    </row>
    <row r="28" spans="2:9" x14ac:dyDescent="0.25">
      <c r="B28" s="2" t="str">
        <f>"089998#"</f>
        <v>089998#</v>
      </c>
      <c r="C28" s="2" t="str">
        <f>"TWO-85"</f>
        <v>TWO-85</v>
      </c>
      <c r="D28" s="1" t="str">
        <f>"Otolift met Flexirail® model G"</f>
        <v>Otolift met Flexirail® model G</v>
      </c>
      <c r="E28" s="1" t="s">
        <v>7</v>
      </c>
      <c r="F28" s="3">
        <v>38845</v>
      </c>
      <c r="G28" s="3">
        <v>38845</v>
      </c>
      <c r="H28" s="3">
        <v>43790</v>
      </c>
      <c r="I28" s="3">
        <v>43502</v>
      </c>
    </row>
    <row r="29" spans="2:9" x14ac:dyDescent="0.25">
      <c r="B29" s="2" t="str">
        <f>"090255#"</f>
        <v>090255#</v>
      </c>
      <c r="C29" s="2" t="str">
        <f>"TWO-85"</f>
        <v>TWO-85</v>
      </c>
      <c r="D29" s="1" t="str">
        <f>"Otolift met Flexirail® model B"</f>
        <v>Otolift met Flexirail® model B</v>
      </c>
      <c r="E29" s="1" t="s">
        <v>9</v>
      </c>
      <c r="F29" s="3">
        <v>38866</v>
      </c>
      <c r="G29" s="3">
        <v>38866</v>
      </c>
      <c r="H29" s="3">
        <v>43664</v>
      </c>
      <c r="I29" s="3">
        <v>43637</v>
      </c>
    </row>
    <row r="30" spans="2:9" x14ac:dyDescent="0.25">
      <c r="B30" s="2" t="str">
        <f>"090258#"</f>
        <v>090258#</v>
      </c>
      <c r="C30" s="2" t="str">
        <f>"TWO-85"</f>
        <v>TWO-85</v>
      </c>
      <c r="D30" s="1" t="str">
        <f>"Otolift met Flexirail® model B"</f>
        <v>Otolift met Flexirail® model B</v>
      </c>
      <c r="E30" s="1" t="s">
        <v>9</v>
      </c>
      <c r="F30" s="3">
        <v>38874</v>
      </c>
      <c r="G30" s="3">
        <v>38874</v>
      </c>
      <c r="H30" s="3">
        <v>43669</v>
      </c>
      <c r="I30" s="3">
        <v>43473</v>
      </c>
    </row>
    <row r="31" spans="2:9" x14ac:dyDescent="0.25">
      <c r="B31" s="2" t="str">
        <f>"TK200603"</f>
        <v>TK200603</v>
      </c>
      <c r="C31" s="2" t="str">
        <f>""</f>
        <v/>
      </c>
      <c r="D31" s="1" t="str">
        <f>"Derden"</f>
        <v>Derden</v>
      </c>
      <c r="E31" s="1" t="s">
        <v>10</v>
      </c>
      <c r="F31" s="3">
        <v>37792</v>
      </c>
      <c r="G31" s="3">
        <v>37792</v>
      </c>
      <c r="H31" s="3">
        <v>43633</v>
      </c>
      <c r="I31" s="3">
        <v>43574</v>
      </c>
    </row>
    <row r="32" spans="2:9" x14ac:dyDescent="0.25">
      <c r="B32" s="2" t="str">
        <f>"090314#"</f>
        <v>090314#</v>
      </c>
      <c r="C32" s="2" t="str">
        <f>"TWO-86"</f>
        <v>TWO-86</v>
      </c>
      <c r="D32" s="1" t="str">
        <f>"Otolift met Flexirail® model G"</f>
        <v>Otolift met Flexirail® model G</v>
      </c>
      <c r="E32" s="1" t="s">
        <v>7</v>
      </c>
      <c r="F32" s="3">
        <v>38870</v>
      </c>
      <c r="G32" s="3">
        <v>41089</v>
      </c>
      <c r="H32" s="3">
        <v>43601</v>
      </c>
      <c r="I32" s="3">
        <v>43967</v>
      </c>
    </row>
    <row r="33" spans="2:9" x14ac:dyDescent="0.25">
      <c r="B33" s="2" t="str">
        <f>"090318#"</f>
        <v>090318#</v>
      </c>
      <c r="C33" s="2" t="str">
        <f>"TWO-85"</f>
        <v>TWO-85</v>
      </c>
      <c r="D33" s="1" t="str">
        <f>"Otolift met Flexirail® model B"</f>
        <v>Otolift met Flexirail® model B</v>
      </c>
      <c r="E33" s="1" t="s">
        <v>9</v>
      </c>
      <c r="F33" s="3">
        <v>39058</v>
      </c>
      <c r="G33" s="3">
        <v>40966</v>
      </c>
      <c r="H33" s="3">
        <v>43766</v>
      </c>
      <c r="I33" s="3">
        <v>43741</v>
      </c>
    </row>
    <row r="34" spans="2:9" x14ac:dyDescent="0.25">
      <c r="B34" s="2" t="str">
        <f>"TK210101"</f>
        <v>TK210101</v>
      </c>
      <c r="C34" s="2" t="str">
        <f>""</f>
        <v/>
      </c>
      <c r="D34" s="1" t="str">
        <f>"Derden"</f>
        <v>Derden</v>
      </c>
      <c r="E34" s="1" t="s">
        <v>10</v>
      </c>
      <c r="F34" s="3">
        <v>36912</v>
      </c>
      <c r="G34" s="3">
        <v>36912</v>
      </c>
      <c r="H34" s="3">
        <v>43412</v>
      </c>
      <c r="I34" s="3">
        <v>43777</v>
      </c>
    </row>
    <row r="35" spans="2:9" x14ac:dyDescent="0.25">
      <c r="B35" s="2" t="str">
        <f>"090533#"</f>
        <v>090533#</v>
      </c>
      <c r="C35" s="2" t="str">
        <f>"TWO-86"</f>
        <v>TWO-86</v>
      </c>
      <c r="D35" s="1" t="str">
        <f>"Otolift met Flexirail® model B"</f>
        <v>Otolift met Flexirail® model B</v>
      </c>
      <c r="E35" s="1" t="s">
        <v>9</v>
      </c>
      <c r="F35" s="3">
        <v>38960</v>
      </c>
      <c r="G35" s="3">
        <v>41052</v>
      </c>
      <c r="H35" s="3">
        <v>43781</v>
      </c>
      <c r="I35" s="3">
        <v>43564</v>
      </c>
    </row>
    <row r="36" spans="2:9" x14ac:dyDescent="0.25">
      <c r="B36" s="2" t="str">
        <f>"090640#"</f>
        <v>090640#</v>
      </c>
      <c r="C36" s="2" t="str">
        <f>"TWO-85-S"</f>
        <v>TWO-85-S</v>
      </c>
      <c r="D36" s="1" t="str">
        <f>"Otolift met Flexirail® model C"</f>
        <v>Otolift met Flexirail® model C</v>
      </c>
      <c r="E36" s="1" t="s">
        <v>9</v>
      </c>
      <c r="F36" s="3">
        <v>38898</v>
      </c>
      <c r="G36" s="3">
        <v>41085</v>
      </c>
      <c r="H36" s="3">
        <v>43731</v>
      </c>
      <c r="I36" s="3">
        <v>43735</v>
      </c>
    </row>
    <row r="37" spans="2:9" x14ac:dyDescent="0.25">
      <c r="B37" s="2" t="str">
        <f>"TK211200"</f>
        <v>TK211200</v>
      </c>
      <c r="C37" s="2" t="str">
        <f>""</f>
        <v/>
      </c>
      <c r="D37" s="1" t="str">
        <f>"Derden"</f>
        <v>Derden</v>
      </c>
      <c r="E37" s="1" t="s">
        <v>10</v>
      </c>
      <c r="F37" s="3">
        <v>36881</v>
      </c>
      <c r="G37" s="3">
        <v>36881</v>
      </c>
      <c r="H37" s="3">
        <v>42942</v>
      </c>
      <c r="I37" s="3">
        <v>43307</v>
      </c>
    </row>
    <row r="38" spans="2:9" x14ac:dyDescent="0.25">
      <c r="B38" s="2" t="str">
        <f>"090674#"</f>
        <v>090674#</v>
      </c>
      <c r="C38" s="2" t="str">
        <f>"TWO-105"</f>
        <v>TWO-105</v>
      </c>
      <c r="D38" s="1" t="str">
        <f>"Otolift met Flexirail® model C"</f>
        <v>Otolift met Flexirail® model C</v>
      </c>
      <c r="E38" s="1" t="s">
        <v>9</v>
      </c>
      <c r="F38" s="3">
        <v>39009</v>
      </c>
      <c r="G38" s="3">
        <v>39009</v>
      </c>
      <c r="H38" s="3">
        <v>43672</v>
      </c>
      <c r="I38" s="3">
        <v>43484</v>
      </c>
    </row>
    <row r="39" spans="2:9" x14ac:dyDescent="0.25">
      <c r="B39" s="2" t="str">
        <f>"090675#"</f>
        <v>090675#</v>
      </c>
      <c r="C39" s="2" t="str">
        <f>"TWO-85"</f>
        <v>TWO-85</v>
      </c>
      <c r="D39" s="1" t="str">
        <f>"Otolift met Flexirail® model B"</f>
        <v>Otolift met Flexirail® model B</v>
      </c>
      <c r="E39" s="1" t="s">
        <v>9</v>
      </c>
      <c r="F39" s="3">
        <v>39009</v>
      </c>
      <c r="G39" s="3">
        <v>39009</v>
      </c>
      <c r="H39" s="3">
        <v>43672</v>
      </c>
      <c r="I39" s="3">
        <v>43071</v>
      </c>
    </row>
    <row r="40" spans="2:9" x14ac:dyDescent="0.25">
      <c r="B40" s="2" t="str">
        <f>"090805#"</f>
        <v>090805#</v>
      </c>
      <c r="C40" s="2" t="str">
        <f>"TWO-85"</f>
        <v>TWO-85</v>
      </c>
      <c r="D40" s="1" t="str">
        <f>"Otolift met Flexirail® model B"</f>
        <v>Otolift met Flexirail® model B</v>
      </c>
      <c r="E40" s="1" t="s">
        <v>9</v>
      </c>
      <c r="F40" s="3">
        <v>39014</v>
      </c>
      <c r="G40" s="3">
        <v>39875</v>
      </c>
      <c r="H40" s="3">
        <v>43718</v>
      </c>
      <c r="I40" s="3">
        <v>43651</v>
      </c>
    </row>
    <row r="41" spans="2:9" x14ac:dyDescent="0.25">
      <c r="B41" s="2" t="str">
        <f>"090976#"</f>
        <v>090976#</v>
      </c>
      <c r="C41" s="2" t="str">
        <f>"TWO-85"</f>
        <v>TWO-85</v>
      </c>
      <c r="D41" s="1" t="str">
        <f>"Otolift met Flexirail® model A"</f>
        <v>Otolift met Flexirail® model A</v>
      </c>
      <c r="E41" s="1" t="s">
        <v>8</v>
      </c>
      <c r="F41" s="3">
        <v>38972</v>
      </c>
      <c r="G41" s="3">
        <v>40849</v>
      </c>
      <c r="H41" s="3">
        <v>43440</v>
      </c>
      <c r="I41" s="3">
        <v>43805</v>
      </c>
    </row>
    <row r="42" spans="2:9" x14ac:dyDescent="0.25">
      <c r="B42" s="2" t="str">
        <f>"130808#"</f>
        <v>130808#</v>
      </c>
      <c r="C42" s="2" t="str">
        <f>"AIR-6020"</f>
        <v>AIR-6020</v>
      </c>
      <c r="D42" s="1" t="str">
        <f>"Otolift AIR"</f>
        <v>Otolift AIR</v>
      </c>
      <c r="E42" s="1" t="s">
        <v>11</v>
      </c>
      <c r="F42" s="3">
        <v>42759</v>
      </c>
      <c r="G42" s="3">
        <v>42759</v>
      </c>
      <c r="H42" s="3">
        <v>43504</v>
      </c>
      <c r="I42" s="3">
        <v>43869</v>
      </c>
    </row>
    <row r="43" spans="2:9" x14ac:dyDescent="0.25">
      <c r="B43" s="2" t="str">
        <f>"090999#"</f>
        <v>090999#</v>
      </c>
      <c r="C43" s="2" t="str">
        <f>"TWO-107"</f>
        <v>TWO-107</v>
      </c>
      <c r="D43" s="1" t="str">
        <f>"Otolift met Flexirail® model A"</f>
        <v>Otolift met Flexirail® model A</v>
      </c>
      <c r="E43" s="1" t="s">
        <v>8</v>
      </c>
      <c r="F43" s="3">
        <v>38999</v>
      </c>
      <c r="G43" s="3">
        <v>41481</v>
      </c>
      <c r="H43" s="3">
        <v>43108</v>
      </c>
      <c r="I43" s="3">
        <v>43473</v>
      </c>
    </row>
    <row r="44" spans="2:9" x14ac:dyDescent="0.25">
      <c r="B44" s="2" t="str">
        <f>"130814#"</f>
        <v>130814#</v>
      </c>
      <c r="C44" s="2" t="str">
        <f>"AIR-6020"</f>
        <v>AIR-6020</v>
      </c>
      <c r="D44" s="1" t="str">
        <f>"Otolift AIR"</f>
        <v>Otolift AIR</v>
      </c>
      <c r="E44" s="1" t="s">
        <v>11</v>
      </c>
      <c r="F44" s="3">
        <v>42761</v>
      </c>
      <c r="G44" s="3">
        <v>42761</v>
      </c>
      <c r="H44" s="3">
        <v>43500</v>
      </c>
      <c r="I44" s="3">
        <v>43865</v>
      </c>
    </row>
    <row r="45" spans="2:9" x14ac:dyDescent="0.25">
      <c r="B45" s="2" t="str">
        <f>"091025#"</f>
        <v>091025#</v>
      </c>
      <c r="C45" s="2" t="str">
        <f>"TWO-85"</f>
        <v>TWO-85</v>
      </c>
      <c r="D45" s="1" t="str">
        <f>"Otolift met Flexirail® model G"</f>
        <v>Otolift met Flexirail® model G</v>
      </c>
      <c r="E45" s="1" t="s">
        <v>7</v>
      </c>
      <c r="F45" s="3">
        <v>38957</v>
      </c>
      <c r="G45" s="3">
        <v>38957</v>
      </c>
      <c r="H45" s="3">
        <v>43676</v>
      </c>
      <c r="I45" s="3">
        <v>43615</v>
      </c>
    </row>
    <row r="46" spans="2:9" x14ac:dyDescent="0.25">
      <c r="B46" s="2" t="str">
        <f>"131230#"</f>
        <v>131230#</v>
      </c>
      <c r="C46" s="2" t="str">
        <f>"AIR-6020"</f>
        <v>AIR-6020</v>
      </c>
      <c r="D46" s="1" t="str">
        <f>"Otolift AIR"</f>
        <v>Otolift AIR</v>
      </c>
      <c r="E46" s="1" t="s">
        <v>11</v>
      </c>
      <c r="F46" s="3">
        <v>42795</v>
      </c>
      <c r="G46" s="3">
        <v>42795</v>
      </c>
      <c r="H46" s="3">
        <v>43599</v>
      </c>
      <c r="I46" s="3">
        <v>43965</v>
      </c>
    </row>
    <row r="47" spans="2:9" x14ac:dyDescent="0.25">
      <c r="B47" s="2" t="str">
        <f>"091089#"</f>
        <v>091089#</v>
      </c>
      <c r="C47" s="2" t="str">
        <f>"TWO-85"</f>
        <v>TWO-85</v>
      </c>
      <c r="D47" s="1" t="str">
        <f>"Otolift met Flexirail® model B"</f>
        <v>Otolift met Flexirail® model B</v>
      </c>
      <c r="E47" s="1" t="s">
        <v>9</v>
      </c>
      <c r="F47" s="3">
        <v>38968</v>
      </c>
      <c r="G47" s="3">
        <v>38968</v>
      </c>
      <c r="H47" s="3">
        <v>43606</v>
      </c>
      <c r="I47" s="3">
        <v>43972</v>
      </c>
    </row>
    <row r="48" spans="2:9" x14ac:dyDescent="0.25">
      <c r="B48" s="2" t="str">
        <f>"091114#"</f>
        <v>091114#</v>
      </c>
      <c r="C48" s="2" t="str">
        <f>"TWO-86"</f>
        <v>TWO-86</v>
      </c>
      <c r="D48" s="1" t="str">
        <f>"Otolift met Flexirail® model C"</f>
        <v>Otolift met Flexirail® model C</v>
      </c>
      <c r="E48" s="1" t="s">
        <v>9</v>
      </c>
      <c r="F48" s="3">
        <v>38987</v>
      </c>
      <c r="G48" s="3">
        <v>41360</v>
      </c>
      <c r="H48" s="3">
        <v>43769</v>
      </c>
      <c r="I48" s="3">
        <v>43874</v>
      </c>
    </row>
    <row r="49" spans="2:9" x14ac:dyDescent="0.25">
      <c r="B49" s="2" t="str">
        <f>"091169#"</f>
        <v>091169#</v>
      </c>
      <c r="C49" s="2" t="str">
        <f>"TWO-86"</f>
        <v>TWO-86</v>
      </c>
      <c r="D49" s="1" t="str">
        <f>"Otolift met Flexirail® model A"</f>
        <v>Otolift met Flexirail® model A</v>
      </c>
      <c r="E49" s="1" t="s">
        <v>8</v>
      </c>
      <c r="F49" s="3">
        <v>38973</v>
      </c>
      <c r="G49" s="3">
        <v>40609</v>
      </c>
      <c r="H49" s="3">
        <v>43656</v>
      </c>
      <c r="I49" s="3">
        <v>43574</v>
      </c>
    </row>
    <row r="50" spans="2:9" x14ac:dyDescent="0.25">
      <c r="B50" s="2" t="str">
        <f>"091185#"</f>
        <v>091185#</v>
      </c>
      <c r="C50" s="2" t="str">
        <f>"TWO-85"</f>
        <v>TWO-85</v>
      </c>
      <c r="D50" s="1" t="str">
        <f>"Otolift met Flexirail® model G"</f>
        <v>Otolift met Flexirail® model G</v>
      </c>
      <c r="E50" s="1" t="s">
        <v>7</v>
      </c>
      <c r="F50" s="3">
        <v>38973</v>
      </c>
      <c r="G50" s="3">
        <v>38973</v>
      </c>
      <c r="H50" s="3">
        <v>43405</v>
      </c>
      <c r="I50" s="3">
        <v>43770</v>
      </c>
    </row>
    <row r="51" spans="2:9" x14ac:dyDescent="0.25">
      <c r="B51" s="2" t="str">
        <f>"091213#"</f>
        <v>091213#</v>
      </c>
      <c r="C51" s="2" t="str">
        <f>"TWO-85"</f>
        <v>TWO-85</v>
      </c>
      <c r="D51" s="1" t="str">
        <f>"Otolift met Flexirail® model G"</f>
        <v>Otolift met Flexirail® model G</v>
      </c>
      <c r="E51" s="1" t="s">
        <v>7</v>
      </c>
      <c r="F51" s="3">
        <v>38982</v>
      </c>
      <c r="G51" s="3">
        <v>39233</v>
      </c>
      <c r="H51" s="3">
        <v>43710</v>
      </c>
      <c r="I51" s="3">
        <v>43481</v>
      </c>
    </row>
    <row r="52" spans="2:9" x14ac:dyDescent="0.25">
      <c r="B52" s="2" t="str">
        <f>"132007#"</f>
        <v>132007#</v>
      </c>
      <c r="C52" s="2" t="str">
        <f>"AIR-6020"</f>
        <v>AIR-6020</v>
      </c>
      <c r="D52" s="1" t="str">
        <f>"Otolift AIR"</f>
        <v>Otolift AIR</v>
      </c>
      <c r="E52" s="1" t="s">
        <v>11</v>
      </c>
      <c r="F52" s="3">
        <v>42828</v>
      </c>
      <c r="G52" s="3">
        <v>42828</v>
      </c>
      <c r="H52" s="3">
        <v>43801</v>
      </c>
      <c r="I52" s="3">
        <v>43565</v>
      </c>
    </row>
    <row r="53" spans="2:9" x14ac:dyDescent="0.25">
      <c r="B53" s="2" t="str">
        <f>"091257#"</f>
        <v>091257#</v>
      </c>
      <c r="C53" s="2" t="str">
        <f>"TWO-86"</f>
        <v>TWO-86</v>
      </c>
      <c r="D53" s="1" t="str">
        <f>"Otolift met Flexirail® model G"</f>
        <v>Otolift met Flexirail® model G</v>
      </c>
      <c r="E53" s="1" t="s">
        <v>7</v>
      </c>
      <c r="F53" s="3">
        <v>39085</v>
      </c>
      <c r="G53" s="3">
        <v>41092</v>
      </c>
      <c r="H53" s="3">
        <v>43416</v>
      </c>
      <c r="I53" s="3">
        <v>43781</v>
      </c>
    </row>
    <row r="54" spans="2:9" x14ac:dyDescent="0.25">
      <c r="B54" s="2" t="str">
        <f>"132009#"</f>
        <v>132009#</v>
      </c>
      <c r="C54" s="2" t="str">
        <f>"AIR-6020"</f>
        <v>AIR-6020</v>
      </c>
      <c r="D54" s="1" t="str">
        <f>"Otolift AIR"</f>
        <v>Otolift AIR</v>
      </c>
      <c r="E54" s="1" t="s">
        <v>11</v>
      </c>
      <c r="F54" s="3">
        <v>42832</v>
      </c>
      <c r="G54" s="3">
        <v>42832</v>
      </c>
      <c r="H54" s="3">
        <v>43222</v>
      </c>
      <c r="I54" s="3">
        <v>43587</v>
      </c>
    </row>
    <row r="55" spans="2:9" x14ac:dyDescent="0.25">
      <c r="B55" s="2" t="str">
        <f>"091318#"</f>
        <v>091318#</v>
      </c>
      <c r="C55" s="2" t="str">
        <f>"TWO-85-S"</f>
        <v>TWO-85-S</v>
      </c>
      <c r="D55" s="1" t="str">
        <f>"Otolift met Flexirail® model B"</f>
        <v>Otolift met Flexirail® model B</v>
      </c>
      <c r="E55" s="1" t="s">
        <v>9</v>
      </c>
      <c r="F55" s="3">
        <v>38975</v>
      </c>
      <c r="G55" s="3">
        <v>40575</v>
      </c>
      <c r="H55" s="3">
        <v>43115</v>
      </c>
      <c r="I55" s="3">
        <v>43480</v>
      </c>
    </row>
    <row r="56" spans="2:9" x14ac:dyDescent="0.25">
      <c r="B56" s="2" t="str">
        <f>"091321#"</f>
        <v>091321#</v>
      </c>
      <c r="C56" s="2" t="str">
        <f>"TWO-86"</f>
        <v>TWO-86</v>
      </c>
      <c r="D56" s="1" t="str">
        <f>"Otolift met Flexirail® model B"</f>
        <v>Otolift met Flexirail® model B</v>
      </c>
      <c r="E56" s="1" t="s">
        <v>9</v>
      </c>
      <c r="F56" s="3">
        <v>39006</v>
      </c>
      <c r="G56" s="3">
        <v>41705</v>
      </c>
      <c r="H56" s="3">
        <v>43552</v>
      </c>
      <c r="I56" s="3">
        <v>43918</v>
      </c>
    </row>
    <row r="57" spans="2:9" x14ac:dyDescent="0.25">
      <c r="B57" s="2" t="str">
        <f>"091367#"</f>
        <v>091367#</v>
      </c>
      <c r="C57" s="2" t="str">
        <f>"TWO-85"</f>
        <v>TWO-85</v>
      </c>
      <c r="D57" s="1" t="str">
        <f>"Otolift met Flexirail® model C"</f>
        <v>Otolift met Flexirail® model C</v>
      </c>
      <c r="E57" s="1" t="s">
        <v>9</v>
      </c>
      <c r="F57" s="3">
        <v>39021</v>
      </c>
      <c r="G57" s="3">
        <v>39021</v>
      </c>
      <c r="H57" s="3">
        <v>43753</v>
      </c>
      <c r="I57" s="3">
        <v>44078</v>
      </c>
    </row>
    <row r="58" spans="2:9" x14ac:dyDescent="0.25">
      <c r="B58" s="2" t="str">
        <f>"091368#"</f>
        <v>091368#</v>
      </c>
      <c r="C58" s="2" t="str">
        <f>"TWO-85"</f>
        <v>TWO-85</v>
      </c>
      <c r="D58" s="1" t="str">
        <f>"Otolift met Flexirail® model G"</f>
        <v>Otolift met Flexirail® model G</v>
      </c>
      <c r="E58" s="1" t="s">
        <v>7</v>
      </c>
      <c r="F58" s="3">
        <v>38987</v>
      </c>
      <c r="G58" s="3">
        <v>39660</v>
      </c>
      <c r="H58" s="3">
        <v>43598</v>
      </c>
      <c r="I58" s="3">
        <v>43764</v>
      </c>
    </row>
    <row r="59" spans="2:9" x14ac:dyDescent="0.25">
      <c r="B59" s="2" t="str">
        <f>"091378#"</f>
        <v>091378#</v>
      </c>
      <c r="C59" s="2" t="str">
        <f>"TWO-85"</f>
        <v>TWO-85</v>
      </c>
      <c r="D59" s="1" t="str">
        <f>"Otolift met Flexirail® model A"</f>
        <v>Otolift met Flexirail® model A</v>
      </c>
      <c r="E59" s="1" t="s">
        <v>8</v>
      </c>
      <c r="F59" s="3">
        <v>39006</v>
      </c>
      <c r="G59" s="3">
        <v>41423</v>
      </c>
      <c r="H59" s="3">
        <v>43423</v>
      </c>
      <c r="I59" s="3">
        <v>43788</v>
      </c>
    </row>
    <row r="60" spans="2:9" x14ac:dyDescent="0.25">
      <c r="B60" s="2" t="str">
        <f>"132136#"</f>
        <v>132136#</v>
      </c>
      <c r="C60" s="2" t="str">
        <f>"AIR-6020"</f>
        <v>AIR-6020</v>
      </c>
      <c r="D60" s="1" t="str">
        <f>"Otolift AIR"</f>
        <v>Otolift AIR</v>
      </c>
      <c r="E60" s="1" t="s">
        <v>11</v>
      </c>
      <c r="F60" s="3">
        <v>42850</v>
      </c>
      <c r="G60" s="3">
        <v>42850</v>
      </c>
      <c r="H60" s="3">
        <v>43587</v>
      </c>
      <c r="I60" s="3">
        <v>43953</v>
      </c>
    </row>
    <row r="61" spans="2:9" x14ac:dyDescent="0.25">
      <c r="B61" s="2" t="str">
        <f>"091490#"</f>
        <v>091490#</v>
      </c>
      <c r="C61" s="2" t="str">
        <f>"TWO-85"</f>
        <v>TWO-85</v>
      </c>
      <c r="D61" s="1" t="str">
        <f>"Otolift met Flexirail® model G"</f>
        <v>Otolift met Flexirail® model G</v>
      </c>
      <c r="E61" s="1" t="s">
        <v>7</v>
      </c>
      <c r="F61" s="3">
        <v>39000</v>
      </c>
      <c r="G61" s="3">
        <v>39906</v>
      </c>
      <c r="H61" s="3">
        <v>43718</v>
      </c>
      <c r="I61" s="3">
        <v>43608</v>
      </c>
    </row>
    <row r="62" spans="2:9" x14ac:dyDescent="0.25">
      <c r="B62" s="2" t="str">
        <f>"132184#"</f>
        <v>132184#</v>
      </c>
      <c r="C62" s="2" t="str">
        <f>"AIR-6020"</f>
        <v>AIR-6020</v>
      </c>
      <c r="D62" s="1" t="str">
        <f>"Hergebruik Otolift AIR"</f>
        <v>Hergebruik Otolift AIR</v>
      </c>
      <c r="E62" s="1" t="s">
        <v>11</v>
      </c>
      <c r="F62" s="3">
        <v>42849</v>
      </c>
      <c r="G62" s="3">
        <v>42849</v>
      </c>
      <c r="H62" s="3">
        <v>43633</v>
      </c>
      <c r="I62" s="3">
        <v>43592</v>
      </c>
    </row>
    <row r="63" spans="2:9" x14ac:dyDescent="0.25">
      <c r="B63" s="2" t="str">
        <f>"091744#"</f>
        <v>091744#</v>
      </c>
      <c r="C63" s="2" t="str">
        <f>"TWO-85"</f>
        <v>TWO-85</v>
      </c>
      <c r="D63" s="1" t="str">
        <f>"Otolift met Flexirail® model A"</f>
        <v>Otolift met Flexirail® model A</v>
      </c>
      <c r="E63" s="1" t="s">
        <v>8</v>
      </c>
      <c r="F63" s="3">
        <v>39014</v>
      </c>
      <c r="G63" s="3">
        <v>39014</v>
      </c>
      <c r="H63" s="3">
        <v>43676</v>
      </c>
      <c r="I63" s="3">
        <v>44020</v>
      </c>
    </row>
    <row r="64" spans="2:9" x14ac:dyDescent="0.25">
      <c r="B64" s="2" t="str">
        <f>"091746#"</f>
        <v>091746#</v>
      </c>
      <c r="C64" s="2" t="str">
        <f>"TWO-86"</f>
        <v>TWO-86</v>
      </c>
      <c r="D64" s="1" t="str">
        <f>"Otolift met Flexirail® model A"</f>
        <v>Otolift met Flexirail® model A</v>
      </c>
      <c r="E64" s="1" t="s">
        <v>8</v>
      </c>
      <c r="F64" s="3">
        <v>39017</v>
      </c>
      <c r="G64" s="3">
        <v>40674</v>
      </c>
      <c r="H64" s="3">
        <v>43791</v>
      </c>
      <c r="I64" s="3">
        <v>43805</v>
      </c>
    </row>
    <row r="65" spans="2:9" x14ac:dyDescent="0.25">
      <c r="B65" s="2" t="str">
        <f>"091766#"</f>
        <v>091766#</v>
      </c>
      <c r="C65" s="2" t="str">
        <f>"TWO-B-87"</f>
        <v>TWO-B-87</v>
      </c>
      <c r="D65" s="1" t="str">
        <f>"Otolift met Flexirail® model B"</f>
        <v>Otolift met Flexirail® model B</v>
      </c>
      <c r="E65" s="1" t="s">
        <v>9</v>
      </c>
      <c r="F65" s="3">
        <v>39024</v>
      </c>
      <c r="G65" s="3">
        <v>40681</v>
      </c>
      <c r="H65" s="3">
        <v>43486</v>
      </c>
      <c r="I65" s="3">
        <v>43851</v>
      </c>
    </row>
    <row r="66" spans="2:9" x14ac:dyDescent="0.25">
      <c r="B66" s="2" t="str">
        <f>"TT16-0027"</f>
        <v>TT16-0027</v>
      </c>
      <c r="C66" s="2" t="str">
        <f>"TWO-C-87-S"</f>
        <v>TWO-C-87-S</v>
      </c>
      <c r="D66" s="1" t="str">
        <f>"Hergebruik Otolift TWO"</f>
        <v>Hergebruik Otolift TWO</v>
      </c>
      <c r="E66" s="1" t="s">
        <v>9</v>
      </c>
      <c r="F66" s="3">
        <v>42436</v>
      </c>
      <c r="G66" s="3">
        <v>32760</v>
      </c>
      <c r="H66" s="3" t="str">
        <f>""</f>
        <v/>
      </c>
      <c r="I66" s="3" t="str">
        <f>""</f>
        <v/>
      </c>
    </row>
    <row r="67" spans="2:9" x14ac:dyDescent="0.25">
      <c r="B67" s="2" t="str">
        <f>"122227#"</f>
        <v>122227#</v>
      </c>
      <c r="C67" s="2" t="str">
        <f>"AIR-6040"</f>
        <v>AIR-6040</v>
      </c>
      <c r="D67" s="1" t="str">
        <f>"ONE-Design"</f>
        <v>ONE-Design</v>
      </c>
      <c r="E67" s="1" t="s">
        <v>11</v>
      </c>
      <c r="F67" s="3">
        <v>41975</v>
      </c>
      <c r="G67" s="3">
        <v>41975</v>
      </c>
      <c r="H67" s="3">
        <v>43809</v>
      </c>
      <c r="I67" s="3">
        <v>43829</v>
      </c>
    </row>
    <row r="68" spans="2:9" x14ac:dyDescent="0.25">
      <c r="B68" s="2" t="str">
        <f>"123342#"</f>
        <v>123342#</v>
      </c>
      <c r="C68" s="2" t="str">
        <f>"AIR-6040"</f>
        <v>AIR-6040</v>
      </c>
      <c r="D68" s="1" t="str">
        <f>"Hergebruik Otolift AIR"</f>
        <v>Hergebruik Otolift AIR</v>
      </c>
      <c r="E68" s="1" t="s">
        <v>11</v>
      </c>
      <c r="F68" s="3">
        <v>42032</v>
      </c>
      <c r="G68" s="3">
        <v>42788</v>
      </c>
      <c r="H68" s="3">
        <v>43790</v>
      </c>
      <c r="I68" s="3">
        <v>43571</v>
      </c>
    </row>
    <row r="69" spans="2:9" x14ac:dyDescent="0.25">
      <c r="B69" s="2" t="str">
        <f>"091834#"</f>
        <v>091834#</v>
      </c>
      <c r="C69" s="2" t="str">
        <f>"TWO-85"</f>
        <v>TWO-85</v>
      </c>
      <c r="D69" s="1" t="str">
        <f>"Otolift met Flexirail® model G"</f>
        <v>Otolift met Flexirail® model G</v>
      </c>
      <c r="E69" s="1" t="s">
        <v>7</v>
      </c>
      <c r="F69" s="3">
        <v>39029</v>
      </c>
      <c r="G69" s="3">
        <v>39029</v>
      </c>
      <c r="H69" s="3">
        <v>43747</v>
      </c>
      <c r="I69" s="3">
        <v>43623</v>
      </c>
    </row>
    <row r="70" spans="2:9" x14ac:dyDescent="0.25">
      <c r="B70" s="2" t="str">
        <f>"091835#"</f>
        <v>091835#</v>
      </c>
      <c r="C70" s="2" t="str">
        <f>"TWO-85"</f>
        <v>TWO-85</v>
      </c>
      <c r="D70" s="1" t="str">
        <f>"Otolift met Flexirail® model B"</f>
        <v>Otolift met Flexirail® model B</v>
      </c>
      <c r="E70" s="1" t="s">
        <v>9</v>
      </c>
      <c r="F70" s="3">
        <v>39037</v>
      </c>
      <c r="G70" s="3">
        <v>39037</v>
      </c>
      <c r="H70" s="3">
        <v>43714</v>
      </c>
      <c r="I70" s="3">
        <v>43469</v>
      </c>
    </row>
    <row r="71" spans="2:9" x14ac:dyDescent="0.25">
      <c r="B71" s="2" t="str">
        <f>"091897#"</f>
        <v>091897#</v>
      </c>
      <c r="C71" s="2" t="str">
        <f>"TWO-85-S"</f>
        <v>TWO-85-S</v>
      </c>
      <c r="D71" s="1" t="str">
        <f>"Otolift met Flexirail® model C"</f>
        <v>Otolift met Flexirail® model C</v>
      </c>
      <c r="E71" s="1" t="s">
        <v>9</v>
      </c>
      <c r="F71" s="3">
        <v>39035</v>
      </c>
      <c r="G71" s="3">
        <v>39035</v>
      </c>
      <c r="H71" s="3">
        <v>43741</v>
      </c>
      <c r="I71" s="3">
        <v>43699</v>
      </c>
    </row>
    <row r="72" spans="2:9" x14ac:dyDescent="0.25">
      <c r="B72" s="2" t="str">
        <f>"29836#"</f>
        <v>29836#</v>
      </c>
      <c r="C72" s="2" t="str">
        <f>"TWO-30-S"</f>
        <v>TWO-30-S</v>
      </c>
      <c r="D72" s="1" t="str">
        <f>"Otolift model G"</f>
        <v>Otolift model G</v>
      </c>
      <c r="E72" s="1" t="s">
        <v>7</v>
      </c>
      <c r="F72" s="3">
        <v>34795</v>
      </c>
      <c r="G72" s="3">
        <v>34795</v>
      </c>
      <c r="H72" s="3" t="str">
        <f>""</f>
        <v/>
      </c>
      <c r="I72" s="3" t="str">
        <f>""</f>
        <v/>
      </c>
    </row>
    <row r="73" spans="2:9" x14ac:dyDescent="0.25">
      <c r="B73" s="2" t="str">
        <f>"091962#"</f>
        <v>091962#</v>
      </c>
      <c r="C73" s="2" t="str">
        <f>"TWO-85"</f>
        <v>TWO-85</v>
      </c>
      <c r="D73" s="1" t="str">
        <f>"Otolift met Flexirail® model G"</f>
        <v>Otolift met Flexirail® model G</v>
      </c>
      <c r="E73" s="1" t="s">
        <v>7</v>
      </c>
      <c r="F73" s="3">
        <v>39036</v>
      </c>
      <c r="G73" s="3">
        <v>39036</v>
      </c>
      <c r="H73" s="3">
        <v>43420</v>
      </c>
      <c r="I73" s="3">
        <v>43785</v>
      </c>
    </row>
    <row r="74" spans="2:9" x14ac:dyDescent="0.25">
      <c r="B74" s="2" t="str">
        <f>"092080#"</f>
        <v>092080#</v>
      </c>
      <c r="C74" s="2" t="str">
        <f>"TWO-85"</f>
        <v>TWO-85</v>
      </c>
      <c r="D74" s="1" t="str">
        <f>"Otolift met Flexirail® model B"</f>
        <v>Otolift met Flexirail® model B</v>
      </c>
      <c r="E74" s="1" t="s">
        <v>9</v>
      </c>
      <c r="F74" s="3">
        <v>39052</v>
      </c>
      <c r="G74" s="3">
        <v>39052</v>
      </c>
      <c r="H74" s="3">
        <v>43784</v>
      </c>
      <c r="I74" s="3">
        <v>43470</v>
      </c>
    </row>
    <row r="75" spans="2:9" x14ac:dyDescent="0.25">
      <c r="B75" s="2" t="str">
        <f>"092081#"</f>
        <v>092081#</v>
      </c>
      <c r="C75" s="2" t="str">
        <f>"TWO-85"</f>
        <v>TWO-85</v>
      </c>
      <c r="D75" s="1" t="str">
        <f>"Otolift met Flexirail® model G"</f>
        <v>Otolift met Flexirail® model G</v>
      </c>
      <c r="E75" s="1" t="s">
        <v>7</v>
      </c>
      <c r="F75" s="3">
        <v>39052</v>
      </c>
      <c r="G75" s="3">
        <v>40554</v>
      </c>
      <c r="H75" s="3">
        <v>43780</v>
      </c>
      <c r="I75" s="3">
        <v>43586</v>
      </c>
    </row>
    <row r="76" spans="2:9" x14ac:dyDescent="0.25">
      <c r="B76" s="2" t="str">
        <f>"092145#"</f>
        <v>092145#</v>
      </c>
      <c r="C76" s="2" t="str">
        <f>"TWO-86-S"</f>
        <v>TWO-86-S</v>
      </c>
      <c r="D76" s="1" t="str">
        <f>"Otolift met Flexirail® model B"</f>
        <v>Otolift met Flexirail® model B</v>
      </c>
      <c r="E76" s="1" t="s">
        <v>9</v>
      </c>
      <c r="F76" s="3">
        <v>39099</v>
      </c>
      <c r="G76" s="3">
        <v>40757</v>
      </c>
      <c r="H76" s="3">
        <v>43488</v>
      </c>
      <c r="I76" s="3">
        <v>43853</v>
      </c>
    </row>
    <row r="77" spans="2:9" x14ac:dyDescent="0.25">
      <c r="B77" s="2" t="str">
        <f>"092258#"</f>
        <v>092258#</v>
      </c>
      <c r="C77" s="2" t="str">
        <f>"TWO-85"</f>
        <v>TWO-85</v>
      </c>
      <c r="D77" s="1" t="str">
        <f>"Otolift met Flexirail® model G"</f>
        <v>Otolift met Flexirail® model G</v>
      </c>
      <c r="E77" s="1" t="s">
        <v>7</v>
      </c>
      <c r="F77" s="3">
        <v>39087</v>
      </c>
      <c r="G77" s="3">
        <v>39087</v>
      </c>
      <c r="H77" s="3">
        <v>43731</v>
      </c>
      <c r="I77" s="3">
        <v>44038</v>
      </c>
    </row>
    <row r="78" spans="2:9" x14ac:dyDescent="0.25">
      <c r="B78" s="2" t="str">
        <f>"092273#"</f>
        <v>092273#</v>
      </c>
      <c r="C78" s="2" t="str">
        <f>"TWO-85-S"</f>
        <v>TWO-85-S</v>
      </c>
      <c r="D78" s="1" t="str">
        <f>"Otolift met Flexirail® model G"</f>
        <v>Otolift met Flexirail® model G</v>
      </c>
      <c r="E78" s="1" t="s">
        <v>7</v>
      </c>
      <c r="F78" s="3">
        <v>39056</v>
      </c>
      <c r="G78" s="3">
        <v>39056</v>
      </c>
      <c r="H78" s="3">
        <v>43412</v>
      </c>
      <c r="I78" s="3">
        <v>43777</v>
      </c>
    </row>
    <row r="79" spans="2:9" x14ac:dyDescent="0.25">
      <c r="B79" s="2" t="str">
        <f>"092361#"</f>
        <v>092361#</v>
      </c>
      <c r="C79" s="2" t="str">
        <f>"TWO-85"</f>
        <v>TWO-85</v>
      </c>
      <c r="D79" s="1" t="str">
        <f>"Otolift met Flexirail® model A"</f>
        <v>Otolift met Flexirail® model A</v>
      </c>
      <c r="E79" s="1" t="s">
        <v>8</v>
      </c>
      <c r="F79" s="3">
        <v>39066</v>
      </c>
      <c r="G79" s="3">
        <v>40898</v>
      </c>
      <c r="H79" s="3">
        <v>43129</v>
      </c>
      <c r="I79" s="3">
        <v>43494</v>
      </c>
    </row>
    <row r="80" spans="2:9" x14ac:dyDescent="0.25">
      <c r="B80" s="2" t="str">
        <f>"092470#"</f>
        <v>092470#</v>
      </c>
      <c r="C80" s="2" t="str">
        <f>"TWO-85"</f>
        <v>TWO-85</v>
      </c>
      <c r="D80" s="1" t="str">
        <f>"Otolift met Flexirail® model B"</f>
        <v>Otolift met Flexirail® model B</v>
      </c>
      <c r="E80" s="1" t="s">
        <v>9</v>
      </c>
      <c r="F80" s="3">
        <v>39086</v>
      </c>
      <c r="G80" s="3">
        <v>39224</v>
      </c>
      <c r="H80" s="3">
        <v>43676</v>
      </c>
      <c r="I80" s="3">
        <v>44021</v>
      </c>
    </row>
    <row r="81" spans="2:9" x14ac:dyDescent="0.25">
      <c r="B81" s="2" t="str">
        <f>"41891#"</f>
        <v>41891#</v>
      </c>
      <c r="C81" s="2" t="str">
        <f>"TWO-41"</f>
        <v>TWO-41</v>
      </c>
      <c r="D81" s="1" t="str">
        <f>"Otolift met Flexirail® model B"</f>
        <v>Otolift met Flexirail® model B</v>
      </c>
      <c r="E81" s="1" t="s">
        <v>9</v>
      </c>
      <c r="F81" s="3">
        <v>35940</v>
      </c>
      <c r="G81" s="3">
        <v>35940</v>
      </c>
      <c r="H81" s="3" t="str">
        <f>""</f>
        <v/>
      </c>
      <c r="I81" s="3" t="str">
        <f>""</f>
        <v/>
      </c>
    </row>
    <row r="82" spans="2:9" x14ac:dyDescent="0.25">
      <c r="B82" s="2" t="str">
        <f>"128859#"</f>
        <v>128859#</v>
      </c>
      <c r="C82" s="2" t="str">
        <f>"AIR-6040"</f>
        <v>AIR-6040</v>
      </c>
      <c r="D82" s="1" t="str">
        <f>"Otolift AIR"</f>
        <v>Otolift AIR</v>
      </c>
      <c r="E82" s="1" t="s">
        <v>11</v>
      </c>
      <c r="F82" s="3">
        <v>42629</v>
      </c>
      <c r="G82" s="3">
        <v>42629</v>
      </c>
      <c r="H82" s="3">
        <v>43672</v>
      </c>
      <c r="I82" s="3">
        <v>43537</v>
      </c>
    </row>
    <row r="83" spans="2:9" x14ac:dyDescent="0.25">
      <c r="B83" s="2" t="str">
        <f>"129774#"</f>
        <v>129774#</v>
      </c>
      <c r="C83" s="2" t="str">
        <f>"AIR-6040"</f>
        <v>AIR-6040</v>
      </c>
      <c r="D83" s="1" t="str">
        <f>"Otolift AIR"</f>
        <v>Otolift AIR</v>
      </c>
      <c r="E83" s="1" t="s">
        <v>11</v>
      </c>
      <c r="F83" s="3">
        <v>42664</v>
      </c>
      <c r="G83" s="3">
        <v>42664</v>
      </c>
      <c r="H83" s="3">
        <v>43602</v>
      </c>
      <c r="I83" s="3">
        <v>43775</v>
      </c>
    </row>
    <row r="84" spans="2:9" x14ac:dyDescent="0.25">
      <c r="B84" s="2" t="str">
        <f>"50242A"</f>
        <v>50242A</v>
      </c>
      <c r="C84" s="2" t="str">
        <f>"TWO-42-S"</f>
        <v>TWO-42-S</v>
      </c>
      <c r="D84" s="1" t="str">
        <f>"Hergebruik Flexirail® model G"</f>
        <v>Hergebruik Flexirail® model G</v>
      </c>
      <c r="E84" s="1" t="s">
        <v>7</v>
      </c>
      <c r="F84" s="3">
        <v>36488</v>
      </c>
      <c r="G84" s="3">
        <v>36488</v>
      </c>
      <c r="H84" s="3" t="str">
        <f>""</f>
        <v/>
      </c>
      <c r="I84" s="3" t="str">
        <f>""</f>
        <v/>
      </c>
    </row>
    <row r="85" spans="2:9" x14ac:dyDescent="0.25">
      <c r="B85" s="2" t="str">
        <f>"117658#"</f>
        <v>117658#</v>
      </c>
      <c r="C85" s="2" t="str">
        <f>"AIR-6050-R"</f>
        <v>AIR-6050-R</v>
      </c>
      <c r="D85" s="1" t="str">
        <f>"Hergebruik Otolift AIR"</f>
        <v>Hergebruik Otolift AIR</v>
      </c>
      <c r="E85" s="1" t="s">
        <v>11</v>
      </c>
      <c r="F85" s="3">
        <v>41333</v>
      </c>
      <c r="G85" s="3">
        <v>42885</v>
      </c>
      <c r="H85" s="3">
        <v>43263</v>
      </c>
      <c r="I85" s="3">
        <v>43628</v>
      </c>
    </row>
    <row r="86" spans="2:9" x14ac:dyDescent="0.25">
      <c r="B86" s="2" t="str">
        <f>"54956#"</f>
        <v>54956#</v>
      </c>
      <c r="C86" s="2" t="str">
        <f>"TWO-45-S"</f>
        <v>TWO-45-S</v>
      </c>
      <c r="D86" s="1" t="str">
        <f>"Otolift met Flexirail® model C"</f>
        <v>Otolift met Flexirail® model C</v>
      </c>
      <c r="E86" s="1" t="s">
        <v>9</v>
      </c>
      <c r="F86" s="3">
        <v>36833</v>
      </c>
      <c r="G86" s="3">
        <v>36833</v>
      </c>
      <c r="H86" s="3" t="str">
        <f>""</f>
        <v/>
      </c>
      <c r="I86" s="3" t="str">
        <f>""</f>
        <v/>
      </c>
    </row>
    <row r="87" spans="2:9" x14ac:dyDescent="0.25">
      <c r="B87" s="2" t="str">
        <f>"093026#"</f>
        <v>093026#</v>
      </c>
      <c r="C87" s="2" t="str">
        <f>"TWO-85"</f>
        <v>TWO-85</v>
      </c>
      <c r="D87" s="1" t="str">
        <f>"Hergebruik Flexirail® model H"</f>
        <v>Hergebruik Flexirail® model H</v>
      </c>
      <c r="E87" s="1" t="s">
        <v>7</v>
      </c>
      <c r="F87" s="3">
        <v>39160</v>
      </c>
      <c r="G87" s="3">
        <v>41408</v>
      </c>
      <c r="H87" s="3">
        <v>43329</v>
      </c>
      <c r="I87" s="3">
        <v>43694</v>
      </c>
    </row>
    <row r="88" spans="2:9" x14ac:dyDescent="0.25">
      <c r="B88" s="2" t="str">
        <f>"093215#"</f>
        <v>093215#</v>
      </c>
      <c r="C88" s="2" t="str">
        <f>"TWO-85"</f>
        <v>TWO-85</v>
      </c>
      <c r="D88" s="1" t="str">
        <f>"Otolift met Flexirail® model G"</f>
        <v>Otolift met Flexirail® model G</v>
      </c>
      <c r="E88" s="1" t="s">
        <v>7</v>
      </c>
      <c r="F88" s="3">
        <v>39141</v>
      </c>
      <c r="G88" s="3">
        <v>41291</v>
      </c>
      <c r="H88" s="3">
        <v>43599</v>
      </c>
      <c r="I88" s="3">
        <v>43965</v>
      </c>
    </row>
    <row r="89" spans="2:9" x14ac:dyDescent="0.25">
      <c r="B89" s="2" t="str">
        <f>"127929#"</f>
        <v>127929#</v>
      </c>
      <c r="C89" s="2" t="str">
        <f>"AIR-6050-R"</f>
        <v>AIR-6050-R</v>
      </c>
      <c r="D89" s="1" t="str">
        <f>"Hergebruik Otolift AIR"</f>
        <v>Hergebruik Otolift AIR</v>
      </c>
      <c r="E89" s="1" t="s">
        <v>11</v>
      </c>
      <c r="F89" s="3">
        <v>42517</v>
      </c>
      <c r="G89" s="3">
        <v>42857</v>
      </c>
      <c r="H89" s="3">
        <v>43746</v>
      </c>
      <c r="I89" s="3">
        <v>43614</v>
      </c>
    </row>
    <row r="90" spans="2:9" x14ac:dyDescent="0.25">
      <c r="B90" s="2" t="str">
        <f>"093333#"</f>
        <v>093333#</v>
      </c>
      <c r="C90" s="2" t="str">
        <f>"TWO-85"</f>
        <v>TWO-85</v>
      </c>
      <c r="D90" s="1" t="str">
        <f>"Otolift met Flexirail® model B"</f>
        <v>Otolift met Flexirail® model B</v>
      </c>
      <c r="E90" s="1" t="s">
        <v>9</v>
      </c>
      <c r="F90" s="3">
        <v>39293</v>
      </c>
      <c r="G90" s="3">
        <v>39625</v>
      </c>
      <c r="H90" s="3">
        <v>43564</v>
      </c>
      <c r="I90" s="3">
        <v>43930</v>
      </c>
    </row>
    <row r="91" spans="2:9" x14ac:dyDescent="0.25">
      <c r="B91" s="2" t="str">
        <f>"093388#"</f>
        <v>093388#</v>
      </c>
      <c r="C91" s="2" t="str">
        <f>"TWO-85"</f>
        <v>TWO-85</v>
      </c>
      <c r="D91" s="1" t="str">
        <f>"Otolift met Flexirail® model A"</f>
        <v>Otolift met Flexirail® model A</v>
      </c>
      <c r="E91" s="1" t="s">
        <v>8</v>
      </c>
      <c r="F91" s="3">
        <v>39203</v>
      </c>
      <c r="G91" s="3">
        <v>39203</v>
      </c>
      <c r="H91" s="3">
        <v>43291</v>
      </c>
      <c r="I91" s="3">
        <v>43473</v>
      </c>
    </row>
    <row r="92" spans="2:9" x14ac:dyDescent="0.25">
      <c r="B92" s="2" t="str">
        <f>"130662#"</f>
        <v>130662#</v>
      </c>
      <c r="C92" s="2" t="str">
        <f>"AIR-6050-R"</f>
        <v>AIR-6050-R</v>
      </c>
      <c r="D92" s="1" t="str">
        <f>"Otolift AIR"</f>
        <v>Otolift AIR</v>
      </c>
      <c r="E92" s="1" t="s">
        <v>11</v>
      </c>
      <c r="F92" s="3">
        <v>42776</v>
      </c>
      <c r="G92" s="3">
        <v>42776</v>
      </c>
      <c r="H92" s="3">
        <v>43521</v>
      </c>
      <c r="I92" s="3">
        <v>43886</v>
      </c>
    </row>
    <row r="93" spans="2:9" x14ac:dyDescent="0.25">
      <c r="B93" s="2" t="str">
        <f>"093498#"</f>
        <v>093498#</v>
      </c>
      <c r="C93" s="2" t="str">
        <f>"TWO-85"</f>
        <v>TWO-85</v>
      </c>
      <c r="D93" s="1" t="str">
        <f>"Otolift met Flexirail® model G"</f>
        <v>Otolift met Flexirail® model G</v>
      </c>
      <c r="E93" s="1" t="s">
        <v>7</v>
      </c>
      <c r="F93" s="3">
        <v>39168</v>
      </c>
      <c r="G93" s="3">
        <v>41291</v>
      </c>
      <c r="H93" s="3">
        <v>43416</v>
      </c>
      <c r="I93" s="3">
        <v>43781</v>
      </c>
    </row>
    <row r="94" spans="2:9" x14ac:dyDescent="0.25">
      <c r="B94" s="2" t="str">
        <f>"69059#"</f>
        <v>69059#</v>
      </c>
      <c r="C94" s="2" t="str">
        <f>"TWO-81"</f>
        <v>TWO-81</v>
      </c>
      <c r="D94" s="1" t="str">
        <f>"Otolift met Flexirail® model B"</f>
        <v>Otolift met Flexirail® model B</v>
      </c>
      <c r="E94" s="1" t="s">
        <v>9</v>
      </c>
      <c r="F94" s="3">
        <v>37705</v>
      </c>
      <c r="G94" s="3">
        <v>37705</v>
      </c>
      <c r="H94" s="3" t="str">
        <f>""</f>
        <v/>
      </c>
      <c r="I94" s="3" t="str">
        <f>""</f>
        <v/>
      </c>
    </row>
    <row r="95" spans="2:9" x14ac:dyDescent="0.25">
      <c r="B95" s="2" t="str">
        <f>"093552#"</f>
        <v>093552#</v>
      </c>
      <c r="C95" s="2" t="str">
        <f>"TWO-86"</f>
        <v>TWO-86</v>
      </c>
      <c r="D95" s="1" t="str">
        <f>"Otolift met Flexirail® model G"</f>
        <v>Otolift met Flexirail® model G</v>
      </c>
      <c r="E95" s="1" t="s">
        <v>7</v>
      </c>
      <c r="F95" s="3">
        <v>39197</v>
      </c>
      <c r="G95" s="3">
        <v>40550</v>
      </c>
      <c r="H95" s="3">
        <v>43546</v>
      </c>
      <c r="I95" s="3">
        <v>43912</v>
      </c>
    </row>
    <row r="96" spans="2:9" x14ac:dyDescent="0.25">
      <c r="B96" s="2" t="str">
        <f>"093618#"</f>
        <v>093618#</v>
      </c>
      <c r="C96" s="2" t="str">
        <f t="shared" ref="C96:C102" si="0">"TWO-85"</f>
        <v>TWO-85</v>
      </c>
      <c r="D96" s="1" t="str">
        <f>"Otolift met Flexirail® model B"</f>
        <v>Otolift met Flexirail® model B</v>
      </c>
      <c r="E96" s="1" t="s">
        <v>9</v>
      </c>
      <c r="F96" s="3">
        <v>39171</v>
      </c>
      <c r="G96" s="3">
        <v>39171</v>
      </c>
      <c r="H96" s="3">
        <v>43514</v>
      </c>
      <c r="I96" s="3">
        <v>43879</v>
      </c>
    </row>
    <row r="97" spans="2:9" x14ac:dyDescent="0.25">
      <c r="B97" s="2" t="str">
        <f>"86924#"</f>
        <v>86924#</v>
      </c>
      <c r="C97" s="2" t="str">
        <f t="shared" si="0"/>
        <v>TWO-85</v>
      </c>
      <c r="D97" s="1" t="str">
        <f>"Otolift met Flexirail® model A"</f>
        <v>Otolift met Flexirail® model A</v>
      </c>
      <c r="E97" s="1" t="s">
        <v>8</v>
      </c>
      <c r="F97" s="3">
        <v>38657</v>
      </c>
      <c r="G97" s="3">
        <v>38657</v>
      </c>
      <c r="H97" s="3" t="str">
        <f>""</f>
        <v/>
      </c>
      <c r="I97" s="3" t="str">
        <f>""</f>
        <v/>
      </c>
    </row>
    <row r="98" spans="2:9" x14ac:dyDescent="0.25">
      <c r="B98" s="2" t="str">
        <f>"093818#"</f>
        <v>093818#</v>
      </c>
      <c r="C98" s="2" t="str">
        <f t="shared" si="0"/>
        <v>TWO-85</v>
      </c>
      <c r="D98" s="1" t="str">
        <f>"Otolift met Flexirail® model B"</f>
        <v>Otolift met Flexirail® model B</v>
      </c>
      <c r="E98" s="1" t="s">
        <v>9</v>
      </c>
      <c r="F98" s="3">
        <v>39196</v>
      </c>
      <c r="G98" s="3">
        <v>39196</v>
      </c>
      <c r="H98" s="3">
        <v>43732</v>
      </c>
      <c r="I98" s="3">
        <v>43718</v>
      </c>
    </row>
    <row r="99" spans="2:9" x14ac:dyDescent="0.25">
      <c r="B99" s="2" t="str">
        <f>"093835#"</f>
        <v>093835#</v>
      </c>
      <c r="C99" s="2" t="str">
        <f t="shared" si="0"/>
        <v>TWO-85</v>
      </c>
      <c r="D99" s="1" t="str">
        <f>"Otolift met Flexirail® model C"</f>
        <v>Otolift met Flexirail® model C</v>
      </c>
      <c r="E99" s="1" t="s">
        <v>9</v>
      </c>
      <c r="F99" s="3">
        <v>39216</v>
      </c>
      <c r="G99" s="3">
        <v>41613</v>
      </c>
      <c r="H99" s="3">
        <v>43710</v>
      </c>
      <c r="I99" s="3">
        <v>43566</v>
      </c>
    </row>
    <row r="100" spans="2:9" x14ac:dyDescent="0.25">
      <c r="B100" s="2" t="str">
        <f>"093843#"</f>
        <v>093843#</v>
      </c>
      <c r="C100" s="2" t="str">
        <f t="shared" si="0"/>
        <v>TWO-85</v>
      </c>
      <c r="D100" s="1" t="str">
        <f>"Otolift met Flexirail® model C"</f>
        <v>Otolift met Flexirail® model C</v>
      </c>
      <c r="E100" s="1" t="s">
        <v>9</v>
      </c>
      <c r="F100" s="3">
        <v>39259</v>
      </c>
      <c r="G100" s="3">
        <v>39259</v>
      </c>
      <c r="H100" s="3">
        <v>43768</v>
      </c>
      <c r="I100" s="3">
        <v>43754</v>
      </c>
    </row>
    <row r="101" spans="2:9" x14ac:dyDescent="0.25">
      <c r="B101" s="2" t="str">
        <f>"093875#"</f>
        <v>093875#</v>
      </c>
      <c r="C101" s="2" t="str">
        <f t="shared" si="0"/>
        <v>TWO-85</v>
      </c>
      <c r="D101" s="1" t="str">
        <f>"Otolift met Flexirail® model C"</f>
        <v>Otolift met Flexirail® model C</v>
      </c>
      <c r="E101" s="1" t="s">
        <v>9</v>
      </c>
      <c r="F101" s="3">
        <v>39225</v>
      </c>
      <c r="G101" s="3">
        <v>39225</v>
      </c>
      <c r="H101" s="3">
        <v>43781</v>
      </c>
      <c r="I101" s="3">
        <v>43477</v>
      </c>
    </row>
    <row r="102" spans="2:9" x14ac:dyDescent="0.25">
      <c r="B102" s="2" t="str">
        <f>"093880#"</f>
        <v>093880#</v>
      </c>
      <c r="C102" s="2" t="str">
        <f t="shared" si="0"/>
        <v>TWO-85</v>
      </c>
      <c r="D102" s="1" t="str">
        <f>"Otolift met Flexirail® model C"</f>
        <v>Otolift met Flexirail® model C</v>
      </c>
      <c r="E102" s="1" t="s">
        <v>9</v>
      </c>
      <c r="F102" s="3">
        <v>39199</v>
      </c>
      <c r="G102" s="3">
        <v>39199</v>
      </c>
      <c r="H102" s="3">
        <v>43790</v>
      </c>
      <c r="I102" s="3">
        <v>43809</v>
      </c>
    </row>
    <row r="103" spans="2:9" x14ac:dyDescent="0.25">
      <c r="B103" s="2" t="str">
        <f>"TK120606A"</f>
        <v>TK120606A</v>
      </c>
      <c r="C103" s="2" t="str">
        <f>""</f>
        <v/>
      </c>
      <c r="D103" s="1" t="str">
        <f>"Derden"</f>
        <v>Derden</v>
      </c>
      <c r="E103" s="1" t="s">
        <v>10</v>
      </c>
      <c r="F103" s="3">
        <v>38880</v>
      </c>
      <c r="G103" s="3">
        <v>38880</v>
      </c>
      <c r="H103" s="3" t="str">
        <f>""</f>
        <v/>
      </c>
      <c r="I103" s="3" t="str">
        <f>""</f>
        <v/>
      </c>
    </row>
    <row r="104" spans="2:9" x14ac:dyDescent="0.25">
      <c r="B104" s="2" t="str">
        <f>"86463#"</f>
        <v>86463#</v>
      </c>
      <c r="C104" s="2" t="str">
        <f>"TWO-85"</f>
        <v>TWO-85</v>
      </c>
      <c r="D104" s="1" t="str">
        <f>"Otolift met Flexirail® model E"</f>
        <v>Otolift met Flexirail® model E</v>
      </c>
      <c r="E104" s="1" t="s">
        <v>9</v>
      </c>
      <c r="F104" s="3">
        <v>38637</v>
      </c>
      <c r="G104" s="3">
        <v>39475</v>
      </c>
      <c r="H104" s="3" t="str">
        <f>""</f>
        <v/>
      </c>
      <c r="I104" s="3" t="str">
        <f>""</f>
        <v/>
      </c>
    </row>
    <row r="105" spans="2:9" x14ac:dyDescent="0.25">
      <c r="B105" s="2" t="str">
        <f>"094262#"</f>
        <v>094262#</v>
      </c>
      <c r="C105" s="2" t="str">
        <f>"TWO-81"</f>
        <v>TWO-81</v>
      </c>
      <c r="D105" s="1" t="str">
        <f>"Otolift met Flexirail® model B"</f>
        <v>Otolift met Flexirail® model B</v>
      </c>
      <c r="E105" s="1" t="s">
        <v>9</v>
      </c>
      <c r="F105" s="3">
        <v>39280</v>
      </c>
      <c r="G105" s="3">
        <v>40589</v>
      </c>
      <c r="H105" s="3">
        <v>43756</v>
      </c>
      <c r="I105" s="3">
        <v>43754</v>
      </c>
    </row>
    <row r="106" spans="2:9" x14ac:dyDescent="0.25">
      <c r="B106" s="2" t="str">
        <f>"094265#"</f>
        <v>094265#</v>
      </c>
      <c r="C106" s="2" t="str">
        <f>"TWO-85"</f>
        <v>TWO-85</v>
      </c>
      <c r="D106" s="1" t="str">
        <f>"Otolift met Flexirail® model B"</f>
        <v>Otolift met Flexirail® model B</v>
      </c>
      <c r="E106" s="1" t="s">
        <v>9</v>
      </c>
      <c r="F106" s="3">
        <v>39280</v>
      </c>
      <c r="G106" s="3">
        <v>40599</v>
      </c>
      <c r="H106" s="3">
        <v>43479</v>
      </c>
      <c r="I106" s="3">
        <v>43844</v>
      </c>
    </row>
    <row r="107" spans="2:9" x14ac:dyDescent="0.25">
      <c r="B107" s="2" t="str">
        <f>"094279#"</f>
        <v>094279#</v>
      </c>
      <c r="C107" s="2" t="str">
        <f>"TWO-85"</f>
        <v>TWO-85</v>
      </c>
      <c r="D107" s="1" t="str">
        <f>"Otolift met Flexirail® model C"</f>
        <v>Otolift met Flexirail® model C</v>
      </c>
      <c r="E107" s="1" t="s">
        <v>9</v>
      </c>
      <c r="F107" s="3">
        <v>39268</v>
      </c>
      <c r="G107" s="3">
        <v>39268</v>
      </c>
      <c r="H107" s="3">
        <v>43523</v>
      </c>
      <c r="I107" s="3">
        <v>43888</v>
      </c>
    </row>
    <row r="108" spans="2:9" x14ac:dyDescent="0.25">
      <c r="B108" s="2" t="str">
        <f>"094325#"</f>
        <v>094325#</v>
      </c>
      <c r="C108" s="2" t="str">
        <f>"TWO-85-S"</f>
        <v>TWO-85-S</v>
      </c>
      <c r="D108" s="1" t="str">
        <f>"Otolift met Flexirail® model A"</f>
        <v>Otolift met Flexirail® model A</v>
      </c>
      <c r="E108" s="1" t="s">
        <v>8</v>
      </c>
      <c r="F108" s="3">
        <v>39398</v>
      </c>
      <c r="G108" s="3">
        <v>39398</v>
      </c>
      <c r="H108" s="3">
        <v>43724</v>
      </c>
      <c r="I108" s="3">
        <v>43495</v>
      </c>
    </row>
    <row r="109" spans="2:9" x14ac:dyDescent="0.25">
      <c r="B109" s="2" t="str">
        <f>"094362#"</f>
        <v>094362#</v>
      </c>
      <c r="C109" s="2" t="str">
        <f>"TWO-86-S"</f>
        <v>TWO-86-S</v>
      </c>
      <c r="D109" s="1" t="str">
        <f>"Otolift met Flexirail® model C"</f>
        <v>Otolift met Flexirail® model C</v>
      </c>
      <c r="E109" s="1" t="s">
        <v>9</v>
      </c>
      <c r="F109" s="3">
        <v>39526</v>
      </c>
      <c r="G109" s="3">
        <v>39526</v>
      </c>
      <c r="H109" s="3">
        <v>42676</v>
      </c>
      <c r="I109" s="3">
        <v>43041</v>
      </c>
    </row>
    <row r="110" spans="2:9" x14ac:dyDescent="0.25">
      <c r="B110" s="2" t="str">
        <f>"094370#"</f>
        <v>094370#</v>
      </c>
      <c r="C110" s="2" t="str">
        <f>"TWO-86"</f>
        <v>TWO-86</v>
      </c>
      <c r="D110" s="1" t="str">
        <f>"Otolift met Flexirail® model A"</f>
        <v>Otolift met Flexirail® model A</v>
      </c>
      <c r="E110" s="1" t="s">
        <v>8</v>
      </c>
      <c r="F110" s="3">
        <v>39526</v>
      </c>
      <c r="G110" s="3">
        <v>39526</v>
      </c>
      <c r="H110" s="3">
        <v>43402</v>
      </c>
      <c r="I110" s="3">
        <v>43767</v>
      </c>
    </row>
    <row r="111" spans="2:9" x14ac:dyDescent="0.25">
      <c r="B111" s="2" t="str">
        <f>"094506#"</f>
        <v>094506#</v>
      </c>
      <c r="C111" s="2" t="str">
        <f>"TWO-85-S"</f>
        <v>TWO-85-S</v>
      </c>
      <c r="D111" s="1" t="str">
        <f>"Otolift met Flexirail® model G"</f>
        <v>Otolift met Flexirail® model G</v>
      </c>
      <c r="E111" s="1" t="s">
        <v>7</v>
      </c>
      <c r="F111" s="3">
        <v>39259</v>
      </c>
      <c r="G111" s="3">
        <v>39259</v>
      </c>
      <c r="H111" s="3">
        <v>43426</v>
      </c>
      <c r="I111" s="3">
        <v>43791</v>
      </c>
    </row>
    <row r="112" spans="2:9" x14ac:dyDescent="0.25">
      <c r="B112" s="2" t="str">
        <f>"TK100309"</f>
        <v>TK100309</v>
      </c>
      <c r="C112" s="2" t="str">
        <f>""</f>
        <v/>
      </c>
      <c r="D112" s="1" t="str">
        <f>"Derden"</f>
        <v>Derden</v>
      </c>
      <c r="E112" s="1" t="s">
        <v>10</v>
      </c>
      <c r="F112" s="3">
        <v>39882</v>
      </c>
      <c r="G112" s="3">
        <v>39882</v>
      </c>
      <c r="H112" s="3" t="str">
        <f>""</f>
        <v/>
      </c>
      <c r="I112" s="3" t="str">
        <f>""</f>
        <v/>
      </c>
    </row>
    <row r="113" spans="2:9" x14ac:dyDescent="0.25">
      <c r="B113" s="2" t="str">
        <f>"103650#"</f>
        <v>103650#</v>
      </c>
      <c r="C113" s="2" t="str">
        <f>"TWO-B-87"</f>
        <v>TWO-B-87</v>
      </c>
      <c r="D113" s="1" t="str">
        <f>"Otolift met Flexirail® model B"</f>
        <v>Otolift met Flexirail® model B</v>
      </c>
      <c r="E113" s="1" t="s">
        <v>9</v>
      </c>
      <c r="F113" s="3">
        <v>40318</v>
      </c>
      <c r="G113" s="3">
        <v>40318</v>
      </c>
      <c r="H113" s="3" t="str">
        <f>""</f>
        <v/>
      </c>
      <c r="I113" s="3" t="str">
        <f>""</f>
        <v/>
      </c>
    </row>
    <row r="114" spans="2:9" x14ac:dyDescent="0.25">
      <c r="B114" s="2" t="str">
        <f>"111939#"</f>
        <v>111939#</v>
      </c>
      <c r="C114" s="2" t="str">
        <f>"TWO-A-150"</f>
        <v>TWO-A-150</v>
      </c>
      <c r="D114" s="1" t="str">
        <f>"Otolift met Flexirail® model A"</f>
        <v>Otolift met Flexirail® model A</v>
      </c>
      <c r="E114" s="1" t="s">
        <v>8</v>
      </c>
      <c r="F114" s="3">
        <v>40667</v>
      </c>
      <c r="G114" s="3">
        <v>40667</v>
      </c>
      <c r="H114" s="3" t="str">
        <f>""</f>
        <v/>
      </c>
      <c r="I114" s="3" t="str">
        <f>""</f>
        <v/>
      </c>
    </row>
    <row r="115" spans="2:9" x14ac:dyDescent="0.25">
      <c r="B115" s="2" t="str">
        <f>"094603#"</f>
        <v>094603#</v>
      </c>
      <c r="C115" s="2" t="str">
        <f>"TWO-86"</f>
        <v>TWO-86</v>
      </c>
      <c r="D115" s="1" t="str">
        <f>"Otolift met Flexirail® model G"</f>
        <v>Otolift met Flexirail® model G</v>
      </c>
      <c r="E115" s="1" t="s">
        <v>7</v>
      </c>
      <c r="F115" s="3">
        <v>39266</v>
      </c>
      <c r="G115" s="3">
        <v>41759</v>
      </c>
      <c r="H115" s="3">
        <v>43530</v>
      </c>
      <c r="I115" s="3">
        <v>43896</v>
      </c>
    </row>
    <row r="116" spans="2:9" x14ac:dyDescent="0.25">
      <c r="B116" s="2" t="str">
        <f>"096893#"</f>
        <v>096893#</v>
      </c>
      <c r="C116" s="2" t="str">
        <f>"TWO-81"</f>
        <v>TWO-81</v>
      </c>
      <c r="D116" s="1" t="str">
        <f>"Otolift met Flexirail® model A"</f>
        <v>Otolift met Flexirail® model A</v>
      </c>
      <c r="E116" s="1" t="s">
        <v>8</v>
      </c>
      <c r="F116" s="3">
        <v>39478</v>
      </c>
      <c r="G116" s="3">
        <v>40830</v>
      </c>
      <c r="H116" s="3" t="str">
        <f>""</f>
        <v/>
      </c>
      <c r="I116" s="3" t="str">
        <f>""</f>
        <v/>
      </c>
    </row>
    <row r="117" spans="2:9" x14ac:dyDescent="0.25">
      <c r="B117" s="2" t="str">
        <f>"114325#"</f>
        <v>114325#</v>
      </c>
      <c r="C117" s="2" t="str">
        <f>"TWO-D-87"</f>
        <v>TWO-D-87</v>
      </c>
      <c r="D117" s="1" t="str">
        <f>"Otolift TWO buitenbocht trap"</f>
        <v>Otolift TWO buitenbocht trap</v>
      </c>
      <c r="E117" s="1" t="s">
        <v>9</v>
      </c>
      <c r="F117" s="3">
        <v>40940</v>
      </c>
      <c r="G117" s="3">
        <v>40940</v>
      </c>
      <c r="H117" s="3" t="str">
        <f>""</f>
        <v/>
      </c>
      <c r="I117" s="3" t="str">
        <f>""</f>
        <v/>
      </c>
    </row>
    <row r="118" spans="2:9" x14ac:dyDescent="0.25">
      <c r="B118" s="2" t="str">
        <f>"114843#"</f>
        <v>114843#</v>
      </c>
      <c r="C118" s="2" t="str">
        <f>"MOD-A-6020-1"</f>
        <v>MOD-A-6020-1</v>
      </c>
      <c r="D118" s="1" t="str">
        <f>"Hergebruik Otolift Modul-AIR"</f>
        <v>Hergebruik Otolift Modul-AIR</v>
      </c>
      <c r="E118" s="1" t="s">
        <v>8</v>
      </c>
      <c r="F118" s="3">
        <v>40963</v>
      </c>
      <c r="G118" s="3">
        <v>42884</v>
      </c>
      <c r="H118" s="3">
        <v>43669</v>
      </c>
      <c r="I118" s="3">
        <v>43630</v>
      </c>
    </row>
    <row r="119" spans="2:9" x14ac:dyDescent="0.25">
      <c r="B119" s="2" t="str">
        <f>"094747#"</f>
        <v>094747#</v>
      </c>
      <c r="C119" s="2" t="str">
        <f>"TWO-85"</f>
        <v>TWO-85</v>
      </c>
      <c r="D119" s="1" t="str">
        <f>"Otolift met Flexirail® model B"</f>
        <v>Otolift met Flexirail® model B</v>
      </c>
      <c r="E119" s="1" t="s">
        <v>9</v>
      </c>
      <c r="F119" s="3">
        <v>39272</v>
      </c>
      <c r="G119" s="3">
        <v>39272</v>
      </c>
      <c r="H119" s="3">
        <v>43780</v>
      </c>
      <c r="I119" s="3">
        <v>43648</v>
      </c>
    </row>
    <row r="120" spans="2:9" x14ac:dyDescent="0.25">
      <c r="B120" s="2" t="str">
        <f>"094748#"</f>
        <v>094748#</v>
      </c>
      <c r="C120" s="2" t="str">
        <f>"TWO-85"</f>
        <v>TWO-85</v>
      </c>
      <c r="D120" s="1" t="str">
        <f>"Otolift met Flexirail® model C"</f>
        <v>Otolift met Flexirail® model C</v>
      </c>
      <c r="E120" s="1" t="s">
        <v>9</v>
      </c>
      <c r="F120" s="3">
        <v>39272</v>
      </c>
      <c r="G120" s="3">
        <v>39272</v>
      </c>
      <c r="H120" s="3">
        <v>43780</v>
      </c>
      <c r="I120" s="3">
        <v>43489</v>
      </c>
    </row>
    <row r="121" spans="2:9" x14ac:dyDescent="0.25">
      <c r="B121" s="2" t="str">
        <f>"114919#"</f>
        <v>114919#</v>
      </c>
      <c r="C121" s="2" t="str">
        <f>"TWO-G-87"</f>
        <v>TWO-G-87</v>
      </c>
      <c r="D121" s="1" t="str">
        <f>"Otolift TWO buitenbocht trap"</f>
        <v>Otolift TWO buitenbocht trap</v>
      </c>
      <c r="E121" s="1" t="s">
        <v>7</v>
      </c>
      <c r="F121" s="3">
        <v>40994</v>
      </c>
      <c r="G121" s="3">
        <v>40994</v>
      </c>
      <c r="H121" s="3" t="str">
        <f>""</f>
        <v/>
      </c>
      <c r="I121" s="3" t="str">
        <f>""</f>
        <v/>
      </c>
    </row>
    <row r="122" spans="2:9" x14ac:dyDescent="0.25">
      <c r="B122" s="2" t="str">
        <f>"095010#"</f>
        <v>095010#</v>
      </c>
      <c r="C122" s="2" t="str">
        <f>"TWO-86"</f>
        <v>TWO-86</v>
      </c>
      <c r="D122" s="1" t="str">
        <f>"Otolift met Flexirail® model B"</f>
        <v>Otolift met Flexirail® model B</v>
      </c>
      <c r="E122" s="1" t="s">
        <v>9</v>
      </c>
      <c r="F122" s="3">
        <v>39489</v>
      </c>
      <c r="G122" s="3">
        <v>39489</v>
      </c>
      <c r="H122" s="3">
        <v>43789</v>
      </c>
      <c r="I122" s="3">
        <v>43495</v>
      </c>
    </row>
    <row r="123" spans="2:9" x14ac:dyDescent="0.25">
      <c r="B123" s="2" t="str">
        <f>"115674#"</f>
        <v>115674#</v>
      </c>
      <c r="C123" s="2" t="str">
        <f>"TWO-B-150"</f>
        <v>TWO-B-150</v>
      </c>
      <c r="D123" s="1" t="str">
        <f>"Otolift TWO buitenbocht trap"</f>
        <v>Otolift TWO buitenbocht trap</v>
      </c>
      <c r="E123" s="1" t="s">
        <v>9</v>
      </c>
      <c r="F123" s="3">
        <v>41086</v>
      </c>
      <c r="G123" s="3">
        <v>41086</v>
      </c>
      <c r="H123" s="3" t="str">
        <f>""</f>
        <v/>
      </c>
      <c r="I123" s="3" t="str">
        <f>""</f>
        <v/>
      </c>
    </row>
    <row r="124" spans="2:9" x14ac:dyDescent="0.25">
      <c r="B124" s="2" t="str">
        <f>"116100#"</f>
        <v>116100#</v>
      </c>
      <c r="C124" s="2" t="str">
        <f>"TWO-G-87"</f>
        <v>TWO-G-87</v>
      </c>
      <c r="D124" s="1" t="str">
        <f>"Otolift TWO buitenbocht trap"</f>
        <v>Otolift TWO buitenbocht trap</v>
      </c>
      <c r="E124" s="1" t="s">
        <v>7</v>
      </c>
      <c r="F124" s="3">
        <v>41163</v>
      </c>
      <c r="G124" s="3">
        <v>41163</v>
      </c>
      <c r="H124" s="3" t="str">
        <f>""</f>
        <v/>
      </c>
      <c r="I124" s="3" t="str">
        <f>""</f>
        <v/>
      </c>
    </row>
    <row r="125" spans="2:9" x14ac:dyDescent="0.25">
      <c r="B125" s="2" t="str">
        <f>"095153#"</f>
        <v>095153#</v>
      </c>
      <c r="C125" s="2" t="str">
        <f>"TWO-86"</f>
        <v>TWO-86</v>
      </c>
      <c r="D125" s="1" t="str">
        <f>"Otolift met Flexirail® model B"</f>
        <v>Otolift met Flexirail® model B</v>
      </c>
      <c r="E125" s="1" t="s">
        <v>9</v>
      </c>
      <c r="F125" s="3">
        <v>39342</v>
      </c>
      <c r="G125" s="3">
        <v>41655</v>
      </c>
      <c r="H125" s="3">
        <v>43522</v>
      </c>
      <c r="I125" s="3">
        <v>43887</v>
      </c>
    </row>
    <row r="126" spans="2:9" x14ac:dyDescent="0.25">
      <c r="B126" s="2" t="str">
        <f>"095245#"</f>
        <v>095245#</v>
      </c>
      <c r="C126" s="2" t="str">
        <f>"TWO-85"</f>
        <v>TWO-85</v>
      </c>
      <c r="D126" s="1" t="str">
        <f>"Otolift met Flexirail® model G"</f>
        <v>Otolift met Flexirail® model G</v>
      </c>
      <c r="E126" s="1" t="s">
        <v>7</v>
      </c>
      <c r="F126" s="3">
        <v>39342</v>
      </c>
      <c r="G126" s="3">
        <v>39342</v>
      </c>
      <c r="H126" s="3">
        <v>43797</v>
      </c>
      <c r="I126" s="3">
        <v>43480</v>
      </c>
    </row>
    <row r="127" spans="2:9" x14ac:dyDescent="0.25">
      <c r="B127" s="2" t="str">
        <f>"115043#"</f>
        <v>115043#</v>
      </c>
      <c r="C127" s="2" t="str">
        <f>"TWO-B-87"</f>
        <v>TWO-B-87</v>
      </c>
      <c r="D127" s="1" t="str">
        <f>"Otolift TWO buitenbocht trap"</f>
        <v>Otolift TWO buitenbocht trap</v>
      </c>
      <c r="E127" s="1" t="s">
        <v>9</v>
      </c>
      <c r="F127" s="3">
        <v>41295</v>
      </c>
      <c r="G127" s="3">
        <v>41295</v>
      </c>
      <c r="H127" s="3" t="str">
        <f>""</f>
        <v/>
      </c>
      <c r="I127" s="3" t="str">
        <f>""</f>
        <v/>
      </c>
    </row>
    <row r="128" spans="2:9" x14ac:dyDescent="0.25">
      <c r="B128" s="2" t="str">
        <f>"109400#"</f>
        <v>109400#</v>
      </c>
      <c r="C128" s="2" t="str">
        <f>"MOD-A-6040-1"</f>
        <v>MOD-A-6040-1</v>
      </c>
      <c r="D128" s="1" t="str">
        <f>"Hergebruik Otolift Modul-AIR buitenbocht"</f>
        <v>Hergebruik Otolift Modul-AIR buitenbocht</v>
      </c>
      <c r="E128" s="1" t="s">
        <v>8</v>
      </c>
      <c r="F128" s="3">
        <v>40479</v>
      </c>
      <c r="G128" s="3">
        <v>42915</v>
      </c>
      <c r="H128" s="3">
        <v>43725</v>
      </c>
      <c r="I128" s="3">
        <v>43798</v>
      </c>
    </row>
    <row r="129" spans="2:9" x14ac:dyDescent="0.25">
      <c r="B129" s="2" t="str">
        <f>"095324#"</f>
        <v>095324#</v>
      </c>
      <c r="C129" s="2" t="str">
        <f>"TWO-85"</f>
        <v>TWO-85</v>
      </c>
      <c r="D129" s="1" t="str">
        <f>"Otolift met Flexirail® model B"</f>
        <v>Otolift met Flexirail® model B</v>
      </c>
      <c r="E129" s="1" t="s">
        <v>9</v>
      </c>
      <c r="F129" s="3">
        <v>39335</v>
      </c>
      <c r="G129" s="3">
        <v>41176</v>
      </c>
      <c r="H129" s="3">
        <v>43600</v>
      </c>
      <c r="I129" s="3">
        <v>43966</v>
      </c>
    </row>
    <row r="130" spans="2:9" x14ac:dyDescent="0.25">
      <c r="B130" s="2" t="str">
        <f>"095325#"</f>
        <v>095325#</v>
      </c>
      <c r="C130" s="2" t="str">
        <f>"TWO-85-S"</f>
        <v>TWO-85-S</v>
      </c>
      <c r="D130" s="1" t="str">
        <f>"Otolift met Flexirail® model G"</f>
        <v>Otolift met Flexirail® model G</v>
      </c>
      <c r="E130" s="1" t="s">
        <v>7</v>
      </c>
      <c r="F130" s="3">
        <v>39346</v>
      </c>
      <c r="G130" s="3">
        <v>39346</v>
      </c>
      <c r="H130" s="3">
        <v>43116</v>
      </c>
      <c r="I130" s="3">
        <v>43481</v>
      </c>
    </row>
    <row r="131" spans="2:9" x14ac:dyDescent="0.25">
      <c r="B131" s="2" t="str">
        <f>"095348#"</f>
        <v>095348#</v>
      </c>
      <c r="C131" s="2" t="str">
        <f>"TWO-85"</f>
        <v>TWO-85</v>
      </c>
      <c r="D131" s="1" t="str">
        <f>"Otolift met Flexirail® model B"</f>
        <v>Otolift met Flexirail® model B</v>
      </c>
      <c r="E131" s="1" t="s">
        <v>9</v>
      </c>
      <c r="F131" s="3">
        <v>39344</v>
      </c>
      <c r="G131" s="3">
        <v>39344</v>
      </c>
      <c r="H131" s="3">
        <v>43684</v>
      </c>
      <c r="I131" s="3">
        <v>43894</v>
      </c>
    </row>
    <row r="132" spans="2:9" x14ac:dyDescent="0.25">
      <c r="B132" s="2" t="str">
        <f>"117407#"</f>
        <v>117407#</v>
      </c>
      <c r="C132" s="2" t="str">
        <f>"TWO-C-150"</f>
        <v>TWO-C-150</v>
      </c>
      <c r="D132" s="1" t="str">
        <f>"Otolift TWO buitenbocht trap"</f>
        <v>Otolift TWO buitenbocht trap</v>
      </c>
      <c r="E132" s="1" t="s">
        <v>9</v>
      </c>
      <c r="F132" s="3">
        <v>41304</v>
      </c>
      <c r="G132" s="3">
        <v>41304</v>
      </c>
      <c r="H132" s="3" t="str">
        <f>""</f>
        <v/>
      </c>
      <c r="I132" s="3" t="str">
        <f>""</f>
        <v/>
      </c>
    </row>
    <row r="133" spans="2:9" x14ac:dyDescent="0.25">
      <c r="B133" s="2" t="str">
        <f>"095479#"</f>
        <v>095479#</v>
      </c>
      <c r="C133" s="2" t="str">
        <f>"TWO-85"</f>
        <v>TWO-85</v>
      </c>
      <c r="D133" s="1" t="str">
        <f>"Otolift met Flexirail® model B"</f>
        <v>Otolift met Flexirail® model B</v>
      </c>
      <c r="E133" s="1" t="s">
        <v>9</v>
      </c>
      <c r="F133" s="3">
        <v>39346</v>
      </c>
      <c r="G133" s="3">
        <v>39346</v>
      </c>
      <c r="H133" s="3">
        <v>43669</v>
      </c>
      <c r="I133" s="3">
        <v>43621</v>
      </c>
    </row>
    <row r="134" spans="2:9" x14ac:dyDescent="0.25">
      <c r="B134" s="2" t="str">
        <f>"095511#"</f>
        <v>095511#</v>
      </c>
      <c r="C134" s="2" t="str">
        <f>"TWO-85-S"</f>
        <v>TWO-85-S</v>
      </c>
      <c r="D134" s="1" t="str">
        <f>"Otolift met Flexirail® model C"</f>
        <v>Otolift met Flexirail® model C</v>
      </c>
      <c r="E134" s="1" t="s">
        <v>9</v>
      </c>
      <c r="F134" s="3">
        <v>39349</v>
      </c>
      <c r="G134" s="3">
        <v>39349</v>
      </c>
      <c r="H134" s="3">
        <v>43521</v>
      </c>
      <c r="I134" s="3">
        <v>43886</v>
      </c>
    </row>
    <row r="135" spans="2:9" x14ac:dyDescent="0.25">
      <c r="B135" s="2" t="str">
        <f>"095573#"</f>
        <v>095573#</v>
      </c>
      <c r="C135" s="2" t="str">
        <f>"TWO-85"</f>
        <v>TWO-85</v>
      </c>
      <c r="D135" s="1" t="str">
        <f>"Otolift met Flexirail® model C"</f>
        <v>Otolift met Flexirail® model C</v>
      </c>
      <c r="E135" s="1" t="s">
        <v>9</v>
      </c>
      <c r="F135" s="3">
        <v>39351</v>
      </c>
      <c r="G135" s="3">
        <v>39717</v>
      </c>
      <c r="H135" s="3">
        <v>43630</v>
      </c>
      <c r="I135" s="3">
        <v>43602</v>
      </c>
    </row>
    <row r="136" spans="2:9" x14ac:dyDescent="0.25">
      <c r="B136" s="2" t="str">
        <f>"095639#"</f>
        <v>095639#</v>
      </c>
      <c r="C136" s="2" t="str">
        <f>"TWO-86"</f>
        <v>TWO-86</v>
      </c>
      <c r="D136" s="1" t="str">
        <f>"Otolift met Flexirail® model G"</f>
        <v>Otolift met Flexirail® model G</v>
      </c>
      <c r="E136" s="1" t="s">
        <v>7</v>
      </c>
      <c r="F136" s="3">
        <v>39377</v>
      </c>
      <c r="G136" s="3">
        <v>41544</v>
      </c>
      <c r="H136" s="3">
        <v>43150</v>
      </c>
      <c r="I136" s="3">
        <v>43490</v>
      </c>
    </row>
    <row r="137" spans="2:9" x14ac:dyDescent="0.25">
      <c r="B137" s="2" t="str">
        <f>"095717#"</f>
        <v>095717#</v>
      </c>
      <c r="C137" s="2" t="str">
        <f>"TWO-85"</f>
        <v>TWO-85</v>
      </c>
      <c r="D137" s="1" t="str">
        <f>"Otolift met Flexirail® model B"</f>
        <v>Otolift met Flexirail® model B</v>
      </c>
      <c r="E137" s="1" t="s">
        <v>9</v>
      </c>
      <c r="F137" s="3">
        <v>39373</v>
      </c>
      <c r="G137" s="3">
        <v>39582</v>
      </c>
      <c r="H137" s="3">
        <v>43525</v>
      </c>
      <c r="I137" s="3">
        <v>43891</v>
      </c>
    </row>
    <row r="138" spans="2:9" x14ac:dyDescent="0.25">
      <c r="B138" s="2" t="str">
        <f>"118344#"</f>
        <v>118344#</v>
      </c>
      <c r="C138" s="2" t="str">
        <f>"TWO-G-87"</f>
        <v>TWO-G-87</v>
      </c>
      <c r="D138" s="1" t="str">
        <f>"Otolift TWO buitenbocht trap"</f>
        <v>Otolift TWO buitenbocht trap</v>
      </c>
      <c r="E138" s="1" t="s">
        <v>7</v>
      </c>
      <c r="F138" s="3">
        <v>41418</v>
      </c>
      <c r="G138" s="3">
        <v>41530</v>
      </c>
      <c r="H138" s="3" t="str">
        <f>""</f>
        <v/>
      </c>
      <c r="I138" s="3" t="str">
        <f>""</f>
        <v/>
      </c>
    </row>
    <row r="139" spans="2:9" x14ac:dyDescent="0.25">
      <c r="B139" s="2" t="str">
        <f>"095832#"</f>
        <v>095832#</v>
      </c>
      <c r="C139" s="2" t="str">
        <f>"TWO-85"</f>
        <v>TWO-85</v>
      </c>
      <c r="D139" s="1" t="str">
        <f>"Otolift met Flexirail® model F"</f>
        <v>Otolift met Flexirail® model F</v>
      </c>
      <c r="E139" s="1" t="s">
        <v>9</v>
      </c>
      <c r="F139" s="3">
        <v>39433</v>
      </c>
      <c r="G139" s="3">
        <v>39433</v>
      </c>
      <c r="H139" s="3">
        <v>43511</v>
      </c>
      <c r="I139" s="3">
        <v>43876</v>
      </c>
    </row>
    <row r="140" spans="2:9" x14ac:dyDescent="0.25">
      <c r="B140" s="2" t="str">
        <f>"136977#"</f>
        <v>136977#</v>
      </c>
      <c r="C140" s="2" t="str">
        <f>"MOD-A-6040-1"</f>
        <v>MOD-A-6040-1</v>
      </c>
      <c r="D140" s="1" t="str">
        <f>"Otolift Modul-AIR"</f>
        <v>Otolift Modul-AIR</v>
      </c>
      <c r="E140" s="1" t="s">
        <v>8</v>
      </c>
      <c r="F140" s="3">
        <v>43269</v>
      </c>
      <c r="G140" s="3">
        <v>43269</v>
      </c>
      <c r="H140" s="3">
        <v>43651</v>
      </c>
      <c r="I140" s="3">
        <v>43634</v>
      </c>
    </row>
    <row r="141" spans="2:9" x14ac:dyDescent="0.25">
      <c r="B141" s="2" t="str">
        <f>"139048#"</f>
        <v>139048#</v>
      </c>
      <c r="C141" s="2" t="str">
        <f>"MOD-A-6040-1"</f>
        <v>MOD-A-6040-1</v>
      </c>
      <c r="D141" s="1" t="str">
        <f>"Otolift Modul-AIR"</f>
        <v>Otolift Modul-AIR</v>
      </c>
      <c r="E141" s="1" t="s">
        <v>8</v>
      </c>
      <c r="F141" s="3">
        <v>43438</v>
      </c>
      <c r="G141" s="3">
        <v>43438</v>
      </c>
      <c r="H141" s="3">
        <v>43809</v>
      </c>
      <c r="I141" s="3">
        <v>43803</v>
      </c>
    </row>
    <row r="142" spans="2:9" x14ac:dyDescent="0.25">
      <c r="B142" s="2" t="str">
        <f>"119472#"</f>
        <v>119472#</v>
      </c>
      <c r="C142" s="2" t="str">
        <f>"TWO-B-87"</f>
        <v>TWO-B-87</v>
      </c>
      <c r="D142" s="1" t="str">
        <f>"Otolift TWO buitenbocht trap"</f>
        <v>Otolift TWO buitenbocht trap</v>
      </c>
      <c r="E142" s="1" t="s">
        <v>9</v>
      </c>
      <c r="F142" s="3">
        <v>41563</v>
      </c>
      <c r="G142" s="3">
        <v>41563</v>
      </c>
      <c r="H142" s="3" t="str">
        <f>""</f>
        <v/>
      </c>
      <c r="I142" s="3" t="str">
        <f>""</f>
        <v/>
      </c>
    </row>
    <row r="143" spans="2:9" x14ac:dyDescent="0.25">
      <c r="B143" s="2" t="str">
        <f>"119971#"</f>
        <v>119971#</v>
      </c>
      <c r="C143" s="2" t="str">
        <f>"TWO-G-87"</f>
        <v>TWO-G-87</v>
      </c>
      <c r="D143" s="1" t="str">
        <f>"Otolift TWO buitenbocht trap"</f>
        <v>Otolift TWO buitenbocht trap</v>
      </c>
      <c r="E143" s="1" t="s">
        <v>7</v>
      </c>
      <c r="F143" s="3">
        <v>41613</v>
      </c>
      <c r="G143" s="3">
        <v>41613</v>
      </c>
      <c r="H143" s="3" t="str">
        <f>""</f>
        <v/>
      </c>
      <c r="I143" s="3" t="str">
        <f>""</f>
        <v/>
      </c>
    </row>
    <row r="144" spans="2:9" x14ac:dyDescent="0.25">
      <c r="B144" s="2" t="str">
        <f>"096096#"</f>
        <v>096096#</v>
      </c>
      <c r="C144" s="2" t="str">
        <f>"TWO-G-87"</f>
        <v>TWO-G-87</v>
      </c>
      <c r="D144" s="1" t="str">
        <f>"Otolift met Flexirail® model G"</f>
        <v>Otolift met Flexirail® model G</v>
      </c>
      <c r="E144" s="1" t="s">
        <v>7</v>
      </c>
      <c r="F144" s="3">
        <v>39401</v>
      </c>
      <c r="G144" s="3">
        <v>41155</v>
      </c>
      <c r="H144" s="3">
        <v>43406</v>
      </c>
      <c r="I144" s="3">
        <v>43771</v>
      </c>
    </row>
    <row r="145" spans="2:9" x14ac:dyDescent="0.25">
      <c r="B145" s="2" t="str">
        <f>"120139#"</f>
        <v>120139#</v>
      </c>
      <c r="C145" s="2" t="str">
        <f>"TWO-G-87"</f>
        <v>TWO-G-87</v>
      </c>
      <c r="D145" s="1" t="str">
        <f>"Otolift TWO buitenbocht trap"</f>
        <v>Otolift TWO buitenbocht trap</v>
      </c>
      <c r="E145" s="1" t="s">
        <v>7</v>
      </c>
      <c r="F145" s="3">
        <v>41625</v>
      </c>
      <c r="G145" s="3">
        <v>41625</v>
      </c>
      <c r="H145" s="3" t="str">
        <f>""</f>
        <v/>
      </c>
      <c r="I145" s="3" t="str">
        <f>""</f>
        <v/>
      </c>
    </row>
    <row r="146" spans="2:9" x14ac:dyDescent="0.25">
      <c r="B146" s="2" t="str">
        <f>"096215#"</f>
        <v>096215#</v>
      </c>
      <c r="C146" s="2" t="str">
        <f>"TWO-86"</f>
        <v>TWO-86</v>
      </c>
      <c r="D146" s="1" t="str">
        <f>"Otolift met Flexirail® model B"</f>
        <v>Otolift met Flexirail® model B</v>
      </c>
      <c r="E146" s="1" t="s">
        <v>9</v>
      </c>
      <c r="F146" s="3">
        <v>39419</v>
      </c>
      <c r="G146" s="3">
        <v>40625</v>
      </c>
      <c r="H146" s="3">
        <v>43649</v>
      </c>
      <c r="I146" s="3">
        <v>43656</v>
      </c>
    </row>
    <row r="147" spans="2:9" x14ac:dyDescent="0.25">
      <c r="B147" s="2" t="str">
        <f>"096244#"</f>
        <v>096244#</v>
      </c>
      <c r="C147" s="2" t="str">
        <f>"TWO-86-S"</f>
        <v>TWO-86-S</v>
      </c>
      <c r="D147" s="1" t="str">
        <f>"Otolift met Flexirail® model G"</f>
        <v>Otolift met Flexirail® model G</v>
      </c>
      <c r="E147" s="1" t="s">
        <v>7</v>
      </c>
      <c r="F147" s="3">
        <v>39415</v>
      </c>
      <c r="G147" s="3">
        <v>39415</v>
      </c>
      <c r="H147" s="3">
        <v>43643</v>
      </c>
      <c r="I147" s="3">
        <v>43637</v>
      </c>
    </row>
    <row r="148" spans="2:9" x14ac:dyDescent="0.25">
      <c r="B148" s="2" t="str">
        <f>"120230#"</f>
        <v>120230#</v>
      </c>
      <c r="C148" s="2" t="str">
        <f>"TWO-G-87"</f>
        <v>TWO-G-87</v>
      </c>
      <c r="D148" s="1" t="str">
        <f>"Otolift TWO buitenbocht trap"</f>
        <v>Otolift TWO buitenbocht trap</v>
      </c>
      <c r="E148" s="1" t="s">
        <v>7</v>
      </c>
      <c r="F148" s="3">
        <v>41660</v>
      </c>
      <c r="G148" s="3">
        <v>41660</v>
      </c>
      <c r="H148" s="3" t="str">
        <f>""</f>
        <v/>
      </c>
      <c r="I148" s="3" t="str">
        <f>""</f>
        <v/>
      </c>
    </row>
    <row r="149" spans="2:9" x14ac:dyDescent="0.25">
      <c r="B149" s="2" t="str">
        <f>"096449#"</f>
        <v>096449#</v>
      </c>
      <c r="C149" s="2" t="str">
        <f>"TWO-86"</f>
        <v>TWO-86</v>
      </c>
      <c r="D149" s="1" t="str">
        <f>"Otolift met Flexirail® model B"</f>
        <v>Otolift met Flexirail® model B</v>
      </c>
      <c r="E149" s="1" t="s">
        <v>9</v>
      </c>
      <c r="F149" s="3">
        <v>39435</v>
      </c>
      <c r="G149" s="3">
        <v>39821</v>
      </c>
      <c r="H149" s="3">
        <v>43622</v>
      </c>
      <c r="I149" s="3">
        <v>43655</v>
      </c>
    </row>
    <row r="150" spans="2:9" x14ac:dyDescent="0.25">
      <c r="B150" s="2" t="str">
        <f>"096471#"</f>
        <v>096471#</v>
      </c>
      <c r="C150" s="2" t="str">
        <f>"TWO-86"</f>
        <v>TWO-86</v>
      </c>
      <c r="D150" s="1" t="str">
        <f>"Otolift met Flexirail® model B"</f>
        <v>Otolift met Flexirail® model B</v>
      </c>
      <c r="E150" s="1" t="s">
        <v>9</v>
      </c>
      <c r="F150" s="3">
        <v>39435</v>
      </c>
      <c r="G150" s="3">
        <v>39435</v>
      </c>
      <c r="H150" s="3">
        <v>43770</v>
      </c>
      <c r="I150" s="3">
        <v>43592</v>
      </c>
    </row>
    <row r="151" spans="2:9" x14ac:dyDescent="0.25">
      <c r="B151" s="2" t="str">
        <f>"096472#"</f>
        <v>096472#</v>
      </c>
      <c r="C151" s="2" t="str">
        <f>"TWO-86-S"</f>
        <v>TWO-86-S</v>
      </c>
      <c r="D151" s="1" t="str">
        <f>"Otolift met Flexirail® model G"</f>
        <v>Otolift met Flexirail® model G</v>
      </c>
      <c r="E151" s="1" t="s">
        <v>7</v>
      </c>
      <c r="F151" s="3">
        <v>39435</v>
      </c>
      <c r="G151" s="3">
        <v>39435</v>
      </c>
      <c r="H151" s="3">
        <v>43770</v>
      </c>
      <c r="I151" s="3">
        <v>43592</v>
      </c>
    </row>
    <row r="152" spans="2:9" x14ac:dyDescent="0.25">
      <c r="B152" s="2" t="str">
        <f>"128973#"</f>
        <v>128973#</v>
      </c>
      <c r="C152" s="2" t="str">
        <f>"MOD-B-6020-1"</f>
        <v>MOD-B-6020-1</v>
      </c>
      <c r="D152" s="1" t="str">
        <f>"Otolift Modulair Buitenbocht"</f>
        <v>Otolift Modulair Buitenbocht</v>
      </c>
      <c r="E152" s="1" t="s">
        <v>9</v>
      </c>
      <c r="F152" s="3">
        <v>42625</v>
      </c>
      <c r="G152" s="3">
        <v>42625</v>
      </c>
      <c r="H152" s="3">
        <v>43424</v>
      </c>
      <c r="I152" s="3">
        <v>43789</v>
      </c>
    </row>
    <row r="153" spans="2:9" x14ac:dyDescent="0.25">
      <c r="B153" s="2" t="str">
        <f>"096517#"</f>
        <v>096517#</v>
      </c>
      <c r="C153" s="2" t="str">
        <f>"TWO-85"</f>
        <v>TWO-85</v>
      </c>
      <c r="D153" s="1" t="str">
        <f>"Otolift met Flexirail® model B"</f>
        <v>Otolift met Flexirail® model B</v>
      </c>
      <c r="E153" s="1" t="s">
        <v>9</v>
      </c>
      <c r="F153" s="3">
        <v>39644</v>
      </c>
      <c r="G153" s="3">
        <v>41131</v>
      </c>
      <c r="H153" s="3">
        <v>43447</v>
      </c>
      <c r="I153" s="3">
        <v>43812</v>
      </c>
    </row>
    <row r="154" spans="2:9" x14ac:dyDescent="0.25">
      <c r="B154" s="2" t="str">
        <f>"129583#"</f>
        <v>129583#</v>
      </c>
      <c r="C154" s="2" t="str">
        <f>"MOD-B-6020-1"</f>
        <v>MOD-B-6020-1</v>
      </c>
      <c r="D154" s="1" t="str">
        <f>"Otolift Modulair buitenbocht"</f>
        <v>Otolift Modulair buitenbocht</v>
      </c>
      <c r="E154" s="1" t="s">
        <v>9</v>
      </c>
      <c r="F154" s="3">
        <v>42699</v>
      </c>
      <c r="G154" s="3">
        <v>42699</v>
      </c>
      <c r="H154" s="3">
        <v>43808</v>
      </c>
      <c r="I154" s="3">
        <v>43811</v>
      </c>
    </row>
    <row r="155" spans="2:9" x14ac:dyDescent="0.25">
      <c r="B155" s="2" t="str">
        <f>"129594#"</f>
        <v>129594#</v>
      </c>
      <c r="C155" s="2" t="str">
        <f>"MOD-B-6020-1"</f>
        <v>MOD-B-6020-1</v>
      </c>
      <c r="D155" s="1" t="str">
        <f>"Otolift Modulair Buitenbocht"</f>
        <v>Otolift Modulair Buitenbocht</v>
      </c>
      <c r="E155" s="1" t="s">
        <v>9</v>
      </c>
      <c r="F155" s="3">
        <v>42641</v>
      </c>
      <c r="G155" s="3">
        <v>42641</v>
      </c>
      <c r="H155" s="3">
        <v>43570</v>
      </c>
      <c r="I155" s="3">
        <v>43783</v>
      </c>
    </row>
    <row r="156" spans="2:9" x14ac:dyDescent="0.25">
      <c r="B156" s="2" t="str">
        <f>"129846#"</f>
        <v>129846#</v>
      </c>
      <c r="C156" s="2" t="str">
        <f>"MOD-B-6020-1"</f>
        <v>MOD-B-6020-1</v>
      </c>
      <c r="D156" s="1" t="str">
        <f>"Hergebruik Otolift Modul-AIR buitenbocht"</f>
        <v>Hergebruik Otolift Modul-AIR buitenbocht</v>
      </c>
      <c r="E156" s="1" t="s">
        <v>9</v>
      </c>
      <c r="F156" s="3">
        <v>42677</v>
      </c>
      <c r="G156" s="3">
        <v>42838</v>
      </c>
      <c r="H156" s="3">
        <v>43566</v>
      </c>
      <c r="I156" s="3">
        <v>43932</v>
      </c>
    </row>
    <row r="157" spans="2:9" x14ac:dyDescent="0.25">
      <c r="B157" s="2" t="str">
        <f>"130116#"</f>
        <v>130116#</v>
      </c>
      <c r="C157" s="2" t="str">
        <f>"MOD-B-6020-1"</f>
        <v>MOD-B-6020-1</v>
      </c>
      <c r="D157" s="1" t="str">
        <f>"Hergebruik Otolift Modul-AIR buitenbocht"</f>
        <v>Hergebruik Otolift Modul-AIR buitenbocht</v>
      </c>
      <c r="E157" s="1" t="s">
        <v>9</v>
      </c>
      <c r="F157" s="3">
        <v>42698</v>
      </c>
      <c r="G157" s="3">
        <v>42832</v>
      </c>
      <c r="H157" s="3">
        <v>43760</v>
      </c>
      <c r="I157" s="3">
        <v>43564</v>
      </c>
    </row>
    <row r="158" spans="2:9" x14ac:dyDescent="0.25">
      <c r="B158" s="2" t="str">
        <f>"096663#"</f>
        <v>096663#</v>
      </c>
      <c r="C158" s="2" t="str">
        <f>"TWO-86-SZ"</f>
        <v>TWO-86-SZ</v>
      </c>
      <c r="D158" s="1" t="str">
        <f>"Otolift met Flexirail® model G"</f>
        <v>Otolift met Flexirail® model G</v>
      </c>
      <c r="E158" s="1" t="s">
        <v>7</v>
      </c>
      <c r="F158" s="3">
        <v>39462</v>
      </c>
      <c r="G158" s="3">
        <v>40619</v>
      </c>
      <c r="H158" s="3">
        <v>43760</v>
      </c>
      <c r="I158" s="3">
        <v>43767</v>
      </c>
    </row>
    <row r="159" spans="2:9" x14ac:dyDescent="0.25">
      <c r="B159" s="2" t="str">
        <f>"130807#"</f>
        <v>130807#</v>
      </c>
      <c r="C159" s="2" t="str">
        <f>"MOD-B-6020-1"</f>
        <v>MOD-B-6020-1</v>
      </c>
      <c r="D159" s="1" t="str">
        <f>"Otolift Modulair buitenbocht"</f>
        <v>Otolift Modulair buitenbocht</v>
      </c>
      <c r="E159" s="1" t="s">
        <v>9</v>
      </c>
      <c r="F159" s="3">
        <v>42759</v>
      </c>
      <c r="G159" s="3">
        <v>42759</v>
      </c>
      <c r="H159" s="3">
        <v>43773</v>
      </c>
      <c r="I159" s="3">
        <v>43575</v>
      </c>
    </row>
    <row r="160" spans="2:9" x14ac:dyDescent="0.25">
      <c r="B160" s="2" t="str">
        <f>"131231#"</f>
        <v>131231#</v>
      </c>
      <c r="C160" s="2" t="str">
        <f>"MOD-B-6020-1"</f>
        <v>MOD-B-6020-1</v>
      </c>
      <c r="D160" s="1" t="str">
        <f>"Otolift Modul-AIR buitenbocht"</f>
        <v>Otolift Modul-AIR buitenbocht</v>
      </c>
      <c r="E160" s="1" t="s">
        <v>9</v>
      </c>
      <c r="F160" s="3">
        <v>42786</v>
      </c>
      <c r="G160" s="3">
        <v>42786</v>
      </c>
      <c r="H160" s="3">
        <v>43545</v>
      </c>
      <c r="I160" s="3">
        <v>43911</v>
      </c>
    </row>
    <row r="161" spans="2:9" x14ac:dyDescent="0.25">
      <c r="B161" s="2" t="str">
        <f>"096744#"</f>
        <v>096744#</v>
      </c>
      <c r="C161" s="2" t="str">
        <f>"TWO-86"</f>
        <v>TWO-86</v>
      </c>
      <c r="D161" s="1" t="str">
        <f>"Otolift met Flexirail® model G"</f>
        <v>Otolift met Flexirail® model G</v>
      </c>
      <c r="E161" s="1" t="s">
        <v>7</v>
      </c>
      <c r="F161" s="3">
        <v>39468</v>
      </c>
      <c r="G161" s="3">
        <v>41169</v>
      </c>
      <c r="H161" s="3">
        <v>43705</v>
      </c>
      <c r="I161" s="3">
        <v>43784</v>
      </c>
    </row>
    <row r="162" spans="2:9" x14ac:dyDescent="0.25">
      <c r="B162" s="2" t="str">
        <f>"120737#"</f>
        <v>120737#</v>
      </c>
      <c r="C162" s="2" t="str">
        <f>"TWO-H-87"</f>
        <v>TWO-H-87</v>
      </c>
      <c r="D162" s="1" t="str">
        <f>"Otolift TWO buitenbocht trap"</f>
        <v>Otolift TWO buitenbocht trap</v>
      </c>
      <c r="E162" s="1" t="s">
        <v>7</v>
      </c>
      <c r="F162" s="3">
        <v>41698</v>
      </c>
      <c r="G162" s="3">
        <v>41698</v>
      </c>
      <c r="H162" s="3" t="str">
        <f>""</f>
        <v/>
      </c>
      <c r="I162" s="3" t="str">
        <f>""</f>
        <v/>
      </c>
    </row>
    <row r="163" spans="2:9" x14ac:dyDescent="0.25">
      <c r="B163" s="2" t="str">
        <f>"114613#"</f>
        <v>114613#</v>
      </c>
      <c r="C163" s="2" t="str">
        <f>"MOD-B-6040-1"</f>
        <v>MOD-B-6040-1</v>
      </c>
      <c r="D163" s="1" t="str">
        <f>"Otolift Modul-AIR buitenbocht"</f>
        <v>Otolift Modul-AIR buitenbocht</v>
      </c>
      <c r="E163" s="1" t="s">
        <v>9</v>
      </c>
      <c r="F163" s="3">
        <v>40947</v>
      </c>
      <c r="G163" s="3">
        <v>42922</v>
      </c>
      <c r="H163" s="3">
        <v>43746</v>
      </c>
      <c r="I163" s="3">
        <v>43658</v>
      </c>
    </row>
    <row r="164" spans="2:9" x14ac:dyDescent="0.25">
      <c r="B164" s="2" t="str">
        <f>"096821#"</f>
        <v>096821#</v>
      </c>
      <c r="C164" s="2" t="str">
        <f>"TWO-86"</f>
        <v>TWO-86</v>
      </c>
      <c r="D164" s="1" t="str">
        <f>"Otolift met Flexirail® model B"</f>
        <v>Otolift met Flexirail® model B</v>
      </c>
      <c r="E164" s="1" t="s">
        <v>9</v>
      </c>
      <c r="F164" s="3">
        <v>39475</v>
      </c>
      <c r="G164" s="3">
        <v>39475</v>
      </c>
      <c r="H164" s="3">
        <v>43731</v>
      </c>
      <c r="I164" s="3">
        <v>43701</v>
      </c>
    </row>
    <row r="165" spans="2:9" x14ac:dyDescent="0.25">
      <c r="B165" s="2" t="str">
        <f>"121686#"</f>
        <v>121686#</v>
      </c>
      <c r="C165" s="2" t="str">
        <f>"MOD-B-6040-1"</f>
        <v>MOD-B-6040-1</v>
      </c>
      <c r="D165" s="1" t="str">
        <f>"Hergebruik Otolift Modul-AIR buitenbocht"</f>
        <v>Hergebruik Otolift Modul-AIR buitenbocht</v>
      </c>
      <c r="E165" s="1" t="s">
        <v>9</v>
      </c>
      <c r="F165" s="3">
        <v>41815</v>
      </c>
      <c r="G165" s="3">
        <v>43202</v>
      </c>
      <c r="H165" s="3">
        <v>43718</v>
      </c>
      <c r="I165" s="3">
        <v>44031</v>
      </c>
    </row>
    <row r="166" spans="2:9" x14ac:dyDescent="0.25">
      <c r="B166" s="2" t="str">
        <f>"121567#"</f>
        <v>121567#</v>
      </c>
      <c r="C166" s="2" t="str">
        <f>"ONE-4000"</f>
        <v>ONE-4000</v>
      </c>
      <c r="D166" s="1" t="str">
        <f>"ONE-Excellent"</f>
        <v>ONE-Excellent</v>
      </c>
      <c r="E166" s="1" t="s">
        <v>11</v>
      </c>
      <c r="F166" s="3">
        <v>41842</v>
      </c>
      <c r="G166" s="3">
        <v>41842</v>
      </c>
      <c r="H166" s="3" t="str">
        <f>""</f>
        <v/>
      </c>
      <c r="I166" s="3" t="str">
        <f>""</f>
        <v/>
      </c>
    </row>
    <row r="167" spans="2:9" x14ac:dyDescent="0.25">
      <c r="B167" s="2" t="str">
        <f>"126204#"</f>
        <v>126204#</v>
      </c>
      <c r="C167" s="2" t="str">
        <f>"ONE-4000"</f>
        <v>ONE-4000</v>
      </c>
      <c r="D167" s="1" t="str">
        <f>"ONE-Excellent"</f>
        <v>ONE-Excellent</v>
      </c>
      <c r="E167" s="1" t="s">
        <v>11</v>
      </c>
      <c r="F167" s="3">
        <v>42394</v>
      </c>
      <c r="G167" s="3">
        <v>42394</v>
      </c>
      <c r="H167" s="3" t="str">
        <f>""</f>
        <v/>
      </c>
      <c r="I167" s="3" t="str">
        <f>""</f>
        <v/>
      </c>
    </row>
    <row r="168" spans="2:9" x14ac:dyDescent="0.25">
      <c r="B168" s="2" t="str">
        <f>"096991#"</f>
        <v>096991#</v>
      </c>
      <c r="C168" s="2" t="str">
        <f>"TWO-85"</f>
        <v>TWO-85</v>
      </c>
      <c r="D168" s="1" t="str">
        <f>"Otolift met Flexirail® model G"</f>
        <v>Otolift met Flexirail® model G</v>
      </c>
      <c r="E168" s="1" t="s">
        <v>7</v>
      </c>
      <c r="F168" s="3">
        <v>39483</v>
      </c>
      <c r="G168" s="3">
        <v>39483</v>
      </c>
      <c r="H168" s="3">
        <v>43718</v>
      </c>
      <c r="I168" s="3">
        <v>43487</v>
      </c>
    </row>
    <row r="169" spans="2:9" x14ac:dyDescent="0.25">
      <c r="B169" s="2" t="str">
        <f>"096994#"</f>
        <v>096994#</v>
      </c>
      <c r="C169" s="2" t="str">
        <f>"TWO-86-S"</f>
        <v>TWO-86-S</v>
      </c>
      <c r="D169" s="1" t="str">
        <f>"Otolift met Flexirail® model G"</f>
        <v>Otolift met Flexirail® model G</v>
      </c>
      <c r="E169" s="1" t="s">
        <v>7</v>
      </c>
      <c r="F169" s="3">
        <v>39484</v>
      </c>
      <c r="G169" s="3">
        <v>39484</v>
      </c>
      <c r="H169" s="3">
        <v>43717</v>
      </c>
      <c r="I169" s="3">
        <v>43484</v>
      </c>
    </row>
    <row r="170" spans="2:9" x14ac:dyDescent="0.25">
      <c r="B170" s="2" t="str">
        <f>"129175#"</f>
        <v>129175#</v>
      </c>
      <c r="C170" s="2" t="str">
        <f>"MOD-B-6040-1"</f>
        <v>MOD-B-6040-1</v>
      </c>
      <c r="D170" s="1" t="str">
        <f>"Otolift Modulair buitenbocht"</f>
        <v>Otolift Modulair buitenbocht</v>
      </c>
      <c r="E170" s="1" t="s">
        <v>9</v>
      </c>
      <c r="F170" s="3">
        <v>42633</v>
      </c>
      <c r="G170" s="3">
        <v>42633</v>
      </c>
      <c r="H170" s="3">
        <v>43483</v>
      </c>
      <c r="I170" s="3">
        <v>43848</v>
      </c>
    </row>
    <row r="171" spans="2:9" x14ac:dyDescent="0.25">
      <c r="B171" s="2" t="str">
        <f>"130692#"</f>
        <v>130692#</v>
      </c>
      <c r="C171" s="2" t="str">
        <f>"MOD-B-6040-1"</f>
        <v>MOD-B-6040-1</v>
      </c>
      <c r="D171" s="1" t="str">
        <f>"Otolift Modulair buitenbocht"</f>
        <v>Otolift Modulair buitenbocht</v>
      </c>
      <c r="E171" s="1" t="s">
        <v>9</v>
      </c>
      <c r="F171" s="3">
        <v>42754</v>
      </c>
      <c r="G171" s="3">
        <v>42754</v>
      </c>
      <c r="H171" s="3">
        <v>43206</v>
      </c>
      <c r="I171" s="3">
        <v>43571</v>
      </c>
    </row>
    <row r="172" spans="2:9" x14ac:dyDescent="0.25">
      <c r="B172" s="2" t="str">
        <f>"130810#"</f>
        <v>130810#</v>
      </c>
      <c r="C172" s="2" t="str">
        <f>"MOD-B-6040-1"</f>
        <v>MOD-B-6040-1</v>
      </c>
      <c r="D172" s="1" t="str">
        <f>"Otolift Modulair buitenbocht"</f>
        <v>Otolift Modulair buitenbocht</v>
      </c>
      <c r="E172" s="1" t="s">
        <v>9</v>
      </c>
      <c r="F172" s="3">
        <v>42760</v>
      </c>
      <c r="G172" s="3">
        <v>42760</v>
      </c>
      <c r="H172" s="3">
        <v>43647</v>
      </c>
      <c r="I172" s="3">
        <v>43574</v>
      </c>
    </row>
    <row r="173" spans="2:9" x14ac:dyDescent="0.25">
      <c r="B173" s="2" t="str">
        <f>"130873#"</f>
        <v>130873#</v>
      </c>
      <c r="C173" s="2" t="str">
        <f>"MOD-B-6040-1"</f>
        <v>MOD-B-6040-1</v>
      </c>
      <c r="D173" s="1" t="str">
        <f>"Otolift Modulair buitenbocht"</f>
        <v>Otolift Modulair buitenbocht</v>
      </c>
      <c r="E173" s="1" t="s">
        <v>9</v>
      </c>
      <c r="F173" s="3">
        <v>42765</v>
      </c>
      <c r="G173" s="3">
        <v>42765</v>
      </c>
      <c r="H173" s="3">
        <v>43759</v>
      </c>
      <c r="I173" s="3">
        <v>43873</v>
      </c>
    </row>
    <row r="174" spans="2:9" x14ac:dyDescent="0.25">
      <c r="B174" s="2" t="str">
        <f>"097204#"</f>
        <v>097204#</v>
      </c>
      <c r="C174" s="2" t="str">
        <f>"TWO-G-87"</f>
        <v>TWO-G-87</v>
      </c>
      <c r="D174" s="1" t="str">
        <f>"Otolift met Flexirail® model B"</f>
        <v>Otolift met Flexirail® model B</v>
      </c>
      <c r="E174" s="1" t="s">
        <v>9</v>
      </c>
      <c r="F174" s="3">
        <v>39497</v>
      </c>
      <c r="G174" s="3">
        <v>41660</v>
      </c>
      <c r="H174" s="3">
        <v>42983</v>
      </c>
      <c r="I174" s="3">
        <v>43348</v>
      </c>
    </row>
    <row r="175" spans="2:9" x14ac:dyDescent="0.25">
      <c r="B175" s="2" t="str">
        <f>"135584#"</f>
        <v>135584#</v>
      </c>
      <c r="C175" s="2" t="str">
        <f>"MOD-B-6040-1"</f>
        <v>MOD-B-6040-1</v>
      </c>
      <c r="D175" s="1" t="str">
        <f>"Hergebruik Otolift Modul-AIR buitenbocht"</f>
        <v>Hergebruik Otolift Modul-AIR buitenbocht</v>
      </c>
      <c r="E175" s="1" t="s">
        <v>9</v>
      </c>
      <c r="F175" s="3">
        <v>43161</v>
      </c>
      <c r="G175" s="3">
        <v>43161</v>
      </c>
      <c r="H175" s="3">
        <v>43530</v>
      </c>
      <c r="I175" s="3">
        <v>43896</v>
      </c>
    </row>
    <row r="176" spans="2:9" x14ac:dyDescent="0.25">
      <c r="B176" s="2" t="str">
        <f>"126627#"</f>
        <v>126627#</v>
      </c>
      <c r="C176" s="2" t="str">
        <f>"AIR-6050-R"</f>
        <v>AIR-6050-R</v>
      </c>
      <c r="D176" s="1" t="str">
        <f>"Otolift AIR"</f>
        <v>Otolift AIR</v>
      </c>
      <c r="E176" s="1" t="s">
        <v>11</v>
      </c>
      <c r="F176" s="3">
        <v>42425</v>
      </c>
      <c r="G176" s="3">
        <v>42425</v>
      </c>
      <c r="H176" s="3" t="str">
        <f>""</f>
        <v/>
      </c>
      <c r="I176" s="3" t="str">
        <f>""</f>
        <v/>
      </c>
    </row>
    <row r="177" spans="2:9" x14ac:dyDescent="0.25">
      <c r="B177" s="2" t="str">
        <f>"097332#"</f>
        <v>097332#</v>
      </c>
      <c r="C177" s="2" t="str">
        <f>"TWO-86-S"</f>
        <v>TWO-86-S</v>
      </c>
      <c r="D177" s="1" t="str">
        <f>"Otolift met Flexirail® model G"</f>
        <v>Otolift met Flexirail® model G</v>
      </c>
      <c r="E177" s="1" t="s">
        <v>7</v>
      </c>
      <c r="F177" s="3">
        <v>39689</v>
      </c>
      <c r="G177" s="3">
        <v>39689</v>
      </c>
      <c r="H177" s="3">
        <v>43489</v>
      </c>
      <c r="I177" s="3">
        <v>43854</v>
      </c>
    </row>
    <row r="178" spans="2:9" x14ac:dyDescent="0.25">
      <c r="B178" s="2" t="str">
        <f>"097333#"</f>
        <v>097333#</v>
      </c>
      <c r="C178" s="2" t="str">
        <f>"TWO-86-S"</f>
        <v>TWO-86-S</v>
      </c>
      <c r="D178" s="1" t="str">
        <f>"Otolift met Flexirail® model G"</f>
        <v>Otolift met Flexirail® model G</v>
      </c>
      <c r="E178" s="1" t="s">
        <v>7</v>
      </c>
      <c r="F178" s="3">
        <v>39689</v>
      </c>
      <c r="G178" s="3">
        <v>39689</v>
      </c>
      <c r="H178" s="3">
        <v>43489</v>
      </c>
      <c r="I178" s="3">
        <v>43260</v>
      </c>
    </row>
    <row r="179" spans="2:9" x14ac:dyDescent="0.25">
      <c r="B179" s="2" t="str">
        <f>"137643#"</f>
        <v>137643#</v>
      </c>
      <c r="C179" s="2" t="str">
        <f>"MOD-B-6040-1"</f>
        <v>MOD-B-6040-1</v>
      </c>
      <c r="D179" s="1" t="str">
        <f>"Otolift Modul-AIR buitenbocht"</f>
        <v>Otolift Modul-AIR buitenbocht</v>
      </c>
      <c r="E179" s="1" t="s">
        <v>9</v>
      </c>
      <c r="F179" s="3">
        <v>43346</v>
      </c>
      <c r="G179" s="3">
        <v>43346</v>
      </c>
      <c r="H179" s="3">
        <v>43727</v>
      </c>
      <c r="I179" s="3">
        <v>43711</v>
      </c>
    </row>
    <row r="180" spans="2:9" x14ac:dyDescent="0.25">
      <c r="B180" s="2" t="str">
        <f>"127318#"</f>
        <v>127318#</v>
      </c>
      <c r="C180" s="2" t="str">
        <f>"TWO-B-150"</f>
        <v>TWO-B-150</v>
      </c>
      <c r="D180" s="1" t="str">
        <f>"Otolift TWO"</f>
        <v>Otolift TWO</v>
      </c>
      <c r="E180" s="1" t="s">
        <v>9</v>
      </c>
      <c r="F180" s="3">
        <v>42485</v>
      </c>
      <c r="G180" s="3">
        <v>42485</v>
      </c>
      <c r="H180" s="3" t="str">
        <f>""</f>
        <v/>
      </c>
      <c r="I180" s="3" t="str">
        <f>""</f>
        <v/>
      </c>
    </row>
    <row r="181" spans="2:9" x14ac:dyDescent="0.25">
      <c r="B181" s="2" t="str">
        <f>"128403#"</f>
        <v>128403#</v>
      </c>
      <c r="C181" s="2" t="str">
        <f>"AIR-6040"</f>
        <v>AIR-6040</v>
      </c>
      <c r="D181" s="1" t="str">
        <f>"Otolift AIR"</f>
        <v>Otolift AIR</v>
      </c>
      <c r="E181" s="1" t="s">
        <v>11</v>
      </c>
      <c r="F181" s="3">
        <v>42590</v>
      </c>
      <c r="G181" s="3">
        <v>42590</v>
      </c>
      <c r="H181" s="3">
        <v>43573</v>
      </c>
      <c r="I181" s="3" t="str">
        <f>""</f>
        <v/>
      </c>
    </row>
    <row r="182" spans="2:9" x14ac:dyDescent="0.25">
      <c r="B182" s="2" t="str">
        <f>"128323#"</f>
        <v>128323#</v>
      </c>
      <c r="C182" s="2" t="str">
        <f>"AIR-6040"</f>
        <v>AIR-6040</v>
      </c>
      <c r="D182" s="1" t="str">
        <f>"Otolift AIR"</f>
        <v>Otolift AIR</v>
      </c>
      <c r="E182" s="1" t="s">
        <v>11</v>
      </c>
      <c r="F182" s="3">
        <v>42621</v>
      </c>
      <c r="G182" s="3">
        <v>42621</v>
      </c>
      <c r="H182" s="3" t="str">
        <f>""</f>
        <v/>
      </c>
      <c r="I182" s="3" t="str">
        <f>""</f>
        <v/>
      </c>
    </row>
    <row r="183" spans="2:9" x14ac:dyDescent="0.25">
      <c r="B183" s="2" t="str">
        <f>"130567#"</f>
        <v>130567#</v>
      </c>
      <c r="C183" s="2" t="str">
        <f>"MOD-A-6020-1"</f>
        <v>MOD-A-6020-1</v>
      </c>
      <c r="D183" s="1" t="str">
        <f>"Otolift Modulair buitenbocht"</f>
        <v>Otolift Modulair buitenbocht</v>
      </c>
      <c r="E183" s="1" t="s">
        <v>8</v>
      </c>
      <c r="F183" s="3">
        <v>42706</v>
      </c>
      <c r="G183" s="3">
        <v>42706</v>
      </c>
      <c r="H183" s="3" t="str">
        <f>""</f>
        <v/>
      </c>
      <c r="I183" s="3" t="str">
        <f>""</f>
        <v/>
      </c>
    </row>
    <row r="184" spans="2:9" x14ac:dyDescent="0.25">
      <c r="B184" s="2" t="str">
        <f>"130815#"</f>
        <v>130815#</v>
      </c>
      <c r="C184" s="2" t="str">
        <f>"AIR-6040"</f>
        <v>AIR-6040</v>
      </c>
      <c r="D184" s="1" t="str">
        <f>"Otolift AIR"</f>
        <v>Otolift AIR</v>
      </c>
      <c r="E184" s="1" t="s">
        <v>11</v>
      </c>
      <c r="F184" s="3">
        <v>42761</v>
      </c>
      <c r="G184" s="3">
        <v>42761</v>
      </c>
      <c r="H184" s="3" t="str">
        <f>""</f>
        <v/>
      </c>
      <c r="I184" s="3" t="str">
        <f>""</f>
        <v/>
      </c>
    </row>
    <row r="185" spans="2:9" x14ac:dyDescent="0.25">
      <c r="B185" s="2" t="str">
        <f>"131306#"</f>
        <v>131306#</v>
      </c>
      <c r="C185" s="2" t="str">
        <f>"AIR-6030"</f>
        <v>AIR-6030</v>
      </c>
      <c r="D185" s="1" t="str">
        <f>"Otolift AIR"</f>
        <v>Otolift AIR</v>
      </c>
      <c r="E185" s="1" t="s">
        <v>11</v>
      </c>
      <c r="F185" s="3">
        <v>42779</v>
      </c>
      <c r="G185" s="3">
        <v>42779</v>
      </c>
      <c r="H185" s="3" t="str">
        <f>""</f>
        <v/>
      </c>
      <c r="I185" s="3" t="str">
        <f>""</f>
        <v/>
      </c>
    </row>
    <row r="186" spans="2:9" x14ac:dyDescent="0.25">
      <c r="B186" s="2" t="str">
        <f>"127972A#"</f>
        <v>127972A#</v>
      </c>
      <c r="C186" s="2" t="str">
        <f>"MOD-B-6030-1"</f>
        <v>MOD-B-6030-1</v>
      </c>
      <c r="D186" s="1" t="str">
        <f>"Hergebruik Otolift Modul-AIR buitenbocht"</f>
        <v>Hergebruik Otolift Modul-AIR buitenbocht</v>
      </c>
      <c r="E186" s="1" t="s">
        <v>9</v>
      </c>
      <c r="F186" s="3">
        <v>42527</v>
      </c>
      <c r="G186" s="3">
        <v>42863</v>
      </c>
      <c r="H186" s="3" t="str">
        <f>""</f>
        <v/>
      </c>
      <c r="I186" s="3" t="str">
        <f>""</f>
        <v/>
      </c>
    </row>
    <row r="187" spans="2:9" x14ac:dyDescent="0.25">
      <c r="B187" s="2" t="str">
        <f>"097749#"</f>
        <v>097749#</v>
      </c>
      <c r="C187" s="2" t="str">
        <f>"TWO-85-S"</f>
        <v>TWO-85-S</v>
      </c>
      <c r="D187" s="1" t="str">
        <f>"Otolift met Flexirail® model G"</f>
        <v>Otolift met Flexirail® model G</v>
      </c>
      <c r="E187" s="1" t="s">
        <v>7</v>
      </c>
      <c r="F187" s="3">
        <v>39554</v>
      </c>
      <c r="G187" s="3">
        <v>39757</v>
      </c>
      <c r="H187" s="3">
        <v>43808</v>
      </c>
      <c r="I187" s="3">
        <v>43571</v>
      </c>
    </row>
    <row r="188" spans="2:9" x14ac:dyDescent="0.25">
      <c r="B188" s="2" t="str">
        <f>"133199#"</f>
        <v>133199#</v>
      </c>
      <c r="C188" s="2" t="str">
        <f>"MOD-A-6040-1"</f>
        <v>MOD-A-6040-1</v>
      </c>
      <c r="D188" s="1" t="str">
        <f>"Otolift Modul-AIR buitenbocht"</f>
        <v>Otolift Modul-AIR buitenbocht</v>
      </c>
      <c r="E188" s="1" t="s">
        <v>8</v>
      </c>
      <c r="F188" s="3">
        <v>42940</v>
      </c>
      <c r="G188" s="3">
        <v>42940</v>
      </c>
      <c r="H188" s="3" t="str">
        <f>""</f>
        <v/>
      </c>
      <c r="I188" s="3" t="str">
        <f>""</f>
        <v/>
      </c>
    </row>
    <row r="189" spans="2:9" x14ac:dyDescent="0.25">
      <c r="B189" s="2" t="str">
        <f>"097929#"</f>
        <v>097929#</v>
      </c>
      <c r="C189" s="2" t="str">
        <f>"TWO-86-S"</f>
        <v>TWO-86-S</v>
      </c>
      <c r="D189" s="1" t="str">
        <f>"Otolift met Flexirail® model G"</f>
        <v>Otolift met Flexirail® model G</v>
      </c>
      <c r="E189" s="1" t="s">
        <v>7</v>
      </c>
      <c r="F189" s="3">
        <v>39555</v>
      </c>
      <c r="G189" s="3">
        <v>39555</v>
      </c>
      <c r="H189" s="3">
        <v>43521</v>
      </c>
      <c r="I189" s="3">
        <v>43886</v>
      </c>
    </row>
    <row r="190" spans="2:9" x14ac:dyDescent="0.25">
      <c r="B190" s="2" t="str">
        <f>"134081#"</f>
        <v>134081#</v>
      </c>
      <c r="C190" s="2" t="str">
        <f>"MOD-A-6040-1"</f>
        <v>MOD-A-6040-1</v>
      </c>
      <c r="D190" s="1" t="str">
        <f>"Otolift Modul-AIR"</f>
        <v>Otolift Modul-AIR</v>
      </c>
      <c r="E190" s="1" t="s">
        <v>8</v>
      </c>
      <c r="F190" s="3">
        <v>43031</v>
      </c>
      <c r="G190" s="3">
        <v>43031</v>
      </c>
      <c r="H190" s="3" t="str">
        <f>""</f>
        <v/>
      </c>
      <c r="I190" s="3" t="str">
        <f>""</f>
        <v/>
      </c>
    </row>
    <row r="191" spans="2:9" x14ac:dyDescent="0.25">
      <c r="B191" s="2" t="str">
        <f>"134091#"</f>
        <v>134091#</v>
      </c>
      <c r="C191" s="2" t="str">
        <f>"TWO-B-87"</f>
        <v>TWO-B-87</v>
      </c>
      <c r="D191" s="1" t="str">
        <f>"Otolift TWO"</f>
        <v>Otolift TWO</v>
      </c>
      <c r="E191" s="1" t="s">
        <v>9</v>
      </c>
      <c r="F191" s="3">
        <v>43045</v>
      </c>
      <c r="G191" s="3">
        <v>43045</v>
      </c>
      <c r="H191" s="3" t="str">
        <f>""</f>
        <v/>
      </c>
      <c r="I191" s="3" t="str">
        <f>""</f>
        <v/>
      </c>
    </row>
    <row r="192" spans="2:9" x14ac:dyDescent="0.25">
      <c r="B192" s="2" t="str">
        <f>"116558#"</f>
        <v>116558#</v>
      </c>
      <c r="C192" s="2" t="str">
        <f>"MOD-B-6050-1"</f>
        <v>MOD-B-6050-1</v>
      </c>
      <c r="D192" s="1" t="str">
        <f>"Otolift Modul-AIR buitenbocht"</f>
        <v>Otolift Modul-AIR buitenbocht</v>
      </c>
      <c r="E192" s="1" t="s">
        <v>9</v>
      </c>
      <c r="F192" s="3">
        <v>41214</v>
      </c>
      <c r="G192" s="3">
        <v>42899</v>
      </c>
      <c r="H192" s="3">
        <v>43538</v>
      </c>
      <c r="I192" s="3">
        <v>43845</v>
      </c>
    </row>
    <row r="193" spans="2:9" x14ac:dyDescent="0.25">
      <c r="B193" s="2" t="str">
        <f>"134467#"</f>
        <v>134467#</v>
      </c>
      <c r="C193" s="2" t="str">
        <f>"MOD-R-6020-1"</f>
        <v>MOD-R-6020-1</v>
      </c>
      <c r="D193" s="1" t="str">
        <f>"Otolift Modul-AIR binnenbocht"</f>
        <v>Otolift Modul-AIR binnenbocht</v>
      </c>
      <c r="E193" s="1" t="s">
        <v>11</v>
      </c>
      <c r="F193" s="3">
        <v>43049</v>
      </c>
      <c r="G193" s="3">
        <v>43049</v>
      </c>
      <c r="H193" s="3">
        <v>43049</v>
      </c>
      <c r="I193" s="3" t="str">
        <f>""</f>
        <v/>
      </c>
    </row>
    <row r="194" spans="2:9" x14ac:dyDescent="0.25">
      <c r="B194" s="2" t="str">
        <f>"098129#"</f>
        <v>098129#</v>
      </c>
      <c r="C194" s="2" t="str">
        <f>"TWO-B-87"</f>
        <v>TWO-B-87</v>
      </c>
      <c r="D194" s="1" t="str">
        <f>"Otolift met Flexirail® model G"</f>
        <v>Otolift met Flexirail® model G</v>
      </c>
      <c r="E194" s="1" t="s">
        <v>7</v>
      </c>
      <c r="F194" s="3">
        <v>39588</v>
      </c>
      <c r="G194" s="3">
        <v>41752</v>
      </c>
      <c r="H194" s="3">
        <v>43602</v>
      </c>
      <c r="I194" s="3">
        <v>43968</v>
      </c>
    </row>
    <row r="195" spans="2:9" x14ac:dyDescent="0.25">
      <c r="B195" s="2" t="str">
        <f>"098143#"</f>
        <v>098143#</v>
      </c>
      <c r="C195" s="2" t="str">
        <f>"TWO-106"</f>
        <v>TWO-106</v>
      </c>
      <c r="D195" s="1" t="str">
        <f>"Otolift met Flexirail® model A"</f>
        <v>Otolift met Flexirail® model A</v>
      </c>
      <c r="E195" s="1" t="s">
        <v>8</v>
      </c>
      <c r="F195" s="3">
        <v>39629</v>
      </c>
      <c r="G195" s="3">
        <v>39629</v>
      </c>
      <c r="H195" s="3">
        <v>43511</v>
      </c>
      <c r="I195" s="3">
        <v>43876</v>
      </c>
    </row>
    <row r="196" spans="2:9" x14ac:dyDescent="0.25">
      <c r="B196" s="2" t="str">
        <f>"098260#"</f>
        <v>098260#</v>
      </c>
      <c r="C196" s="2" t="str">
        <f>"TWO-86"</f>
        <v>TWO-86</v>
      </c>
      <c r="D196" s="1" t="str">
        <f>"Otolift met Flexirail® model A"</f>
        <v>Otolift met Flexirail® model A</v>
      </c>
      <c r="E196" s="1" t="s">
        <v>8</v>
      </c>
      <c r="F196" s="3">
        <v>39588</v>
      </c>
      <c r="G196" s="3">
        <v>39588</v>
      </c>
      <c r="H196" s="3">
        <v>43734</v>
      </c>
      <c r="I196" s="3">
        <v>43468</v>
      </c>
    </row>
    <row r="197" spans="2:9" x14ac:dyDescent="0.25">
      <c r="B197" s="2" t="str">
        <f>"098261#"</f>
        <v>098261#</v>
      </c>
      <c r="C197" s="2" t="str">
        <f>"TWO-86"</f>
        <v>TWO-86</v>
      </c>
      <c r="D197" s="1" t="str">
        <f>"Otolift met Flexirail® model A"</f>
        <v>Otolift met Flexirail® model A</v>
      </c>
      <c r="E197" s="1" t="s">
        <v>8</v>
      </c>
      <c r="F197" s="3">
        <v>39588</v>
      </c>
      <c r="G197" s="3">
        <v>39588</v>
      </c>
      <c r="H197" s="3">
        <v>43489</v>
      </c>
      <c r="I197" s="3">
        <v>43060</v>
      </c>
    </row>
    <row r="198" spans="2:9" x14ac:dyDescent="0.25">
      <c r="B198" s="2" t="str">
        <f>"122295#"</f>
        <v>122295#</v>
      </c>
      <c r="C198" s="2" t="str">
        <f>"MOD-B-6050-1"</f>
        <v>MOD-B-6050-1</v>
      </c>
      <c r="D198" s="1" t="str">
        <f>"Otolift Modul-AIR buitenbocht"</f>
        <v>Otolift Modul-AIR buitenbocht</v>
      </c>
      <c r="E198" s="1" t="s">
        <v>9</v>
      </c>
      <c r="F198" s="3">
        <v>41921</v>
      </c>
      <c r="G198" s="3">
        <v>42901</v>
      </c>
      <c r="H198" s="3">
        <v>43663</v>
      </c>
      <c r="I198" s="3">
        <v>43631</v>
      </c>
    </row>
    <row r="199" spans="2:9" x14ac:dyDescent="0.25">
      <c r="B199" s="2" t="str">
        <f>"134542#"</f>
        <v>134542#</v>
      </c>
      <c r="C199" s="2" t="str">
        <f>"MOD-T-6040-1"</f>
        <v>MOD-T-6040-1</v>
      </c>
      <c r="D199" s="1" t="str">
        <f>"Otolift Modul-AIR binnenbocht"</f>
        <v>Otolift Modul-AIR binnenbocht</v>
      </c>
      <c r="E199" s="1" t="s">
        <v>11</v>
      </c>
      <c r="F199" s="3">
        <v>43059</v>
      </c>
      <c r="G199" s="3">
        <v>43059</v>
      </c>
      <c r="H199" s="3" t="str">
        <f>""</f>
        <v/>
      </c>
      <c r="I199" s="3" t="str">
        <f>""</f>
        <v/>
      </c>
    </row>
    <row r="200" spans="2:9" x14ac:dyDescent="0.25">
      <c r="B200" s="2" t="str">
        <f>"132173#"</f>
        <v>132173#</v>
      </c>
      <c r="C200" s="2" t="str">
        <f>"MOD-B-6050-1"</f>
        <v>MOD-B-6050-1</v>
      </c>
      <c r="D200" s="1" t="str">
        <f>"Otolift Modul-AIR buitenbocht"</f>
        <v>Otolift Modul-AIR buitenbocht</v>
      </c>
      <c r="E200" s="1" t="s">
        <v>9</v>
      </c>
      <c r="F200" s="3">
        <v>42850</v>
      </c>
      <c r="G200" s="3">
        <v>42850</v>
      </c>
      <c r="H200" s="3">
        <v>43706</v>
      </c>
      <c r="I200" s="3">
        <v>44010</v>
      </c>
    </row>
    <row r="201" spans="2:9" x14ac:dyDescent="0.25">
      <c r="B201" s="2" t="str">
        <f>"134668#"</f>
        <v>134668#</v>
      </c>
      <c r="C201" s="2" t="str">
        <f>"TWO-85"</f>
        <v>TWO-85</v>
      </c>
      <c r="D201" s="1" t="str">
        <f>"Hergebruik Otolift TWO buitenbocht trap"</f>
        <v>Hergebruik Otolift TWO buitenbocht trap</v>
      </c>
      <c r="E201" s="1" t="s">
        <v>7</v>
      </c>
      <c r="F201" s="3">
        <v>43082</v>
      </c>
      <c r="G201" s="3">
        <v>43082</v>
      </c>
      <c r="H201" s="3">
        <v>43082</v>
      </c>
      <c r="I201" s="3" t="str">
        <f>""</f>
        <v/>
      </c>
    </row>
    <row r="202" spans="2:9" x14ac:dyDescent="0.25">
      <c r="B202" s="2" t="str">
        <f>"134978#"</f>
        <v>134978#</v>
      </c>
      <c r="C202" s="2" t="str">
        <f>"TWO-G-87"</f>
        <v>TWO-G-87</v>
      </c>
      <c r="D202" s="1" t="str">
        <f>"Otolift TWO"</f>
        <v>Otolift TWO</v>
      </c>
      <c r="E202" s="1" t="s">
        <v>7</v>
      </c>
      <c r="F202" s="3">
        <v>43104</v>
      </c>
      <c r="G202" s="3">
        <v>43104</v>
      </c>
      <c r="H202" s="3">
        <v>43104</v>
      </c>
      <c r="I202" s="3" t="str">
        <f>""</f>
        <v/>
      </c>
    </row>
    <row r="203" spans="2:9" x14ac:dyDescent="0.25">
      <c r="B203" s="2" t="str">
        <f>"134990#"</f>
        <v>134990#</v>
      </c>
      <c r="C203" s="2" t="str">
        <f>"TWO-G-87"</f>
        <v>TWO-G-87</v>
      </c>
      <c r="D203" s="1" t="str">
        <f>"Otolift TWO"</f>
        <v>Otolift TWO</v>
      </c>
      <c r="E203" s="1" t="s">
        <v>7</v>
      </c>
      <c r="F203" s="3">
        <v>43104</v>
      </c>
      <c r="G203" s="3">
        <v>43104</v>
      </c>
      <c r="H203" s="3">
        <v>43104</v>
      </c>
      <c r="I203" s="3" t="str">
        <f>""</f>
        <v/>
      </c>
    </row>
    <row r="204" spans="2:9" x14ac:dyDescent="0.25">
      <c r="B204" s="2" t="str">
        <f>"115480#"</f>
        <v>115480#</v>
      </c>
      <c r="C204" s="2" t="str">
        <f>"TWO-G-87"</f>
        <v>TWO-G-87</v>
      </c>
      <c r="D204" s="1" t="str">
        <f>"Hergebruik Otolift TWO"</f>
        <v>Hergebruik Otolift TWO</v>
      </c>
      <c r="E204" s="1" t="s">
        <v>7</v>
      </c>
      <c r="F204" s="3">
        <v>41066</v>
      </c>
      <c r="G204" s="3">
        <v>43115</v>
      </c>
      <c r="H204" s="3">
        <v>43115</v>
      </c>
      <c r="I204" s="3" t="str">
        <f>""</f>
        <v/>
      </c>
    </row>
    <row r="205" spans="2:9" x14ac:dyDescent="0.25">
      <c r="B205" s="2" t="str">
        <f>"135040#"</f>
        <v>135040#</v>
      </c>
      <c r="C205" s="2" t="str">
        <f>"TWO-B-87"</f>
        <v>TWO-B-87</v>
      </c>
      <c r="D205" s="1" t="str">
        <f>"Otolift TWO"</f>
        <v>Otolift TWO</v>
      </c>
      <c r="E205" s="1" t="s">
        <v>9</v>
      </c>
      <c r="F205" s="3">
        <v>43117</v>
      </c>
      <c r="G205" s="3">
        <v>43117</v>
      </c>
      <c r="H205" s="3">
        <v>43795</v>
      </c>
      <c r="I205" s="3" t="str">
        <f>""</f>
        <v/>
      </c>
    </row>
    <row r="206" spans="2:9" x14ac:dyDescent="0.25">
      <c r="B206" s="2" t="str">
        <f>"099108#"</f>
        <v>099108#</v>
      </c>
      <c r="C206" s="2" t="str">
        <f>"TWO-86"</f>
        <v>TWO-86</v>
      </c>
      <c r="D206" s="1" t="str">
        <f>"Otolift met Flexirail® model A"</f>
        <v>Otolift met Flexirail® model A</v>
      </c>
      <c r="E206" s="1" t="s">
        <v>8</v>
      </c>
      <c r="F206" s="3">
        <v>39653</v>
      </c>
      <c r="G206" s="3">
        <v>39653</v>
      </c>
      <c r="H206" s="3">
        <v>43472</v>
      </c>
      <c r="I206" s="3">
        <v>43837</v>
      </c>
    </row>
    <row r="207" spans="2:9" x14ac:dyDescent="0.25">
      <c r="B207" s="2" t="str">
        <f>"135157#"</f>
        <v>135157#</v>
      </c>
      <c r="C207" s="2" t="str">
        <f>"TWO-B-87"</f>
        <v>TWO-B-87</v>
      </c>
      <c r="D207" s="1" t="str">
        <f>"Otolift TWO"</f>
        <v>Otolift TWO</v>
      </c>
      <c r="E207" s="1" t="s">
        <v>9</v>
      </c>
      <c r="F207" s="3">
        <v>43118</v>
      </c>
      <c r="G207" s="3">
        <v>43118</v>
      </c>
      <c r="H207" s="3">
        <v>43118</v>
      </c>
      <c r="I207" s="3" t="str">
        <f>""</f>
        <v/>
      </c>
    </row>
    <row r="208" spans="2:9" x14ac:dyDescent="0.25">
      <c r="B208" s="2" t="str">
        <f>"135109#"</f>
        <v>135109#</v>
      </c>
      <c r="C208" s="2" t="str">
        <f>"TWO-G-87"</f>
        <v>TWO-G-87</v>
      </c>
      <c r="D208" s="1" t="str">
        <f>"Otolift TWO"</f>
        <v>Otolift TWO</v>
      </c>
      <c r="E208" s="1" t="s">
        <v>7</v>
      </c>
      <c r="F208" s="3">
        <v>43129</v>
      </c>
      <c r="G208" s="3">
        <v>43129</v>
      </c>
      <c r="H208" s="3">
        <v>43129</v>
      </c>
      <c r="I208" s="3" t="str">
        <f>""</f>
        <v/>
      </c>
    </row>
    <row r="209" spans="2:9" x14ac:dyDescent="0.25">
      <c r="B209" s="2" t="str">
        <f>"099409#"</f>
        <v>099409#</v>
      </c>
      <c r="C209" s="2" t="str">
        <f>"TWO-B-150"</f>
        <v>TWO-B-150</v>
      </c>
      <c r="D209" s="1" t="str">
        <f>"Otolift met Flexirail® model B"</f>
        <v>Otolift met Flexirail® model B</v>
      </c>
      <c r="E209" s="1" t="s">
        <v>9</v>
      </c>
      <c r="F209" s="3">
        <v>39734</v>
      </c>
      <c r="G209" s="3">
        <v>39734</v>
      </c>
      <c r="H209" s="3">
        <v>43663</v>
      </c>
      <c r="I209" s="3">
        <v>43644</v>
      </c>
    </row>
    <row r="210" spans="2:9" x14ac:dyDescent="0.25">
      <c r="B210" s="2" t="str">
        <f>"099516#"</f>
        <v>099516#</v>
      </c>
      <c r="C210" s="2" t="str">
        <f>"TWO-86"</f>
        <v>TWO-86</v>
      </c>
      <c r="D210" s="1" t="str">
        <f>"Otolift met Flexirail® model B"</f>
        <v>Otolift met Flexirail® model B</v>
      </c>
      <c r="E210" s="1" t="s">
        <v>9</v>
      </c>
      <c r="F210" s="3">
        <v>39713</v>
      </c>
      <c r="G210" s="3">
        <v>39713</v>
      </c>
      <c r="H210" s="3">
        <v>43796</v>
      </c>
      <c r="I210" s="3">
        <v>43565</v>
      </c>
    </row>
    <row r="211" spans="2:9" x14ac:dyDescent="0.25">
      <c r="B211" s="2" t="str">
        <f>"135153#"</f>
        <v>135153#</v>
      </c>
      <c r="C211" s="2" t="str">
        <f>"TWO-G-87-S"</f>
        <v>TWO-G-87-S</v>
      </c>
      <c r="D211" s="1" t="str">
        <f>"Otolift TWO"</f>
        <v>Otolift TWO</v>
      </c>
      <c r="E211" s="1" t="s">
        <v>7</v>
      </c>
      <c r="F211" s="3">
        <v>43130</v>
      </c>
      <c r="G211" s="3">
        <v>43130</v>
      </c>
      <c r="H211" s="3">
        <v>43130</v>
      </c>
      <c r="I211" s="3" t="str">
        <f>""</f>
        <v/>
      </c>
    </row>
    <row r="212" spans="2:9" x14ac:dyDescent="0.25">
      <c r="B212" s="2" t="str">
        <f>"135649#"</f>
        <v>135649#</v>
      </c>
      <c r="C212" s="2" t="str">
        <f>"TWO-B-87"</f>
        <v>TWO-B-87</v>
      </c>
      <c r="D212" s="1" t="str">
        <f>"Otolift TWO"</f>
        <v>Otolift TWO</v>
      </c>
      <c r="E212" s="1" t="s">
        <v>9</v>
      </c>
      <c r="F212" s="3">
        <v>43146</v>
      </c>
      <c r="G212" s="3">
        <v>43146</v>
      </c>
      <c r="H212" s="3">
        <v>43146</v>
      </c>
      <c r="I212" s="3" t="str">
        <f>""</f>
        <v/>
      </c>
    </row>
    <row r="213" spans="2:9" x14ac:dyDescent="0.25">
      <c r="B213" s="2" t="str">
        <f>"135650#"</f>
        <v>135650#</v>
      </c>
      <c r="C213" s="2" t="str">
        <f>"TWO-C-87"</f>
        <v>TWO-C-87</v>
      </c>
      <c r="D213" s="1" t="str">
        <f>"Otolift TWO"</f>
        <v>Otolift TWO</v>
      </c>
      <c r="E213" s="1" t="s">
        <v>9</v>
      </c>
      <c r="F213" s="3">
        <v>43157</v>
      </c>
      <c r="G213" s="3">
        <v>43157</v>
      </c>
      <c r="H213" s="3">
        <v>43157</v>
      </c>
      <c r="I213" s="3" t="str">
        <f>""</f>
        <v/>
      </c>
    </row>
    <row r="214" spans="2:9" x14ac:dyDescent="0.25">
      <c r="B214" s="2" t="str">
        <f>"116630#"</f>
        <v>116630#</v>
      </c>
      <c r="C214" s="2" t="str">
        <f>"TWO-B-87"</f>
        <v>TWO-B-87</v>
      </c>
      <c r="D214" s="1" t="str">
        <f>"Hergebruik Otolift TWO"</f>
        <v>Hergebruik Otolift TWO</v>
      </c>
      <c r="E214" s="1" t="s">
        <v>9</v>
      </c>
      <c r="F214" s="3">
        <v>41212</v>
      </c>
      <c r="G214" s="3">
        <v>43187</v>
      </c>
      <c r="H214" s="3">
        <v>42829</v>
      </c>
      <c r="I214" s="3" t="str">
        <f>""</f>
        <v/>
      </c>
    </row>
    <row r="215" spans="2:9" x14ac:dyDescent="0.25">
      <c r="B215" s="2" t="str">
        <f>"136590#"</f>
        <v>136590#</v>
      </c>
      <c r="C215" s="2" t="str">
        <f>"MOD-G-6040-1"</f>
        <v>MOD-G-6040-1</v>
      </c>
      <c r="D215" s="1" t="str">
        <f>"Otolift Modul-AIR buitenbocht"</f>
        <v>Otolift Modul-AIR buitenbocht</v>
      </c>
      <c r="E215" s="1" t="s">
        <v>7</v>
      </c>
      <c r="F215" s="3">
        <v>43256</v>
      </c>
      <c r="G215" s="3">
        <v>43256</v>
      </c>
      <c r="H215" s="3" t="str">
        <f>""</f>
        <v/>
      </c>
      <c r="I215" s="3" t="str">
        <f>""</f>
        <v/>
      </c>
    </row>
    <row r="216" spans="2:9" x14ac:dyDescent="0.25">
      <c r="B216" s="2" t="str">
        <f>"100082#"</f>
        <v>100082#</v>
      </c>
      <c r="C216" s="2" t="str">
        <f>"TWO-86"</f>
        <v>TWO-86</v>
      </c>
      <c r="D216" s="1" t="str">
        <f>"Otolift met Flexirail® model B"</f>
        <v>Otolift met Flexirail® model B</v>
      </c>
      <c r="E216" s="1" t="s">
        <v>9</v>
      </c>
      <c r="F216" s="3">
        <v>39737</v>
      </c>
      <c r="G216" s="3">
        <v>40613</v>
      </c>
      <c r="H216" s="3">
        <v>43104</v>
      </c>
      <c r="I216" s="3">
        <v>43469</v>
      </c>
    </row>
    <row r="217" spans="2:9" x14ac:dyDescent="0.25">
      <c r="B217" s="2" t="str">
        <f>"133201#"</f>
        <v>133201#</v>
      </c>
      <c r="C217" s="2" t="str">
        <f>"MOD-G-6050-1"</f>
        <v>MOD-G-6050-1</v>
      </c>
      <c r="D217" s="1" t="str">
        <f>"Hergebruik Otolift Modul-AIR buitenbocht"</f>
        <v>Hergebruik Otolift Modul-AIR buitenbocht</v>
      </c>
      <c r="E217" s="1" t="s">
        <v>7</v>
      </c>
      <c r="F217" s="3">
        <v>42920</v>
      </c>
      <c r="G217" s="3">
        <v>43263</v>
      </c>
      <c r="H217" s="3">
        <v>43242</v>
      </c>
      <c r="I217" s="3" t="str">
        <f>""</f>
        <v/>
      </c>
    </row>
    <row r="218" spans="2:9" x14ac:dyDescent="0.25">
      <c r="B218" s="2" t="str">
        <f>"137388#"</f>
        <v>137388#</v>
      </c>
      <c r="C218" s="2" t="str">
        <f>"TWO-A-87"</f>
        <v>TWO-A-87</v>
      </c>
      <c r="D218" s="1" t="str">
        <f>"Otolift TWO"</f>
        <v>Otolift TWO</v>
      </c>
      <c r="E218" s="1" t="s">
        <v>9</v>
      </c>
      <c r="F218" s="3">
        <v>43304</v>
      </c>
      <c r="G218" s="3">
        <v>43304</v>
      </c>
      <c r="H218" s="3">
        <v>43304</v>
      </c>
      <c r="I218" s="3" t="str">
        <f>""</f>
        <v/>
      </c>
    </row>
    <row r="219" spans="2:9" x14ac:dyDescent="0.25">
      <c r="B219" s="2" t="str">
        <f>"125239#"</f>
        <v>125239#</v>
      </c>
      <c r="C219" s="2" t="str">
        <f>"MOD-C-6040-1"</f>
        <v>MOD-C-6040-1</v>
      </c>
      <c r="D219" s="1" t="str">
        <f>"Otolift Modul-AIR buitenbocht"</f>
        <v>Otolift Modul-AIR buitenbocht</v>
      </c>
      <c r="E219" s="1" t="s">
        <v>9</v>
      </c>
      <c r="F219" s="3">
        <v>42278</v>
      </c>
      <c r="G219" s="3">
        <v>42913</v>
      </c>
      <c r="H219" s="3">
        <v>43788</v>
      </c>
      <c r="I219" s="3">
        <v>43755</v>
      </c>
    </row>
    <row r="220" spans="2:9" x14ac:dyDescent="0.25">
      <c r="B220" s="2" t="str">
        <f>"100300#"</f>
        <v>100300#</v>
      </c>
      <c r="C220" s="2" t="str">
        <f>"TWO-86"</f>
        <v>TWO-86</v>
      </c>
      <c r="D220" s="1" t="str">
        <f>"Otolift met Flexirail® model B"</f>
        <v>Otolift met Flexirail® model B</v>
      </c>
      <c r="E220" s="1" t="s">
        <v>9</v>
      </c>
      <c r="F220" s="3">
        <v>39757</v>
      </c>
      <c r="G220" s="3">
        <v>39757</v>
      </c>
      <c r="H220" s="3">
        <v>43717</v>
      </c>
      <c r="I220" s="3">
        <v>43700</v>
      </c>
    </row>
    <row r="221" spans="2:9" x14ac:dyDescent="0.25">
      <c r="B221" s="2" t="str">
        <f>"129808#"</f>
        <v>129808#</v>
      </c>
      <c r="C221" s="2" t="str">
        <f>"MOD-C-6040-1"</f>
        <v>MOD-C-6040-1</v>
      </c>
      <c r="D221" s="1" t="str">
        <f>"Otolift Modulair buitenbocht"</f>
        <v>Otolift Modulair buitenbocht</v>
      </c>
      <c r="E221" s="1" t="s">
        <v>9</v>
      </c>
      <c r="F221" s="3">
        <v>42650</v>
      </c>
      <c r="G221" s="3">
        <v>42650</v>
      </c>
      <c r="H221" s="3">
        <v>43487</v>
      </c>
      <c r="I221" s="3">
        <v>43852</v>
      </c>
    </row>
    <row r="222" spans="2:9" x14ac:dyDescent="0.25">
      <c r="B222" s="2" t="str">
        <f>"108364#"</f>
        <v>108364#</v>
      </c>
      <c r="C222" s="2" t="str">
        <f>"TWO-G-87"</f>
        <v>TWO-G-87</v>
      </c>
      <c r="D222" s="1" t="str">
        <f>"Hergebruik Otolift TWO"</f>
        <v>Hergebruik Otolift TWO</v>
      </c>
      <c r="E222" s="1" t="s">
        <v>7</v>
      </c>
      <c r="F222" s="3">
        <v>40350</v>
      </c>
      <c r="G222" s="3">
        <v>43321</v>
      </c>
      <c r="H222" s="3">
        <v>43425</v>
      </c>
      <c r="I222" s="3" t="str">
        <f>""</f>
        <v/>
      </c>
    </row>
    <row r="223" spans="2:9" x14ac:dyDescent="0.25">
      <c r="B223" s="2" t="str">
        <f>"136904#"</f>
        <v>136904#</v>
      </c>
      <c r="C223" s="2" t="str">
        <f>"MOD-C-6040-1"</f>
        <v>MOD-C-6040-1</v>
      </c>
      <c r="D223" s="1" t="str">
        <f>"Otolift Modul-AIR buitenbocht"</f>
        <v>Otolift Modul-AIR buitenbocht</v>
      </c>
      <c r="E223" s="1" t="s">
        <v>9</v>
      </c>
      <c r="F223" s="3">
        <v>43263</v>
      </c>
      <c r="G223" s="3">
        <v>43263</v>
      </c>
      <c r="H223" s="3">
        <v>43724</v>
      </c>
      <c r="I223" s="3">
        <v>43628</v>
      </c>
    </row>
    <row r="224" spans="2:9" x14ac:dyDescent="0.25">
      <c r="B224" s="2" t="str">
        <f>"137416#"</f>
        <v>137416#</v>
      </c>
      <c r="C224" s="2" t="str">
        <f>"MOD-C-6040-1"</f>
        <v>MOD-C-6040-1</v>
      </c>
      <c r="D224" s="1" t="str">
        <f>"Otolift Modul-AIR buitenbocht"</f>
        <v>Otolift Modul-AIR buitenbocht</v>
      </c>
      <c r="E224" s="1" t="s">
        <v>9</v>
      </c>
      <c r="F224" s="3">
        <v>43325</v>
      </c>
      <c r="G224" s="3">
        <v>43325</v>
      </c>
      <c r="H224" s="3">
        <v>43776</v>
      </c>
      <c r="I224" s="3" t="str">
        <f>""</f>
        <v/>
      </c>
    </row>
    <row r="225" spans="2:9" x14ac:dyDescent="0.25">
      <c r="B225" s="2" t="str">
        <f>"105635#"</f>
        <v>105635#</v>
      </c>
      <c r="C225" s="2" t="str">
        <f>"TWO-86"</f>
        <v>TWO-86</v>
      </c>
      <c r="D225" s="1" t="str">
        <f>"Hergebruik Otolift TWO buitenbocht trap"</f>
        <v>Hergebruik Otolift TWO buitenbocht trap</v>
      </c>
      <c r="E225" s="1" t="s">
        <v>9</v>
      </c>
      <c r="F225" s="3">
        <v>40162</v>
      </c>
      <c r="G225" s="3">
        <v>43339</v>
      </c>
      <c r="H225" s="3">
        <v>43339</v>
      </c>
      <c r="I225" s="3" t="str">
        <f>""</f>
        <v/>
      </c>
    </row>
    <row r="226" spans="2:9" x14ac:dyDescent="0.25">
      <c r="B226" s="2" t="str">
        <f>"101421#"</f>
        <v>101421#</v>
      </c>
      <c r="C226" s="2" t="str">
        <f>"TWO-B-87"</f>
        <v>TWO-B-87</v>
      </c>
      <c r="D226" s="1" t="str">
        <f>"Hergebruik Otolift TWO"</f>
        <v>Hergebruik Otolift TWO</v>
      </c>
      <c r="E226" s="1" t="s">
        <v>9</v>
      </c>
      <c r="F226" s="3">
        <v>39875</v>
      </c>
      <c r="G226" s="3">
        <v>43340</v>
      </c>
      <c r="H226" s="3">
        <v>43340</v>
      </c>
      <c r="I226" s="3" t="str">
        <f>""</f>
        <v/>
      </c>
    </row>
    <row r="227" spans="2:9" x14ac:dyDescent="0.25">
      <c r="B227" s="2" t="str">
        <f>"127035#"</f>
        <v>127035#</v>
      </c>
      <c r="C227" s="2" t="str">
        <f>"TWO-B-87"</f>
        <v>TWO-B-87</v>
      </c>
      <c r="D227" s="1" t="str">
        <f>"Hergebruik Otolift TWO"</f>
        <v>Hergebruik Otolift TWO</v>
      </c>
      <c r="E227" s="1" t="s">
        <v>9</v>
      </c>
      <c r="F227" s="3">
        <v>42472</v>
      </c>
      <c r="G227" s="3">
        <v>43341</v>
      </c>
      <c r="H227" s="3">
        <v>43341</v>
      </c>
      <c r="I227" s="3" t="str">
        <f>""</f>
        <v/>
      </c>
    </row>
    <row r="228" spans="2:9" x14ac:dyDescent="0.25">
      <c r="B228" s="2" t="str">
        <f>"132695#"</f>
        <v>132695#</v>
      </c>
      <c r="C228" s="2" t="str">
        <f>"MOD-C-6050-1"</f>
        <v>MOD-C-6050-1</v>
      </c>
      <c r="D228" s="1" t="str">
        <f>"Hergebruik Otolift Modul-AIR buitenbocht"</f>
        <v>Hergebruik Otolift Modul-AIR buitenbocht</v>
      </c>
      <c r="E228" s="1" t="s">
        <v>9</v>
      </c>
      <c r="F228" s="3">
        <v>42873</v>
      </c>
      <c r="G228" s="3">
        <v>43259</v>
      </c>
      <c r="H228" s="3">
        <v>43725</v>
      </c>
      <c r="I228" s="3">
        <v>43624</v>
      </c>
    </row>
    <row r="229" spans="2:9" x14ac:dyDescent="0.25">
      <c r="B229" s="2" t="str">
        <f>"100609#"</f>
        <v>100609#</v>
      </c>
      <c r="C229" s="2" t="str">
        <f>"TWO-86"</f>
        <v>TWO-86</v>
      </c>
      <c r="D229" s="1" t="str">
        <f>"Otolift met Flexirail® model G"</f>
        <v>Otolift met Flexirail® model G</v>
      </c>
      <c r="E229" s="1" t="s">
        <v>7</v>
      </c>
      <c r="F229" s="3">
        <v>39770</v>
      </c>
      <c r="G229" s="3">
        <v>39770</v>
      </c>
      <c r="H229" s="3">
        <v>43668</v>
      </c>
      <c r="I229" s="3">
        <v>43544</v>
      </c>
    </row>
    <row r="230" spans="2:9" x14ac:dyDescent="0.25">
      <c r="B230" s="2" t="str">
        <f>"100628#"</f>
        <v>100628#</v>
      </c>
      <c r="C230" s="2" t="str">
        <f>"TWO-86"</f>
        <v>TWO-86</v>
      </c>
      <c r="D230" s="1" t="str">
        <f>"Otolift met Flexirail® model G"</f>
        <v>Otolift met Flexirail® model G</v>
      </c>
      <c r="E230" s="1" t="s">
        <v>7</v>
      </c>
      <c r="F230" s="3">
        <v>39818</v>
      </c>
      <c r="G230" s="3">
        <v>41662</v>
      </c>
      <c r="H230" s="3">
        <v>43420</v>
      </c>
      <c r="I230" s="3">
        <v>43785</v>
      </c>
    </row>
    <row r="231" spans="2:9" x14ac:dyDescent="0.25">
      <c r="B231" s="2" t="str">
        <f>"100744#"</f>
        <v>100744#</v>
      </c>
      <c r="C231" s="2" t="str">
        <f>"TWO-86-S"</f>
        <v>TWO-86-S</v>
      </c>
      <c r="D231" s="1" t="str">
        <f>"Otolift met Flexirail® model G"</f>
        <v>Otolift met Flexirail® model G</v>
      </c>
      <c r="E231" s="1" t="s">
        <v>7</v>
      </c>
      <c r="F231" s="3">
        <v>39778</v>
      </c>
      <c r="G231" s="3">
        <v>39778</v>
      </c>
      <c r="H231" s="3">
        <v>43802</v>
      </c>
      <c r="I231" s="3">
        <v>43755</v>
      </c>
    </row>
    <row r="232" spans="2:9" x14ac:dyDescent="0.25">
      <c r="B232" s="2" t="str">
        <f>"112230#"</f>
        <v>112230#</v>
      </c>
      <c r="C232" s="2" t="str">
        <f>"TWO-86"</f>
        <v>TWO-86</v>
      </c>
      <c r="D232" s="1" t="str">
        <f>"Hergebruik TWO"</f>
        <v>Hergebruik TWO</v>
      </c>
      <c r="E232" s="1" t="s">
        <v>9</v>
      </c>
      <c r="F232" s="3">
        <v>40709</v>
      </c>
      <c r="G232" s="3">
        <v>43342</v>
      </c>
      <c r="H232" s="3">
        <v>43342</v>
      </c>
      <c r="I232" s="3" t="str">
        <f>""</f>
        <v/>
      </c>
    </row>
    <row r="233" spans="2:9" x14ac:dyDescent="0.25">
      <c r="B233" s="2" t="str">
        <f>"100758#"</f>
        <v>100758#</v>
      </c>
      <c r="C233" s="2" t="str">
        <f>"TWO-86-S"</f>
        <v>TWO-86-S</v>
      </c>
      <c r="D233" s="1" t="str">
        <f>"Otolift met Flexirail® model G"</f>
        <v>Otolift met Flexirail® model G</v>
      </c>
      <c r="E233" s="1" t="s">
        <v>7</v>
      </c>
      <c r="F233" s="3">
        <v>39777</v>
      </c>
      <c r="G233" s="3">
        <v>39777</v>
      </c>
      <c r="H233" s="3">
        <v>43556</v>
      </c>
      <c r="I233" s="3">
        <v>43922</v>
      </c>
    </row>
    <row r="234" spans="2:9" x14ac:dyDescent="0.25">
      <c r="B234" s="2" t="str">
        <f>"100836#"</f>
        <v>100836#</v>
      </c>
      <c r="C234" s="2" t="str">
        <f>"TWO-85"</f>
        <v>TWO-85</v>
      </c>
      <c r="D234" s="1" t="str">
        <f>"Otolift met Flexirail® model G"</f>
        <v>Otolift met Flexirail® model G</v>
      </c>
      <c r="E234" s="1" t="s">
        <v>7</v>
      </c>
      <c r="F234" s="3">
        <v>39783</v>
      </c>
      <c r="G234" s="3">
        <v>41082</v>
      </c>
      <c r="H234" s="3">
        <v>43125</v>
      </c>
      <c r="I234" s="3">
        <v>43490</v>
      </c>
    </row>
    <row r="235" spans="2:9" x14ac:dyDescent="0.25">
      <c r="B235" s="2" t="str">
        <f>"137600#"</f>
        <v>137600#</v>
      </c>
      <c r="C235" s="2" t="str">
        <f>"MOD-B-6040-1"</f>
        <v>MOD-B-6040-1</v>
      </c>
      <c r="D235" s="1" t="str">
        <f>"Otolift Modul-AIR buitenbocht"</f>
        <v>Otolift Modul-AIR buitenbocht</v>
      </c>
      <c r="E235" s="1" t="s">
        <v>9</v>
      </c>
      <c r="F235" s="3">
        <v>43348</v>
      </c>
      <c r="G235" s="3">
        <v>43348</v>
      </c>
      <c r="H235" s="3" t="str">
        <f>""</f>
        <v/>
      </c>
      <c r="I235" s="3" t="str">
        <f>""</f>
        <v/>
      </c>
    </row>
    <row r="236" spans="2:9" x14ac:dyDescent="0.25">
      <c r="B236" s="2" t="str">
        <f>"100933#"</f>
        <v>100933#</v>
      </c>
      <c r="C236" s="2" t="str">
        <f>"TWO-86"</f>
        <v>TWO-86</v>
      </c>
      <c r="D236" s="1" t="str">
        <f>"Otolift met Flexirail® model B"</f>
        <v>Otolift met Flexirail® model B</v>
      </c>
      <c r="E236" s="1" t="s">
        <v>9</v>
      </c>
      <c r="F236" s="3">
        <v>39791</v>
      </c>
      <c r="G236" s="3">
        <v>39791</v>
      </c>
      <c r="H236" s="3">
        <v>43446</v>
      </c>
      <c r="I236" s="3">
        <v>43811</v>
      </c>
    </row>
    <row r="237" spans="2:9" x14ac:dyDescent="0.25">
      <c r="B237" s="2" t="str">
        <f>"131185#"</f>
        <v>131185#</v>
      </c>
      <c r="C237" s="2" t="str">
        <f>"MOD-G-6020-1"</f>
        <v>MOD-G-6020-1</v>
      </c>
      <c r="D237" s="1" t="str">
        <f>"Otolift Modul-AIR buitenbocht"</f>
        <v>Otolift Modul-AIR buitenbocht</v>
      </c>
      <c r="E237" s="1" t="s">
        <v>7</v>
      </c>
      <c r="F237" s="3">
        <v>42790</v>
      </c>
      <c r="G237" s="3">
        <v>42790</v>
      </c>
      <c r="H237" s="3">
        <v>43584</v>
      </c>
      <c r="I237" s="3">
        <v>43950</v>
      </c>
    </row>
    <row r="238" spans="2:9" x14ac:dyDescent="0.25">
      <c r="B238" s="2" t="str">
        <f>"136019A#"</f>
        <v>136019A#</v>
      </c>
      <c r="C238" s="2" t="str">
        <f>"MOD-A-6050-1"</f>
        <v>MOD-A-6050-1</v>
      </c>
      <c r="D238" s="1" t="str">
        <f>"Otolift Modul-AIR"</f>
        <v>Otolift Modul-AIR</v>
      </c>
      <c r="E238" s="1" t="s">
        <v>8</v>
      </c>
      <c r="F238" s="3">
        <v>43378</v>
      </c>
      <c r="G238" s="3">
        <v>43378</v>
      </c>
      <c r="H238" s="3" t="str">
        <f>""</f>
        <v/>
      </c>
      <c r="I238" s="3" t="str">
        <f>""</f>
        <v/>
      </c>
    </row>
    <row r="239" spans="2:9" x14ac:dyDescent="0.25">
      <c r="B239" s="2" t="str">
        <f>"114753#"</f>
        <v>114753#</v>
      </c>
      <c r="C239" s="2" t="str">
        <f>"MOD-G-6040-1"</f>
        <v>MOD-G-6040-1</v>
      </c>
      <c r="D239" s="1" t="str">
        <f>"Hergebruik Otolift Modul-AIR buitenbocht"</f>
        <v>Hergebruik Otolift Modul-AIR buitenbocht</v>
      </c>
      <c r="E239" s="1" t="s">
        <v>7</v>
      </c>
      <c r="F239" s="3">
        <v>40980</v>
      </c>
      <c r="G239" s="3">
        <v>43525</v>
      </c>
      <c r="H239" s="3">
        <v>43257</v>
      </c>
      <c r="I239" s="3">
        <v>43622</v>
      </c>
    </row>
    <row r="240" spans="2:9" x14ac:dyDescent="0.25">
      <c r="B240" s="2" t="str">
        <f>"115739#"</f>
        <v>115739#</v>
      </c>
      <c r="C240" s="2" t="str">
        <f>"MOD-G-6040-1"</f>
        <v>MOD-G-6040-1</v>
      </c>
      <c r="D240" s="1" t="str">
        <f>"Hergebruik Otolift Modul-AIR buitenbocht"</f>
        <v>Hergebruik Otolift Modul-AIR buitenbocht</v>
      </c>
      <c r="E240" s="1" t="s">
        <v>7</v>
      </c>
      <c r="F240" s="3">
        <v>41106</v>
      </c>
      <c r="G240" s="3">
        <v>42892</v>
      </c>
      <c r="H240" s="3">
        <v>43409</v>
      </c>
      <c r="I240" s="3">
        <v>43774</v>
      </c>
    </row>
    <row r="241" spans="2:9" x14ac:dyDescent="0.25">
      <c r="B241" s="2" t="str">
        <f>"101187#"</f>
        <v>101187#</v>
      </c>
      <c r="C241" s="2" t="str">
        <f>"TWO-86"</f>
        <v>TWO-86</v>
      </c>
      <c r="D241" s="1" t="str">
        <f>"Otolift met Flexirail® model G"</f>
        <v>Otolift met Flexirail® model G</v>
      </c>
      <c r="E241" s="1" t="s">
        <v>7</v>
      </c>
      <c r="F241" s="3">
        <v>39833</v>
      </c>
      <c r="G241" s="3">
        <v>41211</v>
      </c>
      <c r="H241" s="3">
        <v>43630</v>
      </c>
      <c r="I241" s="3">
        <v>43572</v>
      </c>
    </row>
    <row r="242" spans="2:9" x14ac:dyDescent="0.25">
      <c r="B242" s="2" t="str">
        <f>"112330#"</f>
        <v>112330#</v>
      </c>
      <c r="C242" s="2" t="str">
        <f>"TWO-86"</f>
        <v>TWO-86</v>
      </c>
      <c r="D242" s="1" t="str">
        <f>"Hergebruik Otolift TWO"</f>
        <v>Hergebruik Otolift TWO</v>
      </c>
      <c r="E242" s="1" t="s">
        <v>7</v>
      </c>
      <c r="F242" s="3">
        <v>40711</v>
      </c>
      <c r="G242" s="3">
        <v>43396</v>
      </c>
      <c r="H242" s="3">
        <v>43587</v>
      </c>
      <c r="I242" s="3" t="str">
        <f>""</f>
        <v/>
      </c>
    </row>
    <row r="243" spans="2:9" x14ac:dyDescent="0.25">
      <c r="B243" s="2" t="str">
        <f>"101254#"</f>
        <v>101254#</v>
      </c>
      <c r="C243" s="2" t="str">
        <f>"TWO-86"</f>
        <v>TWO-86</v>
      </c>
      <c r="D243" s="1" t="str">
        <f>"Otolift met Flexirail® model G"</f>
        <v>Otolift met Flexirail® model G</v>
      </c>
      <c r="E243" s="1" t="s">
        <v>7</v>
      </c>
      <c r="F243" s="3">
        <v>39822</v>
      </c>
      <c r="G243" s="3">
        <v>41764</v>
      </c>
      <c r="H243" s="3">
        <v>43804</v>
      </c>
      <c r="I243" s="3">
        <v>43769</v>
      </c>
    </row>
    <row r="244" spans="2:9" x14ac:dyDescent="0.25">
      <c r="B244" s="2" t="str">
        <f>"138365#"</f>
        <v>138365#</v>
      </c>
      <c r="C244" s="2" t="str">
        <f>"MOD-G-6040-1"</f>
        <v>MOD-G-6040-1</v>
      </c>
      <c r="D244" s="1" t="str">
        <f>"Otolift Modul-AIR buitenbocht"</f>
        <v>Otolift Modul-AIR buitenbocht</v>
      </c>
      <c r="E244" s="1" t="s">
        <v>7</v>
      </c>
      <c r="F244" s="3">
        <v>43404</v>
      </c>
      <c r="G244" s="3">
        <v>43404</v>
      </c>
      <c r="H244" s="3">
        <v>43404</v>
      </c>
      <c r="I244" s="3" t="str">
        <f>""</f>
        <v/>
      </c>
    </row>
    <row r="245" spans="2:9" x14ac:dyDescent="0.25">
      <c r="B245" s="2" t="str">
        <f>"119490#"</f>
        <v>119490#</v>
      </c>
      <c r="C245" s="2" t="str">
        <f>"MOD-G-6040-1"</f>
        <v>MOD-G-6040-1</v>
      </c>
      <c r="D245" s="1" t="str">
        <f>"Hergebruik Otolift Modul-AIR buitenbocht"</f>
        <v>Hergebruik Otolift Modul-AIR buitenbocht</v>
      </c>
      <c r="E245" s="1" t="s">
        <v>7</v>
      </c>
      <c r="F245" s="3">
        <v>41570</v>
      </c>
      <c r="G245" s="3">
        <v>42898</v>
      </c>
      <c r="H245" s="3">
        <v>43514</v>
      </c>
      <c r="I245" s="3">
        <v>43879</v>
      </c>
    </row>
    <row r="246" spans="2:9" x14ac:dyDescent="0.25">
      <c r="B246" s="2" t="str">
        <f>"101291#"</f>
        <v>101291#</v>
      </c>
      <c r="C246" s="2" t="str">
        <f>"TWO-86"</f>
        <v>TWO-86</v>
      </c>
      <c r="D246" s="1" t="str">
        <f>"Otolift met Flexirail® model G"</f>
        <v>Otolift met Flexirail® model G</v>
      </c>
      <c r="E246" s="1" t="s">
        <v>7</v>
      </c>
      <c r="F246" s="3">
        <v>39847</v>
      </c>
      <c r="G246" s="3">
        <v>41473</v>
      </c>
      <c r="H246" s="3">
        <v>43479</v>
      </c>
      <c r="I246" s="3">
        <v>43844</v>
      </c>
    </row>
    <row r="247" spans="2:9" x14ac:dyDescent="0.25">
      <c r="B247" s="2" t="str">
        <f>"120125#"</f>
        <v>120125#</v>
      </c>
      <c r="C247" s="2" t="str">
        <f>"MOD-G-6040-1"</f>
        <v>MOD-G-6040-1</v>
      </c>
      <c r="D247" s="1" t="str">
        <f>"Hergebruik Otolift Modul-AIR buitenbocht"</f>
        <v>Hergebruik Otolift Modul-AIR buitenbocht</v>
      </c>
      <c r="E247" s="1" t="s">
        <v>7</v>
      </c>
      <c r="F247" s="3">
        <v>41646</v>
      </c>
      <c r="G247" s="3">
        <v>42916</v>
      </c>
      <c r="H247" s="3">
        <v>43663</v>
      </c>
      <c r="I247" s="3">
        <v>43651</v>
      </c>
    </row>
    <row r="248" spans="2:9" x14ac:dyDescent="0.25">
      <c r="B248" s="2" t="str">
        <f>"111438#"</f>
        <v>111438#</v>
      </c>
      <c r="C248" s="2" t="str">
        <f>"TWO-G-87"</f>
        <v>TWO-G-87</v>
      </c>
      <c r="D248" s="1" t="str">
        <f>"Hergebruik Otolift TWO"</f>
        <v>Hergebruik Otolift TWO</v>
      </c>
      <c r="E248" s="1" t="s">
        <v>7</v>
      </c>
      <c r="F248" s="3">
        <v>40638</v>
      </c>
      <c r="G248" s="3">
        <v>43404</v>
      </c>
      <c r="H248" s="3">
        <v>42907</v>
      </c>
      <c r="I248" s="3" t="str">
        <f>""</f>
        <v/>
      </c>
    </row>
    <row r="249" spans="2:9" x14ac:dyDescent="0.25">
      <c r="B249" s="2" t="str">
        <f>"127078#"</f>
        <v>127078#</v>
      </c>
      <c r="C249" s="2" t="str">
        <f>"MOD-G-6040-1"</f>
        <v>MOD-G-6040-1</v>
      </c>
      <c r="D249" s="1" t="str">
        <f>"Hergebruik Otolift Modul-AIR buitenbocht"</f>
        <v>Hergebruik Otolift Modul-AIR buitenbocht</v>
      </c>
      <c r="E249" s="1" t="s">
        <v>7</v>
      </c>
      <c r="F249" s="3">
        <v>42447</v>
      </c>
      <c r="G249" s="3">
        <v>43084</v>
      </c>
      <c r="H249" s="3">
        <v>43496</v>
      </c>
      <c r="I249" s="3">
        <v>43861</v>
      </c>
    </row>
    <row r="250" spans="2:9" x14ac:dyDescent="0.25">
      <c r="B250" s="2" t="str">
        <f>"112672#"</f>
        <v>112672#</v>
      </c>
      <c r="C250" s="2" t="str">
        <f>"TWO-C-87"</f>
        <v>TWO-C-87</v>
      </c>
      <c r="D250" s="1" t="str">
        <f>"Hergebruik Otolift TWO"</f>
        <v>Hergebruik Otolift TWO</v>
      </c>
      <c r="E250" s="1" t="s">
        <v>9</v>
      </c>
      <c r="F250" s="3">
        <v>40777</v>
      </c>
      <c r="G250" s="3">
        <v>43406</v>
      </c>
      <c r="H250" s="3">
        <v>43406</v>
      </c>
      <c r="I250" s="3" t="str">
        <f>""</f>
        <v/>
      </c>
    </row>
    <row r="251" spans="2:9" x14ac:dyDescent="0.25">
      <c r="B251" s="2" t="str">
        <f>"101453#"</f>
        <v>101453#</v>
      </c>
      <c r="C251" s="2" t="str">
        <f>"TWO-86"</f>
        <v>TWO-86</v>
      </c>
      <c r="D251" s="1" t="str">
        <f>"Otolift met Flexirail® model A"</f>
        <v>Otolift met Flexirail® model A</v>
      </c>
      <c r="E251" s="1" t="s">
        <v>8</v>
      </c>
      <c r="F251" s="3">
        <v>39829</v>
      </c>
      <c r="G251" s="3">
        <v>39829</v>
      </c>
      <c r="H251" s="3">
        <v>43507</v>
      </c>
      <c r="I251" s="3">
        <v>43872</v>
      </c>
    </row>
    <row r="252" spans="2:9" x14ac:dyDescent="0.25">
      <c r="B252" s="2" t="str">
        <f>"101519#"</f>
        <v>101519#</v>
      </c>
      <c r="C252" s="2" t="str">
        <f>"TWO-86"</f>
        <v>TWO-86</v>
      </c>
      <c r="D252" s="1" t="str">
        <f>"Otolift met Flexirail® model G"</f>
        <v>Otolift met Flexirail® model G</v>
      </c>
      <c r="E252" s="1" t="s">
        <v>7</v>
      </c>
      <c r="F252" s="3">
        <v>39836</v>
      </c>
      <c r="G252" s="3">
        <v>39836</v>
      </c>
      <c r="H252" s="3">
        <v>43501</v>
      </c>
      <c r="I252" s="3">
        <v>43866</v>
      </c>
    </row>
    <row r="253" spans="2:9" x14ac:dyDescent="0.25">
      <c r="B253" s="2" t="str">
        <f>"138701#"</f>
        <v>138701#</v>
      </c>
      <c r="C253" s="2" t="str">
        <f>"MEDM120LH"</f>
        <v>MEDM120LH</v>
      </c>
      <c r="D253" s="1" t="str">
        <f>"Meditek Handbed. 120kg links"</f>
        <v>Meditek Handbed. 120kg links</v>
      </c>
      <c r="E253" s="1" t="s">
        <v>8</v>
      </c>
      <c r="F253" s="3">
        <v>43409</v>
      </c>
      <c r="G253" s="3">
        <v>43409</v>
      </c>
      <c r="H253" s="3">
        <v>43409</v>
      </c>
      <c r="I253" s="3" t="str">
        <f>""</f>
        <v/>
      </c>
    </row>
    <row r="254" spans="2:9" x14ac:dyDescent="0.25">
      <c r="B254" s="2" t="str">
        <f>"129875#"</f>
        <v>129875#</v>
      </c>
      <c r="C254" s="2" t="str">
        <f>"MOD-G-6040-1"</f>
        <v>MOD-G-6040-1</v>
      </c>
      <c r="D254" s="1" t="str">
        <f>"Otolift Modulair buitenbocht"</f>
        <v>Otolift Modulair buitenbocht</v>
      </c>
      <c r="E254" s="1" t="s">
        <v>7</v>
      </c>
      <c r="F254" s="3">
        <v>42655</v>
      </c>
      <c r="G254" s="3">
        <v>42655</v>
      </c>
      <c r="H254" s="3">
        <v>43767</v>
      </c>
      <c r="I254" s="3">
        <v>43769</v>
      </c>
    </row>
    <row r="255" spans="2:9" x14ac:dyDescent="0.25">
      <c r="B255" s="2" t="str">
        <f>"101637#"</f>
        <v>101637#</v>
      </c>
      <c r="C255" s="2" t="str">
        <f>"TWO-86"</f>
        <v>TWO-86</v>
      </c>
      <c r="D255" s="1" t="str">
        <f>"Otolift met Flexirail® model B"</f>
        <v>Otolift met Flexirail® model B</v>
      </c>
      <c r="E255" s="1" t="s">
        <v>9</v>
      </c>
      <c r="F255" s="3">
        <v>40233</v>
      </c>
      <c r="G255" s="3">
        <v>40233</v>
      </c>
      <c r="H255" s="3">
        <v>43563</v>
      </c>
      <c r="I255" s="3">
        <v>43929</v>
      </c>
    </row>
    <row r="256" spans="2:9" x14ac:dyDescent="0.25">
      <c r="B256" s="2" t="str">
        <f>"101641#"</f>
        <v>101641#</v>
      </c>
      <c r="C256" s="2" t="str">
        <f>"TWO-85"</f>
        <v>TWO-85</v>
      </c>
      <c r="D256" s="1" t="str">
        <f>"Otolift met Flexirail® model G"</f>
        <v>Otolift met Flexirail® model G</v>
      </c>
      <c r="E256" s="1" t="s">
        <v>7</v>
      </c>
      <c r="F256" s="3">
        <v>39843</v>
      </c>
      <c r="G256" s="3">
        <v>40694</v>
      </c>
      <c r="H256" s="3">
        <v>43664</v>
      </c>
      <c r="I256" s="3">
        <v>43634</v>
      </c>
    </row>
    <row r="257" spans="2:9" x14ac:dyDescent="0.25">
      <c r="B257" s="2" t="str">
        <f>"101643#"</f>
        <v>101643#</v>
      </c>
      <c r="C257" s="2" t="str">
        <f>"TWO-86"</f>
        <v>TWO-86</v>
      </c>
      <c r="D257" s="1" t="str">
        <f>"Otolift met Flexirail® model B"</f>
        <v>Otolift met Flexirail® model B</v>
      </c>
      <c r="E257" s="1" t="s">
        <v>9</v>
      </c>
      <c r="F257" s="3">
        <v>39843</v>
      </c>
      <c r="G257" s="3">
        <v>39843</v>
      </c>
      <c r="H257" s="3">
        <v>43726</v>
      </c>
      <c r="I257" s="3">
        <v>43470</v>
      </c>
    </row>
    <row r="258" spans="2:9" x14ac:dyDescent="0.25">
      <c r="B258" s="2" t="str">
        <f>"101644#"</f>
        <v>101644#</v>
      </c>
      <c r="C258" s="2" t="str">
        <f>"TWO-86"</f>
        <v>TWO-86</v>
      </c>
      <c r="D258" s="1" t="str">
        <f>"Otolift met Flexirail® model C"</f>
        <v>Otolift met Flexirail® model C</v>
      </c>
      <c r="E258" s="1" t="s">
        <v>9</v>
      </c>
      <c r="F258" s="3">
        <v>39843</v>
      </c>
      <c r="G258" s="3">
        <v>39843</v>
      </c>
      <c r="H258" s="3">
        <v>43669</v>
      </c>
      <c r="I258" s="3">
        <v>43630</v>
      </c>
    </row>
    <row r="259" spans="2:9" x14ac:dyDescent="0.25">
      <c r="B259" s="2" t="str">
        <f>"101663#"</f>
        <v>101663#</v>
      </c>
      <c r="C259" s="2" t="str">
        <f>"TWO-86-S"</f>
        <v>TWO-86-S</v>
      </c>
      <c r="D259" s="1" t="str">
        <f>"Otolift met Flexirail® model G"</f>
        <v>Otolift met Flexirail® model G</v>
      </c>
      <c r="E259" s="1" t="s">
        <v>7</v>
      </c>
      <c r="F259" s="3">
        <v>39853</v>
      </c>
      <c r="G259" s="3">
        <v>40977</v>
      </c>
      <c r="H259" s="3">
        <v>43664</v>
      </c>
      <c r="I259" s="3">
        <v>43585</v>
      </c>
    </row>
    <row r="260" spans="2:9" x14ac:dyDescent="0.25">
      <c r="B260" s="2" t="str">
        <f>"129888#"</f>
        <v>129888#</v>
      </c>
      <c r="C260" s="2" t="str">
        <f>"MOD-G-6040-1"</f>
        <v>MOD-G-6040-1</v>
      </c>
      <c r="D260" s="1" t="str">
        <f>"Hergebruik Otolift Modul-AIR buitenbocht"</f>
        <v>Hergebruik Otolift Modul-AIR buitenbocht</v>
      </c>
      <c r="E260" s="1" t="s">
        <v>7</v>
      </c>
      <c r="F260" s="3">
        <v>42654</v>
      </c>
      <c r="G260" s="3">
        <v>42984</v>
      </c>
      <c r="H260" s="3">
        <v>43726</v>
      </c>
      <c r="I260" s="3">
        <v>43719</v>
      </c>
    </row>
    <row r="261" spans="2:9" x14ac:dyDescent="0.25">
      <c r="B261" s="2" t="str">
        <f>"130872#"</f>
        <v>130872#</v>
      </c>
      <c r="C261" s="2" t="str">
        <f>"MOD-G-6040-1"</f>
        <v>MOD-G-6040-1</v>
      </c>
      <c r="D261" s="1" t="str">
        <f>"Otolift Modulair buitenbocht"</f>
        <v>Otolift Modulair buitenbocht</v>
      </c>
      <c r="E261" s="1" t="s">
        <v>7</v>
      </c>
      <c r="F261" s="3">
        <v>42765</v>
      </c>
      <c r="G261" s="3">
        <v>42765</v>
      </c>
      <c r="H261" s="3">
        <v>43539</v>
      </c>
      <c r="I261" s="3">
        <v>43905</v>
      </c>
    </row>
    <row r="262" spans="2:9" x14ac:dyDescent="0.25">
      <c r="B262" s="2" t="str">
        <f>"101883#"</f>
        <v>101883#</v>
      </c>
      <c r="C262" s="2" t="str">
        <f>"TWO-85"</f>
        <v>TWO-85</v>
      </c>
      <c r="D262" s="1" t="str">
        <f>"Otolift met Flexirail® model B"</f>
        <v>Otolift met Flexirail® model B</v>
      </c>
      <c r="E262" s="1" t="s">
        <v>9</v>
      </c>
      <c r="F262" s="3">
        <v>39868</v>
      </c>
      <c r="G262" s="3">
        <v>41200</v>
      </c>
      <c r="H262" s="3">
        <v>43594</v>
      </c>
      <c r="I262" s="3">
        <v>43960</v>
      </c>
    </row>
    <row r="263" spans="2:9" x14ac:dyDescent="0.25">
      <c r="B263" s="2" t="str">
        <f>"131075#"</f>
        <v>131075#</v>
      </c>
      <c r="C263" s="2" t="str">
        <f>"MOD-G-6040-1"</f>
        <v>MOD-G-6040-1</v>
      </c>
      <c r="D263" s="1" t="str">
        <f>"Otolift Modul-AIR buitenbocht"</f>
        <v>Otolift Modul-AIR buitenbocht</v>
      </c>
      <c r="E263" s="1" t="s">
        <v>7</v>
      </c>
      <c r="F263" s="3">
        <v>42781</v>
      </c>
      <c r="G263" s="3">
        <v>42781</v>
      </c>
      <c r="H263" s="3">
        <v>43181</v>
      </c>
      <c r="I263" s="3">
        <v>43546</v>
      </c>
    </row>
    <row r="264" spans="2:9" x14ac:dyDescent="0.25">
      <c r="B264" s="2" t="str">
        <f>"101934#"</f>
        <v>101934#</v>
      </c>
      <c r="C264" s="2" t="str">
        <f>"TWO-86"</f>
        <v>TWO-86</v>
      </c>
      <c r="D264" s="1" t="str">
        <f>"Otolift met Flexirail® model C"</f>
        <v>Otolift met Flexirail® model C</v>
      </c>
      <c r="E264" s="1" t="s">
        <v>9</v>
      </c>
      <c r="F264" s="3">
        <v>39855</v>
      </c>
      <c r="G264" s="3">
        <v>39855</v>
      </c>
      <c r="H264" s="3">
        <v>43410</v>
      </c>
      <c r="I264" s="3">
        <v>43775</v>
      </c>
    </row>
    <row r="265" spans="2:9" x14ac:dyDescent="0.25">
      <c r="B265" s="2" t="str">
        <f>"101936#"</f>
        <v>101936#</v>
      </c>
      <c r="C265" s="2" t="str">
        <f>"TWO-86-S"</f>
        <v>TWO-86-S</v>
      </c>
      <c r="D265" s="1" t="str">
        <f>"Otolift met Flexirail® model G"</f>
        <v>Otolift met Flexirail® model G</v>
      </c>
      <c r="E265" s="1" t="s">
        <v>7</v>
      </c>
      <c r="F265" s="3">
        <v>39861</v>
      </c>
      <c r="G265" s="3">
        <v>39861</v>
      </c>
      <c r="H265" s="3">
        <v>43714</v>
      </c>
      <c r="I265" s="3">
        <v>43693</v>
      </c>
    </row>
    <row r="266" spans="2:9" x14ac:dyDescent="0.25">
      <c r="B266" s="2" t="str">
        <f>"101976#"</f>
        <v>101976#</v>
      </c>
      <c r="C266" s="2" t="str">
        <f>"TWO-86-S"</f>
        <v>TWO-86-S</v>
      </c>
      <c r="D266" s="1" t="str">
        <f>"Otolift met Flexirail® model G"</f>
        <v>Otolift met Flexirail® model G</v>
      </c>
      <c r="E266" s="1" t="s">
        <v>7</v>
      </c>
      <c r="F266" s="3">
        <v>39871</v>
      </c>
      <c r="G266" s="3">
        <v>39871</v>
      </c>
      <c r="H266" s="3">
        <v>43250</v>
      </c>
      <c r="I266" s="3">
        <v>43615</v>
      </c>
    </row>
    <row r="267" spans="2:9" x14ac:dyDescent="0.25">
      <c r="B267" s="2" t="str">
        <f>"101978#"</f>
        <v>101978#</v>
      </c>
      <c r="C267" s="2" t="str">
        <f>"TWO-86"</f>
        <v>TWO-86</v>
      </c>
      <c r="D267" s="1" t="str">
        <f>"Otolift met Flexirail® model B"</f>
        <v>Otolift met Flexirail® model B</v>
      </c>
      <c r="E267" s="1" t="s">
        <v>9</v>
      </c>
      <c r="F267" s="3">
        <v>39856</v>
      </c>
      <c r="G267" s="3">
        <v>39856</v>
      </c>
      <c r="H267" s="3">
        <v>43724</v>
      </c>
      <c r="I267" s="3">
        <v>43496</v>
      </c>
    </row>
    <row r="268" spans="2:9" x14ac:dyDescent="0.25">
      <c r="B268" s="2" t="str">
        <f>"131238#"</f>
        <v>131238#</v>
      </c>
      <c r="C268" s="2" t="str">
        <f>"MOD-G-6040-1"</f>
        <v>MOD-G-6040-1</v>
      </c>
      <c r="D268" s="1" t="str">
        <f>"Hergebruik Otolift Modul-AIR buitenbocht"</f>
        <v>Hergebruik Otolift Modul-AIR buitenbocht</v>
      </c>
      <c r="E268" s="1" t="s">
        <v>7</v>
      </c>
      <c r="F268" s="3">
        <v>42786</v>
      </c>
      <c r="G268" s="3">
        <v>43397</v>
      </c>
      <c r="H268" s="3">
        <v>43774</v>
      </c>
      <c r="I268" s="3">
        <v>43762</v>
      </c>
    </row>
    <row r="269" spans="2:9" x14ac:dyDescent="0.25">
      <c r="B269" s="2" t="str">
        <f>"131865#"</f>
        <v>131865#</v>
      </c>
      <c r="C269" s="2" t="str">
        <f>"MOD-G-6040-1"</f>
        <v>MOD-G-6040-1</v>
      </c>
      <c r="D269" s="1" t="str">
        <f>"Otolift Modul-AIR buitenbocht"</f>
        <v>Otolift Modul-AIR buitenbocht</v>
      </c>
      <c r="E269" s="1" t="s">
        <v>7</v>
      </c>
      <c r="F269" s="3">
        <v>42837</v>
      </c>
      <c r="G269" s="3">
        <v>42837</v>
      </c>
      <c r="H269" s="3">
        <v>43664</v>
      </c>
      <c r="I269" s="3">
        <v>43571</v>
      </c>
    </row>
    <row r="270" spans="2:9" x14ac:dyDescent="0.25">
      <c r="B270" s="2" t="str">
        <f>"102130#"</f>
        <v>102130#</v>
      </c>
      <c r="C270" s="2" t="str">
        <f>"TWO-86-S"</f>
        <v>TWO-86-S</v>
      </c>
      <c r="D270" s="1" t="str">
        <f>"Otolift met Flexirail® model G"</f>
        <v>Otolift met Flexirail® model G</v>
      </c>
      <c r="E270" s="1" t="s">
        <v>7</v>
      </c>
      <c r="F270" s="3">
        <v>39874</v>
      </c>
      <c r="G270" s="3">
        <v>39874</v>
      </c>
      <c r="H270" s="3">
        <v>43571</v>
      </c>
      <c r="I270" s="3">
        <v>43937</v>
      </c>
    </row>
    <row r="271" spans="2:9" x14ac:dyDescent="0.25">
      <c r="B271" s="2" t="str">
        <f>"102178#"</f>
        <v>102178#</v>
      </c>
      <c r="C271" s="2" t="str">
        <f>"TWO-86-S"</f>
        <v>TWO-86-S</v>
      </c>
      <c r="D271" s="1" t="str">
        <f>"Otolift met Flexirail® model G"</f>
        <v>Otolift met Flexirail® model G</v>
      </c>
      <c r="E271" s="1" t="s">
        <v>7</v>
      </c>
      <c r="F271" s="3">
        <v>39896</v>
      </c>
      <c r="G271" s="3">
        <v>39896</v>
      </c>
      <c r="H271" s="3">
        <v>43514</v>
      </c>
      <c r="I271" s="3">
        <v>43879</v>
      </c>
    </row>
    <row r="272" spans="2:9" x14ac:dyDescent="0.25">
      <c r="B272" s="2" t="str">
        <f>"132245#"</f>
        <v>132245#</v>
      </c>
      <c r="C272" s="2" t="str">
        <f>"MOD-G-6040-1"</f>
        <v>MOD-G-6040-1</v>
      </c>
      <c r="D272" s="1" t="str">
        <f>"Hergebruik Otolift Modul-AIR buitenbocht"</f>
        <v>Hergebruik Otolift Modul-AIR buitenbocht</v>
      </c>
      <c r="E272" s="1" t="s">
        <v>7</v>
      </c>
      <c r="F272" s="3">
        <v>42856</v>
      </c>
      <c r="G272" s="3">
        <v>43185</v>
      </c>
      <c r="H272" s="3">
        <v>43672</v>
      </c>
      <c r="I272" s="3">
        <v>43550</v>
      </c>
    </row>
    <row r="273" spans="2:9" x14ac:dyDescent="0.25">
      <c r="B273" s="2" t="str">
        <f>"136493#"</f>
        <v>136493#</v>
      </c>
      <c r="C273" s="2" t="str">
        <f>"MOD-G-6040-1"</f>
        <v>MOD-G-6040-1</v>
      </c>
      <c r="D273" s="1" t="str">
        <f>"Otolift Modul-AIR buitenbocht"</f>
        <v>Otolift Modul-AIR buitenbocht</v>
      </c>
      <c r="E273" s="1" t="s">
        <v>7</v>
      </c>
      <c r="F273" s="3">
        <v>43238</v>
      </c>
      <c r="G273" s="3">
        <v>43238</v>
      </c>
      <c r="H273" s="3">
        <v>43658</v>
      </c>
      <c r="I273" s="3">
        <v>43603</v>
      </c>
    </row>
    <row r="274" spans="2:9" x14ac:dyDescent="0.25">
      <c r="B274" s="2" t="str">
        <f>"102295#"</f>
        <v>102295#</v>
      </c>
      <c r="C274" s="2" t="str">
        <f>"TWO-86-SZ"</f>
        <v>TWO-86-SZ</v>
      </c>
      <c r="D274" s="1" t="str">
        <f>"Otolift met Flexirail® model G"</f>
        <v>Otolift met Flexirail® model G</v>
      </c>
      <c r="E274" s="1" t="s">
        <v>7</v>
      </c>
      <c r="F274" s="3">
        <v>39884</v>
      </c>
      <c r="G274" s="3">
        <v>40801</v>
      </c>
      <c r="H274" s="3">
        <v>43108</v>
      </c>
      <c r="I274" s="3">
        <v>43473</v>
      </c>
    </row>
    <row r="275" spans="2:9" x14ac:dyDescent="0.25">
      <c r="B275" s="2" t="str">
        <f>"102337#"</f>
        <v>102337#</v>
      </c>
      <c r="C275" s="2" t="str">
        <f>"TWO-86-S"</f>
        <v>TWO-86-S</v>
      </c>
      <c r="D275" s="1" t="str">
        <f>"Otolift met Flexirail® model G"</f>
        <v>Otolift met Flexirail® model G</v>
      </c>
      <c r="E275" s="1" t="s">
        <v>7</v>
      </c>
      <c r="F275" s="3">
        <v>39895</v>
      </c>
      <c r="G275" s="3">
        <v>39895</v>
      </c>
      <c r="H275" s="3">
        <v>43774</v>
      </c>
      <c r="I275" s="3">
        <v>43669</v>
      </c>
    </row>
    <row r="276" spans="2:9" x14ac:dyDescent="0.25">
      <c r="B276" s="2" t="str">
        <f>"136531#"</f>
        <v>136531#</v>
      </c>
      <c r="C276" s="2" t="str">
        <f>"MOD-G-6040-1"</f>
        <v>MOD-G-6040-1</v>
      </c>
      <c r="D276" s="1" t="str">
        <f>"Otolift Modul-AIR buitenbocht"</f>
        <v>Otolift Modul-AIR buitenbocht</v>
      </c>
      <c r="E276" s="1" t="s">
        <v>7</v>
      </c>
      <c r="F276" s="3">
        <v>43237</v>
      </c>
      <c r="G276" s="3">
        <v>43237</v>
      </c>
      <c r="H276" s="3">
        <v>43665</v>
      </c>
      <c r="I276" s="3">
        <v>43602</v>
      </c>
    </row>
    <row r="277" spans="2:9" x14ac:dyDescent="0.25">
      <c r="B277" s="2" t="str">
        <f>"102380#"</f>
        <v>102380#</v>
      </c>
      <c r="C277" s="2" t="str">
        <f>"TWO-86"</f>
        <v>TWO-86</v>
      </c>
      <c r="D277" s="1" t="str">
        <f>"Otolift met Flexirail® model A"</f>
        <v>Otolift met Flexirail® model A</v>
      </c>
      <c r="E277" s="1" t="s">
        <v>8</v>
      </c>
      <c r="F277" s="3">
        <v>39892</v>
      </c>
      <c r="G277" s="3">
        <v>40841</v>
      </c>
      <c r="H277" s="3">
        <v>43432</v>
      </c>
      <c r="I277" s="3">
        <v>43797</v>
      </c>
    </row>
    <row r="278" spans="2:9" x14ac:dyDescent="0.25">
      <c r="B278" s="2" t="str">
        <f>"102412#"</f>
        <v>102412#</v>
      </c>
      <c r="C278" s="2" t="str">
        <f>"TWO-B-87-S"</f>
        <v>TWO-B-87-S</v>
      </c>
      <c r="D278" s="1" t="str">
        <f>"Otolift met Flexirail® model B"</f>
        <v>Otolift met Flexirail® model B</v>
      </c>
      <c r="E278" s="1" t="s">
        <v>9</v>
      </c>
      <c r="F278" s="3">
        <v>39895</v>
      </c>
      <c r="G278" s="3">
        <v>40436</v>
      </c>
      <c r="H278" s="3">
        <v>43441</v>
      </c>
      <c r="I278" s="3">
        <v>43806</v>
      </c>
    </row>
    <row r="279" spans="2:9" x14ac:dyDescent="0.25">
      <c r="B279" s="2" t="str">
        <f>"138508#"</f>
        <v>138508#</v>
      </c>
      <c r="C279" s="2" t="str">
        <f>"MOD-C-6050-1"</f>
        <v>MOD-C-6050-1</v>
      </c>
      <c r="D279" s="1" t="str">
        <f>"Otolift Modul-AIR buitenbocht"</f>
        <v>Otolift Modul-AIR buitenbocht</v>
      </c>
      <c r="E279" s="1" t="s">
        <v>9</v>
      </c>
      <c r="F279" s="3">
        <v>43409</v>
      </c>
      <c r="G279" s="3">
        <v>43409</v>
      </c>
      <c r="H279" s="3" t="str">
        <f>""</f>
        <v/>
      </c>
      <c r="I279" s="3" t="str">
        <f>""</f>
        <v/>
      </c>
    </row>
    <row r="280" spans="2:9" x14ac:dyDescent="0.25">
      <c r="B280" s="2" t="str">
        <f>"136785#"</f>
        <v>136785#</v>
      </c>
      <c r="C280" s="2" t="str">
        <f>"MOD-G-6040-1"</f>
        <v>MOD-G-6040-1</v>
      </c>
      <c r="D280" s="1" t="str">
        <f>"Otolift Modul-AIR buitenbocht"</f>
        <v>Otolift Modul-AIR buitenbocht</v>
      </c>
      <c r="E280" s="1" t="s">
        <v>7</v>
      </c>
      <c r="F280" s="3">
        <v>43269</v>
      </c>
      <c r="G280" s="3">
        <v>43269</v>
      </c>
      <c r="H280" s="3">
        <v>43663</v>
      </c>
      <c r="I280" s="3">
        <v>43634</v>
      </c>
    </row>
    <row r="281" spans="2:9" x14ac:dyDescent="0.25">
      <c r="B281" s="2" t="str">
        <f>"136925#"</f>
        <v>136925#</v>
      </c>
      <c r="C281" s="2" t="str">
        <f>"MOD-G-6040-1"</f>
        <v>MOD-G-6040-1</v>
      </c>
      <c r="D281" s="1" t="str">
        <f>"Otolift Modul-AIR buitenbocht"</f>
        <v>Otolift Modul-AIR buitenbocht</v>
      </c>
      <c r="E281" s="1" t="s">
        <v>7</v>
      </c>
      <c r="F281" s="3">
        <v>43266</v>
      </c>
      <c r="G281" s="3">
        <v>43266</v>
      </c>
      <c r="H281" s="3">
        <v>43714</v>
      </c>
      <c r="I281" s="3">
        <v>43631</v>
      </c>
    </row>
    <row r="282" spans="2:9" x14ac:dyDescent="0.25">
      <c r="B282" s="2" t="str">
        <f>"102715#"</f>
        <v>102715#</v>
      </c>
      <c r="C282" s="2" t="str">
        <f>"TWO-86"</f>
        <v>TWO-86</v>
      </c>
      <c r="D282" s="1" t="str">
        <f>"Otolift met Flexirail® model G"</f>
        <v>Otolift met Flexirail® model G</v>
      </c>
      <c r="E282" s="1" t="s">
        <v>7</v>
      </c>
      <c r="F282" s="3">
        <v>39953</v>
      </c>
      <c r="G282" s="3">
        <v>41613</v>
      </c>
      <c r="H282" s="3">
        <v>43754</v>
      </c>
      <c r="I282" s="3">
        <v>43819</v>
      </c>
    </row>
    <row r="283" spans="2:9" x14ac:dyDescent="0.25">
      <c r="B283" s="2" t="str">
        <f>"102813#"</f>
        <v>102813#</v>
      </c>
      <c r="C283" s="2" t="str">
        <f>"TWO-86"</f>
        <v>TWO-86</v>
      </c>
      <c r="D283" s="1" t="str">
        <f>"Otolift met Flexirail® model B"</f>
        <v>Otolift met Flexirail® model B</v>
      </c>
      <c r="E283" s="1" t="s">
        <v>9</v>
      </c>
      <c r="F283" s="3">
        <v>39925</v>
      </c>
      <c r="G283" s="3">
        <v>40766</v>
      </c>
      <c r="H283" s="3">
        <v>43482</v>
      </c>
      <c r="I283" s="3">
        <v>43847</v>
      </c>
    </row>
    <row r="284" spans="2:9" x14ac:dyDescent="0.25">
      <c r="B284" s="2" t="str">
        <f>"137172#"</f>
        <v>137172#</v>
      </c>
      <c r="C284" s="2" t="str">
        <f>"MOD-G-6040-1"</f>
        <v>MOD-G-6040-1</v>
      </c>
      <c r="D284" s="1" t="str">
        <f>"Otolift Modul-AIR buitenbocht"</f>
        <v>Otolift Modul-AIR buitenbocht</v>
      </c>
      <c r="E284" s="1" t="s">
        <v>7</v>
      </c>
      <c r="F284" s="3">
        <v>43278</v>
      </c>
      <c r="G284" s="3">
        <v>43278</v>
      </c>
      <c r="H284" s="3">
        <v>43655</v>
      </c>
      <c r="I284" s="3">
        <v>43643</v>
      </c>
    </row>
    <row r="285" spans="2:9" x14ac:dyDescent="0.25">
      <c r="B285" s="2" t="str">
        <f>"123517#"</f>
        <v>123517#</v>
      </c>
      <c r="C285" s="2" t="str">
        <f>"TWO-B-87"</f>
        <v>TWO-B-87</v>
      </c>
      <c r="D285" s="1" t="str">
        <f>"Hergebruik Otolift TWO"</f>
        <v>Hergebruik Otolift TWO</v>
      </c>
      <c r="E285" s="1" t="s">
        <v>9</v>
      </c>
      <c r="F285" s="3">
        <v>42053</v>
      </c>
      <c r="G285" s="3">
        <v>43409</v>
      </c>
      <c r="H285" s="3" t="str">
        <f>""</f>
        <v/>
      </c>
      <c r="I285" s="3" t="str">
        <f>""</f>
        <v/>
      </c>
    </row>
    <row r="286" spans="2:9" x14ac:dyDescent="0.25">
      <c r="B286" s="2" t="str">
        <f>"102889#"</f>
        <v>102889#</v>
      </c>
      <c r="C286" s="2" t="str">
        <f>"TWO-86"</f>
        <v>TWO-86</v>
      </c>
      <c r="D286" s="1" t="str">
        <f>"Otolift met Flexirail® model B"</f>
        <v>Otolift met Flexirail® model B</v>
      </c>
      <c r="E286" s="1" t="s">
        <v>9</v>
      </c>
      <c r="F286" s="3">
        <v>39945</v>
      </c>
      <c r="G286" s="3">
        <v>39945</v>
      </c>
      <c r="H286" s="3">
        <v>43171</v>
      </c>
      <c r="I286" s="3">
        <v>43536</v>
      </c>
    </row>
    <row r="287" spans="2:9" x14ac:dyDescent="0.25">
      <c r="B287" s="2" t="str">
        <f>"103012#"</f>
        <v>103012#</v>
      </c>
      <c r="C287" s="2" t="str">
        <f>"TWO-86"</f>
        <v>TWO-86</v>
      </c>
      <c r="D287" s="1" t="str">
        <f>"Otolift met Flexirail® model G"</f>
        <v>Otolift met Flexirail® model G</v>
      </c>
      <c r="E287" s="1" t="s">
        <v>7</v>
      </c>
      <c r="F287" s="3">
        <v>39940</v>
      </c>
      <c r="G287" s="3">
        <v>39940</v>
      </c>
      <c r="H287" s="3">
        <v>43741</v>
      </c>
      <c r="I287" s="3">
        <v>43860</v>
      </c>
    </row>
    <row r="288" spans="2:9" x14ac:dyDescent="0.25">
      <c r="B288" s="2" t="str">
        <f>"103017#"</f>
        <v>103017#</v>
      </c>
      <c r="C288" s="2" t="str">
        <f>"TWO-86"</f>
        <v>TWO-86</v>
      </c>
      <c r="D288" s="1" t="str">
        <f>"Otolift met Flexirail® model G"</f>
        <v>Otolift met Flexirail® model G</v>
      </c>
      <c r="E288" s="1" t="s">
        <v>7</v>
      </c>
      <c r="F288" s="3">
        <v>39939</v>
      </c>
      <c r="G288" s="3">
        <v>39939</v>
      </c>
      <c r="H288" s="3">
        <v>43698</v>
      </c>
      <c r="I288" s="3">
        <v>43495</v>
      </c>
    </row>
    <row r="289" spans="2:9" x14ac:dyDescent="0.25">
      <c r="B289" s="2" t="str">
        <f>"138368#"</f>
        <v>138368#</v>
      </c>
      <c r="C289" s="2" t="str">
        <f>"MOD-G-6040-1"</f>
        <v>MOD-G-6040-1</v>
      </c>
      <c r="D289" s="1" t="str">
        <f>"Otolift Modul-AIR buitenbocht"</f>
        <v>Otolift Modul-AIR buitenbocht</v>
      </c>
      <c r="E289" s="1" t="s">
        <v>7</v>
      </c>
      <c r="F289" s="3">
        <v>43402</v>
      </c>
      <c r="G289" s="3">
        <v>43402</v>
      </c>
      <c r="H289" s="3">
        <v>43783</v>
      </c>
      <c r="I289" s="3">
        <v>43767</v>
      </c>
    </row>
    <row r="290" spans="2:9" x14ac:dyDescent="0.25">
      <c r="B290" s="2" t="str">
        <f>"103056#"</f>
        <v>103056#</v>
      </c>
      <c r="C290" s="2" t="str">
        <f>"TWO-86-S"</f>
        <v>TWO-86-S</v>
      </c>
      <c r="D290" s="1" t="str">
        <f>"Otolift met Flexirail® model G"</f>
        <v>Otolift met Flexirail® model G</v>
      </c>
      <c r="E290" s="1" t="s">
        <v>7</v>
      </c>
      <c r="F290" s="3">
        <v>40007</v>
      </c>
      <c r="G290" s="3">
        <v>40007</v>
      </c>
      <c r="H290" s="3">
        <v>43703</v>
      </c>
      <c r="I290" s="3">
        <v>43691</v>
      </c>
    </row>
    <row r="291" spans="2:9" x14ac:dyDescent="0.25">
      <c r="B291" s="2" t="str">
        <f>"103070#"</f>
        <v>103070#</v>
      </c>
      <c r="C291" s="2" t="str">
        <f>"TWO-86"</f>
        <v>TWO-86</v>
      </c>
      <c r="D291" s="1" t="str">
        <f>"Otolift met Flexirail® model B"</f>
        <v>Otolift met Flexirail® model B</v>
      </c>
      <c r="E291" s="1" t="s">
        <v>9</v>
      </c>
      <c r="F291" s="3">
        <v>39948</v>
      </c>
      <c r="G291" s="3">
        <v>39948</v>
      </c>
      <c r="H291" s="3">
        <v>43424</v>
      </c>
      <c r="I291" s="3">
        <v>43789</v>
      </c>
    </row>
    <row r="292" spans="2:9" x14ac:dyDescent="0.25">
      <c r="B292" s="2" t="str">
        <f>"103072#"</f>
        <v>103072#</v>
      </c>
      <c r="C292" s="2" t="str">
        <f>"TWO-J-87"</f>
        <v>TWO-J-87</v>
      </c>
      <c r="D292" s="1" t="str">
        <f>"Otolift met Flexirail® model G"</f>
        <v>Otolift met Flexirail® model G</v>
      </c>
      <c r="E292" s="1" t="s">
        <v>7</v>
      </c>
      <c r="F292" s="3">
        <v>39941</v>
      </c>
      <c r="G292" s="3">
        <v>40520</v>
      </c>
      <c r="H292" s="3">
        <v>43741</v>
      </c>
      <c r="I292" s="3">
        <v>43769</v>
      </c>
    </row>
    <row r="293" spans="2:9" x14ac:dyDescent="0.25">
      <c r="B293" s="2" t="str">
        <f>"103073#"</f>
        <v>103073#</v>
      </c>
      <c r="C293" s="2" t="str">
        <f>"TWO-86-S"</f>
        <v>TWO-86-S</v>
      </c>
      <c r="D293" s="1" t="str">
        <f>"Otolift met Flexirail® model G"</f>
        <v>Otolift met Flexirail® model G</v>
      </c>
      <c r="E293" s="1" t="s">
        <v>7</v>
      </c>
      <c r="F293" s="3">
        <v>39944</v>
      </c>
      <c r="G293" s="3">
        <v>39944</v>
      </c>
      <c r="H293" s="3">
        <v>43803</v>
      </c>
      <c r="I293" s="3">
        <v>43473</v>
      </c>
    </row>
    <row r="294" spans="2:9" x14ac:dyDescent="0.25">
      <c r="B294" s="2" t="str">
        <f>"138722#"</f>
        <v>138722#</v>
      </c>
      <c r="C294" s="2" t="str">
        <f>"MOD-B-6040-1"</f>
        <v>MOD-B-6040-1</v>
      </c>
      <c r="D294" s="1" t="str">
        <f>"Otolift Modul-AIR buitenbocht"</f>
        <v>Otolift Modul-AIR buitenbocht</v>
      </c>
      <c r="E294" s="1" t="s">
        <v>9</v>
      </c>
      <c r="F294" s="3">
        <v>43410</v>
      </c>
      <c r="G294" s="3">
        <v>43410</v>
      </c>
      <c r="H294" s="3">
        <v>43410</v>
      </c>
      <c r="I294" s="3" t="str">
        <f>""</f>
        <v/>
      </c>
    </row>
    <row r="295" spans="2:9" x14ac:dyDescent="0.25">
      <c r="B295" s="2" t="str">
        <f>"103397#"</f>
        <v>103397#</v>
      </c>
      <c r="C295" s="2" t="str">
        <f>"TWO-C-87-S"</f>
        <v>TWO-C-87-S</v>
      </c>
      <c r="D295" s="1" t="str">
        <f>"Otolift met Flexirail® model B"</f>
        <v>Otolift met Flexirail® model B</v>
      </c>
      <c r="E295" s="1" t="s">
        <v>9</v>
      </c>
      <c r="F295" s="3">
        <v>39961</v>
      </c>
      <c r="G295" s="3">
        <v>40813</v>
      </c>
      <c r="H295" s="3">
        <v>43536</v>
      </c>
      <c r="I295" s="3">
        <v>43902</v>
      </c>
    </row>
    <row r="296" spans="2:9" x14ac:dyDescent="0.25">
      <c r="B296" s="2" t="str">
        <f>"103398#"</f>
        <v>103398#</v>
      </c>
      <c r="C296" s="2" t="str">
        <f>"TWO-86"</f>
        <v>TWO-86</v>
      </c>
      <c r="D296" s="1" t="str">
        <f>"Otolift met Flexirail® model G"</f>
        <v>Otolift met Flexirail® model G</v>
      </c>
      <c r="E296" s="1" t="s">
        <v>7</v>
      </c>
      <c r="F296" s="3">
        <v>39972</v>
      </c>
      <c r="G296" s="3">
        <v>40875</v>
      </c>
      <c r="H296" s="3">
        <v>43642</v>
      </c>
      <c r="I296" s="3">
        <v>43659</v>
      </c>
    </row>
    <row r="297" spans="2:9" x14ac:dyDescent="0.25">
      <c r="B297" s="2" t="str">
        <f>"105025#"</f>
        <v>105025#</v>
      </c>
      <c r="C297" s="2" t="str">
        <f>"TWO-85"</f>
        <v>TWO-85</v>
      </c>
      <c r="D297" s="1" t="str">
        <f>"Hergebruik Otolift TWO buitenbocht trap"</f>
        <v>Hergebruik Otolift TWO buitenbocht trap</v>
      </c>
      <c r="E297" s="1" t="s">
        <v>7</v>
      </c>
      <c r="F297" s="3">
        <v>40102</v>
      </c>
      <c r="G297" s="3">
        <v>43413</v>
      </c>
      <c r="H297" s="3">
        <v>43794</v>
      </c>
      <c r="I297" s="3" t="str">
        <f>""</f>
        <v/>
      </c>
    </row>
    <row r="298" spans="2:9" x14ac:dyDescent="0.25">
      <c r="B298" s="2" t="str">
        <f>"138519#"</f>
        <v>138519#</v>
      </c>
      <c r="C298" s="2" t="str">
        <f>"MOD-G-6040-1"</f>
        <v>MOD-G-6040-1</v>
      </c>
      <c r="D298" s="1" t="str">
        <f>"Otolift Modul-AIR buitenbocht"</f>
        <v>Otolift Modul-AIR buitenbocht</v>
      </c>
      <c r="E298" s="1" t="s">
        <v>7</v>
      </c>
      <c r="F298" s="3">
        <v>43416</v>
      </c>
      <c r="G298" s="3">
        <v>43416</v>
      </c>
      <c r="H298" s="3">
        <v>43416</v>
      </c>
      <c r="I298" s="3" t="str">
        <f>""</f>
        <v/>
      </c>
    </row>
    <row r="299" spans="2:9" x14ac:dyDescent="0.25">
      <c r="B299" s="2" t="str">
        <f>"103519#"</f>
        <v>103519#</v>
      </c>
      <c r="C299" s="2" t="str">
        <f>"TWO-86-S"</f>
        <v>TWO-86-S</v>
      </c>
      <c r="D299" s="1" t="str">
        <f>"Otolift met Flexirail® model G"</f>
        <v>Otolift met Flexirail® model G</v>
      </c>
      <c r="E299" s="1" t="s">
        <v>7</v>
      </c>
      <c r="F299" s="3">
        <v>39979</v>
      </c>
      <c r="G299" s="3">
        <v>39979</v>
      </c>
      <c r="H299" s="3">
        <v>43588</v>
      </c>
      <c r="I299" s="3">
        <v>43954</v>
      </c>
    </row>
    <row r="300" spans="2:9" x14ac:dyDescent="0.25">
      <c r="B300" s="2" t="str">
        <f>"107040#"</f>
        <v>107040#</v>
      </c>
      <c r="C300" s="2" t="str">
        <f>"TWO-86"</f>
        <v>TWO-86</v>
      </c>
      <c r="D300" s="1" t="str">
        <f>"Hergebruik Otolift TWO buitenbocht trap"</f>
        <v>Hergebruik Otolift TWO buitenbocht trap</v>
      </c>
      <c r="E300" s="1" t="s">
        <v>7</v>
      </c>
      <c r="F300" s="3">
        <v>40254</v>
      </c>
      <c r="G300" s="3">
        <v>43416</v>
      </c>
      <c r="H300" s="3">
        <v>43416</v>
      </c>
      <c r="I300" s="3" t="str">
        <f>""</f>
        <v/>
      </c>
    </row>
    <row r="301" spans="2:9" x14ac:dyDescent="0.25">
      <c r="B301" s="2" t="str">
        <f>"138728#"</f>
        <v>138728#</v>
      </c>
      <c r="C301" s="2" t="str">
        <f>"TWO-B-87"</f>
        <v>TWO-B-87</v>
      </c>
      <c r="D301" s="1" t="str">
        <f>"Otolift TWO"</f>
        <v>Otolift TWO</v>
      </c>
      <c r="E301" s="1" t="s">
        <v>9</v>
      </c>
      <c r="F301" s="3">
        <v>43417</v>
      </c>
      <c r="G301" s="3">
        <v>43417</v>
      </c>
      <c r="H301" s="3">
        <v>43417</v>
      </c>
      <c r="I301" s="3" t="str">
        <f>""</f>
        <v/>
      </c>
    </row>
    <row r="302" spans="2:9" x14ac:dyDescent="0.25">
      <c r="B302" s="2" t="str">
        <f>"138574#"</f>
        <v>138574#</v>
      </c>
      <c r="C302" s="2" t="str">
        <f>"MOD-G-6050-1"</f>
        <v>MOD-G-6050-1</v>
      </c>
      <c r="D302" s="1" t="str">
        <f>"Otolift Modul-AIR buitenbocht"</f>
        <v>Otolift Modul-AIR buitenbocht</v>
      </c>
      <c r="E302" s="1" t="s">
        <v>7</v>
      </c>
      <c r="F302" s="3">
        <v>43418</v>
      </c>
      <c r="G302" s="3">
        <v>43418</v>
      </c>
      <c r="H302" s="3">
        <v>43418</v>
      </c>
      <c r="I302" s="3" t="str">
        <f>""</f>
        <v/>
      </c>
    </row>
    <row r="303" spans="2:9" x14ac:dyDescent="0.25">
      <c r="B303" s="2" t="str">
        <f>"138582#"</f>
        <v>138582#</v>
      </c>
      <c r="C303" s="2" t="str">
        <f>"TWO-G-87"</f>
        <v>TWO-G-87</v>
      </c>
      <c r="D303" s="1" t="str">
        <f>"Otolift TWO"</f>
        <v>Otolift TWO</v>
      </c>
      <c r="E303" s="1" t="s">
        <v>7</v>
      </c>
      <c r="F303" s="3">
        <v>43418</v>
      </c>
      <c r="G303" s="3">
        <v>43418</v>
      </c>
      <c r="H303" s="3">
        <v>43418</v>
      </c>
      <c r="I303" s="3" t="str">
        <f>""</f>
        <v/>
      </c>
    </row>
    <row r="304" spans="2:9" x14ac:dyDescent="0.25">
      <c r="B304" s="2" t="str">
        <f>"101520#"</f>
        <v>101520#</v>
      </c>
      <c r="C304" s="2" t="str">
        <f>"TWO-86"</f>
        <v>TWO-86</v>
      </c>
      <c r="D304" s="1" t="str">
        <f>"Hergebruik Otolift TWO buitenbocht trap"</f>
        <v>Hergebruik Otolift TWO buitenbocht trap</v>
      </c>
      <c r="E304" s="1" t="s">
        <v>9</v>
      </c>
      <c r="F304" s="3">
        <v>39839</v>
      </c>
      <c r="G304" s="3">
        <v>43419</v>
      </c>
      <c r="H304" s="3">
        <v>43419</v>
      </c>
      <c r="I304" s="3" t="str">
        <f>""</f>
        <v/>
      </c>
    </row>
    <row r="305" spans="2:9" x14ac:dyDescent="0.25">
      <c r="B305" s="2" t="str">
        <f>"104903#"</f>
        <v>104903#</v>
      </c>
      <c r="C305" s="2" t="str">
        <f>"TWO-86"</f>
        <v>TWO-86</v>
      </c>
      <c r="D305" s="1" t="str">
        <f>"Hergebruik Otolift TWO buitenbocht trap"</f>
        <v>Hergebruik Otolift TWO buitenbocht trap</v>
      </c>
      <c r="E305" s="1" t="s">
        <v>9</v>
      </c>
      <c r="F305" s="3">
        <v>40092</v>
      </c>
      <c r="G305" s="3">
        <v>43419</v>
      </c>
      <c r="H305" s="3">
        <v>43419</v>
      </c>
      <c r="I305" s="3" t="str">
        <f>""</f>
        <v/>
      </c>
    </row>
    <row r="306" spans="2:9" x14ac:dyDescent="0.25">
      <c r="B306" s="2" t="str">
        <f>"107309#"</f>
        <v>107309#</v>
      </c>
      <c r="C306" s="2" t="str">
        <f>"TWO-B-87"</f>
        <v>TWO-B-87</v>
      </c>
      <c r="D306" s="1" t="str">
        <f>"Hergebruik Otolift TWO"</f>
        <v>Hergebruik Otolift TWO</v>
      </c>
      <c r="E306" s="1" t="s">
        <v>9</v>
      </c>
      <c r="F306" s="3">
        <v>40274</v>
      </c>
      <c r="G306" s="3">
        <v>43419</v>
      </c>
      <c r="H306" s="3">
        <v>43419</v>
      </c>
      <c r="I306" s="3" t="str">
        <f>""</f>
        <v/>
      </c>
    </row>
    <row r="307" spans="2:9" x14ac:dyDescent="0.25">
      <c r="B307" s="2" t="str">
        <f>"121933#"</f>
        <v>121933#</v>
      </c>
      <c r="C307" s="2" t="str">
        <f>"TWO-86"</f>
        <v>TWO-86</v>
      </c>
      <c r="D307" s="1" t="str">
        <f>"Hergebruik Otolift TWO buitenbocht trap"</f>
        <v>Hergebruik Otolift TWO buitenbocht trap</v>
      </c>
      <c r="E307" s="1" t="s">
        <v>9</v>
      </c>
      <c r="F307" s="3">
        <v>41838</v>
      </c>
      <c r="G307" s="3">
        <v>43420</v>
      </c>
      <c r="H307" s="3">
        <v>43420</v>
      </c>
      <c r="I307" s="3" t="str">
        <f>""</f>
        <v/>
      </c>
    </row>
    <row r="308" spans="2:9" x14ac:dyDescent="0.25">
      <c r="B308" s="2" t="str">
        <f>"103813#"</f>
        <v>103813#</v>
      </c>
      <c r="C308" s="2" t="str">
        <f>"TWO-86-S"</f>
        <v>TWO-86-S</v>
      </c>
      <c r="D308" s="1" t="str">
        <f>"Otolift met Flexirail® model G"</f>
        <v>Otolift met Flexirail® model G</v>
      </c>
      <c r="E308" s="1" t="s">
        <v>7</v>
      </c>
      <c r="F308" s="3">
        <v>40143</v>
      </c>
      <c r="G308" s="3">
        <v>40143</v>
      </c>
      <c r="H308" s="3">
        <v>43326</v>
      </c>
      <c r="I308" s="3">
        <v>43470</v>
      </c>
    </row>
    <row r="309" spans="2:9" x14ac:dyDescent="0.25">
      <c r="B309" s="2" t="str">
        <f>"123132#"</f>
        <v>123132#</v>
      </c>
      <c r="C309" s="2" t="str">
        <f>"MOD-C-6040-1"</f>
        <v>MOD-C-6040-1</v>
      </c>
      <c r="D309" s="1" t="str">
        <f>"Hergebruik Otolift Modul-AIR buitenbocht"</f>
        <v>Hergebruik Otolift Modul-AIR buitenbocht</v>
      </c>
      <c r="E309" s="1" t="s">
        <v>9</v>
      </c>
      <c r="F309" s="3">
        <v>41996</v>
      </c>
      <c r="G309" s="3">
        <v>43423</v>
      </c>
      <c r="H309" s="3">
        <v>43423</v>
      </c>
      <c r="I309" s="3" t="str">
        <f>""</f>
        <v/>
      </c>
    </row>
    <row r="310" spans="2:9" x14ac:dyDescent="0.25">
      <c r="B310" s="2" t="str">
        <f>"138900#"</f>
        <v>138900#</v>
      </c>
      <c r="C310" s="2" t="str">
        <f>"MOD-B-6050-1"</f>
        <v>MOD-B-6050-1</v>
      </c>
      <c r="D310" s="1" t="str">
        <f>"Otolift Modul-AIR buitenbocht"</f>
        <v>Otolift Modul-AIR buitenbocht</v>
      </c>
      <c r="E310" s="1" t="s">
        <v>9</v>
      </c>
      <c r="F310" s="3">
        <v>43424</v>
      </c>
      <c r="G310" s="3">
        <v>43424</v>
      </c>
      <c r="H310" s="3">
        <v>43424</v>
      </c>
      <c r="I310" s="3" t="str">
        <f>""</f>
        <v/>
      </c>
    </row>
    <row r="311" spans="2:9" x14ac:dyDescent="0.25">
      <c r="B311" s="2" t="str">
        <f>"138897#"</f>
        <v>138897#</v>
      </c>
      <c r="C311" s="2" t="str">
        <f>"TWO-B-87"</f>
        <v>TWO-B-87</v>
      </c>
      <c r="D311" s="1" t="str">
        <f>"Otolift TWO"</f>
        <v>Otolift TWO</v>
      </c>
      <c r="E311" s="1" t="s">
        <v>9</v>
      </c>
      <c r="F311" s="3">
        <v>43424</v>
      </c>
      <c r="G311" s="3">
        <v>43424</v>
      </c>
      <c r="H311" s="3">
        <v>43424</v>
      </c>
      <c r="I311" s="3" t="str">
        <f>""</f>
        <v/>
      </c>
    </row>
    <row r="312" spans="2:9" x14ac:dyDescent="0.25">
      <c r="B312" s="2" t="str">
        <f>"106225#"</f>
        <v>106225#</v>
      </c>
      <c r="C312" s="2" t="str">
        <f>"TWO-86"</f>
        <v>TWO-86</v>
      </c>
      <c r="D312" s="1" t="str">
        <f>"Hergebruik Otolift TWO"</f>
        <v>Hergebruik Otolift TWO</v>
      </c>
      <c r="E312" s="1" t="s">
        <v>7</v>
      </c>
      <c r="F312" s="3">
        <v>40206</v>
      </c>
      <c r="G312" s="3">
        <v>43431</v>
      </c>
      <c r="H312" s="3">
        <v>43431</v>
      </c>
      <c r="I312" s="3" t="str">
        <f>""</f>
        <v/>
      </c>
    </row>
    <row r="313" spans="2:9" x14ac:dyDescent="0.25">
      <c r="B313" s="2" t="str">
        <f>"138903#"</f>
        <v>138903#</v>
      </c>
      <c r="C313" s="2" t="str">
        <f>"TWO-S-87"</f>
        <v>TWO-S-87</v>
      </c>
      <c r="D313" s="1" t="str">
        <f>"Otolift TWO"</f>
        <v>Otolift TWO</v>
      </c>
      <c r="E313" s="1" t="s">
        <v>7</v>
      </c>
      <c r="F313" s="3">
        <v>43432</v>
      </c>
      <c r="G313" s="3">
        <v>43432</v>
      </c>
      <c r="H313" s="3">
        <v>43432</v>
      </c>
      <c r="I313" s="3" t="str">
        <f>""</f>
        <v/>
      </c>
    </row>
    <row r="314" spans="2:9" x14ac:dyDescent="0.25">
      <c r="B314" s="2" t="str">
        <f>"138860#"</f>
        <v>138860#</v>
      </c>
      <c r="C314" s="2" t="str">
        <f>"MOD-G-6050-1"</f>
        <v>MOD-G-6050-1</v>
      </c>
      <c r="D314" s="1" t="str">
        <f>"Otolift Modul-AIR buitenbocht"</f>
        <v>Otolift Modul-AIR buitenbocht</v>
      </c>
      <c r="E314" s="1" t="s">
        <v>7</v>
      </c>
      <c r="F314" s="3">
        <v>43437</v>
      </c>
      <c r="G314" s="3">
        <v>43437</v>
      </c>
      <c r="H314" s="3">
        <v>43437</v>
      </c>
      <c r="I314" s="3" t="str">
        <f>""</f>
        <v/>
      </c>
    </row>
    <row r="315" spans="2:9" x14ac:dyDescent="0.25">
      <c r="B315" s="2" t="str">
        <f>"112107#"</f>
        <v>112107#</v>
      </c>
      <c r="C315" s="2" t="str">
        <f>"TWO-B-87"</f>
        <v>TWO-B-87</v>
      </c>
      <c r="D315" s="1" t="str">
        <f>"Hergebruik Otolift TWO"</f>
        <v>Hergebruik Otolift TWO</v>
      </c>
      <c r="E315" s="1" t="s">
        <v>9</v>
      </c>
      <c r="F315" s="3">
        <v>40694</v>
      </c>
      <c r="G315" s="3">
        <v>43440</v>
      </c>
      <c r="H315" s="3">
        <v>43440</v>
      </c>
      <c r="I315" s="3" t="str">
        <f>""</f>
        <v/>
      </c>
    </row>
    <row r="316" spans="2:9" x14ac:dyDescent="0.25">
      <c r="B316" s="2" t="str">
        <f>"116295#"</f>
        <v>116295#</v>
      </c>
      <c r="C316" s="2" t="str">
        <f>"TWO-B-87"</f>
        <v>TWO-B-87</v>
      </c>
      <c r="D316" s="1" t="str">
        <f>"Hergebruik Otolift TWO"</f>
        <v>Hergebruik Otolift TWO</v>
      </c>
      <c r="E316" s="1" t="s">
        <v>9</v>
      </c>
      <c r="F316" s="3">
        <v>41180</v>
      </c>
      <c r="G316" s="3">
        <v>43440</v>
      </c>
      <c r="H316" s="3">
        <v>43440</v>
      </c>
      <c r="I316" s="3" t="str">
        <f>""</f>
        <v/>
      </c>
    </row>
    <row r="317" spans="2:9" x14ac:dyDescent="0.25">
      <c r="B317" s="2" t="str">
        <f>"124954#"</f>
        <v>124954#</v>
      </c>
      <c r="C317" s="2" t="str">
        <f>"MOD-B-6040-1"</f>
        <v>MOD-B-6040-1</v>
      </c>
      <c r="D317" s="1" t="str">
        <f>"Hergebruik Otolift Modul-AIR buitenbocht"</f>
        <v>Hergebruik Otolift Modul-AIR buitenbocht</v>
      </c>
      <c r="E317" s="1" t="s">
        <v>9</v>
      </c>
      <c r="F317" s="3">
        <v>42248</v>
      </c>
      <c r="G317" s="3">
        <v>43447</v>
      </c>
      <c r="H317" s="3">
        <v>43447</v>
      </c>
      <c r="I317" s="3" t="str">
        <f>""</f>
        <v/>
      </c>
    </row>
    <row r="318" spans="2:9" x14ac:dyDescent="0.25">
      <c r="B318" s="2" t="str">
        <f>"104404#"</f>
        <v>104404#</v>
      </c>
      <c r="C318" s="2" t="str">
        <f>"TWO-86"</f>
        <v>TWO-86</v>
      </c>
      <c r="D318" s="1" t="str">
        <f>"Otolift met Flexirail® model B"</f>
        <v>Otolift met Flexirail® model B</v>
      </c>
      <c r="E318" s="1" t="s">
        <v>9</v>
      </c>
      <c r="F318" s="3">
        <v>40066</v>
      </c>
      <c r="G318" s="3">
        <v>41138</v>
      </c>
      <c r="H318" s="3">
        <v>43572</v>
      </c>
      <c r="I318" s="3">
        <v>43799</v>
      </c>
    </row>
    <row r="319" spans="2:9" x14ac:dyDescent="0.25">
      <c r="B319" s="2" t="str">
        <f>"104410#"</f>
        <v>104410#</v>
      </c>
      <c r="C319" s="2" t="str">
        <f>"TWO-86"</f>
        <v>TWO-86</v>
      </c>
      <c r="D319" s="1" t="str">
        <f>"Otolift met Flexirail® model E"</f>
        <v>Otolift met Flexirail® model E</v>
      </c>
      <c r="E319" s="1" t="s">
        <v>9</v>
      </c>
      <c r="F319" s="3">
        <v>40060</v>
      </c>
      <c r="G319" s="3">
        <v>41052</v>
      </c>
      <c r="H319" s="3">
        <v>43580</v>
      </c>
      <c r="I319" s="3">
        <v>43841</v>
      </c>
    </row>
    <row r="320" spans="2:9" x14ac:dyDescent="0.25">
      <c r="B320" s="2" t="str">
        <f>"104413#"</f>
        <v>104413#</v>
      </c>
      <c r="C320" s="2" t="str">
        <f>"TWO-86"</f>
        <v>TWO-86</v>
      </c>
      <c r="D320" s="1" t="str">
        <f>"Otolift met Flexirail® model B"</f>
        <v>Otolift met Flexirail® model B</v>
      </c>
      <c r="E320" s="1" t="s">
        <v>9</v>
      </c>
      <c r="F320" s="3">
        <v>40060</v>
      </c>
      <c r="G320" s="3">
        <v>40060</v>
      </c>
      <c r="H320" s="3">
        <v>43535</v>
      </c>
      <c r="I320" s="3">
        <v>43901</v>
      </c>
    </row>
    <row r="321" spans="2:9" x14ac:dyDescent="0.25">
      <c r="B321" s="2" t="str">
        <f>"104426#"</f>
        <v>104426#</v>
      </c>
      <c r="C321" s="2" t="str">
        <f>"TWO-86"</f>
        <v>TWO-86</v>
      </c>
      <c r="D321" s="1" t="str">
        <f>"Otolift met Flexirail® model B"</f>
        <v>Otolift met Flexirail® model B</v>
      </c>
      <c r="E321" s="1" t="s">
        <v>9</v>
      </c>
      <c r="F321" s="3">
        <v>40064</v>
      </c>
      <c r="G321" s="3">
        <v>40064</v>
      </c>
      <c r="H321" s="3">
        <v>43656</v>
      </c>
      <c r="I321" s="3">
        <v>43573</v>
      </c>
    </row>
    <row r="322" spans="2:9" x14ac:dyDescent="0.25">
      <c r="B322" s="2" t="str">
        <f>"104448#"</f>
        <v>104448#</v>
      </c>
      <c r="C322" s="2" t="str">
        <f>"TWO-85"</f>
        <v>TWO-85</v>
      </c>
      <c r="D322" s="1" t="str">
        <f>"Otolift met Flexirail® model B"</f>
        <v>Otolift met Flexirail® model B</v>
      </c>
      <c r="E322" s="1" t="s">
        <v>9</v>
      </c>
      <c r="F322" s="3">
        <v>40060</v>
      </c>
      <c r="G322" s="3">
        <v>41089</v>
      </c>
      <c r="H322" s="3">
        <v>43406</v>
      </c>
      <c r="I322" s="3">
        <v>43771</v>
      </c>
    </row>
    <row r="323" spans="2:9" x14ac:dyDescent="0.25">
      <c r="B323" s="2" t="str">
        <f>"104481#"</f>
        <v>104481#</v>
      </c>
      <c r="C323" s="2" t="str">
        <f>"TWO-86"</f>
        <v>TWO-86</v>
      </c>
      <c r="D323" s="1" t="str">
        <f>"Otolift met Flexirail® model G"</f>
        <v>Otolift met Flexirail® model G</v>
      </c>
      <c r="E323" s="1" t="s">
        <v>7</v>
      </c>
      <c r="F323" s="3">
        <v>40073</v>
      </c>
      <c r="G323" s="3">
        <v>40073</v>
      </c>
      <c r="H323" s="3">
        <v>43593</v>
      </c>
      <c r="I323" s="3">
        <v>43865</v>
      </c>
    </row>
    <row r="324" spans="2:9" x14ac:dyDescent="0.25">
      <c r="B324" s="2" t="str">
        <f>"104531#"</f>
        <v>104531#</v>
      </c>
      <c r="C324" s="2" t="str">
        <f>"TWO-86"</f>
        <v>TWO-86</v>
      </c>
      <c r="D324" s="1" t="str">
        <f>"Otolift met Flexirail® model B"</f>
        <v>Otolift met Flexirail® model B</v>
      </c>
      <c r="E324" s="1" t="s">
        <v>9</v>
      </c>
      <c r="F324" s="3">
        <v>40073</v>
      </c>
      <c r="G324" s="3">
        <v>40073</v>
      </c>
      <c r="H324" s="3">
        <v>43690</v>
      </c>
      <c r="I324" s="3">
        <v>43865</v>
      </c>
    </row>
    <row r="325" spans="2:9" x14ac:dyDescent="0.25">
      <c r="B325" s="2" t="str">
        <f>"104559#"</f>
        <v>104559#</v>
      </c>
      <c r="C325" s="2" t="str">
        <f>"TWO-85"</f>
        <v>TWO-85</v>
      </c>
      <c r="D325" s="1" t="str">
        <f>"Otolift met Flexirail® model G"</f>
        <v>Otolift met Flexirail® model G</v>
      </c>
      <c r="E325" s="1" t="s">
        <v>7</v>
      </c>
      <c r="F325" s="3">
        <v>40059</v>
      </c>
      <c r="G325" s="3">
        <v>40774</v>
      </c>
      <c r="H325" s="3">
        <v>43782</v>
      </c>
      <c r="I325" s="3">
        <v>43727</v>
      </c>
    </row>
    <row r="326" spans="2:9" x14ac:dyDescent="0.25">
      <c r="B326" s="2" t="str">
        <f>"104560#"</f>
        <v>104560#</v>
      </c>
      <c r="C326" s="2" t="str">
        <f>"TWO-86-S"</f>
        <v>TWO-86-S</v>
      </c>
      <c r="D326" s="1" t="str">
        <f>"Otolift met Flexirail® model G"</f>
        <v>Otolift met Flexirail® model G</v>
      </c>
      <c r="E326" s="1" t="s">
        <v>7</v>
      </c>
      <c r="F326" s="3">
        <v>40065</v>
      </c>
      <c r="G326" s="3">
        <v>40065</v>
      </c>
      <c r="H326" s="3">
        <v>43637</v>
      </c>
      <c r="I326" s="3">
        <v>43882</v>
      </c>
    </row>
    <row r="327" spans="2:9" x14ac:dyDescent="0.25">
      <c r="B327" s="2" t="str">
        <f>"127293#"</f>
        <v>127293#</v>
      </c>
      <c r="C327" s="2" t="str">
        <f>"MOD-G-6050-1"</f>
        <v>MOD-G-6050-1</v>
      </c>
      <c r="D327" s="1" t="str">
        <f>"Hergebruik Otolift Modul-AIR buitenbocht"</f>
        <v>Hergebruik Otolift Modul-AIR buitenbocht</v>
      </c>
      <c r="E327" s="1" t="s">
        <v>7</v>
      </c>
      <c r="F327" s="3">
        <v>42474</v>
      </c>
      <c r="G327" s="3">
        <v>43283</v>
      </c>
      <c r="H327" s="3">
        <v>43672</v>
      </c>
      <c r="I327" s="3">
        <v>43648</v>
      </c>
    </row>
    <row r="328" spans="2:9" x14ac:dyDescent="0.25">
      <c r="B328" s="2" t="str">
        <f>"104644#"</f>
        <v>104644#</v>
      </c>
      <c r="C328" s="2" t="str">
        <f>"TWO-86"</f>
        <v>TWO-86</v>
      </c>
      <c r="D328" s="1" t="str">
        <f>"Otolift met Flexirail® model G"</f>
        <v>Otolift met Flexirail® model G</v>
      </c>
      <c r="E328" s="1" t="s">
        <v>7</v>
      </c>
      <c r="F328" s="3">
        <v>40072</v>
      </c>
      <c r="G328" s="3">
        <v>41016</v>
      </c>
      <c r="H328" s="3">
        <v>43663</v>
      </c>
      <c r="I328" s="3">
        <v>43698</v>
      </c>
    </row>
    <row r="329" spans="2:9" x14ac:dyDescent="0.25">
      <c r="B329" s="2" t="str">
        <f>"139022#"</f>
        <v>139022#</v>
      </c>
      <c r="C329" s="2" t="str">
        <f>"MOD-G-6050-1"</f>
        <v>MOD-G-6050-1</v>
      </c>
      <c r="D329" s="1" t="str">
        <f>"Otolift Modul-AIR buitenbocht"</f>
        <v>Otolift Modul-AIR buitenbocht</v>
      </c>
      <c r="E329" s="1" t="s">
        <v>7</v>
      </c>
      <c r="F329" s="3">
        <v>43448</v>
      </c>
      <c r="G329" s="3">
        <v>43448</v>
      </c>
      <c r="H329" s="3">
        <v>43448</v>
      </c>
      <c r="I329" s="3" t="str">
        <f>""</f>
        <v/>
      </c>
    </row>
    <row r="330" spans="2:9" x14ac:dyDescent="0.25">
      <c r="B330" s="2" t="str">
        <f>"131123#"</f>
        <v>131123#</v>
      </c>
      <c r="C330" s="2" t="str">
        <f>"MOD-G-6050-1"</f>
        <v>MOD-G-6050-1</v>
      </c>
      <c r="D330" s="1" t="str">
        <f>"Hergebruik Otolift Modul-AIR buitenbocht"</f>
        <v>Hergebruik Otolift Modul-AIR buitenbocht</v>
      </c>
      <c r="E330" s="1" t="s">
        <v>7</v>
      </c>
      <c r="F330" s="3">
        <v>42758</v>
      </c>
      <c r="G330" s="3">
        <v>43395</v>
      </c>
      <c r="H330" s="3">
        <v>43784</v>
      </c>
      <c r="I330" s="3">
        <v>43760</v>
      </c>
    </row>
    <row r="331" spans="2:9" x14ac:dyDescent="0.25">
      <c r="B331" s="2" t="str">
        <f>"132194#"</f>
        <v>132194#</v>
      </c>
      <c r="C331" s="2" t="str">
        <f>"MOD-G-6050-1"</f>
        <v>MOD-G-6050-1</v>
      </c>
      <c r="D331" s="1" t="str">
        <f>"Otolift Modul-AIR buitenbocht"</f>
        <v>Otolift Modul-AIR buitenbocht</v>
      </c>
      <c r="E331" s="1" t="s">
        <v>7</v>
      </c>
      <c r="F331" s="3">
        <v>42850</v>
      </c>
      <c r="G331" s="3">
        <v>42850</v>
      </c>
      <c r="H331" s="3">
        <v>43644</v>
      </c>
      <c r="I331" s="3">
        <v>43586</v>
      </c>
    </row>
    <row r="332" spans="2:9" x14ac:dyDescent="0.25">
      <c r="B332" s="2" t="str">
        <f>"132253#"</f>
        <v>132253#</v>
      </c>
      <c r="C332" s="2" t="str">
        <f>"MOD-G-6050-1"</f>
        <v>MOD-G-6050-1</v>
      </c>
      <c r="D332" s="1" t="str">
        <f>"Hergebruik Otolift Modul-AIR buitenbocht"</f>
        <v>Hergebruik Otolift Modul-AIR buitenbocht</v>
      </c>
      <c r="E332" s="1" t="s">
        <v>7</v>
      </c>
      <c r="F332" s="3">
        <v>42832</v>
      </c>
      <c r="G332" s="3">
        <v>43382</v>
      </c>
      <c r="H332" s="3">
        <v>43760</v>
      </c>
      <c r="I332" s="3">
        <v>43747</v>
      </c>
    </row>
    <row r="333" spans="2:9" x14ac:dyDescent="0.25">
      <c r="B333" s="2" t="str">
        <f>"104718#"</f>
        <v>104718#</v>
      </c>
      <c r="C333" s="2" t="str">
        <f>"TWO-86"</f>
        <v>TWO-86</v>
      </c>
      <c r="D333" s="1" t="str">
        <f>"Otolift met Flexirail® model B"</f>
        <v>Otolift met Flexirail® model B</v>
      </c>
      <c r="E333" s="1" t="s">
        <v>9</v>
      </c>
      <c r="F333" s="3">
        <v>40088</v>
      </c>
      <c r="G333" s="3">
        <v>40648</v>
      </c>
      <c r="H333" s="3">
        <v>43671</v>
      </c>
      <c r="I333" s="3">
        <v>43642</v>
      </c>
    </row>
    <row r="334" spans="2:9" x14ac:dyDescent="0.25">
      <c r="B334" s="2" t="str">
        <f>"132265#"</f>
        <v>132265#</v>
      </c>
      <c r="C334" s="2" t="str">
        <f>"MOD-G-6050-1"</f>
        <v>MOD-G-6050-1</v>
      </c>
      <c r="D334" s="1" t="str">
        <f>"Otolift Modul-AIR buitenbocht"</f>
        <v>Otolift Modul-AIR buitenbocht</v>
      </c>
      <c r="E334" s="1" t="s">
        <v>7</v>
      </c>
      <c r="F334" s="3">
        <v>42866</v>
      </c>
      <c r="G334" s="3">
        <v>42866</v>
      </c>
      <c r="H334" s="3">
        <v>43783</v>
      </c>
      <c r="I334" s="3">
        <v>43608</v>
      </c>
    </row>
    <row r="335" spans="2:9" x14ac:dyDescent="0.25">
      <c r="B335" s="2" t="str">
        <f>"104794#"</f>
        <v>104794#</v>
      </c>
      <c r="C335" s="2" t="str">
        <f>"TWO-86"</f>
        <v>TWO-86</v>
      </c>
      <c r="D335" s="1" t="str">
        <f>"Otolift met Flexirail® model G"</f>
        <v>Otolift met Flexirail® model G</v>
      </c>
      <c r="E335" s="1" t="s">
        <v>7</v>
      </c>
      <c r="F335" s="3">
        <v>40079</v>
      </c>
      <c r="G335" s="3">
        <v>40690</v>
      </c>
      <c r="H335" s="3">
        <v>43334</v>
      </c>
      <c r="I335" s="3">
        <v>43699</v>
      </c>
    </row>
    <row r="336" spans="2:9" x14ac:dyDescent="0.25">
      <c r="B336" s="2" t="str">
        <f>"132314#"</f>
        <v>132314#</v>
      </c>
      <c r="C336" s="2" t="str">
        <f>"MOD-G-6050-1"</f>
        <v>MOD-G-6050-1</v>
      </c>
      <c r="D336" s="1" t="str">
        <f>"Otolift Modul-AIR buitenbocht"</f>
        <v>Otolift Modul-AIR buitenbocht</v>
      </c>
      <c r="E336" s="1" t="s">
        <v>7</v>
      </c>
      <c r="F336" s="3">
        <v>42863</v>
      </c>
      <c r="G336" s="3">
        <v>42863</v>
      </c>
      <c r="H336" s="3">
        <v>43634</v>
      </c>
      <c r="I336" s="3">
        <v>43607</v>
      </c>
    </row>
    <row r="337" spans="2:9" x14ac:dyDescent="0.25">
      <c r="B337" s="2" t="str">
        <f>"124265#"</f>
        <v>124265#</v>
      </c>
      <c r="C337" s="2" t="str">
        <f>"MOD-C-6040-1"</f>
        <v>MOD-C-6040-1</v>
      </c>
      <c r="D337" s="1" t="str">
        <f>"Hergebruik Otolift Modul-AIR buitenbocht"</f>
        <v>Hergebruik Otolift Modul-AIR buitenbocht</v>
      </c>
      <c r="E337" s="1" t="s">
        <v>9</v>
      </c>
      <c r="F337" s="3">
        <v>42167</v>
      </c>
      <c r="G337" s="3">
        <v>43454</v>
      </c>
      <c r="H337" s="3">
        <v>43454</v>
      </c>
      <c r="I337" s="3" t="str">
        <f>""</f>
        <v/>
      </c>
    </row>
    <row r="338" spans="2:9" x14ac:dyDescent="0.25">
      <c r="B338" s="2" t="str">
        <f>"104875#"</f>
        <v>104875#</v>
      </c>
      <c r="C338" s="2" t="str">
        <f>"TWO-86-S"</f>
        <v>TWO-86-S</v>
      </c>
      <c r="D338" s="1" t="str">
        <f>"Otolift met Flexirail® model G"</f>
        <v>Otolift met Flexirail® model G</v>
      </c>
      <c r="E338" s="1" t="s">
        <v>7</v>
      </c>
      <c r="F338" s="3">
        <v>40088</v>
      </c>
      <c r="G338" s="3">
        <v>40088</v>
      </c>
      <c r="H338" s="3">
        <v>43007</v>
      </c>
      <c r="I338" s="3">
        <v>43363</v>
      </c>
    </row>
    <row r="339" spans="2:9" x14ac:dyDescent="0.25">
      <c r="B339" s="2" t="str">
        <f>"104880#"</f>
        <v>104880#</v>
      </c>
      <c r="C339" s="2" t="str">
        <f>"TWO-86"</f>
        <v>TWO-86</v>
      </c>
      <c r="D339" s="1" t="str">
        <f>"Otolift met Flexirail® model B"</f>
        <v>Otolift met Flexirail® model B</v>
      </c>
      <c r="E339" s="1" t="s">
        <v>9</v>
      </c>
      <c r="F339" s="3">
        <v>40163</v>
      </c>
      <c r="G339" s="3">
        <v>40163</v>
      </c>
      <c r="H339" s="3">
        <v>43516</v>
      </c>
      <c r="I339" s="3">
        <v>43881</v>
      </c>
    </row>
    <row r="340" spans="2:9" x14ac:dyDescent="0.25">
      <c r="B340" s="2" t="str">
        <f>"104883#"</f>
        <v>104883#</v>
      </c>
      <c r="C340" s="2" t="str">
        <f>"TWO-86"</f>
        <v>TWO-86</v>
      </c>
      <c r="D340" s="1" t="str">
        <f>"Otolift met Flexirail® model C"</f>
        <v>Otolift met Flexirail® model C</v>
      </c>
      <c r="E340" s="1" t="s">
        <v>9</v>
      </c>
      <c r="F340" s="3">
        <v>40092</v>
      </c>
      <c r="G340" s="3">
        <v>40773</v>
      </c>
      <c r="H340" s="3">
        <v>43599</v>
      </c>
      <c r="I340" s="3">
        <v>43965</v>
      </c>
    </row>
    <row r="341" spans="2:9" x14ac:dyDescent="0.25">
      <c r="B341" s="2" t="str">
        <f>"117065#"</f>
        <v>117065#</v>
      </c>
      <c r="C341" s="2" t="str">
        <f>"MOD-G-6040-1"</f>
        <v>MOD-G-6040-1</v>
      </c>
      <c r="D341" s="1" t="str">
        <f>"Hergebruik Otolift Modul-AIR buitenbocht"</f>
        <v>Hergebruik Otolift Modul-AIR buitenbocht</v>
      </c>
      <c r="E341" s="1" t="s">
        <v>7</v>
      </c>
      <c r="F341" s="3">
        <v>41260</v>
      </c>
      <c r="G341" s="3">
        <v>43454</v>
      </c>
      <c r="H341" s="3">
        <v>43454</v>
      </c>
      <c r="I341" s="3" t="str">
        <f>""</f>
        <v/>
      </c>
    </row>
    <row r="342" spans="2:9" x14ac:dyDescent="0.25">
      <c r="B342" s="2" t="str">
        <f>"133590#"</f>
        <v>133590#</v>
      </c>
      <c r="C342" s="2" t="str">
        <f>"MOD-G-6050-1"</f>
        <v>MOD-G-6050-1</v>
      </c>
      <c r="D342" s="1" t="str">
        <f>"Otolift Modul-AIR buitenbocht"</f>
        <v>Otolift Modul-AIR buitenbocht</v>
      </c>
      <c r="E342" s="1" t="s">
        <v>7</v>
      </c>
      <c r="F342" s="3">
        <v>42993</v>
      </c>
      <c r="G342" s="3">
        <v>42993</v>
      </c>
      <c r="H342" s="3">
        <v>43388</v>
      </c>
      <c r="I342" s="3">
        <v>43753</v>
      </c>
    </row>
    <row r="343" spans="2:9" x14ac:dyDescent="0.25">
      <c r="B343" s="2" t="str">
        <f>"104988#"</f>
        <v>104988#</v>
      </c>
      <c r="C343" s="2" t="str">
        <f>"TWO-86"</f>
        <v>TWO-86</v>
      </c>
      <c r="D343" s="1" t="str">
        <f>"Otolift met Flexirail® model G"</f>
        <v>Otolift met Flexirail® model G</v>
      </c>
      <c r="E343" s="1" t="s">
        <v>7</v>
      </c>
      <c r="F343" s="3">
        <v>40098</v>
      </c>
      <c r="G343" s="3">
        <v>40098</v>
      </c>
      <c r="H343" s="3">
        <v>43746</v>
      </c>
      <c r="I343" s="3">
        <v>43711</v>
      </c>
    </row>
    <row r="344" spans="2:9" x14ac:dyDescent="0.25">
      <c r="B344" s="2" t="str">
        <f>"104989#"</f>
        <v>104989#</v>
      </c>
      <c r="C344" s="2" t="str">
        <f>"TWO-86"</f>
        <v>TWO-86</v>
      </c>
      <c r="D344" s="1" t="str">
        <f>"Otolift met Flexirail® model B"</f>
        <v>Otolift met Flexirail® model B</v>
      </c>
      <c r="E344" s="1" t="s">
        <v>9</v>
      </c>
      <c r="F344" s="3">
        <v>40098</v>
      </c>
      <c r="G344" s="3">
        <v>40098</v>
      </c>
      <c r="H344" s="3">
        <v>43740</v>
      </c>
      <c r="I344" s="3">
        <v>43848</v>
      </c>
    </row>
    <row r="345" spans="2:9" x14ac:dyDescent="0.25">
      <c r="B345" s="2" t="str">
        <f>"137879#"</f>
        <v>137879#</v>
      </c>
      <c r="C345" s="2" t="str">
        <f>"MOD-G-6050-1"</f>
        <v>MOD-G-6050-1</v>
      </c>
      <c r="D345" s="1" t="str">
        <f>"Otolift Modul-AIR buitenbocht"</f>
        <v>Otolift Modul-AIR buitenbocht</v>
      </c>
      <c r="E345" s="1" t="s">
        <v>7</v>
      </c>
      <c r="F345" s="3">
        <v>43362</v>
      </c>
      <c r="G345" s="3">
        <v>43362</v>
      </c>
      <c r="H345" s="3">
        <v>43718</v>
      </c>
      <c r="I345" s="3">
        <v>43727</v>
      </c>
    </row>
    <row r="346" spans="2:9" x14ac:dyDescent="0.25">
      <c r="B346" s="2" t="str">
        <f>"104994#"</f>
        <v>104994#</v>
      </c>
      <c r="C346" s="2" t="str">
        <f>"TWO-B-150"</f>
        <v>TWO-B-150</v>
      </c>
      <c r="D346" s="1" t="str">
        <f>"Otolift met Flexirail® model B"</f>
        <v>Otolift met Flexirail® model B</v>
      </c>
      <c r="E346" s="1" t="s">
        <v>9</v>
      </c>
      <c r="F346" s="3">
        <v>40113</v>
      </c>
      <c r="G346" s="3">
        <v>40113</v>
      </c>
      <c r="H346" s="3">
        <v>41730</v>
      </c>
      <c r="I346" s="3">
        <v>42095</v>
      </c>
    </row>
    <row r="347" spans="2:9" x14ac:dyDescent="0.25">
      <c r="B347" s="2" t="str">
        <f>"138858#"</f>
        <v>138858#</v>
      </c>
      <c r="C347" s="2" t="str">
        <f>"MOD-G-6050-1"</f>
        <v>MOD-G-6050-1</v>
      </c>
      <c r="D347" s="1" t="str">
        <f>"Otolift Modul-AIR buitenbocht"</f>
        <v>Otolift Modul-AIR buitenbocht</v>
      </c>
      <c r="E347" s="1" t="s">
        <v>7</v>
      </c>
      <c r="F347" s="3">
        <v>43467</v>
      </c>
      <c r="G347" s="3">
        <v>43467</v>
      </c>
      <c r="H347" s="3">
        <v>43467</v>
      </c>
      <c r="I347" s="3" t="str">
        <f>""</f>
        <v/>
      </c>
    </row>
    <row r="348" spans="2:9" x14ac:dyDescent="0.25">
      <c r="B348" s="2" t="str">
        <f>"138069#"</f>
        <v>138069#</v>
      </c>
      <c r="C348" s="2" t="str">
        <f>"MOD-B-6040-1"</f>
        <v>MOD-B-6040-1</v>
      </c>
      <c r="D348" s="1" t="str">
        <f>"Hergebruik Otolift Modul-AIR buitenbocht"</f>
        <v>Hergebruik Otolift Modul-AIR buitenbocht</v>
      </c>
      <c r="E348" s="1" t="s">
        <v>9</v>
      </c>
      <c r="F348" s="3">
        <v>43356</v>
      </c>
      <c r="G348" s="3">
        <v>43469</v>
      </c>
      <c r="H348" s="3">
        <v>43469</v>
      </c>
      <c r="I348" s="3" t="str">
        <f>""</f>
        <v/>
      </c>
    </row>
    <row r="349" spans="2:9" x14ac:dyDescent="0.25">
      <c r="B349" s="2" t="str">
        <f>"138339#"</f>
        <v>138339#</v>
      </c>
      <c r="C349" s="2" t="str">
        <f>"MOD-B-6040-1"</f>
        <v>MOD-B-6040-1</v>
      </c>
      <c r="D349" s="1" t="str">
        <f>"Hergebruik Otolift Modul-AIR buitenbocht"</f>
        <v>Hergebruik Otolift Modul-AIR buitenbocht</v>
      </c>
      <c r="E349" s="1" t="s">
        <v>9</v>
      </c>
      <c r="F349" s="3">
        <v>43371</v>
      </c>
      <c r="G349" s="3">
        <v>43472</v>
      </c>
      <c r="H349" s="3">
        <v>43472</v>
      </c>
      <c r="I349" s="3" t="str">
        <f>""</f>
        <v/>
      </c>
    </row>
    <row r="350" spans="2:9" x14ac:dyDescent="0.25">
      <c r="B350" s="2" t="str">
        <f>"138636#"</f>
        <v>138636#</v>
      </c>
      <c r="C350" s="2" t="str">
        <f>"TWO-G-87"</f>
        <v>TWO-G-87</v>
      </c>
      <c r="D350" s="1" t="str">
        <f>"Otolift TWO"</f>
        <v>Otolift TWO</v>
      </c>
      <c r="E350" s="1" t="s">
        <v>7</v>
      </c>
      <c r="F350" s="3">
        <v>43472</v>
      </c>
      <c r="G350" s="3">
        <v>43472</v>
      </c>
      <c r="H350" s="3">
        <v>43472</v>
      </c>
      <c r="I350" s="3" t="str">
        <f>""</f>
        <v/>
      </c>
    </row>
    <row r="351" spans="2:9" x14ac:dyDescent="0.25">
      <c r="B351" s="2" t="str">
        <f>"105129#"</f>
        <v>105129#</v>
      </c>
      <c r="C351" s="2" t="str">
        <f>"TWO-B-87"</f>
        <v>TWO-B-87</v>
      </c>
      <c r="D351" s="1" t="str">
        <f>"Otolift met Flexirail® model B"</f>
        <v>Otolift met Flexirail® model B</v>
      </c>
      <c r="E351" s="1" t="s">
        <v>9</v>
      </c>
      <c r="F351" s="3">
        <v>40492</v>
      </c>
      <c r="G351" s="3">
        <v>40492</v>
      </c>
      <c r="H351" s="3">
        <v>43423</v>
      </c>
      <c r="I351" s="3">
        <v>43788</v>
      </c>
    </row>
    <row r="352" spans="2:9" x14ac:dyDescent="0.25">
      <c r="B352" s="2" t="str">
        <f>"105130#"</f>
        <v>105130#</v>
      </c>
      <c r="C352" s="2" t="str">
        <f>"TWO-G-87-S"</f>
        <v>TWO-G-87-S</v>
      </c>
      <c r="D352" s="1" t="str">
        <f>"Otolift met Flexirail® model G"</f>
        <v>Otolift met Flexirail® model G</v>
      </c>
      <c r="E352" s="1" t="s">
        <v>7</v>
      </c>
      <c r="F352" s="3">
        <v>40492</v>
      </c>
      <c r="G352" s="3">
        <v>40492</v>
      </c>
      <c r="H352" s="3">
        <v>43497</v>
      </c>
      <c r="I352" s="3">
        <v>43788</v>
      </c>
    </row>
    <row r="353" spans="2:9" x14ac:dyDescent="0.25">
      <c r="B353" s="2" t="str">
        <f>"139414#"</f>
        <v>139414#</v>
      </c>
      <c r="C353" s="2" t="str">
        <f>"MOD-B-6040-1"</f>
        <v>MOD-B-6040-1</v>
      </c>
      <c r="D353" s="1" t="str">
        <f>"Otolift Modul-AIR buitenbocht"</f>
        <v>Otolift Modul-AIR buitenbocht</v>
      </c>
      <c r="E353" s="1" t="s">
        <v>9</v>
      </c>
      <c r="F353" s="3">
        <v>43480</v>
      </c>
      <c r="G353" s="3">
        <v>43480</v>
      </c>
      <c r="H353" s="3">
        <v>43480</v>
      </c>
      <c r="I353" s="3" t="str">
        <f>""</f>
        <v/>
      </c>
    </row>
    <row r="354" spans="2:9" x14ac:dyDescent="0.25">
      <c r="B354" s="2" t="str">
        <f>"139398#"</f>
        <v>139398#</v>
      </c>
      <c r="C354" s="2" t="str">
        <f>"MOD-J-6040-1"</f>
        <v>MOD-J-6040-1</v>
      </c>
      <c r="D354" s="1" t="str">
        <f>"Otolift Modul-AIR buitenbocht"</f>
        <v>Otolift Modul-AIR buitenbocht</v>
      </c>
      <c r="E354" s="1" t="s">
        <v>7</v>
      </c>
      <c r="F354" s="3">
        <v>43480</v>
      </c>
      <c r="G354" s="3">
        <v>43480</v>
      </c>
      <c r="H354" s="3">
        <v>43480</v>
      </c>
      <c r="I354" s="3" t="str">
        <f>""</f>
        <v/>
      </c>
    </row>
    <row r="355" spans="2:9" x14ac:dyDescent="0.25">
      <c r="B355" s="2" t="str">
        <f>"139011#"</f>
        <v>139011#</v>
      </c>
      <c r="C355" s="2" t="str">
        <f>"MOD-P-6040-1"</f>
        <v>MOD-P-6040-1</v>
      </c>
      <c r="D355" s="1" t="str">
        <f>"Otolift Modul-AIR binnenbocht"</f>
        <v>Otolift Modul-AIR binnenbocht</v>
      </c>
      <c r="E355" s="1" t="s">
        <v>11</v>
      </c>
      <c r="F355" s="3">
        <v>43481</v>
      </c>
      <c r="G355" s="3">
        <v>43481</v>
      </c>
      <c r="H355" s="3">
        <v>43494</v>
      </c>
      <c r="I355" s="3" t="str">
        <f>""</f>
        <v/>
      </c>
    </row>
    <row r="356" spans="2:9" x14ac:dyDescent="0.25">
      <c r="B356" s="2" t="str">
        <f>"105200#"</f>
        <v>105200#</v>
      </c>
      <c r="C356" s="2" t="str">
        <f>"TWO-86"</f>
        <v>TWO-86</v>
      </c>
      <c r="D356" s="1" t="str">
        <f>"Otolift met Flexirail® model C"</f>
        <v>Otolift met Flexirail® model C</v>
      </c>
      <c r="E356" s="1" t="s">
        <v>9</v>
      </c>
      <c r="F356" s="3">
        <v>40112</v>
      </c>
      <c r="G356" s="3">
        <v>40112</v>
      </c>
      <c r="H356" s="3">
        <v>43633</v>
      </c>
      <c r="I356" s="3">
        <v>43613</v>
      </c>
    </row>
    <row r="357" spans="2:9" x14ac:dyDescent="0.25">
      <c r="B357" s="2" t="str">
        <f>"105202#"</f>
        <v>105202#</v>
      </c>
      <c r="C357" s="2" t="str">
        <f>"TWO-86"</f>
        <v>TWO-86</v>
      </c>
      <c r="D357" s="1" t="str">
        <f>"Otolift met Flexirail® model B"</f>
        <v>Otolift met Flexirail® model B</v>
      </c>
      <c r="E357" s="1" t="s">
        <v>9</v>
      </c>
      <c r="F357" s="3">
        <v>40136</v>
      </c>
      <c r="G357" s="3">
        <v>41724</v>
      </c>
      <c r="H357" s="3">
        <v>43644</v>
      </c>
      <c r="I357" s="3">
        <v>43578</v>
      </c>
    </row>
    <row r="358" spans="2:9" x14ac:dyDescent="0.25">
      <c r="B358" s="2" t="str">
        <f>"139502#"</f>
        <v>139502#</v>
      </c>
      <c r="C358" s="2" t="str">
        <f>"MOD-C-6040-1"</f>
        <v>MOD-C-6040-1</v>
      </c>
      <c r="D358" s="1" t="str">
        <f>"Otolift Modul-AIR buitenbocht"</f>
        <v>Otolift Modul-AIR buitenbocht</v>
      </c>
      <c r="E358" s="1" t="s">
        <v>9</v>
      </c>
      <c r="F358" s="3">
        <v>43486</v>
      </c>
      <c r="G358" s="3">
        <v>43486</v>
      </c>
      <c r="H358" s="3">
        <v>43486</v>
      </c>
      <c r="I358" s="3" t="str">
        <f>""</f>
        <v/>
      </c>
    </row>
    <row r="359" spans="2:9" x14ac:dyDescent="0.25">
      <c r="B359" s="2" t="str">
        <f>"105320#"</f>
        <v>105320#</v>
      </c>
      <c r="C359" s="2" t="str">
        <f>"TWO-86"</f>
        <v>TWO-86</v>
      </c>
      <c r="D359" s="1" t="str">
        <f>"Otolift met Flexirail® model B"</f>
        <v>Otolift met Flexirail® model B</v>
      </c>
      <c r="E359" s="1" t="s">
        <v>9</v>
      </c>
      <c r="F359" s="3">
        <v>40186</v>
      </c>
      <c r="G359" s="3">
        <v>40186</v>
      </c>
      <c r="H359" s="3">
        <v>43571</v>
      </c>
      <c r="I359" s="3">
        <v>43937</v>
      </c>
    </row>
    <row r="360" spans="2:9" x14ac:dyDescent="0.25">
      <c r="B360" s="2" t="str">
        <f>"139536#"</f>
        <v>139536#</v>
      </c>
      <c r="C360" s="2" t="str">
        <f>"MOD-B-6050-1"</f>
        <v>MOD-B-6050-1</v>
      </c>
      <c r="D360" s="1" t="str">
        <f>"Otolift Modul-AIR buitenbocht"</f>
        <v>Otolift Modul-AIR buitenbocht</v>
      </c>
      <c r="E360" s="1" t="s">
        <v>9</v>
      </c>
      <c r="F360" s="3">
        <v>43488</v>
      </c>
      <c r="G360" s="3">
        <v>43488</v>
      </c>
      <c r="H360" s="3">
        <v>43488</v>
      </c>
      <c r="I360" s="3" t="str">
        <f>""</f>
        <v/>
      </c>
    </row>
    <row r="361" spans="2:9" x14ac:dyDescent="0.25">
      <c r="B361" s="2" t="str">
        <f>"129769#"</f>
        <v>129769#</v>
      </c>
      <c r="C361" s="2" t="str">
        <f>"MOD-G-6040-1"</f>
        <v>MOD-G-6040-1</v>
      </c>
      <c r="D361" s="1" t="str">
        <f>"Hergebruik Otolift Modul-AIR buitenbocht"</f>
        <v>Hergebruik Otolift Modul-AIR buitenbocht</v>
      </c>
      <c r="E361" s="1" t="s">
        <v>7</v>
      </c>
      <c r="F361" s="3">
        <v>42667</v>
      </c>
      <c r="G361" s="3">
        <v>43488</v>
      </c>
      <c r="H361" s="3">
        <v>43488</v>
      </c>
      <c r="I361" s="3" t="str">
        <f>""</f>
        <v/>
      </c>
    </row>
    <row r="362" spans="2:9" x14ac:dyDescent="0.25">
      <c r="B362" s="2" t="str">
        <f>"108413#"</f>
        <v>108413#</v>
      </c>
      <c r="C362" s="2" t="str">
        <f>"TWO-B-87"</f>
        <v>TWO-B-87</v>
      </c>
      <c r="D362" s="1" t="str">
        <f>"Hergebruik Otolift TWO"</f>
        <v>Hergebruik Otolift TWO</v>
      </c>
      <c r="E362" s="1" t="s">
        <v>9</v>
      </c>
      <c r="F362" s="3">
        <v>40372</v>
      </c>
      <c r="G362" s="3">
        <v>43495</v>
      </c>
      <c r="H362" s="3">
        <v>43495</v>
      </c>
      <c r="I362" s="3" t="str">
        <f>""</f>
        <v/>
      </c>
    </row>
    <row r="363" spans="2:9" x14ac:dyDescent="0.25">
      <c r="B363" s="2" t="str">
        <f>"139772#"</f>
        <v>139772#</v>
      </c>
      <c r="C363" s="2" t="str">
        <f>"MEDM120LH"</f>
        <v>MEDM120LH</v>
      </c>
      <c r="D363" s="1" t="str">
        <f>"Meditek Handbed. 120kg links"</f>
        <v>Meditek Handbed. 120kg links</v>
      </c>
      <c r="E363" s="1" t="s">
        <v>8</v>
      </c>
      <c r="F363" s="3">
        <v>43496</v>
      </c>
      <c r="G363" s="3">
        <v>43496</v>
      </c>
      <c r="H363" s="3">
        <v>43496</v>
      </c>
      <c r="I363" s="3" t="str">
        <f>""</f>
        <v/>
      </c>
    </row>
    <row r="364" spans="2:9" x14ac:dyDescent="0.25">
      <c r="B364" s="2" t="str">
        <f>"127877#"</f>
        <v>127877#</v>
      </c>
      <c r="C364" s="2" t="str">
        <f>"MOD-G-6050-1"</f>
        <v>MOD-G-6050-1</v>
      </c>
      <c r="D364" s="1" t="str">
        <f>"Hergebruik Otolift Modul-AIR buitenbocht"</f>
        <v>Hergebruik Otolift Modul-AIR buitenbocht</v>
      </c>
      <c r="E364" s="1" t="s">
        <v>7</v>
      </c>
      <c r="F364" s="3">
        <v>42515</v>
      </c>
      <c r="G364" s="3">
        <v>43496</v>
      </c>
      <c r="H364" s="3">
        <v>43496</v>
      </c>
      <c r="I364" s="3" t="str">
        <f>""</f>
        <v/>
      </c>
    </row>
    <row r="365" spans="2:9" x14ac:dyDescent="0.25">
      <c r="B365" s="2" t="str">
        <f>"118994#"</f>
        <v>118994#</v>
      </c>
      <c r="C365" s="2" t="str">
        <f>"MOD-G-6040-1"</f>
        <v>MOD-G-6040-1</v>
      </c>
      <c r="D365" s="1" t="str">
        <f>"Hergebruik Otolift Modul-AIR buitenbocht"</f>
        <v>Hergebruik Otolift Modul-AIR buitenbocht</v>
      </c>
      <c r="E365" s="1" t="s">
        <v>7</v>
      </c>
      <c r="F365" s="3">
        <v>41520</v>
      </c>
      <c r="G365" s="3">
        <v>43502</v>
      </c>
      <c r="H365" s="3">
        <v>43502</v>
      </c>
      <c r="I365" s="3" t="str">
        <f>""</f>
        <v/>
      </c>
    </row>
    <row r="366" spans="2:9" x14ac:dyDescent="0.25">
      <c r="B366" s="2" t="str">
        <f>"139778#"</f>
        <v>139778#</v>
      </c>
      <c r="C366" s="2" t="str">
        <f>"MOD-G-6050-1"</f>
        <v>MOD-G-6050-1</v>
      </c>
      <c r="D366" s="1" t="str">
        <f>"Otolift Modul-AIR buitenbocht"</f>
        <v>Otolift Modul-AIR buitenbocht</v>
      </c>
      <c r="E366" s="1" t="s">
        <v>7</v>
      </c>
      <c r="F366" s="3">
        <v>43502</v>
      </c>
      <c r="G366" s="3">
        <v>43502</v>
      </c>
      <c r="H366" s="3">
        <v>43502</v>
      </c>
      <c r="I366" s="3" t="str">
        <f>""</f>
        <v/>
      </c>
    </row>
    <row r="367" spans="2:9" x14ac:dyDescent="0.25">
      <c r="B367" s="2" t="str">
        <f>"105740#"</f>
        <v>105740#</v>
      </c>
      <c r="C367" s="2" t="str">
        <f>"TWO-86-S"</f>
        <v>TWO-86-S</v>
      </c>
      <c r="D367" s="1" t="str">
        <f>"Otolift met Flexirail® model G"</f>
        <v>Otolift met Flexirail® model G</v>
      </c>
      <c r="E367" s="1" t="s">
        <v>7</v>
      </c>
      <c r="F367" s="3">
        <v>40144</v>
      </c>
      <c r="G367" s="3">
        <v>40144</v>
      </c>
      <c r="H367" s="3">
        <v>43733</v>
      </c>
      <c r="I367" s="3">
        <v>43712</v>
      </c>
    </row>
    <row r="368" spans="2:9" x14ac:dyDescent="0.25">
      <c r="B368" s="2" t="str">
        <f>"105742#"</f>
        <v>105742#</v>
      </c>
      <c r="C368" s="2" t="str">
        <f>"TWO-86-SZ"</f>
        <v>TWO-86-SZ</v>
      </c>
      <c r="D368" s="1" t="str">
        <f>"Otolift met Flexirail® model G"</f>
        <v>Otolift met Flexirail® model G</v>
      </c>
      <c r="E368" s="1" t="s">
        <v>7</v>
      </c>
      <c r="F368" s="3">
        <v>40143</v>
      </c>
      <c r="G368" s="3">
        <v>41277</v>
      </c>
      <c r="H368" s="3">
        <v>43738</v>
      </c>
      <c r="I368" s="3">
        <v>43764</v>
      </c>
    </row>
    <row r="369" spans="2:9" x14ac:dyDescent="0.25">
      <c r="B369" s="2" t="str">
        <f>"105743#"</f>
        <v>105743#</v>
      </c>
      <c r="C369" s="2" t="str">
        <f>"TWO-86"</f>
        <v>TWO-86</v>
      </c>
      <c r="D369" s="1" t="str">
        <f>"Otolift met Flexirail® model B"</f>
        <v>Otolift met Flexirail® model B</v>
      </c>
      <c r="E369" s="1" t="s">
        <v>9</v>
      </c>
      <c r="F369" s="3">
        <v>40196</v>
      </c>
      <c r="G369" s="3">
        <v>40196</v>
      </c>
      <c r="H369" s="3">
        <v>43775</v>
      </c>
      <c r="I369" s="3">
        <v>43495</v>
      </c>
    </row>
    <row r="370" spans="2:9" x14ac:dyDescent="0.25">
      <c r="B370" s="2" t="str">
        <f>"105824#"</f>
        <v>105824#</v>
      </c>
      <c r="C370" s="2" t="str">
        <f>"TWO-86"</f>
        <v>TWO-86</v>
      </c>
      <c r="D370" s="1" t="str">
        <f>"Otolift met Flexirail® model G"</f>
        <v>Otolift met Flexirail® model G</v>
      </c>
      <c r="E370" s="1" t="s">
        <v>7</v>
      </c>
      <c r="F370" s="3">
        <v>40155</v>
      </c>
      <c r="G370" s="3">
        <v>40155</v>
      </c>
      <c r="H370" s="3">
        <v>43769</v>
      </c>
      <c r="I370" s="3">
        <v>43749</v>
      </c>
    </row>
    <row r="371" spans="2:9" x14ac:dyDescent="0.25">
      <c r="B371" s="2" t="str">
        <f>"105826#"</f>
        <v>105826#</v>
      </c>
      <c r="C371" s="2" t="str">
        <f>"TWO-86"</f>
        <v>TWO-86</v>
      </c>
      <c r="D371" s="1" t="str">
        <f>"Otolift met Flexirail® model B"</f>
        <v>Otolift met Flexirail® model B</v>
      </c>
      <c r="E371" s="1" t="s">
        <v>9</v>
      </c>
      <c r="F371" s="3">
        <v>40204</v>
      </c>
      <c r="G371" s="3">
        <v>40204</v>
      </c>
      <c r="H371" s="3">
        <v>43797</v>
      </c>
      <c r="I371" s="3">
        <v>43755</v>
      </c>
    </row>
    <row r="372" spans="2:9" x14ac:dyDescent="0.25">
      <c r="B372" s="2" t="str">
        <f>"105881#"</f>
        <v>105881#</v>
      </c>
      <c r="C372" s="2" t="str">
        <f>"TWO-86-S"</f>
        <v>TWO-86-S</v>
      </c>
      <c r="D372" s="1" t="str">
        <f>"Otolift met Flexirail® model G"</f>
        <v>Otolift met Flexirail® model G</v>
      </c>
      <c r="E372" s="1" t="s">
        <v>7</v>
      </c>
      <c r="F372" s="3">
        <v>40156</v>
      </c>
      <c r="G372" s="3">
        <v>40156</v>
      </c>
      <c r="H372" s="3">
        <v>43509</v>
      </c>
      <c r="I372" s="3">
        <v>43874</v>
      </c>
    </row>
    <row r="373" spans="2:9" x14ac:dyDescent="0.25">
      <c r="B373" s="2" t="str">
        <f>"105943#"</f>
        <v>105943#</v>
      </c>
      <c r="C373" s="2" t="str">
        <f>"TWO-86"</f>
        <v>TWO-86</v>
      </c>
      <c r="D373" s="1" t="str">
        <f>"Otolift met Flexirail® model B"</f>
        <v>Otolift met Flexirail® model B</v>
      </c>
      <c r="E373" s="1" t="s">
        <v>9</v>
      </c>
      <c r="F373" s="3">
        <v>40149</v>
      </c>
      <c r="G373" s="3">
        <v>40149</v>
      </c>
      <c r="H373" s="3">
        <v>43406</v>
      </c>
      <c r="I373" s="3">
        <v>43771</v>
      </c>
    </row>
    <row r="374" spans="2:9" x14ac:dyDescent="0.25">
      <c r="B374" s="2" t="str">
        <f>"105946#"</f>
        <v>105946#</v>
      </c>
      <c r="C374" s="2" t="str">
        <f>"TWO-86"</f>
        <v>TWO-86</v>
      </c>
      <c r="D374" s="1" t="str">
        <f>"Otolift met Flexirail® model G"</f>
        <v>Otolift met Flexirail® model G</v>
      </c>
      <c r="E374" s="1" t="s">
        <v>7</v>
      </c>
      <c r="F374" s="3">
        <v>40161</v>
      </c>
      <c r="G374" s="3">
        <v>40161</v>
      </c>
      <c r="H374" s="3">
        <v>43108</v>
      </c>
      <c r="I374" s="3">
        <v>43473</v>
      </c>
    </row>
    <row r="375" spans="2:9" x14ac:dyDescent="0.25">
      <c r="B375" s="2" t="str">
        <f>"105988#"</f>
        <v>105988#</v>
      </c>
      <c r="C375" s="2" t="str">
        <f>"TWO-86-S"</f>
        <v>TWO-86-S</v>
      </c>
      <c r="D375" s="1" t="str">
        <f>"Otolift met Flexirail® model G"</f>
        <v>Otolift met Flexirail® model G</v>
      </c>
      <c r="E375" s="1" t="s">
        <v>7</v>
      </c>
      <c r="F375" s="3">
        <v>40161</v>
      </c>
      <c r="G375" s="3">
        <v>40161</v>
      </c>
      <c r="H375" s="3">
        <v>43122</v>
      </c>
      <c r="I375" s="3">
        <v>43487</v>
      </c>
    </row>
    <row r="376" spans="2:9" x14ac:dyDescent="0.25">
      <c r="B376" s="2" t="str">
        <f>"105989#"</f>
        <v>105989#</v>
      </c>
      <c r="C376" s="2" t="str">
        <f>"TWO-86"</f>
        <v>TWO-86</v>
      </c>
      <c r="D376" s="1" t="str">
        <f>"Otolift met Flexirail® model B"</f>
        <v>Otolift met Flexirail® model B</v>
      </c>
      <c r="E376" s="1" t="s">
        <v>9</v>
      </c>
      <c r="F376" s="3">
        <v>40155</v>
      </c>
      <c r="G376" s="3">
        <v>40155</v>
      </c>
      <c r="H376" s="3">
        <v>43647</v>
      </c>
      <c r="I376" s="3">
        <v>43546</v>
      </c>
    </row>
    <row r="377" spans="2:9" x14ac:dyDescent="0.25">
      <c r="B377" s="2" t="str">
        <f>"138780#"</f>
        <v>138780#</v>
      </c>
      <c r="C377" s="2" t="str">
        <f>"MEDM120RH"</f>
        <v>MEDM120RH</v>
      </c>
      <c r="D377" s="1" t="str">
        <f>"Hergebruik Meditek Handbed. 120kg rechts"</f>
        <v>Hergebruik Meditek Handbed. 120kg rechts</v>
      </c>
      <c r="E377" s="1" t="s">
        <v>8</v>
      </c>
      <c r="F377" s="3">
        <v>43411</v>
      </c>
      <c r="G377" s="3">
        <v>43508</v>
      </c>
      <c r="H377" s="3">
        <v>43508</v>
      </c>
      <c r="I377" s="3" t="str">
        <f>""</f>
        <v/>
      </c>
    </row>
    <row r="378" spans="2:9" x14ac:dyDescent="0.25">
      <c r="B378" s="2" t="str">
        <f>"106054#"</f>
        <v>106054#</v>
      </c>
      <c r="C378" s="2" t="str">
        <f>"TWO-86"</f>
        <v>TWO-86</v>
      </c>
      <c r="D378" s="1" t="str">
        <f>"Otolift met Flexirail® model B"</f>
        <v>Otolift met Flexirail® model B</v>
      </c>
      <c r="E378" s="1" t="s">
        <v>9</v>
      </c>
      <c r="F378" s="3">
        <v>40154</v>
      </c>
      <c r="G378" s="3">
        <v>40154</v>
      </c>
      <c r="H378" s="3">
        <v>43699</v>
      </c>
      <c r="I378" s="3">
        <v>43882</v>
      </c>
    </row>
    <row r="379" spans="2:9" x14ac:dyDescent="0.25">
      <c r="B379" s="2" t="str">
        <f>"139889#"</f>
        <v>139889#</v>
      </c>
      <c r="C379" s="2" t="str">
        <f>"MOD-C-6040-1"</f>
        <v>MOD-C-6040-1</v>
      </c>
      <c r="D379" s="1" t="str">
        <f>"Otolift Modul-AIR buitenbocht"</f>
        <v>Otolift Modul-AIR buitenbocht</v>
      </c>
      <c r="E379" s="1" t="s">
        <v>9</v>
      </c>
      <c r="F379" s="3">
        <v>43508</v>
      </c>
      <c r="G379" s="3">
        <v>43508</v>
      </c>
      <c r="H379" s="3">
        <v>43508</v>
      </c>
      <c r="I379" s="3" t="str">
        <f>""</f>
        <v/>
      </c>
    </row>
    <row r="380" spans="2:9" x14ac:dyDescent="0.25">
      <c r="B380" s="2" t="str">
        <f>"106057#"</f>
        <v>106057#</v>
      </c>
      <c r="C380" s="2" t="str">
        <f>"TWO-86"</f>
        <v>TWO-86</v>
      </c>
      <c r="D380" s="1" t="str">
        <f>"Otolift met Flexirail® model C"</f>
        <v>Otolift met Flexirail® model C</v>
      </c>
      <c r="E380" s="1" t="s">
        <v>9</v>
      </c>
      <c r="F380" s="3">
        <v>40186</v>
      </c>
      <c r="G380" s="3">
        <v>40186</v>
      </c>
      <c r="H380" s="3">
        <v>43430</v>
      </c>
      <c r="I380" s="3">
        <v>43795</v>
      </c>
    </row>
    <row r="381" spans="2:9" x14ac:dyDescent="0.25">
      <c r="B381" s="2" t="str">
        <f>"115057#"</f>
        <v>115057#</v>
      </c>
      <c r="C381" s="2" t="str">
        <f>"MOD-G-6050-1"</f>
        <v>MOD-G-6050-1</v>
      </c>
      <c r="D381" s="1" t="str">
        <f>"Hergebruik Otolift Modul-AIR buitenbocht"</f>
        <v>Hergebruik Otolift Modul-AIR buitenbocht</v>
      </c>
      <c r="E381" s="1" t="s">
        <v>7</v>
      </c>
      <c r="F381" s="3">
        <v>41017</v>
      </c>
      <c r="G381" s="3">
        <v>43511</v>
      </c>
      <c r="H381" s="3">
        <v>43511</v>
      </c>
      <c r="I381" s="3" t="str">
        <f>""</f>
        <v/>
      </c>
    </row>
    <row r="382" spans="2:9" x14ac:dyDescent="0.25">
      <c r="B382" s="2" t="str">
        <f>"134522#"</f>
        <v>134522#</v>
      </c>
      <c r="C382" s="2" t="str">
        <f>"TWO-B-87"</f>
        <v>TWO-B-87</v>
      </c>
      <c r="D382" s="1" t="str">
        <f>"Hergebruik Otolift TWO"</f>
        <v>Hergebruik Otolift TWO</v>
      </c>
      <c r="E382" s="1" t="s">
        <v>9</v>
      </c>
      <c r="F382" s="3">
        <v>43066</v>
      </c>
      <c r="G382" s="3">
        <v>43516</v>
      </c>
      <c r="H382" s="3" t="str">
        <f>""</f>
        <v/>
      </c>
      <c r="I382" s="3" t="str">
        <f>""</f>
        <v/>
      </c>
    </row>
    <row r="383" spans="2:9" x14ac:dyDescent="0.25">
      <c r="B383" s="2" t="str">
        <f>"106135#"</f>
        <v>106135#</v>
      </c>
      <c r="C383" s="2" t="str">
        <f>"TWO-86-SZ"</f>
        <v>TWO-86-SZ</v>
      </c>
      <c r="D383" s="1" t="str">
        <f>"Otolift met Flexirail® model A"</f>
        <v>Otolift met Flexirail® model A</v>
      </c>
      <c r="E383" s="1" t="s">
        <v>8</v>
      </c>
      <c r="F383" s="3">
        <v>40184</v>
      </c>
      <c r="G383" s="3">
        <v>40856</v>
      </c>
      <c r="H383" s="3">
        <v>43522</v>
      </c>
      <c r="I383" s="3">
        <v>43847</v>
      </c>
    </row>
    <row r="384" spans="2:9" x14ac:dyDescent="0.25">
      <c r="B384" s="2" t="str">
        <f>"106136#"</f>
        <v>106136#</v>
      </c>
      <c r="C384" s="2" t="str">
        <f>"TWO-86"</f>
        <v>TWO-86</v>
      </c>
      <c r="D384" s="1" t="str">
        <f>"Otolift met Flexirail® model B"</f>
        <v>Otolift met Flexirail® model B</v>
      </c>
      <c r="E384" s="1" t="s">
        <v>9</v>
      </c>
      <c r="F384" s="3">
        <v>40184</v>
      </c>
      <c r="G384" s="3">
        <v>40184</v>
      </c>
      <c r="H384" s="3">
        <v>43795</v>
      </c>
      <c r="I384" s="3">
        <v>43489</v>
      </c>
    </row>
    <row r="385" spans="2:9" x14ac:dyDescent="0.25">
      <c r="B385" s="2" t="str">
        <f>"106200#"</f>
        <v>106200#</v>
      </c>
      <c r="C385" s="2" t="str">
        <f>"TWO-86"</f>
        <v>TWO-86</v>
      </c>
      <c r="D385" s="1" t="str">
        <f>"Otolift met Flexirail® model E"</f>
        <v>Otolift met Flexirail® model E</v>
      </c>
      <c r="E385" s="1" t="s">
        <v>9</v>
      </c>
      <c r="F385" s="3">
        <v>40191</v>
      </c>
      <c r="G385" s="3">
        <v>40191</v>
      </c>
      <c r="H385" s="3">
        <v>43473</v>
      </c>
      <c r="I385" s="3">
        <v>43838</v>
      </c>
    </row>
    <row r="386" spans="2:9" x14ac:dyDescent="0.25">
      <c r="B386" s="2" t="str">
        <f>"106201#"</f>
        <v>106201#</v>
      </c>
      <c r="C386" s="2" t="str">
        <f>"TWO-86"</f>
        <v>TWO-86</v>
      </c>
      <c r="D386" s="1" t="str">
        <f>"Otolift met Flexirail® model G"</f>
        <v>Otolift met Flexirail® model G</v>
      </c>
      <c r="E386" s="1" t="s">
        <v>7</v>
      </c>
      <c r="F386" s="3">
        <v>40190</v>
      </c>
      <c r="G386" s="3">
        <v>40190</v>
      </c>
      <c r="H386" s="3">
        <v>43525</v>
      </c>
      <c r="I386" s="3">
        <v>43891</v>
      </c>
    </row>
    <row r="387" spans="2:9" x14ac:dyDescent="0.25">
      <c r="B387" s="2" t="str">
        <f>"106203#"</f>
        <v>106203#</v>
      </c>
      <c r="C387" s="2" t="str">
        <f>"TWO-81"</f>
        <v>TWO-81</v>
      </c>
      <c r="D387" s="1" t="str">
        <f>"Otolift met Flexirail® model G"</f>
        <v>Otolift met Flexirail® model G</v>
      </c>
      <c r="E387" s="1" t="s">
        <v>7</v>
      </c>
      <c r="F387" s="3">
        <v>40191</v>
      </c>
      <c r="G387" s="3">
        <v>41276</v>
      </c>
      <c r="H387" s="3">
        <v>43410</v>
      </c>
      <c r="I387" s="3">
        <v>43252</v>
      </c>
    </row>
    <row r="388" spans="2:9" x14ac:dyDescent="0.25">
      <c r="B388" s="2" t="str">
        <f>"140000#"</f>
        <v>140000#</v>
      </c>
      <c r="C388" s="2" t="str">
        <f>"MOD-B-6040-1"</f>
        <v>MOD-B-6040-1</v>
      </c>
      <c r="D388" s="1" t="str">
        <f>"Otolift Modul-AIR buitenbocht"</f>
        <v>Otolift Modul-AIR buitenbocht</v>
      </c>
      <c r="E388" s="1" t="s">
        <v>9</v>
      </c>
      <c r="F388" s="3">
        <v>43517</v>
      </c>
      <c r="G388" s="3">
        <v>43517</v>
      </c>
      <c r="H388" s="3">
        <v>43517</v>
      </c>
      <c r="I388" s="3" t="str">
        <f>""</f>
        <v/>
      </c>
    </row>
    <row r="389" spans="2:9" x14ac:dyDescent="0.25">
      <c r="B389" s="2" t="str">
        <f>"107637#"</f>
        <v>107637#</v>
      </c>
      <c r="C389" s="2" t="str">
        <f>"TWO-B-87"</f>
        <v>TWO-B-87</v>
      </c>
      <c r="D389" s="1" t="str">
        <f>"Hergebruik Otolift TWO"</f>
        <v>Hergebruik Otolift TWO</v>
      </c>
      <c r="E389" s="1" t="s">
        <v>9</v>
      </c>
      <c r="F389" s="3">
        <v>40294</v>
      </c>
      <c r="G389" s="3">
        <v>43517</v>
      </c>
      <c r="H389" s="3">
        <v>43517</v>
      </c>
      <c r="I389" s="3" t="str">
        <f>""</f>
        <v/>
      </c>
    </row>
    <row r="390" spans="2:9" x14ac:dyDescent="0.25">
      <c r="B390" s="2" t="str">
        <f>"112820#"</f>
        <v>112820#</v>
      </c>
      <c r="C390" s="2" t="str">
        <f>"TWO-B-87"</f>
        <v>TWO-B-87</v>
      </c>
      <c r="D390" s="1" t="str">
        <f>"Hergebruik Otolift TWO"</f>
        <v>Hergebruik Otolift TWO</v>
      </c>
      <c r="E390" s="1" t="s">
        <v>9</v>
      </c>
      <c r="F390" s="3">
        <v>40791</v>
      </c>
      <c r="G390" s="3">
        <v>43517</v>
      </c>
      <c r="H390" s="3">
        <v>43517</v>
      </c>
      <c r="I390" s="3" t="str">
        <f>""</f>
        <v/>
      </c>
    </row>
    <row r="391" spans="2:9" x14ac:dyDescent="0.25">
      <c r="B391" s="2" t="str">
        <f>"138273#"</f>
        <v>138273#</v>
      </c>
      <c r="C391" s="2" t="str">
        <f>"MOD-C-6050-1"</f>
        <v>MOD-C-6050-1</v>
      </c>
      <c r="D391" s="1" t="str">
        <f>"Hergebruik Otolift Modul-AIR buitenbocht"</f>
        <v>Hergebruik Otolift Modul-AIR buitenbocht</v>
      </c>
      <c r="E391" s="1" t="s">
        <v>9</v>
      </c>
      <c r="F391" s="3">
        <v>43383</v>
      </c>
      <c r="G391" s="3">
        <v>43518</v>
      </c>
      <c r="H391" s="3">
        <v>43518</v>
      </c>
      <c r="I391" s="3" t="str">
        <f>""</f>
        <v/>
      </c>
    </row>
    <row r="392" spans="2:9" x14ac:dyDescent="0.25">
      <c r="B392" s="2" t="str">
        <f>"106233#"</f>
        <v>106233#</v>
      </c>
      <c r="C392" s="2" t="str">
        <f>"TWO-86-S"</f>
        <v>TWO-86-S</v>
      </c>
      <c r="D392" s="1" t="str">
        <f>"Otolift met Flexirail® model G"</f>
        <v>Otolift met Flexirail® model G</v>
      </c>
      <c r="E392" s="1" t="s">
        <v>7</v>
      </c>
      <c r="F392" s="3">
        <v>40196</v>
      </c>
      <c r="G392" s="3">
        <v>40196</v>
      </c>
      <c r="H392" s="3">
        <v>43775</v>
      </c>
      <c r="I392" s="3">
        <v>43495</v>
      </c>
    </row>
    <row r="393" spans="2:9" x14ac:dyDescent="0.25">
      <c r="B393" s="2" t="str">
        <f>"140104#"</f>
        <v>140104#</v>
      </c>
      <c r="C393" s="2" t="str">
        <f>"MOD-G-6050-1"</f>
        <v>MOD-G-6050-1</v>
      </c>
      <c r="D393" s="1" t="str">
        <f>"Otolift Modul-AIR buitenbocht"</f>
        <v>Otolift Modul-AIR buitenbocht</v>
      </c>
      <c r="E393" s="1" t="s">
        <v>7</v>
      </c>
      <c r="F393" s="3">
        <v>43522</v>
      </c>
      <c r="G393" s="3">
        <v>43522</v>
      </c>
      <c r="H393" s="3">
        <v>43522</v>
      </c>
      <c r="I393" s="3" t="str">
        <f>""</f>
        <v/>
      </c>
    </row>
    <row r="394" spans="2:9" x14ac:dyDescent="0.25">
      <c r="B394" s="2" t="str">
        <f>"106343#"</f>
        <v>106343#</v>
      </c>
      <c r="C394" s="2" t="str">
        <f>"TWO-86"</f>
        <v>TWO-86</v>
      </c>
      <c r="D394" s="1" t="str">
        <f>"Otolift met Flexirail® model G"</f>
        <v>Otolift met Flexirail® model G</v>
      </c>
      <c r="E394" s="1" t="s">
        <v>7</v>
      </c>
      <c r="F394" s="3">
        <v>40198</v>
      </c>
      <c r="G394" s="3">
        <v>41611</v>
      </c>
      <c r="H394" s="3">
        <v>43641</v>
      </c>
      <c r="I394" s="3">
        <v>43503</v>
      </c>
    </row>
    <row r="395" spans="2:9" x14ac:dyDescent="0.25">
      <c r="B395" s="2" t="str">
        <f>"140218#"</f>
        <v>140218#</v>
      </c>
      <c r="C395" s="2" t="str">
        <f>"MEDM120LH"</f>
        <v>MEDM120LH</v>
      </c>
      <c r="D395" s="1" t="str">
        <f>"Meditek Handbed. 120kg links"</f>
        <v>Meditek Handbed. 120kg links</v>
      </c>
      <c r="E395" s="1" t="s">
        <v>8</v>
      </c>
      <c r="F395" s="3">
        <v>43523</v>
      </c>
      <c r="G395" s="3">
        <v>43523</v>
      </c>
      <c r="H395" s="3">
        <v>43523</v>
      </c>
      <c r="I395" s="3" t="str">
        <f>""</f>
        <v/>
      </c>
    </row>
    <row r="396" spans="2:9" x14ac:dyDescent="0.25">
      <c r="B396" s="2" t="str">
        <f>"120781#"</f>
        <v>120781#</v>
      </c>
      <c r="C396" s="2" t="str">
        <f>"TWO-G-87"</f>
        <v>TWO-G-87</v>
      </c>
      <c r="D396" s="1" t="str">
        <f>"Hergebruik Otolift TWO"</f>
        <v>Hergebruik Otolift TWO</v>
      </c>
      <c r="E396" s="1" t="s">
        <v>7</v>
      </c>
      <c r="F396" s="3">
        <v>41702</v>
      </c>
      <c r="G396" s="3">
        <v>43523</v>
      </c>
      <c r="H396" s="3">
        <v>43523</v>
      </c>
      <c r="I396" s="3" t="str">
        <f>""</f>
        <v/>
      </c>
    </row>
    <row r="397" spans="2:9" x14ac:dyDescent="0.25">
      <c r="B397" s="2" t="str">
        <f>"116705#"</f>
        <v>116705#</v>
      </c>
      <c r="C397" s="2" t="str">
        <f>"TWO-B-87"</f>
        <v>TWO-B-87</v>
      </c>
      <c r="D397" s="1" t="str">
        <f>"Hergebruik Otolift TWO"</f>
        <v>Hergebruik Otolift TWO</v>
      </c>
      <c r="E397" s="1" t="s">
        <v>9</v>
      </c>
      <c r="F397" s="3">
        <v>41239</v>
      </c>
      <c r="G397" s="3">
        <v>43528</v>
      </c>
      <c r="H397" s="3">
        <v>43528</v>
      </c>
      <c r="I397" s="3" t="str">
        <f>""</f>
        <v/>
      </c>
    </row>
    <row r="398" spans="2:9" x14ac:dyDescent="0.25">
      <c r="B398" s="2" t="str">
        <f>"127142#"</f>
        <v>127142#</v>
      </c>
      <c r="C398" s="2" t="str">
        <f>"PAR-110"</f>
        <v>PAR-110</v>
      </c>
      <c r="D398" s="1" t="str">
        <f>"Hergebruik Otolift PARALLEL"</f>
        <v>Hergebruik Otolift PARALLEL</v>
      </c>
      <c r="E398" s="1" t="s">
        <v>8</v>
      </c>
      <c r="F398" s="3">
        <v>42467</v>
      </c>
      <c r="G398" s="3">
        <v>43529</v>
      </c>
      <c r="H398" s="3">
        <v>43529</v>
      </c>
      <c r="I398" s="3" t="str">
        <f>""</f>
        <v/>
      </c>
    </row>
    <row r="399" spans="2:9" x14ac:dyDescent="0.25">
      <c r="B399" s="2" t="str">
        <f>"106494#"</f>
        <v>106494#</v>
      </c>
      <c r="C399" s="2" t="str">
        <f>"TWO-86"</f>
        <v>TWO-86</v>
      </c>
      <c r="D399" s="1" t="str">
        <f>"Otolift met Flexirail® model G"</f>
        <v>Otolift met Flexirail® model G</v>
      </c>
      <c r="E399" s="1" t="s">
        <v>7</v>
      </c>
      <c r="F399" s="3">
        <v>40205</v>
      </c>
      <c r="G399" s="3">
        <v>40205</v>
      </c>
      <c r="H399" s="3">
        <v>43181</v>
      </c>
      <c r="I399" s="3">
        <v>43546</v>
      </c>
    </row>
    <row r="400" spans="2:9" x14ac:dyDescent="0.25">
      <c r="B400" s="2" t="str">
        <f>"106530#"</f>
        <v>106530#</v>
      </c>
      <c r="C400" s="2" t="str">
        <f>"TWO-86"</f>
        <v>TWO-86</v>
      </c>
      <c r="D400" s="1" t="str">
        <f>"Otolift met Flexirail® model B"</f>
        <v>Otolift met Flexirail® model B</v>
      </c>
      <c r="E400" s="1" t="s">
        <v>9</v>
      </c>
      <c r="F400" s="3">
        <v>40200</v>
      </c>
      <c r="G400" s="3">
        <v>40970</v>
      </c>
      <c r="H400" s="3">
        <v>43423</v>
      </c>
      <c r="I400" s="3">
        <v>43788</v>
      </c>
    </row>
    <row r="401" spans="2:9" x14ac:dyDescent="0.25">
      <c r="B401" s="2" t="str">
        <f>"106532#"</f>
        <v>106532#</v>
      </c>
      <c r="C401" s="2" t="str">
        <f>"TWO-86"</f>
        <v>TWO-86</v>
      </c>
      <c r="D401" s="1" t="str">
        <f>"Otolift met Flexirail® model B"</f>
        <v>Otolift met Flexirail® model B</v>
      </c>
      <c r="E401" s="1" t="s">
        <v>9</v>
      </c>
      <c r="F401" s="3">
        <v>40210</v>
      </c>
      <c r="G401" s="3">
        <v>40210</v>
      </c>
      <c r="H401" s="3">
        <v>43672</v>
      </c>
      <c r="I401" s="3">
        <v>43624</v>
      </c>
    </row>
    <row r="402" spans="2:9" x14ac:dyDescent="0.25">
      <c r="B402" s="2" t="str">
        <f>"106537#"</f>
        <v>106537#</v>
      </c>
      <c r="C402" s="2" t="str">
        <f>"TWO-85"</f>
        <v>TWO-85</v>
      </c>
      <c r="D402" s="1" t="str">
        <f>"Otolift met Flexirail® model C"</f>
        <v>Otolift met Flexirail® model C</v>
      </c>
      <c r="E402" s="1" t="s">
        <v>9</v>
      </c>
      <c r="F402" s="3">
        <v>40211</v>
      </c>
      <c r="G402" s="3">
        <v>40662</v>
      </c>
      <c r="H402" s="3">
        <v>43494</v>
      </c>
      <c r="I402" s="3">
        <v>43859</v>
      </c>
    </row>
    <row r="403" spans="2:9" x14ac:dyDescent="0.25">
      <c r="B403" s="2" t="str">
        <f>"119084#"</f>
        <v>119084#</v>
      </c>
      <c r="C403" s="2" t="str">
        <f>"MOD-B-6050-1"</f>
        <v>MOD-B-6050-1</v>
      </c>
      <c r="D403" s="1" t="str">
        <f>"Hergebruik Otolift Modul-AIR buitenbocht"</f>
        <v>Hergebruik Otolift Modul-AIR buitenbocht</v>
      </c>
      <c r="E403" s="1" t="s">
        <v>9</v>
      </c>
      <c r="F403" s="3">
        <v>41521</v>
      </c>
      <c r="G403" s="3">
        <v>43532</v>
      </c>
      <c r="H403" s="3">
        <v>43532</v>
      </c>
      <c r="I403" s="3" t="str">
        <f>""</f>
        <v/>
      </c>
    </row>
    <row r="404" spans="2:9" x14ac:dyDescent="0.25">
      <c r="B404" s="2" t="str">
        <f>"100579#"</f>
        <v>100579#</v>
      </c>
      <c r="C404" s="2" t="str">
        <f>"TWO-86"</f>
        <v>TWO-86</v>
      </c>
      <c r="D404" s="1" t="str">
        <f>"Hergebruik Otolift TWO"</f>
        <v>Hergebruik Otolift TWO</v>
      </c>
      <c r="E404" s="1"/>
      <c r="F404" s="3">
        <v>39801</v>
      </c>
      <c r="G404" s="3">
        <v>42738</v>
      </c>
      <c r="H404" s="3">
        <v>43725</v>
      </c>
      <c r="I404" s="3">
        <v>43498</v>
      </c>
    </row>
    <row r="405" spans="2:9" x14ac:dyDescent="0.25">
      <c r="B405" s="2" t="str">
        <f>"104296#"</f>
        <v>104296#</v>
      </c>
      <c r="C405" s="2" t="str">
        <f>"TWO-86"</f>
        <v>TWO-86</v>
      </c>
      <c r="D405" s="1" t="str">
        <f>"Hergebruik Otolift TWO"</f>
        <v>Hergebruik Otolift TWO</v>
      </c>
      <c r="E405" s="1"/>
      <c r="F405" s="3">
        <v>40072</v>
      </c>
      <c r="G405" s="3">
        <v>42705</v>
      </c>
      <c r="H405" s="3">
        <v>43647</v>
      </c>
      <c r="I405" s="3">
        <v>43488</v>
      </c>
    </row>
    <row r="406" spans="2:9" x14ac:dyDescent="0.25">
      <c r="B406" s="2" t="str">
        <f>"106652#"</f>
        <v>106652#</v>
      </c>
      <c r="C406" s="2" t="str">
        <f>"TWO-86"</f>
        <v>TWO-86</v>
      </c>
      <c r="D406" s="1" t="str">
        <f>"Otolift met Flexirail® model A"</f>
        <v>Otolift met Flexirail® model A</v>
      </c>
      <c r="E406" s="1" t="s">
        <v>8</v>
      </c>
      <c r="F406" s="3">
        <v>40218</v>
      </c>
      <c r="G406" s="3">
        <v>40218</v>
      </c>
      <c r="H406" s="3">
        <v>43738</v>
      </c>
      <c r="I406" s="3">
        <v>43634</v>
      </c>
    </row>
    <row r="407" spans="2:9" x14ac:dyDescent="0.25">
      <c r="B407" s="2" t="str">
        <f>"098869#"</f>
        <v>098869#</v>
      </c>
      <c r="C407" s="2" t="str">
        <f>"TWO-86"</f>
        <v>TWO-86</v>
      </c>
      <c r="D407" s="1" t="str">
        <f>"Hergebruik Otolift TWO"</f>
        <v>Hergebruik Otolift TWO</v>
      </c>
      <c r="E407" s="1"/>
      <c r="F407" s="3">
        <v>39657</v>
      </c>
      <c r="G407" s="3">
        <v>43179</v>
      </c>
      <c r="H407" s="3">
        <v>43557</v>
      </c>
      <c r="I407" s="3">
        <v>43923</v>
      </c>
    </row>
    <row r="408" spans="2:9" x14ac:dyDescent="0.25">
      <c r="B408" s="2" t="str">
        <f>"09503C"</f>
        <v>09503C</v>
      </c>
      <c r="C408" s="2" t="str">
        <f>"TWO"</f>
        <v>TWO</v>
      </c>
      <c r="D408" s="1" t="str">
        <f>"."</f>
        <v>.</v>
      </c>
      <c r="E408" s="1" t="s">
        <v>10</v>
      </c>
      <c r="F408" s="3">
        <v>32490</v>
      </c>
      <c r="G408" s="3">
        <v>32490</v>
      </c>
      <c r="H408" s="3">
        <v>43798</v>
      </c>
      <c r="I408" s="3">
        <v>43481</v>
      </c>
    </row>
    <row r="409" spans="2:9" x14ac:dyDescent="0.25">
      <c r="B409" s="2" t="str">
        <f>"106722#"</f>
        <v>106722#</v>
      </c>
      <c r="C409" s="2" t="str">
        <f>"TWO-86"</f>
        <v>TWO-86</v>
      </c>
      <c r="D409" s="1" t="str">
        <f>"Otolift met Flexirail® model B"</f>
        <v>Otolift met Flexirail® model B</v>
      </c>
      <c r="E409" s="1" t="s">
        <v>9</v>
      </c>
      <c r="F409" s="3">
        <v>40224</v>
      </c>
      <c r="G409" s="3">
        <v>41156</v>
      </c>
      <c r="H409" s="3">
        <v>43427</v>
      </c>
      <c r="I409" s="3">
        <v>43792</v>
      </c>
    </row>
    <row r="410" spans="2:9" x14ac:dyDescent="0.25">
      <c r="B410" s="2" t="str">
        <f>"106727#"</f>
        <v>106727#</v>
      </c>
      <c r="C410" s="2" t="str">
        <f>"TWO-86"</f>
        <v>TWO-86</v>
      </c>
      <c r="D410" s="1" t="str">
        <f>"Otolift met Flexirail® model C"</f>
        <v>Otolift met Flexirail® model C</v>
      </c>
      <c r="E410" s="1" t="s">
        <v>9</v>
      </c>
      <c r="F410" s="3">
        <v>40231</v>
      </c>
      <c r="G410" s="3">
        <v>40231</v>
      </c>
      <c r="H410" s="3">
        <v>43634</v>
      </c>
      <c r="I410" s="3">
        <v>43607</v>
      </c>
    </row>
    <row r="411" spans="2:9" x14ac:dyDescent="0.25">
      <c r="B411" s="2" t="str">
        <f>"105684#"</f>
        <v>105684#</v>
      </c>
      <c r="C411" s="2" t="str">
        <f>"TWO-86"</f>
        <v>TWO-86</v>
      </c>
      <c r="D411" s="1" t="str">
        <f>"Hergebruik Otolift TWO"</f>
        <v>Hergebruik Otolift TWO</v>
      </c>
      <c r="E411" s="1"/>
      <c r="F411" s="3">
        <v>40148</v>
      </c>
      <c r="G411" s="3">
        <v>42829</v>
      </c>
      <c r="H411" s="3">
        <v>43635</v>
      </c>
      <c r="I411" s="3">
        <v>43573</v>
      </c>
    </row>
    <row r="412" spans="2:9" x14ac:dyDescent="0.25">
      <c r="B412" s="2" t="str">
        <f>"098677#"</f>
        <v>098677#</v>
      </c>
      <c r="C412" s="2" t="str">
        <f>"TWO-86"</f>
        <v>TWO-86</v>
      </c>
      <c r="D412" s="1" t="str">
        <f>"Hergebruik Otolift TWO"</f>
        <v>Hergebruik Otolift TWO</v>
      </c>
      <c r="E412" s="1"/>
      <c r="F412" s="3">
        <v>39624</v>
      </c>
      <c r="G412" s="3">
        <v>42738</v>
      </c>
      <c r="H412" s="3">
        <v>43599</v>
      </c>
      <c r="I412" s="3">
        <v>43965</v>
      </c>
    </row>
    <row r="413" spans="2:9" x14ac:dyDescent="0.25">
      <c r="B413" s="2" t="str">
        <f>"106866#"</f>
        <v>106866#</v>
      </c>
      <c r="C413" s="2" t="str">
        <f>"TWO-86-S"</f>
        <v>TWO-86-S</v>
      </c>
      <c r="D413" s="1" t="str">
        <f>"Otolift met Flexirail® model G"</f>
        <v>Otolift met Flexirail® model G</v>
      </c>
      <c r="E413" s="1" t="s">
        <v>7</v>
      </c>
      <c r="F413" s="3">
        <v>40227</v>
      </c>
      <c r="G413" s="3">
        <v>40227</v>
      </c>
      <c r="H413" s="3">
        <v>43334</v>
      </c>
      <c r="I413" s="3">
        <v>43341</v>
      </c>
    </row>
    <row r="414" spans="2:9" x14ac:dyDescent="0.25">
      <c r="B414" s="2" t="str">
        <f>"106868#"</f>
        <v>106868#</v>
      </c>
      <c r="C414" s="2" t="str">
        <f>"TWO-86"</f>
        <v>TWO-86</v>
      </c>
      <c r="D414" s="1" t="str">
        <f>"Otolift met Flexirail® model B"</f>
        <v>Otolift met Flexirail® model B</v>
      </c>
      <c r="E414" s="1" t="s">
        <v>9</v>
      </c>
      <c r="F414" s="3">
        <v>40226</v>
      </c>
      <c r="G414" s="3">
        <v>40226</v>
      </c>
      <c r="H414" s="3">
        <v>43697</v>
      </c>
      <c r="I414" s="3">
        <v>44043</v>
      </c>
    </row>
    <row r="415" spans="2:9" x14ac:dyDescent="0.25">
      <c r="B415" s="2" t="str">
        <f>"136216#"</f>
        <v>136216#</v>
      </c>
      <c r="C415" s="2" t="str">
        <f>"MOD-C-6040-1"</f>
        <v>MOD-C-6040-1</v>
      </c>
      <c r="D415" s="1" t="str">
        <f>"Hergebruik Otolift Modul-AIR buitenbocht"</f>
        <v>Hergebruik Otolift Modul-AIR buitenbocht</v>
      </c>
      <c r="E415" s="1" t="s">
        <v>9</v>
      </c>
      <c r="F415" s="3">
        <v>43185</v>
      </c>
      <c r="G415" s="3">
        <v>43532</v>
      </c>
      <c r="H415" s="3">
        <v>43532</v>
      </c>
      <c r="I415" s="3" t="str">
        <f>""</f>
        <v/>
      </c>
    </row>
    <row r="416" spans="2:9" x14ac:dyDescent="0.25">
      <c r="B416" s="2" t="str">
        <f>"098931#"</f>
        <v>098931#</v>
      </c>
      <c r="C416" s="2" t="str">
        <f>"TWO-86"</f>
        <v>TWO-86</v>
      </c>
      <c r="D416" s="1" t="str">
        <f>"Hergebruik Otolift TWO"</f>
        <v>Hergebruik Otolift TWO</v>
      </c>
      <c r="E416" s="1"/>
      <c r="F416" s="3">
        <v>39695</v>
      </c>
      <c r="G416" s="3">
        <v>42838</v>
      </c>
      <c r="H416" s="3">
        <v>43801</v>
      </c>
      <c r="I416" s="3">
        <v>43578</v>
      </c>
    </row>
    <row r="417" spans="2:9" x14ac:dyDescent="0.25">
      <c r="B417" s="2" t="str">
        <f>"106939#"</f>
        <v>106939#</v>
      </c>
      <c r="C417" s="2" t="str">
        <f>"TWO-86"</f>
        <v>TWO-86</v>
      </c>
      <c r="D417" s="1" t="str">
        <f>"Otolift met Flexirail® model B"</f>
        <v>Otolift met Flexirail® model B</v>
      </c>
      <c r="E417" s="1" t="s">
        <v>9</v>
      </c>
      <c r="F417" s="3">
        <v>40242</v>
      </c>
      <c r="G417" s="3">
        <v>40864</v>
      </c>
      <c r="H417" s="3">
        <v>43648</v>
      </c>
      <c r="I417" s="3">
        <v>43581</v>
      </c>
    </row>
    <row r="418" spans="2:9" x14ac:dyDescent="0.25">
      <c r="B418" s="2" t="str">
        <f>"096887#"</f>
        <v>096887#</v>
      </c>
      <c r="C418" s="2" t="str">
        <f>"TWO-86"</f>
        <v>TWO-86</v>
      </c>
      <c r="D418" s="1" t="str">
        <f>"Hergebruik Otolift TWO"</f>
        <v>Hergebruik Otolift TWO</v>
      </c>
      <c r="E418" s="1"/>
      <c r="F418" s="3">
        <v>39476</v>
      </c>
      <c r="G418" s="3">
        <v>42691</v>
      </c>
      <c r="H418" s="3">
        <v>43410</v>
      </c>
      <c r="I418" s="3">
        <v>43775</v>
      </c>
    </row>
    <row r="419" spans="2:9" x14ac:dyDescent="0.25">
      <c r="B419" s="2" t="str">
        <f>"106997#"</f>
        <v>106997#</v>
      </c>
      <c r="C419" s="2" t="str">
        <f>"TWO-86-Z"</f>
        <v>TWO-86-Z</v>
      </c>
      <c r="D419" s="1" t="str">
        <f>"Otolift met Flexirail® model A"</f>
        <v>Otolift met Flexirail® model A</v>
      </c>
      <c r="E419" s="1" t="s">
        <v>8</v>
      </c>
      <c r="F419" s="3">
        <v>40238</v>
      </c>
      <c r="G419" s="3">
        <v>40238</v>
      </c>
      <c r="H419" s="3">
        <v>43584</v>
      </c>
      <c r="I419" s="3">
        <v>43950</v>
      </c>
    </row>
    <row r="420" spans="2:9" x14ac:dyDescent="0.25">
      <c r="B420" s="2" t="str">
        <f>"107034#"</f>
        <v>107034#</v>
      </c>
      <c r="C420" s="2" t="str">
        <f>"TWO-86"</f>
        <v>TWO-86</v>
      </c>
      <c r="D420" s="1" t="str">
        <f>"Otolift met Flexirail® model G"</f>
        <v>Otolift met Flexirail® model G</v>
      </c>
      <c r="E420" s="1" t="s">
        <v>7</v>
      </c>
      <c r="F420" s="3">
        <v>40247</v>
      </c>
      <c r="G420" s="3">
        <v>40605</v>
      </c>
      <c r="H420" s="3">
        <v>43774</v>
      </c>
      <c r="I420" s="3">
        <v>43477</v>
      </c>
    </row>
    <row r="421" spans="2:9" x14ac:dyDescent="0.25">
      <c r="B421" s="2" t="str">
        <f>"113307#"</f>
        <v>113307#</v>
      </c>
      <c r="C421" s="2" t="str">
        <f>"TWO-86"</f>
        <v>TWO-86</v>
      </c>
      <c r="D421" s="1" t="str">
        <f>"Hergebruik Otolift TWO"</f>
        <v>Hergebruik Otolift TWO</v>
      </c>
      <c r="E421" s="1"/>
      <c r="F421" s="3">
        <v>40830</v>
      </c>
      <c r="G421" s="3">
        <v>42034</v>
      </c>
      <c r="H421" s="3">
        <v>43668</v>
      </c>
      <c r="I421" s="3">
        <v>43578</v>
      </c>
    </row>
    <row r="422" spans="2:9" x14ac:dyDescent="0.25">
      <c r="B422" s="2" t="str">
        <f>"096152#"</f>
        <v>096152#</v>
      </c>
      <c r="C422" s="2" t="str">
        <f>"TWO-86"</f>
        <v>TWO-86</v>
      </c>
      <c r="D422" s="1" t="str">
        <f>"Hergebruik Otolift TWO"</f>
        <v>Hergebruik Otolift TWO</v>
      </c>
      <c r="E422" s="1"/>
      <c r="F422" s="3">
        <v>39421</v>
      </c>
      <c r="G422" s="3">
        <v>42123</v>
      </c>
      <c r="H422" s="3">
        <v>43633</v>
      </c>
      <c r="I422" s="3">
        <v>43594</v>
      </c>
    </row>
    <row r="423" spans="2:9" x14ac:dyDescent="0.25">
      <c r="B423" s="2" t="str">
        <f>"103049#"</f>
        <v>103049#</v>
      </c>
      <c r="C423" s="2" t="str">
        <f>"TWO-86"</f>
        <v>TWO-86</v>
      </c>
      <c r="D423" s="1" t="str">
        <f>"Hergebruik Otolift TWO"</f>
        <v>Hergebruik Otolift TWO</v>
      </c>
      <c r="E423" s="1"/>
      <c r="F423" s="3">
        <v>39940</v>
      </c>
      <c r="G423" s="3">
        <v>42241</v>
      </c>
      <c r="H423" s="3">
        <v>43565</v>
      </c>
      <c r="I423" s="3">
        <v>43931</v>
      </c>
    </row>
    <row r="424" spans="2:9" x14ac:dyDescent="0.25">
      <c r="B424" s="2" t="str">
        <f>"107102#"</f>
        <v>107102#</v>
      </c>
      <c r="C424" s="2" t="str">
        <f>"TWO-86"</f>
        <v>TWO-86</v>
      </c>
      <c r="D424" s="1" t="str">
        <f>"Otolift met Flexirail® model C"</f>
        <v>Otolift met Flexirail® model C</v>
      </c>
      <c r="E424" s="1" t="s">
        <v>9</v>
      </c>
      <c r="F424" s="3">
        <v>40248</v>
      </c>
      <c r="G424" s="3">
        <v>40248</v>
      </c>
      <c r="H424" s="3">
        <v>43488</v>
      </c>
      <c r="I424" s="3">
        <v>43853</v>
      </c>
    </row>
    <row r="425" spans="2:9" x14ac:dyDescent="0.25">
      <c r="B425" s="2" t="str">
        <f>"107162#"</f>
        <v>107162#</v>
      </c>
      <c r="C425" s="2" t="str">
        <f>"TWO-81"</f>
        <v>TWO-81</v>
      </c>
      <c r="D425" s="1" t="str">
        <f>"Otolift met Flexirail® model B"</f>
        <v>Otolift met Flexirail® model B</v>
      </c>
      <c r="E425" s="1" t="s">
        <v>9</v>
      </c>
      <c r="F425" s="3">
        <v>40254</v>
      </c>
      <c r="G425" s="3">
        <v>40505</v>
      </c>
      <c r="H425" s="3">
        <v>43608</v>
      </c>
      <c r="I425" s="3">
        <v>43974</v>
      </c>
    </row>
    <row r="426" spans="2:9" x14ac:dyDescent="0.25">
      <c r="B426" s="2" t="str">
        <f>"107167#"</f>
        <v>107167#</v>
      </c>
      <c r="C426" s="2" t="str">
        <f>"TWO-G-87"</f>
        <v>TWO-G-87</v>
      </c>
      <c r="D426" s="1" t="str">
        <f>"Otolift met Flexirail® model C"</f>
        <v>Otolift met Flexirail® model C</v>
      </c>
      <c r="E426" s="1" t="s">
        <v>9</v>
      </c>
      <c r="F426" s="3">
        <v>40351</v>
      </c>
      <c r="G426" s="3">
        <v>41711</v>
      </c>
      <c r="H426" s="3">
        <v>43473</v>
      </c>
      <c r="I426" s="3">
        <v>43838</v>
      </c>
    </row>
    <row r="427" spans="2:9" x14ac:dyDescent="0.25">
      <c r="B427" s="2" t="str">
        <f>"103619#"</f>
        <v>103619#</v>
      </c>
      <c r="C427" s="2" t="str">
        <f>"TWO-86"</f>
        <v>TWO-86</v>
      </c>
      <c r="D427" s="1" t="str">
        <f>"Hergebruik Otolift TWO"</f>
        <v>Hergebruik Otolift TWO</v>
      </c>
      <c r="E427" s="1"/>
      <c r="F427" s="3">
        <v>39981</v>
      </c>
      <c r="G427" s="3">
        <v>42319</v>
      </c>
      <c r="H427" s="3">
        <v>43468</v>
      </c>
      <c r="I427" s="3">
        <v>43833</v>
      </c>
    </row>
    <row r="428" spans="2:9" x14ac:dyDescent="0.25">
      <c r="B428" s="2" t="str">
        <f>"107204#"</f>
        <v>107204#</v>
      </c>
      <c r="C428" s="2" t="str">
        <f>"TWO-B-87"</f>
        <v>TWO-B-87</v>
      </c>
      <c r="D428" s="1" t="str">
        <f>"Otolift met Flexirail® model B"</f>
        <v>Otolift met Flexirail® model B</v>
      </c>
      <c r="E428" s="1" t="s">
        <v>9</v>
      </c>
      <c r="F428" s="3">
        <v>40259</v>
      </c>
      <c r="G428" s="3">
        <v>40689</v>
      </c>
      <c r="H428" s="3">
        <v>43493</v>
      </c>
      <c r="I428" s="3">
        <v>43858</v>
      </c>
    </row>
    <row r="429" spans="2:9" x14ac:dyDescent="0.25">
      <c r="B429" s="2" t="str">
        <f>"107249#"</f>
        <v>107249#</v>
      </c>
      <c r="C429" s="2" t="str">
        <f>"TWO-G-87"</f>
        <v>TWO-G-87</v>
      </c>
      <c r="D429" s="1" t="str">
        <f>"Otolift met Flexirail® model G"</f>
        <v>Otolift met Flexirail® model G</v>
      </c>
      <c r="E429" s="1" t="s">
        <v>7</v>
      </c>
      <c r="F429" s="3">
        <v>40260</v>
      </c>
      <c r="G429" s="3">
        <v>40260</v>
      </c>
      <c r="H429" s="3">
        <v>43508</v>
      </c>
      <c r="I429" s="3">
        <v>43873</v>
      </c>
    </row>
    <row r="430" spans="2:9" x14ac:dyDescent="0.25">
      <c r="B430" s="2" t="str">
        <f>"102232#"</f>
        <v>102232#</v>
      </c>
      <c r="C430" s="2" t="str">
        <f>"TWO-86"</f>
        <v>TWO-86</v>
      </c>
      <c r="D430" s="1" t="str">
        <f>"Hergebruik Otolift TWO"</f>
        <v>Hergebruik Otolift TWO</v>
      </c>
      <c r="E430" s="1"/>
      <c r="F430" s="3">
        <v>39890</v>
      </c>
      <c r="G430" s="3">
        <v>42317</v>
      </c>
      <c r="H430" s="3">
        <v>43665</v>
      </c>
      <c r="I430" s="3">
        <v>43628</v>
      </c>
    </row>
    <row r="431" spans="2:9" x14ac:dyDescent="0.25">
      <c r="B431" s="2" t="str">
        <f>"107443#"</f>
        <v>107443#</v>
      </c>
      <c r="C431" s="2" t="str">
        <f>"TWO-G-87-S"</f>
        <v>TWO-G-87-S</v>
      </c>
      <c r="D431" s="1" t="str">
        <f>"Otolift met Flexirail® model G"</f>
        <v>Otolift met Flexirail® model G</v>
      </c>
      <c r="E431" s="1" t="s">
        <v>7</v>
      </c>
      <c r="F431" s="3">
        <v>40275</v>
      </c>
      <c r="G431" s="3">
        <v>40855</v>
      </c>
      <c r="H431" s="3">
        <v>43690</v>
      </c>
      <c r="I431" s="3">
        <v>43869</v>
      </c>
    </row>
    <row r="432" spans="2:9" x14ac:dyDescent="0.25">
      <c r="B432" s="2" t="str">
        <f>"115832#"</f>
        <v>115832#</v>
      </c>
      <c r="C432" s="2" t="str">
        <f>"ONE-4000"</f>
        <v>ONE-4000</v>
      </c>
      <c r="D432" s="1" t="str">
        <f>"ONE-Excellent met 2 bochten"</f>
        <v>ONE-Excellent met 2 bochten</v>
      </c>
      <c r="E432" s="1" t="s">
        <v>11</v>
      </c>
      <c r="F432" s="3">
        <v>41144</v>
      </c>
      <c r="G432" s="3">
        <v>41144</v>
      </c>
      <c r="H432" s="3">
        <v>43649</v>
      </c>
      <c r="I432" s="3">
        <v>43594</v>
      </c>
    </row>
    <row r="433" spans="2:9" x14ac:dyDescent="0.25">
      <c r="B433" s="2" t="str">
        <f>"107547#"</f>
        <v>107547#</v>
      </c>
      <c r="C433" s="2" t="str">
        <f>"TWO-G-87"</f>
        <v>TWO-G-87</v>
      </c>
      <c r="D433" s="1" t="str">
        <f>"Otolift met Flexirail® model G"</f>
        <v>Otolift met Flexirail® model G</v>
      </c>
      <c r="E433" s="1" t="s">
        <v>7</v>
      </c>
      <c r="F433" s="3">
        <v>40297</v>
      </c>
      <c r="G433" s="3">
        <v>41064</v>
      </c>
      <c r="H433" s="3">
        <v>43448</v>
      </c>
      <c r="I433" s="3">
        <v>43813</v>
      </c>
    </row>
    <row r="434" spans="2:9" x14ac:dyDescent="0.25">
      <c r="B434" s="2" t="str">
        <f>"103429#"</f>
        <v>103429#</v>
      </c>
      <c r="C434" s="2" t="str">
        <f>"TWO-86"</f>
        <v>TWO-86</v>
      </c>
      <c r="D434" s="1" t="str">
        <f>"Hergebruik Otolift TWO"</f>
        <v>Hergebruik Otolift TWO</v>
      </c>
      <c r="E434" s="1"/>
      <c r="F434" s="3">
        <v>39993</v>
      </c>
      <c r="G434" s="3">
        <v>42324</v>
      </c>
      <c r="H434" s="3">
        <v>43507</v>
      </c>
      <c r="I434" s="3">
        <v>43872</v>
      </c>
    </row>
    <row r="435" spans="2:9" x14ac:dyDescent="0.25">
      <c r="B435" s="2" t="str">
        <f>"107638#"</f>
        <v>107638#</v>
      </c>
      <c r="C435" s="2" t="str">
        <f>"TWO-B-87"</f>
        <v>TWO-B-87</v>
      </c>
      <c r="D435" s="1" t="str">
        <f>"Otolift met Flexirail® model B"</f>
        <v>Otolift met Flexirail® model B</v>
      </c>
      <c r="E435" s="1" t="s">
        <v>7</v>
      </c>
      <c r="F435" s="3">
        <v>40294</v>
      </c>
      <c r="G435" s="3">
        <v>40294</v>
      </c>
      <c r="H435" s="3">
        <v>43675</v>
      </c>
      <c r="I435" s="3">
        <v>43470</v>
      </c>
    </row>
    <row r="436" spans="2:9" x14ac:dyDescent="0.25">
      <c r="B436" s="2" t="str">
        <f>"098023#"</f>
        <v>098023#</v>
      </c>
      <c r="C436" s="2" t="str">
        <f>"TWO-86-Z"</f>
        <v>TWO-86-Z</v>
      </c>
      <c r="D436" s="1" t="str">
        <f>"Hergebruik Otolift TWO"</f>
        <v>Hergebruik Otolift TWO</v>
      </c>
      <c r="E436" s="1" t="s">
        <v>11</v>
      </c>
      <c r="F436" s="3">
        <v>39604</v>
      </c>
      <c r="G436" s="3">
        <v>42328</v>
      </c>
      <c r="H436" s="3">
        <v>43496</v>
      </c>
      <c r="I436" s="3">
        <v>43861</v>
      </c>
    </row>
    <row r="437" spans="2:9" x14ac:dyDescent="0.25">
      <c r="B437" s="2" t="str">
        <f>"107731#"</f>
        <v>107731#</v>
      </c>
      <c r="C437" s="2" t="str">
        <f>"TWO-A-87"</f>
        <v>TWO-A-87</v>
      </c>
      <c r="D437" s="1" t="str">
        <f>"Otolift met Flexirail® model A"</f>
        <v>Otolift met Flexirail® model A</v>
      </c>
      <c r="E437" s="1" t="s">
        <v>8</v>
      </c>
      <c r="F437" s="3">
        <v>40281</v>
      </c>
      <c r="G437" s="3">
        <v>40676</v>
      </c>
      <c r="H437" s="3">
        <v>43542</v>
      </c>
      <c r="I437" s="3">
        <v>43908</v>
      </c>
    </row>
    <row r="438" spans="2:9" x14ac:dyDescent="0.25">
      <c r="B438" s="2" t="str">
        <f>"098865#"</f>
        <v>098865#</v>
      </c>
      <c r="C438" s="2" t="str">
        <f>"TWO-86"</f>
        <v>TWO-86</v>
      </c>
      <c r="D438" s="1" t="str">
        <f>"Hergebruik Otolift TWO"</f>
        <v>Hergebruik Otolift TWO</v>
      </c>
      <c r="E438" s="1"/>
      <c r="F438" s="3">
        <v>39693</v>
      </c>
      <c r="G438" s="3">
        <v>42510</v>
      </c>
      <c r="H438" s="3">
        <v>43648</v>
      </c>
      <c r="I438" s="3">
        <v>43636</v>
      </c>
    </row>
    <row r="439" spans="2:9" x14ac:dyDescent="0.25">
      <c r="B439" s="2" t="str">
        <f>"107741#"</f>
        <v>107741#</v>
      </c>
      <c r="C439" s="2" t="str">
        <f>"TWO-G-87"</f>
        <v>TWO-G-87</v>
      </c>
      <c r="D439" s="1" t="str">
        <f>"Otolift met Flexirail® model G"</f>
        <v>Otolift met Flexirail® model G</v>
      </c>
      <c r="E439" s="1" t="s">
        <v>7</v>
      </c>
      <c r="F439" s="3">
        <v>40297</v>
      </c>
      <c r="G439" s="3">
        <v>40297</v>
      </c>
      <c r="H439" s="3">
        <v>43766</v>
      </c>
      <c r="I439" s="3">
        <v>43495</v>
      </c>
    </row>
    <row r="440" spans="2:9" x14ac:dyDescent="0.25">
      <c r="B440" s="2" t="str">
        <f>"106372#"</f>
        <v>106372#</v>
      </c>
      <c r="C440" s="2" t="str">
        <f>"TWO-86"</f>
        <v>TWO-86</v>
      </c>
      <c r="D440" s="1" t="str">
        <f>"Hergebruik Otolift TWO"</f>
        <v>Hergebruik Otolift TWO</v>
      </c>
      <c r="E440" s="1"/>
      <c r="F440" s="3">
        <v>40206</v>
      </c>
      <c r="G440" s="3">
        <v>42621</v>
      </c>
      <c r="H440" s="3">
        <v>43768</v>
      </c>
      <c r="I440" s="3">
        <v>43748</v>
      </c>
    </row>
    <row r="441" spans="2:9" x14ac:dyDescent="0.25">
      <c r="B441" s="2" t="str">
        <f>"099916#"</f>
        <v>099916#</v>
      </c>
      <c r="C441" s="2" t="str">
        <f>"TWO-86"</f>
        <v>TWO-86</v>
      </c>
      <c r="D441" s="1" t="str">
        <f>"Hergebruik Otolift TWO"</f>
        <v>Hergebruik Otolift TWO</v>
      </c>
      <c r="E441" s="1"/>
      <c r="F441" s="3">
        <v>39748</v>
      </c>
      <c r="G441" s="3">
        <v>42668</v>
      </c>
      <c r="H441" s="3">
        <v>43745</v>
      </c>
      <c r="I441" s="3">
        <v>43760</v>
      </c>
    </row>
    <row r="442" spans="2:9" x14ac:dyDescent="0.25">
      <c r="B442" s="2" t="str">
        <f>"097327#"</f>
        <v>097327#</v>
      </c>
      <c r="C442" s="2" t="str">
        <f>"TWO-86"</f>
        <v>TWO-86</v>
      </c>
      <c r="D442" s="1" t="str">
        <f>"Hergebruik Otolift TWO"</f>
        <v>Hergebruik Otolift TWO</v>
      </c>
      <c r="E442" s="1"/>
      <c r="F442" s="3">
        <v>39514</v>
      </c>
      <c r="G442" s="3">
        <v>42703</v>
      </c>
      <c r="H442" s="3">
        <v>43495</v>
      </c>
      <c r="I442" s="3">
        <v>43860</v>
      </c>
    </row>
    <row r="443" spans="2:9" x14ac:dyDescent="0.25">
      <c r="B443" s="2" t="str">
        <f>"107928#"</f>
        <v>107928#</v>
      </c>
      <c r="C443" s="2" t="str">
        <f>"TWO-G-87"</f>
        <v>TWO-G-87</v>
      </c>
      <c r="D443" s="1" t="str">
        <f>"Otolift met Flexirail® model G"</f>
        <v>Otolift met Flexirail® model G</v>
      </c>
      <c r="E443" s="1" t="s">
        <v>7</v>
      </c>
      <c r="F443" s="3">
        <v>40305</v>
      </c>
      <c r="G443" s="3">
        <v>40305</v>
      </c>
      <c r="H443" s="3">
        <v>43433</v>
      </c>
      <c r="I443" s="3">
        <v>43798</v>
      </c>
    </row>
    <row r="444" spans="2:9" x14ac:dyDescent="0.25">
      <c r="B444" s="2" t="str">
        <f>"096809#"</f>
        <v>096809#</v>
      </c>
      <c r="C444" s="2" t="str">
        <f>"TWO-86"</f>
        <v>TWO-86</v>
      </c>
      <c r="D444" s="1" t="str">
        <f>"Hergebruik Otolift TWO"</f>
        <v>Hergebruik Otolift TWO</v>
      </c>
      <c r="E444" s="1"/>
      <c r="F444" s="3">
        <v>39489</v>
      </c>
      <c r="G444" s="3">
        <v>42740</v>
      </c>
      <c r="H444" s="3">
        <v>43295</v>
      </c>
      <c r="I444" s="3">
        <v>43484</v>
      </c>
    </row>
    <row r="445" spans="2:9" x14ac:dyDescent="0.25">
      <c r="B445" s="2" t="str">
        <f>"107932#"</f>
        <v>107932#</v>
      </c>
      <c r="C445" s="2" t="str">
        <f>"TWO-C-87"</f>
        <v>TWO-C-87</v>
      </c>
      <c r="D445" s="1" t="str">
        <f>"Otolift met Flexirail® model B"</f>
        <v>Otolift met Flexirail® model B</v>
      </c>
      <c r="E445" s="1" t="s">
        <v>9</v>
      </c>
      <c r="F445" s="3">
        <v>40315</v>
      </c>
      <c r="G445" s="3">
        <v>40974</v>
      </c>
      <c r="H445" s="3">
        <v>43406</v>
      </c>
      <c r="I445" s="3">
        <v>43771</v>
      </c>
    </row>
    <row r="446" spans="2:9" x14ac:dyDescent="0.25">
      <c r="B446" s="2" t="str">
        <f>"107933#"</f>
        <v>107933#</v>
      </c>
      <c r="C446" s="2" t="str">
        <f>"TWO-B-87"</f>
        <v>TWO-B-87</v>
      </c>
      <c r="D446" s="1" t="str">
        <f>"Otolift met Flexirail® model B"</f>
        <v>Otolift met Flexirail® model B</v>
      </c>
      <c r="E446" s="1" t="s">
        <v>9</v>
      </c>
      <c r="F446" s="3">
        <v>40316</v>
      </c>
      <c r="G446" s="3">
        <v>40967</v>
      </c>
      <c r="H446" s="3">
        <v>43763</v>
      </c>
      <c r="I446" s="3">
        <v>43764</v>
      </c>
    </row>
    <row r="447" spans="2:9" x14ac:dyDescent="0.25">
      <c r="B447" s="2" t="str">
        <f>"107939#"</f>
        <v>107939#</v>
      </c>
      <c r="C447" s="2" t="str">
        <f>"TWO-G-87"</f>
        <v>TWO-G-87</v>
      </c>
      <c r="D447" s="1" t="str">
        <f>"Otolift met Flexirail® model G"</f>
        <v>Otolift met Flexirail® model G</v>
      </c>
      <c r="E447" s="1" t="s">
        <v>7</v>
      </c>
      <c r="F447" s="3">
        <v>40317</v>
      </c>
      <c r="G447" s="3">
        <v>40317</v>
      </c>
      <c r="H447" s="3">
        <v>43651</v>
      </c>
      <c r="I447" s="3">
        <v>43566</v>
      </c>
    </row>
    <row r="448" spans="2:9" x14ac:dyDescent="0.25">
      <c r="B448" s="2" t="str">
        <f>"108019#"</f>
        <v>108019#</v>
      </c>
      <c r="C448" s="2" t="str">
        <f>"TWO-B-87"</f>
        <v>TWO-B-87</v>
      </c>
      <c r="D448" s="1" t="str">
        <f>"Otolift met Flexirail® model B"</f>
        <v>Otolift met Flexirail® model B</v>
      </c>
      <c r="E448" s="1" t="s">
        <v>9</v>
      </c>
      <c r="F448" s="3">
        <v>40413</v>
      </c>
      <c r="G448" s="3">
        <v>40413</v>
      </c>
      <c r="H448" s="3">
        <v>43689</v>
      </c>
      <c r="I448" s="3">
        <v>43470</v>
      </c>
    </row>
    <row r="449" spans="2:9" x14ac:dyDescent="0.25">
      <c r="B449" s="2" t="str">
        <f>"108036#"</f>
        <v>108036#</v>
      </c>
      <c r="C449" s="2" t="str">
        <f>"TWO-G-87"</f>
        <v>TWO-G-87</v>
      </c>
      <c r="D449" s="1" t="str">
        <f>"Otolift met Flexirail® model G"</f>
        <v>Otolift met Flexirail® model G</v>
      </c>
      <c r="E449" s="1" t="s">
        <v>7</v>
      </c>
      <c r="F449" s="3">
        <v>40324</v>
      </c>
      <c r="G449" s="3">
        <v>40324</v>
      </c>
      <c r="H449" s="3">
        <v>43424</v>
      </c>
      <c r="I449" s="3">
        <v>43789</v>
      </c>
    </row>
    <row r="450" spans="2:9" x14ac:dyDescent="0.25">
      <c r="B450" s="2" t="str">
        <f>"108037#"</f>
        <v>108037#</v>
      </c>
      <c r="C450" s="2" t="str">
        <f>"TWO-G-87"</f>
        <v>TWO-G-87</v>
      </c>
      <c r="D450" s="1" t="str">
        <f>"Otolift met Flexirail® model G"</f>
        <v>Otolift met Flexirail® model G</v>
      </c>
      <c r="E450" s="1" t="s">
        <v>7</v>
      </c>
      <c r="F450" s="3">
        <v>40324</v>
      </c>
      <c r="G450" s="3">
        <v>40324</v>
      </c>
      <c r="H450" s="3">
        <v>43773</v>
      </c>
      <c r="I450" s="3">
        <v>43586</v>
      </c>
    </row>
    <row r="451" spans="2:9" x14ac:dyDescent="0.25">
      <c r="B451" s="2" t="str">
        <f>"108067#"</f>
        <v>108067#</v>
      </c>
      <c r="C451" s="2" t="str">
        <f>"TWO-C-87"</f>
        <v>TWO-C-87</v>
      </c>
      <c r="D451" s="1" t="str">
        <f>"Otolift met Flexirail® model C"</f>
        <v>Otolift met Flexirail® model C</v>
      </c>
      <c r="E451" s="1" t="s">
        <v>9</v>
      </c>
      <c r="F451" s="3">
        <v>40346</v>
      </c>
      <c r="G451" s="3">
        <v>40346</v>
      </c>
      <c r="H451" s="3">
        <v>43137</v>
      </c>
      <c r="I451" s="3">
        <v>43502</v>
      </c>
    </row>
    <row r="452" spans="2:9" x14ac:dyDescent="0.25">
      <c r="B452" s="2" t="str">
        <f>"108104#"</f>
        <v>108104#</v>
      </c>
      <c r="C452" s="2" t="str">
        <f>"TWO-B-87"</f>
        <v>TWO-B-87</v>
      </c>
      <c r="D452" s="1" t="str">
        <f>"Otolift met Flexirail® model B"</f>
        <v>Otolift met Flexirail® model B</v>
      </c>
      <c r="E452" s="1" t="s">
        <v>9</v>
      </c>
      <c r="F452" s="3">
        <v>40346</v>
      </c>
      <c r="G452" s="3">
        <v>40346</v>
      </c>
      <c r="H452" s="3">
        <v>43137</v>
      </c>
      <c r="I452" s="3">
        <v>43070</v>
      </c>
    </row>
    <row r="453" spans="2:9" x14ac:dyDescent="0.25">
      <c r="B453" s="2" t="str">
        <f>"108165#"</f>
        <v>108165#</v>
      </c>
      <c r="C453" s="2" t="str">
        <f>"TWO-B-87"</f>
        <v>TWO-B-87</v>
      </c>
      <c r="D453" s="1" t="str">
        <f>"Otolift met Flexirail® model B"</f>
        <v>Otolift met Flexirail® model B</v>
      </c>
      <c r="E453" s="1" t="s">
        <v>9</v>
      </c>
      <c r="F453" s="3">
        <v>40379</v>
      </c>
      <c r="G453" s="3">
        <v>40379</v>
      </c>
      <c r="H453" s="3">
        <v>43536</v>
      </c>
      <c r="I453" s="3">
        <v>43902</v>
      </c>
    </row>
    <row r="454" spans="2:9" x14ac:dyDescent="0.25">
      <c r="B454" s="2" t="str">
        <f>"096477#"</f>
        <v>096477#</v>
      </c>
      <c r="C454" s="2" t="str">
        <f>"TWO-86"</f>
        <v>TWO-86</v>
      </c>
      <c r="D454" s="1" t="str">
        <f>"Hergebruik Otolift TWO"</f>
        <v>Hergebruik Otolift TWO</v>
      </c>
      <c r="E454" s="1"/>
      <c r="F454" s="3">
        <v>39450</v>
      </c>
      <c r="G454" s="3">
        <v>42776</v>
      </c>
      <c r="H454" s="3">
        <v>43180</v>
      </c>
      <c r="I454" s="3">
        <v>43545</v>
      </c>
    </row>
    <row r="455" spans="2:9" x14ac:dyDescent="0.25">
      <c r="B455" s="2" t="str">
        <f>"108211#"</f>
        <v>108211#</v>
      </c>
      <c r="C455" s="2" t="str">
        <f>"TWO-B-87"</f>
        <v>TWO-B-87</v>
      </c>
      <c r="D455" s="1" t="str">
        <f>"Otolift met Flexirail® model G"</f>
        <v>Otolift met Flexirail® model G</v>
      </c>
      <c r="E455" s="1" t="s">
        <v>7</v>
      </c>
      <c r="F455" s="3">
        <v>40331</v>
      </c>
      <c r="G455" s="3">
        <v>41032</v>
      </c>
      <c r="H455" s="3">
        <v>43522</v>
      </c>
      <c r="I455" s="3">
        <v>43887</v>
      </c>
    </row>
    <row r="456" spans="2:9" x14ac:dyDescent="0.25">
      <c r="B456" s="2" t="str">
        <f>"108227#"</f>
        <v>108227#</v>
      </c>
      <c r="C456" s="2" t="str">
        <f>"TWO-G-150"</f>
        <v>TWO-G-150</v>
      </c>
      <c r="D456" s="1" t="str">
        <f>"Otolift met Flexirail® model G"</f>
        <v>Otolift met Flexirail® model G</v>
      </c>
      <c r="E456" s="1" t="s">
        <v>7</v>
      </c>
      <c r="F456" s="3">
        <v>40344</v>
      </c>
      <c r="G456" s="3">
        <v>40344</v>
      </c>
      <c r="H456" s="3">
        <v>43690</v>
      </c>
      <c r="I456" s="3">
        <v>43706</v>
      </c>
    </row>
    <row r="457" spans="2:9" x14ac:dyDescent="0.25">
      <c r="B457" s="2" t="str">
        <f>"108253#"</f>
        <v>108253#</v>
      </c>
      <c r="C457" s="2" t="str">
        <f>"TWO-B-87"</f>
        <v>TWO-B-87</v>
      </c>
      <c r="D457" s="1" t="str">
        <f>"Otolift met Flexirail® model B"</f>
        <v>Otolift met Flexirail® model B</v>
      </c>
      <c r="E457" s="1" t="s">
        <v>9</v>
      </c>
      <c r="F457" s="3">
        <v>40351</v>
      </c>
      <c r="G457" s="3">
        <v>40351</v>
      </c>
      <c r="H457" s="3">
        <v>43564</v>
      </c>
      <c r="I457" s="3">
        <v>43930</v>
      </c>
    </row>
    <row r="458" spans="2:9" x14ac:dyDescent="0.25">
      <c r="B458" s="2" t="str">
        <f>"106670#"</f>
        <v>106670#</v>
      </c>
      <c r="C458" s="2" t="str">
        <f>"TWO-86"</f>
        <v>TWO-86</v>
      </c>
      <c r="D458" s="1" t="str">
        <f>"Hergebruik Otolift TWO"</f>
        <v>Hergebruik Otolift TWO</v>
      </c>
      <c r="E458" s="1"/>
      <c r="F458" s="3">
        <v>40239</v>
      </c>
      <c r="G458" s="3">
        <v>42887</v>
      </c>
      <c r="H458" s="3">
        <v>43726</v>
      </c>
      <c r="I458" s="3">
        <v>43729</v>
      </c>
    </row>
    <row r="459" spans="2:9" x14ac:dyDescent="0.25">
      <c r="B459" s="2" t="str">
        <f>"097476#"</f>
        <v>097476#</v>
      </c>
      <c r="C459" s="2" t="str">
        <f>"PAR-110"</f>
        <v>PAR-110</v>
      </c>
      <c r="D459" s="1" t="str">
        <f>"Hergebruik Otolift PARALLEL"</f>
        <v>Hergebruik Otolift PARALLEL</v>
      </c>
      <c r="E459" s="1" t="s">
        <v>8</v>
      </c>
      <c r="F459" s="3">
        <v>39539</v>
      </c>
      <c r="G459" s="3">
        <v>42095</v>
      </c>
      <c r="H459" s="3">
        <v>43430</v>
      </c>
      <c r="I459" s="3">
        <v>43795</v>
      </c>
    </row>
    <row r="460" spans="2:9" x14ac:dyDescent="0.25">
      <c r="B460" s="2" t="str">
        <f>"108409#"</f>
        <v>108409#</v>
      </c>
      <c r="C460" s="2" t="str">
        <f>"TWO-G-87"</f>
        <v>TWO-G-87</v>
      </c>
      <c r="D460" s="1" t="str">
        <f>"Otolift met Flexirail® model G"</f>
        <v>Otolift met Flexirail® model G</v>
      </c>
      <c r="E460" s="1" t="s">
        <v>7</v>
      </c>
      <c r="F460" s="3">
        <v>40357</v>
      </c>
      <c r="G460" s="3">
        <v>40357</v>
      </c>
      <c r="H460" s="3">
        <v>43720</v>
      </c>
      <c r="I460" s="3">
        <v>43476</v>
      </c>
    </row>
    <row r="461" spans="2:9" x14ac:dyDescent="0.25">
      <c r="B461" s="2" t="str">
        <f>"108412#"</f>
        <v>108412#</v>
      </c>
      <c r="C461" s="2" t="str">
        <f>"TWO-G-87"</f>
        <v>TWO-G-87</v>
      </c>
      <c r="D461" s="1" t="str">
        <f>"Otolift met Flexirail® model G"</f>
        <v>Otolift met Flexirail® model G</v>
      </c>
      <c r="E461" s="1" t="s">
        <v>7</v>
      </c>
      <c r="F461" s="3">
        <v>40354</v>
      </c>
      <c r="G461" s="3">
        <v>40354</v>
      </c>
      <c r="H461" s="3">
        <v>43663</v>
      </c>
      <c r="I461" s="3">
        <v>43467</v>
      </c>
    </row>
    <row r="462" spans="2:9" x14ac:dyDescent="0.25">
      <c r="B462" s="2" t="str">
        <f>"097670#"</f>
        <v>097670#</v>
      </c>
      <c r="C462" s="2" t="str">
        <f>"PAR-110"</f>
        <v>PAR-110</v>
      </c>
      <c r="D462" s="1" t="str">
        <f>"Hergebruik Otolift PARALLEL"</f>
        <v>Hergebruik Otolift PARALLEL</v>
      </c>
      <c r="E462" s="1" t="s">
        <v>8</v>
      </c>
      <c r="F462" s="3">
        <v>39561</v>
      </c>
      <c r="G462" s="3">
        <v>42744</v>
      </c>
      <c r="H462" s="3">
        <v>43679</v>
      </c>
      <c r="I462" s="3">
        <v>43573</v>
      </c>
    </row>
    <row r="463" spans="2:9" x14ac:dyDescent="0.25">
      <c r="B463" s="2" t="str">
        <f>"108418#"</f>
        <v>108418#</v>
      </c>
      <c r="C463" s="2" t="str">
        <f>"TWO-G-87"</f>
        <v>TWO-G-87</v>
      </c>
      <c r="D463" s="1" t="str">
        <f>"Otolift met Flexirail® model G"</f>
        <v>Otolift met Flexirail® model G</v>
      </c>
      <c r="E463" s="1" t="s">
        <v>7</v>
      </c>
      <c r="F463" s="3">
        <v>40379</v>
      </c>
      <c r="G463" s="3">
        <v>40379</v>
      </c>
      <c r="H463" s="3">
        <v>43689</v>
      </c>
      <c r="I463" s="3">
        <v>43470</v>
      </c>
    </row>
    <row r="464" spans="2:9" x14ac:dyDescent="0.25">
      <c r="B464" s="2" t="str">
        <f>"103545#"</f>
        <v>103545#</v>
      </c>
      <c r="C464" s="2" t="str">
        <f>"PAR-110"</f>
        <v>PAR-110</v>
      </c>
      <c r="D464" s="1" t="str">
        <f>"Hergebruik Otolift PARALLEL"</f>
        <v>Hergebruik Otolift PARALLEL</v>
      </c>
      <c r="E464" s="1" t="s">
        <v>8</v>
      </c>
      <c r="F464" s="3">
        <v>39981</v>
      </c>
      <c r="G464" s="3">
        <v>41795</v>
      </c>
      <c r="H464" s="3">
        <v>43406</v>
      </c>
      <c r="I464" s="3">
        <v>43771</v>
      </c>
    </row>
    <row r="465" spans="2:9" x14ac:dyDescent="0.25">
      <c r="B465" s="2" t="str">
        <f>"104680#"</f>
        <v>104680#</v>
      </c>
      <c r="C465" s="2" t="str">
        <f>"PAR-110"</f>
        <v>PAR-110</v>
      </c>
      <c r="D465" s="1" t="str">
        <f>"Otolift Jade® standaard"</f>
        <v>Otolift Jade® standaard</v>
      </c>
      <c r="E465" s="1" t="s">
        <v>8</v>
      </c>
      <c r="F465" s="3">
        <v>40078</v>
      </c>
      <c r="G465" s="3">
        <v>40981</v>
      </c>
      <c r="H465" s="3">
        <v>43557</v>
      </c>
      <c r="I465" s="3">
        <v>43413</v>
      </c>
    </row>
    <row r="466" spans="2:9" x14ac:dyDescent="0.25">
      <c r="B466" s="2" t="str">
        <f>"108447#"</f>
        <v>108447#</v>
      </c>
      <c r="C466" s="2" t="str">
        <f>"TWO-G-87"</f>
        <v>TWO-G-87</v>
      </c>
      <c r="D466" s="1" t="str">
        <f>"Otolift met Flexirail® model B"</f>
        <v>Otolift met Flexirail® model B</v>
      </c>
      <c r="E466" s="1" t="s">
        <v>9</v>
      </c>
      <c r="F466" s="3">
        <v>40353</v>
      </c>
      <c r="G466" s="3">
        <v>41040</v>
      </c>
      <c r="H466" s="3">
        <v>43563</v>
      </c>
      <c r="I466" s="3">
        <v>43929</v>
      </c>
    </row>
    <row r="467" spans="2:9" x14ac:dyDescent="0.25">
      <c r="B467" s="2" t="str">
        <f>"108448#"</f>
        <v>108448#</v>
      </c>
      <c r="C467" s="2" t="str">
        <f>"TWO-G-87"</f>
        <v>TWO-G-87</v>
      </c>
      <c r="D467" s="1" t="str">
        <f>"Otolift met Flexirail® model G"</f>
        <v>Otolift met Flexirail® model G</v>
      </c>
      <c r="E467" s="1" t="s">
        <v>7</v>
      </c>
      <c r="F467" s="3">
        <v>40353</v>
      </c>
      <c r="G467" s="3">
        <v>40353</v>
      </c>
      <c r="H467" s="3">
        <v>43572</v>
      </c>
      <c r="I467" s="3">
        <v>43938</v>
      </c>
    </row>
    <row r="468" spans="2:9" x14ac:dyDescent="0.25">
      <c r="B468" s="2" t="str">
        <f>"108449#"</f>
        <v>108449#</v>
      </c>
      <c r="C468" s="2" t="str">
        <f>"TWO-G-87-S"</f>
        <v>TWO-G-87-S</v>
      </c>
      <c r="D468" s="1" t="str">
        <f>"Otolift met Flexirail® model G"</f>
        <v>Otolift met Flexirail® model G</v>
      </c>
      <c r="E468" s="1" t="s">
        <v>7</v>
      </c>
      <c r="F468" s="3">
        <v>40354</v>
      </c>
      <c r="G468" s="3">
        <v>40354</v>
      </c>
      <c r="H468" s="3">
        <v>43784</v>
      </c>
      <c r="I468" s="3">
        <v>43470</v>
      </c>
    </row>
    <row r="469" spans="2:9" x14ac:dyDescent="0.25">
      <c r="B469" s="2" t="str">
        <f>"105034#"</f>
        <v>105034#</v>
      </c>
      <c r="C469" s="2" t="str">
        <f>"PAR-110"</f>
        <v>PAR-110</v>
      </c>
      <c r="D469" s="1" t="str">
        <f>"Hergebruik Otolift PARALLEL"</f>
        <v>Hergebruik Otolift PARALLEL</v>
      </c>
      <c r="E469" s="1" t="s">
        <v>8</v>
      </c>
      <c r="F469" s="3">
        <v>40112</v>
      </c>
      <c r="G469" s="3">
        <v>43159</v>
      </c>
      <c r="H469" s="3">
        <v>43549</v>
      </c>
      <c r="I469" s="3">
        <v>43915</v>
      </c>
    </row>
    <row r="470" spans="2:9" x14ac:dyDescent="0.25">
      <c r="B470" s="2" t="str">
        <f>"105666#"</f>
        <v>105666#</v>
      </c>
      <c r="C470" s="2" t="str">
        <f>"PAR-110"</f>
        <v>PAR-110</v>
      </c>
      <c r="D470" s="1" t="str">
        <f>"Hergebruik Otolift PARALLEL"</f>
        <v>Hergebruik Otolift PARALLEL</v>
      </c>
      <c r="E470" s="1" t="s">
        <v>8</v>
      </c>
      <c r="F470" s="3">
        <v>40143</v>
      </c>
      <c r="G470" s="3">
        <v>42864</v>
      </c>
      <c r="H470" s="3">
        <v>43668</v>
      </c>
      <c r="I470" s="3">
        <v>43610</v>
      </c>
    </row>
    <row r="471" spans="2:9" x14ac:dyDescent="0.25">
      <c r="B471" s="2" t="str">
        <f>"108608#"</f>
        <v>108608#</v>
      </c>
      <c r="C471" s="2" t="str">
        <f>"TWO-B-87"</f>
        <v>TWO-B-87</v>
      </c>
      <c r="D471" s="1" t="str">
        <f>"Otolift met Flexirail® model B"</f>
        <v>Otolift met Flexirail® model B</v>
      </c>
      <c r="E471" s="1" t="s">
        <v>9</v>
      </c>
      <c r="F471" s="3">
        <v>40375</v>
      </c>
      <c r="G471" s="3">
        <v>40718</v>
      </c>
      <c r="H471" s="3">
        <v>43551</v>
      </c>
      <c r="I471" s="3">
        <v>43917</v>
      </c>
    </row>
    <row r="472" spans="2:9" x14ac:dyDescent="0.25">
      <c r="B472" s="2" t="str">
        <f>"108656#"</f>
        <v>108656#</v>
      </c>
      <c r="C472" s="2" t="str">
        <f>"TWO-B-87"</f>
        <v>TWO-B-87</v>
      </c>
      <c r="D472" s="1" t="str">
        <f>"Otolift met Flexirail® model B"</f>
        <v>Otolift met Flexirail® model B</v>
      </c>
      <c r="E472" s="1" t="s">
        <v>9</v>
      </c>
      <c r="F472" s="3">
        <v>40413</v>
      </c>
      <c r="G472" s="3">
        <v>40413</v>
      </c>
      <c r="H472" s="3">
        <v>43571</v>
      </c>
      <c r="I472" s="3">
        <v>43937</v>
      </c>
    </row>
    <row r="473" spans="2:9" x14ac:dyDescent="0.25">
      <c r="B473" s="2" t="str">
        <f>"106226#"</f>
        <v>106226#</v>
      </c>
      <c r="C473" s="2" t="str">
        <f t="shared" ref="C473:C478" si="1">"PAR-110"</f>
        <v>PAR-110</v>
      </c>
      <c r="D473" s="1" t="str">
        <f>"Jade® met opklapbaar raildeel"</f>
        <v>Jade® met opklapbaar raildeel</v>
      </c>
      <c r="E473" s="1" t="s">
        <v>8</v>
      </c>
      <c r="F473" s="3">
        <v>40193</v>
      </c>
      <c r="G473" s="3">
        <v>40981</v>
      </c>
      <c r="H473" s="3">
        <v>43515</v>
      </c>
      <c r="I473" s="3">
        <v>43413</v>
      </c>
    </row>
    <row r="474" spans="2:9" x14ac:dyDescent="0.25">
      <c r="B474" s="2" t="str">
        <f>"107755#"</f>
        <v>107755#</v>
      </c>
      <c r="C474" s="2" t="str">
        <f t="shared" si="1"/>
        <v>PAR-110</v>
      </c>
      <c r="D474" s="1" t="str">
        <f>"Otolift Jade® standaard"</f>
        <v>Otolift Jade® standaard</v>
      </c>
      <c r="E474" s="1" t="s">
        <v>8</v>
      </c>
      <c r="F474" s="3">
        <v>40297</v>
      </c>
      <c r="G474" s="3">
        <v>41297</v>
      </c>
      <c r="H474" s="3">
        <v>43657</v>
      </c>
      <c r="I474" s="3">
        <v>43585</v>
      </c>
    </row>
    <row r="475" spans="2:9" x14ac:dyDescent="0.25">
      <c r="B475" s="2" t="str">
        <f>"108438#"</f>
        <v>108438#</v>
      </c>
      <c r="C475" s="2" t="str">
        <f t="shared" si="1"/>
        <v>PAR-110</v>
      </c>
      <c r="D475" s="1" t="str">
        <f>"Otolift Jade® standaard"</f>
        <v>Otolift Jade® standaard</v>
      </c>
      <c r="E475" s="1" t="s">
        <v>8</v>
      </c>
      <c r="F475" s="3">
        <v>40358</v>
      </c>
      <c r="G475" s="3">
        <v>41066</v>
      </c>
      <c r="H475" s="3">
        <v>43543</v>
      </c>
      <c r="I475" s="3">
        <v>43812</v>
      </c>
    </row>
    <row r="476" spans="2:9" x14ac:dyDescent="0.25">
      <c r="B476" s="2" t="str">
        <f>"113179#"</f>
        <v>113179#</v>
      </c>
      <c r="C476" s="2" t="str">
        <f t="shared" si="1"/>
        <v>PAR-110</v>
      </c>
      <c r="D476" s="1" t="str">
        <f>"Otolift Jade® standaard"</f>
        <v>Otolift Jade® standaard</v>
      </c>
      <c r="E476" s="1" t="s">
        <v>8</v>
      </c>
      <c r="F476" s="3">
        <v>40794</v>
      </c>
      <c r="G476" s="3">
        <v>40914</v>
      </c>
      <c r="H476" s="3">
        <v>43768</v>
      </c>
      <c r="I476" s="3">
        <v>43755</v>
      </c>
    </row>
    <row r="477" spans="2:9" x14ac:dyDescent="0.25">
      <c r="B477" s="2" t="str">
        <f>"113767#"</f>
        <v>113767#</v>
      </c>
      <c r="C477" s="2" t="str">
        <f t="shared" si="1"/>
        <v>PAR-110</v>
      </c>
      <c r="D477" s="1" t="str">
        <f>"Otolift PARALLEL"</f>
        <v>Otolift PARALLEL</v>
      </c>
      <c r="E477" s="1" t="s">
        <v>8</v>
      </c>
      <c r="F477" s="3">
        <v>40861</v>
      </c>
      <c r="G477" s="3">
        <v>40981</v>
      </c>
      <c r="H477" s="3">
        <v>43497</v>
      </c>
      <c r="I477" s="3">
        <v>43862</v>
      </c>
    </row>
    <row r="478" spans="2:9" x14ac:dyDescent="0.25">
      <c r="B478" s="2" t="str">
        <f>"113952#"</f>
        <v>113952#</v>
      </c>
      <c r="C478" s="2" t="str">
        <f t="shared" si="1"/>
        <v>PAR-110</v>
      </c>
      <c r="D478" s="1" t="str">
        <f>"Hergebruik Otolift PARALLEL"</f>
        <v>Hergebruik Otolift PARALLEL</v>
      </c>
      <c r="E478" s="1" t="s">
        <v>8</v>
      </c>
      <c r="F478" s="3">
        <v>40876</v>
      </c>
      <c r="G478" s="3">
        <v>42921</v>
      </c>
      <c r="H478" s="3">
        <v>43663</v>
      </c>
      <c r="I478" s="3">
        <v>43662</v>
      </c>
    </row>
    <row r="479" spans="2:9" x14ac:dyDescent="0.25">
      <c r="B479" s="2" t="str">
        <f>"111114#"</f>
        <v>111114#</v>
      </c>
      <c r="C479" s="2" t="str">
        <f>"MOD-G-6050-1"</f>
        <v>MOD-G-6050-1</v>
      </c>
      <c r="D479" s="1" t="str">
        <f>"Hergebruik Otolift Modul-AIR buitenbocht"</f>
        <v>Hergebruik Otolift Modul-AIR buitenbocht</v>
      </c>
      <c r="E479" s="1" t="s">
        <v>7</v>
      </c>
      <c r="F479" s="3">
        <v>40620</v>
      </c>
      <c r="G479" s="3">
        <v>43532</v>
      </c>
      <c r="H479" s="3">
        <v>43532</v>
      </c>
      <c r="I479" s="3" t="str">
        <f>""</f>
        <v/>
      </c>
    </row>
    <row r="480" spans="2:9" x14ac:dyDescent="0.25">
      <c r="B480" s="2" t="str">
        <f>"120579#"</f>
        <v>120579#</v>
      </c>
      <c r="C480" s="2" t="str">
        <f>"PAR-110"</f>
        <v>PAR-110</v>
      </c>
      <c r="D480" s="1" t="str">
        <f>"Hergebruik Otolift PARALLEL"</f>
        <v>Hergebruik Otolift PARALLEL</v>
      </c>
      <c r="E480" s="1" t="s">
        <v>8</v>
      </c>
      <c r="F480" s="3">
        <v>41687</v>
      </c>
      <c r="G480" s="3">
        <v>42863</v>
      </c>
      <c r="H480" s="3">
        <v>43668</v>
      </c>
      <c r="I480" s="3">
        <v>43610</v>
      </c>
    </row>
    <row r="481" spans="2:9" x14ac:dyDescent="0.25">
      <c r="B481" s="2" t="str">
        <f>"123891#"</f>
        <v>123891#</v>
      </c>
      <c r="C481" s="2" t="str">
        <f>"PAR-110"</f>
        <v>PAR-110</v>
      </c>
      <c r="D481" s="1" t="str">
        <f>"Otolift PARALLEL"</f>
        <v>Otolift PARALLEL</v>
      </c>
      <c r="E481" s="1" t="s">
        <v>8</v>
      </c>
      <c r="F481" s="3">
        <v>42108</v>
      </c>
      <c r="G481" s="3">
        <v>42108</v>
      </c>
      <c r="H481" s="3">
        <v>43612</v>
      </c>
      <c r="I481" s="3">
        <v>43967</v>
      </c>
    </row>
    <row r="482" spans="2:9" x14ac:dyDescent="0.25">
      <c r="B482" s="2" t="str">
        <f>"106437#"</f>
        <v>106437#</v>
      </c>
      <c r="C482" s="2" t="str">
        <f>"TWO-B-87"</f>
        <v>TWO-B-87</v>
      </c>
      <c r="D482" s="1" t="str">
        <f>"Hergebruik Otolift TWO"</f>
        <v>Hergebruik Otolift TWO</v>
      </c>
      <c r="E482" s="1" t="s">
        <v>9</v>
      </c>
      <c r="F482" s="3">
        <v>40196</v>
      </c>
      <c r="G482" s="3">
        <v>43532</v>
      </c>
      <c r="H482" s="3">
        <v>43532</v>
      </c>
      <c r="I482" s="3" t="str">
        <f>""</f>
        <v/>
      </c>
    </row>
    <row r="483" spans="2:9" x14ac:dyDescent="0.25">
      <c r="B483" s="2" t="str">
        <f>"125483#"</f>
        <v>125483#</v>
      </c>
      <c r="C483" s="2" t="str">
        <f>"PAR-110"</f>
        <v>PAR-110</v>
      </c>
      <c r="D483" s="1" t="str">
        <f>"Otolift PARALLEL"</f>
        <v>Otolift PARALLEL</v>
      </c>
      <c r="E483" s="1" t="s">
        <v>8</v>
      </c>
      <c r="F483" s="3">
        <v>42312</v>
      </c>
      <c r="G483" s="3">
        <v>42312</v>
      </c>
      <c r="H483" s="3">
        <v>43572</v>
      </c>
      <c r="I483" s="3">
        <v>43938</v>
      </c>
    </row>
    <row r="484" spans="2:9" x14ac:dyDescent="0.25">
      <c r="B484" s="2" t="str">
        <f>"140135#"</f>
        <v>140135#</v>
      </c>
      <c r="C484" s="2" t="str">
        <f>"MOD-G-6040-1"</f>
        <v>MOD-G-6040-1</v>
      </c>
      <c r="D484" s="1" t="str">
        <f>"Otolift Modul-AIR buitenbocht"</f>
        <v>Otolift Modul-AIR buitenbocht</v>
      </c>
      <c r="E484" s="1" t="s">
        <v>7</v>
      </c>
      <c r="F484" s="3">
        <v>43535</v>
      </c>
      <c r="G484" s="3">
        <v>43535</v>
      </c>
      <c r="H484" s="3" t="str">
        <f>""</f>
        <v/>
      </c>
      <c r="I484" s="3" t="str">
        <f>""</f>
        <v/>
      </c>
    </row>
    <row r="485" spans="2:9" x14ac:dyDescent="0.25">
      <c r="B485" s="2" t="str">
        <f>"127441#"</f>
        <v>127441#</v>
      </c>
      <c r="C485" s="2" t="str">
        <f>"PAR-110"</f>
        <v>PAR-110</v>
      </c>
      <c r="D485" s="1" t="str">
        <f>"Otolift PARALLEL"</f>
        <v>Otolift PARALLEL</v>
      </c>
      <c r="E485" s="1" t="s">
        <v>8</v>
      </c>
      <c r="F485" s="3">
        <v>42573</v>
      </c>
      <c r="G485" s="3">
        <v>42573</v>
      </c>
      <c r="H485" s="3">
        <v>43726</v>
      </c>
      <c r="I485" s="3">
        <v>43732</v>
      </c>
    </row>
    <row r="486" spans="2:9" x14ac:dyDescent="0.25">
      <c r="B486" s="2" t="str">
        <f>"127946#"</f>
        <v>127946#</v>
      </c>
      <c r="C486" s="2" t="str">
        <f>"PAR-110"</f>
        <v>PAR-110</v>
      </c>
      <c r="D486" s="1" t="str">
        <f>"Otolift PARALLEL"</f>
        <v>Otolift PARALLEL</v>
      </c>
      <c r="E486" s="1" t="s">
        <v>8</v>
      </c>
      <c r="F486" s="3">
        <v>42517</v>
      </c>
      <c r="G486" s="3">
        <v>42517</v>
      </c>
      <c r="H486" s="3">
        <v>43728</v>
      </c>
      <c r="I486" s="3">
        <v>43816</v>
      </c>
    </row>
    <row r="487" spans="2:9" x14ac:dyDescent="0.25">
      <c r="B487" s="2" t="str">
        <f>"102021#"</f>
        <v>102021#</v>
      </c>
      <c r="C487" s="2" t="str">
        <f>"PAR-110K"</f>
        <v>PAR-110K</v>
      </c>
      <c r="D487" s="1" t="str">
        <f>"Hergebruik Otolift PARALLEL"</f>
        <v>Hergebruik Otolift PARALLEL</v>
      </c>
      <c r="E487" s="1" t="s">
        <v>8</v>
      </c>
      <c r="F487" s="3">
        <v>39898</v>
      </c>
      <c r="G487" s="3">
        <v>42541</v>
      </c>
      <c r="H487" s="3">
        <v>43809</v>
      </c>
      <c r="I487" s="3">
        <v>43819</v>
      </c>
    </row>
    <row r="488" spans="2:9" x14ac:dyDescent="0.25">
      <c r="B488" s="2" t="str">
        <f>"140299#"</f>
        <v>140299#</v>
      </c>
      <c r="C488" s="2" t="str">
        <f>"MOD-B-6050-1"</f>
        <v>MOD-B-6050-1</v>
      </c>
      <c r="D488" s="1" t="str">
        <f>"Otolift Modul-AIR buitenbocht"</f>
        <v>Otolift Modul-AIR buitenbocht</v>
      </c>
      <c r="E488" s="1" t="s">
        <v>9</v>
      </c>
      <c r="F488" s="3">
        <v>43536</v>
      </c>
      <c r="G488" s="3">
        <v>43536</v>
      </c>
      <c r="H488" s="3">
        <v>43536</v>
      </c>
      <c r="I488" s="3" t="str">
        <f>""</f>
        <v/>
      </c>
    </row>
    <row r="489" spans="2:9" x14ac:dyDescent="0.25">
      <c r="B489" s="2" t="str">
        <f>"131882#"</f>
        <v>131882#</v>
      </c>
      <c r="C489" s="2" t="str">
        <f>"PAR-110K"</f>
        <v>PAR-110K</v>
      </c>
      <c r="D489" s="1" t="str">
        <f>"Otolift PARALLEL"</f>
        <v>Otolift PARALLEL</v>
      </c>
      <c r="E489" s="1" t="s">
        <v>8</v>
      </c>
      <c r="F489" s="3">
        <v>42815</v>
      </c>
      <c r="G489" s="3">
        <v>42815</v>
      </c>
      <c r="H489" s="3">
        <v>43647</v>
      </c>
      <c r="I489" s="3">
        <v>43571</v>
      </c>
    </row>
    <row r="490" spans="2:9" x14ac:dyDescent="0.25">
      <c r="B490" s="2" t="str">
        <f>"115335#"</f>
        <v>115335#</v>
      </c>
      <c r="C490" s="2" t="str">
        <f>"MOD-V-6040-1"</f>
        <v>MOD-V-6040-1</v>
      </c>
      <c r="D490" s="1" t="str">
        <f>"Hergebruik Otolift Modul-AIR binnenbocht"</f>
        <v>Hergebruik Otolift Modul-AIR binnenbocht</v>
      </c>
      <c r="E490" s="1" t="s">
        <v>11</v>
      </c>
      <c r="F490" s="3">
        <v>41052</v>
      </c>
      <c r="G490" s="3">
        <v>43536</v>
      </c>
      <c r="H490" s="3" t="str">
        <f>""</f>
        <v/>
      </c>
      <c r="I490" s="3" t="str">
        <f>""</f>
        <v/>
      </c>
    </row>
    <row r="491" spans="2:9" x14ac:dyDescent="0.25">
      <c r="B491" s="2" t="str">
        <f>"102354#"</f>
        <v>102354#</v>
      </c>
      <c r="C491" s="2" t="str">
        <f t="shared" ref="C491:C496" si="2">"TWO-86"</f>
        <v>TWO-86</v>
      </c>
      <c r="D491" s="1" t="str">
        <f t="shared" ref="D491:D496" si="3">"Hergebruik Otolift TWO"</f>
        <v>Hergebruik Otolift TWO</v>
      </c>
      <c r="E491" s="1"/>
      <c r="F491" s="3">
        <v>39913</v>
      </c>
      <c r="G491" s="3">
        <v>42936</v>
      </c>
      <c r="H491" s="3">
        <v>43630</v>
      </c>
      <c r="I491" s="3">
        <v>43693</v>
      </c>
    </row>
    <row r="492" spans="2:9" x14ac:dyDescent="0.25">
      <c r="B492" s="2" t="str">
        <f>"103870#"</f>
        <v>103870#</v>
      </c>
      <c r="C492" s="2" t="str">
        <f t="shared" si="2"/>
        <v>TWO-86</v>
      </c>
      <c r="D492" s="1" t="str">
        <f t="shared" si="3"/>
        <v>Hergebruik Otolift TWO</v>
      </c>
      <c r="E492" s="1"/>
      <c r="F492" s="3">
        <v>39994</v>
      </c>
      <c r="G492" s="3">
        <v>42964</v>
      </c>
      <c r="H492" s="3">
        <v>43482</v>
      </c>
      <c r="I492" s="3">
        <v>43847</v>
      </c>
    </row>
    <row r="493" spans="2:9" x14ac:dyDescent="0.25">
      <c r="B493" s="2" t="str">
        <f>"096775#"</f>
        <v>096775#</v>
      </c>
      <c r="C493" s="2" t="str">
        <f t="shared" si="2"/>
        <v>TWO-86</v>
      </c>
      <c r="D493" s="1" t="str">
        <f t="shared" si="3"/>
        <v>Hergebruik Otolift TWO</v>
      </c>
      <c r="E493" s="1"/>
      <c r="F493" s="3">
        <v>39482</v>
      </c>
      <c r="G493" s="3">
        <v>43000</v>
      </c>
      <c r="H493" s="3">
        <v>43776</v>
      </c>
      <c r="I493" s="3">
        <v>43742</v>
      </c>
    </row>
    <row r="494" spans="2:9" x14ac:dyDescent="0.25">
      <c r="B494" s="2" t="str">
        <f>"114272#"</f>
        <v>114272#</v>
      </c>
      <c r="C494" s="2" t="str">
        <f t="shared" si="2"/>
        <v>TWO-86</v>
      </c>
      <c r="D494" s="1" t="str">
        <f t="shared" si="3"/>
        <v>Hergebruik Otolift TWO</v>
      </c>
      <c r="E494" s="1"/>
      <c r="F494" s="3">
        <v>40921</v>
      </c>
      <c r="G494" s="3">
        <v>42991</v>
      </c>
      <c r="H494" s="3">
        <v>43412</v>
      </c>
      <c r="I494" s="3">
        <v>43777</v>
      </c>
    </row>
    <row r="495" spans="2:9" x14ac:dyDescent="0.25">
      <c r="B495" s="2" t="str">
        <f>"102877#"</f>
        <v>102877#</v>
      </c>
      <c r="C495" s="2" t="str">
        <f t="shared" si="2"/>
        <v>TWO-86</v>
      </c>
      <c r="D495" s="1" t="str">
        <f t="shared" si="3"/>
        <v>Hergebruik Otolift TWO</v>
      </c>
      <c r="E495" s="1"/>
      <c r="F495" s="3">
        <v>39937</v>
      </c>
      <c r="G495" s="3">
        <v>43004</v>
      </c>
      <c r="H495" s="3">
        <v>43469</v>
      </c>
      <c r="I495" s="3">
        <v>43834</v>
      </c>
    </row>
    <row r="496" spans="2:9" x14ac:dyDescent="0.25">
      <c r="B496" s="2" t="str">
        <f>"099689#"</f>
        <v>099689#</v>
      </c>
      <c r="C496" s="2" t="str">
        <f t="shared" si="2"/>
        <v>TWO-86</v>
      </c>
      <c r="D496" s="1" t="str">
        <f t="shared" si="3"/>
        <v>Hergebruik Otolift TWO</v>
      </c>
      <c r="E496" s="1"/>
      <c r="F496" s="3">
        <v>39735</v>
      </c>
      <c r="G496" s="3">
        <v>43006</v>
      </c>
      <c r="H496" s="3">
        <v>43438</v>
      </c>
      <c r="I496" s="3">
        <v>43803</v>
      </c>
    </row>
    <row r="497" spans="2:9" x14ac:dyDescent="0.25">
      <c r="B497" s="2" t="str">
        <f>"111189#"</f>
        <v>111189#</v>
      </c>
      <c r="C497" s="2" t="str">
        <f>"TWO-G-150"</f>
        <v>TWO-G-150</v>
      </c>
      <c r="D497" s="1" t="str">
        <f>"Otolift met Flexirail® model G"</f>
        <v>Otolift met Flexirail® model G</v>
      </c>
      <c r="E497" s="1" t="s">
        <v>7</v>
      </c>
      <c r="F497" s="3">
        <v>40623</v>
      </c>
      <c r="G497" s="3">
        <v>40623</v>
      </c>
      <c r="H497" s="3">
        <v>43411</v>
      </c>
      <c r="I497" s="3">
        <v>43776</v>
      </c>
    </row>
    <row r="498" spans="2:9" x14ac:dyDescent="0.25">
      <c r="B498" s="2" t="str">
        <f>"097508#"</f>
        <v>097508#</v>
      </c>
      <c r="C498" s="2" t="str">
        <f>"TWO-86"</f>
        <v>TWO-86</v>
      </c>
      <c r="D498" s="1" t="str">
        <f>"Hergebruik Otolift TWO"</f>
        <v>Hergebruik Otolift TWO</v>
      </c>
      <c r="E498" s="1"/>
      <c r="F498" s="3">
        <v>39527</v>
      </c>
      <c r="G498" s="3">
        <v>43027</v>
      </c>
      <c r="H498" s="3">
        <v>43487</v>
      </c>
      <c r="I498" s="3">
        <v>43852</v>
      </c>
    </row>
    <row r="499" spans="2:9" x14ac:dyDescent="0.25">
      <c r="B499" s="2" t="str">
        <f>"134244#"</f>
        <v>134244#</v>
      </c>
      <c r="C499" s="2" t="str">
        <f>"TWO-S-87"</f>
        <v>TWO-S-87</v>
      </c>
      <c r="D499" s="1" t="str">
        <f>"Hergebruik Otolift TWO"</f>
        <v>Hergebruik Otolift TWO</v>
      </c>
      <c r="E499" s="1" t="s">
        <v>7</v>
      </c>
      <c r="F499" s="3">
        <v>43038</v>
      </c>
      <c r="G499" s="3">
        <v>43038</v>
      </c>
      <c r="H499" s="3">
        <v>43657</v>
      </c>
      <c r="I499" s="3">
        <v>43403</v>
      </c>
    </row>
    <row r="500" spans="2:9" x14ac:dyDescent="0.25">
      <c r="B500" s="2" t="str">
        <f>"119380#"</f>
        <v>119380#</v>
      </c>
      <c r="C500" s="2" t="str">
        <f>"TWO-86"</f>
        <v>TWO-86</v>
      </c>
      <c r="D500" s="1" t="str">
        <f>"Hergebruik Otolift TWO"</f>
        <v>Hergebruik Otolift TWO</v>
      </c>
      <c r="E500" s="1"/>
      <c r="F500" s="3">
        <v>41557</v>
      </c>
      <c r="G500" s="3">
        <v>43087</v>
      </c>
      <c r="H500" s="3">
        <v>43482</v>
      </c>
      <c r="I500" s="3">
        <v>43847</v>
      </c>
    </row>
    <row r="501" spans="2:9" x14ac:dyDescent="0.25">
      <c r="B501" s="2" t="str">
        <f>"104992#"</f>
        <v>104992#</v>
      </c>
      <c r="C501" s="2" t="str">
        <f>"TWO-86"</f>
        <v>TWO-86</v>
      </c>
      <c r="D501" s="1" t="str">
        <f>"Hergebruik Otolift TWO"</f>
        <v>Hergebruik Otolift TWO</v>
      </c>
      <c r="E501" s="1"/>
      <c r="F501" s="3">
        <v>40105</v>
      </c>
      <c r="G501" s="3">
        <v>43276</v>
      </c>
      <c r="H501" s="3">
        <v>43664</v>
      </c>
      <c r="I501" s="3">
        <v>43641</v>
      </c>
    </row>
    <row r="502" spans="2:9" x14ac:dyDescent="0.25">
      <c r="B502" s="2" t="str">
        <f>"115377#"</f>
        <v>115377#</v>
      </c>
      <c r="C502" s="2" t="str">
        <f>"MEDM120RH"</f>
        <v>MEDM120RH</v>
      </c>
      <c r="D502" s="1" t="str">
        <f>"Hergebruik Meditek Handbed. 120kg rechts"</f>
        <v>Hergebruik Meditek Handbed. 120kg rechts</v>
      </c>
      <c r="E502" s="1" t="s">
        <v>8</v>
      </c>
      <c r="F502" s="3">
        <v>41024</v>
      </c>
      <c r="G502" s="3">
        <v>43537</v>
      </c>
      <c r="H502" s="3" t="str">
        <f>""</f>
        <v/>
      </c>
      <c r="I502" s="3" t="str">
        <f>""</f>
        <v/>
      </c>
    </row>
    <row r="503" spans="2:9" x14ac:dyDescent="0.25">
      <c r="B503" s="2" t="str">
        <f>"133480#"</f>
        <v>133480#</v>
      </c>
      <c r="C503" s="2" t="str">
        <f>"MOD-G-6050-1"</f>
        <v>MOD-G-6050-1</v>
      </c>
      <c r="D503" s="1" t="str">
        <f>"Hergebruik Otolift Modul-AIR buitenbocht"</f>
        <v>Hergebruik Otolift Modul-AIR buitenbocht</v>
      </c>
      <c r="E503" s="1" t="s">
        <v>7</v>
      </c>
      <c r="F503" s="3">
        <v>43021</v>
      </c>
      <c r="G503" s="3">
        <v>43538</v>
      </c>
      <c r="H503" s="3">
        <v>43538</v>
      </c>
      <c r="I503" s="3" t="str">
        <f>""</f>
        <v/>
      </c>
    </row>
    <row r="504" spans="2:9" x14ac:dyDescent="0.25">
      <c r="B504" s="2" t="str">
        <f>"106906#"</f>
        <v>106906#</v>
      </c>
      <c r="C504" s="2" t="str">
        <f>"PAR-110K"</f>
        <v>PAR-110K</v>
      </c>
      <c r="D504" s="1" t="str">
        <f>"Hergebruik Otolift PARALLEL"</f>
        <v>Hergebruik Otolift PARALLEL</v>
      </c>
      <c r="E504" s="1" t="s">
        <v>8</v>
      </c>
      <c r="F504" s="3">
        <v>40234</v>
      </c>
      <c r="G504" s="3">
        <v>43538</v>
      </c>
      <c r="H504" s="3">
        <v>43538</v>
      </c>
      <c r="I504" s="3" t="str">
        <f>""</f>
        <v/>
      </c>
    </row>
    <row r="505" spans="2:9" x14ac:dyDescent="0.25">
      <c r="B505" s="2" t="str">
        <f>"090274#"</f>
        <v>090274#</v>
      </c>
      <c r="C505" s="2" t="str">
        <f>"TWO-85"</f>
        <v>TWO-85</v>
      </c>
      <c r="D505" s="1" t="str">
        <f>"Hergebruik Otolift TWO binnenbocht trap"</f>
        <v>Hergebruik Otolift TWO binnenbocht trap</v>
      </c>
      <c r="E505" s="1"/>
      <c r="F505" s="3">
        <v>38880</v>
      </c>
      <c r="G505" s="3">
        <v>41901</v>
      </c>
      <c r="H505" s="3">
        <v>43418</v>
      </c>
      <c r="I505" s="3">
        <v>43783</v>
      </c>
    </row>
    <row r="506" spans="2:9" x14ac:dyDescent="0.25">
      <c r="B506" s="2" t="str">
        <f>"098925#"</f>
        <v>098925#</v>
      </c>
      <c r="C506" s="2" t="str">
        <f>"TWO-86"</f>
        <v>TWO-86</v>
      </c>
      <c r="D506" s="1" t="str">
        <f>"Hergebruik Otolift TWO buitenbocht trap"</f>
        <v>Hergebruik Otolift TWO buitenbocht trap</v>
      </c>
      <c r="E506" s="1"/>
      <c r="F506" s="3">
        <v>39710</v>
      </c>
      <c r="G506" s="3">
        <v>42810</v>
      </c>
      <c r="H506" s="3">
        <v>43682</v>
      </c>
      <c r="I506" s="3">
        <v>43580</v>
      </c>
    </row>
    <row r="507" spans="2:9" x14ac:dyDescent="0.25">
      <c r="B507" s="2" t="str">
        <f>"140308#"</f>
        <v>140308#</v>
      </c>
      <c r="C507" s="2" t="str">
        <f>"MOD-G-6050-1"</f>
        <v>MOD-G-6050-1</v>
      </c>
      <c r="D507" s="1" t="str">
        <f>"Otolift Modul-AIR buitenbocht"</f>
        <v>Otolift Modul-AIR buitenbocht</v>
      </c>
      <c r="E507" s="1" t="s">
        <v>7</v>
      </c>
      <c r="F507" s="3">
        <v>43539</v>
      </c>
      <c r="G507" s="3">
        <v>43539</v>
      </c>
      <c r="H507" s="3">
        <v>43539</v>
      </c>
      <c r="I507" s="3" t="str">
        <f>""</f>
        <v/>
      </c>
    </row>
    <row r="508" spans="2:9" x14ac:dyDescent="0.25">
      <c r="B508" s="2" t="str">
        <f>"87430#"</f>
        <v>87430#</v>
      </c>
      <c r="C508" s="2" t="str">
        <f>"TWO-85"</f>
        <v>TWO-85</v>
      </c>
      <c r="D508" s="1" t="str">
        <f>"Hergebruik Otolift TWO buitenbocht trap"</f>
        <v>Hergebruik Otolift TWO buitenbocht trap</v>
      </c>
      <c r="E508" s="1"/>
      <c r="F508" s="3">
        <v>38702</v>
      </c>
      <c r="G508" s="3">
        <v>41927</v>
      </c>
      <c r="H508" s="3">
        <v>43663</v>
      </c>
      <c r="I508" s="3">
        <v>43585</v>
      </c>
    </row>
    <row r="509" spans="2:9" x14ac:dyDescent="0.25">
      <c r="B509" s="2" t="str">
        <f>"100148#"</f>
        <v>100148#</v>
      </c>
      <c r="C509" s="2" t="str">
        <f>"TWO-86-S"</f>
        <v>TWO-86-S</v>
      </c>
      <c r="D509" s="1" t="str">
        <f>"Hergebruik Otolift TWO buitenbocht trap"</f>
        <v>Hergebruik Otolift TWO buitenbocht trap</v>
      </c>
      <c r="E509" s="1" t="s">
        <v>7</v>
      </c>
      <c r="F509" s="3">
        <v>39764</v>
      </c>
      <c r="G509" s="3">
        <v>42741</v>
      </c>
      <c r="H509" s="3">
        <v>43425</v>
      </c>
      <c r="I509" s="3">
        <v>43484</v>
      </c>
    </row>
    <row r="510" spans="2:9" x14ac:dyDescent="0.25">
      <c r="B510" s="2" t="str">
        <f>"108528#"</f>
        <v>108528#</v>
      </c>
      <c r="C510" s="2" t="str">
        <f>"TWO-86"</f>
        <v>TWO-86</v>
      </c>
      <c r="D510" s="1" t="str">
        <f>"Hergebruik Otolift TWO buitenbocht trap"</f>
        <v>Hergebruik Otolift TWO buitenbocht trap</v>
      </c>
      <c r="E510" s="1"/>
      <c r="F510" s="3">
        <v>40364</v>
      </c>
      <c r="G510" s="3">
        <v>43290</v>
      </c>
      <c r="H510" s="3">
        <v>42704</v>
      </c>
      <c r="I510" s="3">
        <v>43069</v>
      </c>
    </row>
    <row r="511" spans="2:9" x14ac:dyDescent="0.25">
      <c r="B511" s="2" t="str">
        <f>"116116#"</f>
        <v>116116#</v>
      </c>
      <c r="C511" s="2" t="str">
        <f>"TWO-85"</f>
        <v>TWO-85</v>
      </c>
      <c r="D511" s="1" t="str">
        <f>"Hergebruik Otolift TWO buitenbocht trap"</f>
        <v>Hergebruik Otolift TWO buitenbocht trap</v>
      </c>
      <c r="E511" s="1"/>
      <c r="F511" s="3">
        <v>41170</v>
      </c>
      <c r="G511" s="3">
        <v>43034</v>
      </c>
      <c r="H511" s="3">
        <v>43426</v>
      </c>
      <c r="I511" s="3">
        <v>43791</v>
      </c>
    </row>
    <row r="512" spans="2:9" x14ac:dyDescent="0.25">
      <c r="B512" s="2" t="str">
        <f>"106561#"</f>
        <v>106561#</v>
      </c>
      <c r="C512" s="2" t="str">
        <f>"TWO-86"</f>
        <v>TWO-86</v>
      </c>
      <c r="D512" s="1" t="str">
        <f>"Hergebruik Otolift TWO buitenbocht trap"</f>
        <v>Hergebruik Otolift TWO buitenbocht trap</v>
      </c>
      <c r="E512" s="1"/>
      <c r="F512" s="3">
        <v>40241</v>
      </c>
      <c r="G512" s="3">
        <v>42188</v>
      </c>
      <c r="H512" s="3">
        <v>43419</v>
      </c>
      <c r="I512" s="3">
        <v>43784</v>
      </c>
    </row>
    <row r="513" spans="2:9" x14ac:dyDescent="0.25">
      <c r="B513" s="2" t="str">
        <f>"118669#"</f>
        <v>118669#</v>
      </c>
      <c r="C513" s="2" t="str">
        <f>"ONE-4000"</f>
        <v>ONE-4000</v>
      </c>
      <c r="D513" s="1" t="str">
        <f>"ONE-Excellent"</f>
        <v>ONE-Excellent</v>
      </c>
      <c r="E513" s="1" t="s">
        <v>11</v>
      </c>
      <c r="F513" s="3">
        <v>41506</v>
      </c>
      <c r="G513" s="3">
        <v>41506</v>
      </c>
      <c r="H513" s="3">
        <v>43538</v>
      </c>
      <c r="I513" s="3">
        <v>43904</v>
      </c>
    </row>
    <row r="514" spans="2:9" x14ac:dyDescent="0.25">
      <c r="B514" s="2" t="str">
        <f>"117895#"</f>
        <v>117895#</v>
      </c>
      <c r="C514" s="2" t="str">
        <f>"MOD-P-6040-1"</f>
        <v>MOD-P-6040-1</v>
      </c>
      <c r="D514" s="1" t="str">
        <f>"Hergebruik Otolift Modul-AIR binnenbocht"</f>
        <v>Hergebruik Otolift Modul-AIR binnenbocht</v>
      </c>
      <c r="E514" s="1" t="s">
        <v>11</v>
      </c>
      <c r="F514" s="3">
        <v>41388</v>
      </c>
      <c r="G514" s="3">
        <v>43542</v>
      </c>
      <c r="H514" s="3" t="str">
        <f>""</f>
        <v/>
      </c>
      <c r="I514" s="3" t="str">
        <f>""</f>
        <v/>
      </c>
    </row>
    <row r="515" spans="2:9" x14ac:dyDescent="0.25">
      <c r="B515" s="2" t="str">
        <f>"097716#"</f>
        <v>097716#</v>
      </c>
      <c r="C515" s="2" t="str">
        <f>"TWO-85"</f>
        <v>TWO-85</v>
      </c>
      <c r="D515" s="1" t="str">
        <f t="shared" ref="D515:D554" si="4">"Hergebruik Otolift TWO buitenbocht trap"</f>
        <v>Hergebruik Otolift TWO buitenbocht trap</v>
      </c>
      <c r="E515" s="1"/>
      <c r="F515" s="3">
        <v>39559</v>
      </c>
      <c r="G515" s="3">
        <v>42360</v>
      </c>
      <c r="H515" s="3">
        <v>43112</v>
      </c>
      <c r="I515" s="3">
        <v>43477</v>
      </c>
    </row>
    <row r="516" spans="2:9" x14ac:dyDescent="0.25">
      <c r="B516" s="2" t="str">
        <f>"111455#"</f>
        <v>111455#</v>
      </c>
      <c r="C516" s="2" t="str">
        <f>"TWO-86"</f>
        <v>TWO-86</v>
      </c>
      <c r="D516" s="1" t="str">
        <f t="shared" si="4"/>
        <v>Hergebruik Otolift TWO buitenbocht trap</v>
      </c>
      <c r="E516" s="1"/>
      <c r="F516" s="3">
        <v>40612</v>
      </c>
      <c r="G516" s="3">
        <v>43229</v>
      </c>
      <c r="H516" s="3">
        <v>43676</v>
      </c>
      <c r="I516" s="3">
        <v>43594</v>
      </c>
    </row>
    <row r="517" spans="2:9" x14ac:dyDescent="0.25">
      <c r="B517" s="2" t="str">
        <f>"103582#"</f>
        <v>103582#</v>
      </c>
      <c r="C517" s="2" t="str">
        <f>"TWO-85"</f>
        <v>TWO-85</v>
      </c>
      <c r="D517" s="1" t="str">
        <f t="shared" si="4"/>
        <v>Hergebruik Otolift TWO buitenbocht trap</v>
      </c>
      <c r="E517" s="1"/>
      <c r="F517" s="3">
        <v>40001</v>
      </c>
      <c r="G517" s="3">
        <v>42662</v>
      </c>
      <c r="H517" s="3">
        <v>43433</v>
      </c>
      <c r="I517" s="3">
        <v>43798</v>
      </c>
    </row>
    <row r="518" spans="2:9" x14ac:dyDescent="0.25">
      <c r="B518" s="2" t="str">
        <f>"122582#"</f>
        <v>122582#</v>
      </c>
      <c r="C518" s="2" t="str">
        <f>"TWO-85-S"</f>
        <v>TWO-85-S</v>
      </c>
      <c r="D518" s="1" t="str">
        <f t="shared" si="4"/>
        <v>Hergebruik Otolift TWO buitenbocht trap</v>
      </c>
      <c r="E518" s="1" t="s">
        <v>7</v>
      </c>
      <c r="F518" s="3">
        <v>41976</v>
      </c>
      <c r="G518" s="3">
        <v>42962</v>
      </c>
      <c r="H518" s="3">
        <v>43440</v>
      </c>
      <c r="I518" s="3">
        <v>43805</v>
      </c>
    </row>
    <row r="519" spans="2:9" x14ac:dyDescent="0.25">
      <c r="B519" s="2" t="str">
        <f>"100397#"</f>
        <v>100397#</v>
      </c>
      <c r="C519" s="2" t="str">
        <f>"TWO-86"</f>
        <v>TWO-86</v>
      </c>
      <c r="D519" s="1" t="str">
        <f t="shared" si="4"/>
        <v>Hergebruik Otolift TWO buitenbocht trap</v>
      </c>
      <c r="E519" s="1"/>
      <c r="F519" s="3">
        <v>39757</v>
      </c>
      <c r="G519" s="3">
        <v>41813</v>
      </c>
      <c r="H519" s="3">
        <v>43427</v>
      </c>
      <c r="I519" s="3">
        <v>43792</v>
      </c>
    </row>
    <row r="520" spans="2:9" x14ac:dyDescent="0.25">
      <c r="B520" s="2" t="str">
        <f>"089844#"</f>
        <v>089844#</v>
      </c>
      <c r="C520" s="2" t="str">
        <f>"TWO-85"</f>
        <v>TWO-85</v>
      </c>
      <c r="D520" s="1" t="str">
        <f t="shared" si="4"/>
        <v>Hergebruik Otolift TWO buitenbocht trap</v>
      </c>
      <c r="E520" s="1"/>
      <c r="F520" s="3">
        <v>38835</v>
      </c>
      <c r="G520" s="3">
        <v>41807</v>
      </c>
      <c r="H520" s="3">
        <v>43706</v>
      </c>
      <c r="I520" s="3">
        <v>43705</v>
      </c>
    </row>
    <row r="521" spans="2:9" x14ac:dyDescent="0.25">
      <c r="B521" s="2" t="str">
        <f>"106657#"</f>
        <v>106657#</v>
      </c>
      <c r="C521" s="2" t="str">
        <f>"TWO-86"</f>
        <v>TWO-86</v>
      </c>
      <c r="D521" s="1" t="str">
        <f t="shared" si="4"/>
        <v>Hergebruik Otolift TWO buitenbocht trap</v>
      </c>
      <c r="E521" s="1"/>
      <c r="F521" s="3">
        <v>40226</v>
      </c>
      <c r="G521" s="3">
        <v>41813</v>
      </c>
      <c r="H521" s="3">
        <v>43430</v>
      </c>
      <c r="I521" s="3">
        <v>43795</v>
      </c>
    </row>
    <row r="522" spans="2:9" x14ac:dyDescent="0.25">
      <c r="B522" s="2" t="str">
        <f>"103635#"</f>
        <v>103635#</v>
      </c>
      <c r="C522" s="2" t="str">
        <f>"TWO-85"</f>
        <v>TWO-85</v>
      </c>
      <c r="D522" s="1" t="str">
        <f t="shared" si="4"/>
        <v>Hergebruik Otolift TWO buitenbocht trap</v>
      </c>
      <c r="E522" s="1"/>
      <c r="F522" s="3">
        <v>40037</v>
      </c>
      <c r="G522" s="3">
        <v>41845</v>
      </c>
      <c r="H522" s="3">
        <v>43556</v>
      </c>
      <c r="I522" s="3">
        <v>43922</v>
      </c>
    </row>
    <row r="523" spans="2:9" x14ac:dyDescent="0.25">
      <c r="B523" s="2" t="str">
        <f>"092766#"</f>
        <v>092766#</v>
      </c>
      <c r="C523" s="2" t="str">
        <f>"TWO-85"</f>
        <v>TWO-85</v>
      </c>
      <c r="D523" s="1" t="str">
        <f t="shared" si="4"/>
        <v>Hergebruik Otolift TWO buitenbocht trap</v>
      </c>
      <c r="E523" s="1"/>
      <c r="F523" s="3">
        <v>39107</v>
      </c>
      <c r="G523" s="3">
        <v>41876</v>
      </c>
      <c r="H523" s="3">
        <v>43419</v>
      </c>
      <c r="I523" s="3">
        <v>43784</v>
      </c>
    </row>
    <row r="524" spans="2:9" x14ac:dyDescent="0.25">
      <c r="B524" s="2" t="str">
        <f>"095935#"</f>
        <v>095935#</v>
      </c>
      <c r="C524" s="2" t="str">
        <f>"TWO-85"</f>
        <v>TWO-85</v>
      </c>
      <c r="D524" s="1" t="str">
        <f t="shared" si="4"/>
        <v>Hergebruik Otolift TWO buitenbocht trap</v>
      </c>
      <c r="E524" s="1"/>
      <c r="F524" s="3">
        <v>39392</v>
      </c>
      <c r="G524" s="3">
        <v>41880</v>
      </c>
      <c r="H524" s="3">
        <v>43682</v>
      </c>
      <c r="I524" s="3">
        <v>43845</v>
      </c>
    </row>
    <row r="525" spans="2:9" x14ac:dyDescent="0.25">
      <c r="B525" s="2" t="str">
        <f>"118210#"</f>
        <v>118210#</v>
      </c>
      <c r="C525" s="2" t="str">
        <f>"TWO-85"</f>
        <v>TWO-85</v>
      </c>
      <c r="D525" s="1" t="str">
        <f t="shared" si="4"/>
        <v>Hergebruik Otolift TWO buitenbocht trap</v>
      </c>
      <c r="E525" s="1"/>
      <c r="F525" s="3">
        <v>41397</v>
      </c>
      <c r="G525" s="3">
        <v>41885</v>
      </c>
      <c r="H525" s="3">
        <v>43602</v>
      </c>
      <c r="I525" s="3">
        <v>43968</v>
      </c>
    </row>
    <row r="526" spans="2:9" x14ac:dyDescent="0.25">
      <c r="B526" s="2" t="str">
        <f>"091030#"</f>
        <v>091030#</v>
      </c>
      <c r="C526" s="2" t="str">
        <f>"TWO-86"</f>
        <v>TWO-86</v>
      </c>
      <c r="D526" s="1" t="str">
        <f t="shared" si="4"/>
        <v>Hergebruik Otolift TWO buitenbocht trap</v>
      </c>
      <c r="E526" s="1"/>
      <c r="F526" s="3">
        <v>39000</v>
      </c>
      <c r="G526" s="3">
        <v>41901</v>
      </c>
      <c r="H526" s="3">
        <v>43718</v>
      </c>
      <c r="I526" s="3">
        <v>43782</v>
      </c>
    </row>
    <row r="527" spans="2:9" x14ac:dyDescent="0.25">
      <c r="B527" s="2" t="str">
        <f>"80414#"</f>
        <v>80414#</v>
      </c>
      <c r="C527" s="2" t="str">
        <f>"TWO-85"</f>
        <v>TWO-85</v>
      </c>
      <c r="D527" s="1" t="str">
        <f t="shared" si="4"/>
        <v>Hergebruik Otolift TWO buitenbocht trap</v>
      </c>
      <c r="E527" s="1"/>
      <c r="F527" s="3">
        <v>38344</v>
      </c>
      <c r="G527" s="3">
        <v>41927</v>
      </c>
      <c r="H527" s="3">
        <v>43754</v>
      </c>
      <c r="I527" s="3">
        <v>43925</v>
      </c>
    </row>
    <row r="528" spans="2:9" x14ac:dyDescent="0.25">
      <c r="B528" s="2" t="str">
        <f>"094725#"</f>
        <v>094725#</v>
      </c>
      <c r="C528" s="2" t="str">
        <f>"TWO-86"</f>
        <v>TWO-86</v>
      </c>
      <c r="D528" s="1" t="str">
        <f t="shared" si="4"/>
        <v>Hergebruik Otolift TWO buitenbocht trap</v>
      </c>
      <c r="E528" s="1"/>
      <c r="F528" s="3">
        <v>39329</v>
      </c>
      <c r="G528" s="3">
        <v>41920</v>
      </c>
      <c r="H528" s="3">
        <v>43585</v>
      </c>
      <c r="I528" s="3">
        <v>43951</v>
      </c>
    </row>
    <row r="529" spans="2:9" x14ac:dyDescent="0.25">
      <c r="B529" s="2" t="str">
        <f>"76664#"</f>
        <v>76664#</v>
      </c>
      <c r="C529" s="2" t="str">
        <f>"TWO-85"</f>
        <v>TWO-85</v>
      </c>
      <c r="D529" s="1" t="str">
        <f t="shared" si="4"/>
        <v>Hergebruik Otolift TWO buitenbocht trap</v>
      </c>
      <c r="E529" s="1"/>
      <c r="F529" s="3">
        <v>38258</v>
      </c>
      <c r="G529" s="3">
        <v>41928</v>
      </c>
      <c r="H529" s="3">
        <v>43500</v>
      </c>
      <c r="I529" s="3">
        <v>43865</v>
      </c>
    </row>
    <row r="530" spans="2:9" x14ac:dyDescent="0.25">
      <c r="B530" s="2" t="str">
        <f>"089292#"</f>
        <v>089292#</v>
      </c>
      <c r="C530" s="2" t="str">
        <f>"TWO-85"</f>
        <v>TWO-85</v>
      </c>
      <c r="D530" s="1" t="str">
        <f t="shared" si="4"/>
        <v>Hergebruik Otolift TWO buitenbocht trap</v>
      </c>
      <c r="E530" s="1"/>
      <c r="F530" s="3">
        <v>38798</v>
      </c>
      <c r="G530" s="3">
        <v>41970</v>
      </c>
      <c r="H530" s="3">
        <v>43131</v>
      </c>
      <c r="I530" s="3">
        <v>43496</v>
      </c>
    </row>
    <row r="531" spans="2:9" x14ac:dyDescent="0.25">
      <c r="B531" s="2" t="str">
        <f>"092514#"</f>
        <v>092514#</v>
      </c>
      <c r="C531" s="2" t="str">
        <f>"TWO-85"</f>
        <v>TWO-85</v>
      </c>
      <c r="D531" s="1" t="str">
        <f t="shared" si="4"/>
        <v>Hergebruik Otolift TWO buitenbocht trap</v>
      </c>
      <c r="E531" s="1"/>
      <c r="F531" s="3">
        <v>39094</v>
      </c>
      <c r="G531" s="3">
        <v>41962</v>
      </c>
      <c r="H531" s="3">
        <v>43279</v>
      </c>
      <c r="I531" s="3">
        <v>43496</v>
      </c>
    </row>
    <row r="532" spans="2:9" x14ac:dyDescent="0.25">
      <c r="B532" s="2" t="str">
        <f>"101115#"</f>
        <v>101115#</v>
      </c>
      <c r="C532" s="2" t="str">
        <f>"TWO-86"</f>
        <v>TWO-86</v>
      </c>
      <c r="D532" s="1" t="str">
        <f t="shared" si="4"/>
        <v>Hergebruik Otolift TWO buitenbocht trap</v>
      </c>
      <c r="E532" s="1"/>
      <c r="F532" s="3">
        <v>39840</v>
      </c>
      <c r="G532" s="3">
        <v>41974</v>
      </c>
      <c r="H532" s="3">
        <v>43762</v>
      </c>
      <c r="I532" s="3">
        <v>43754</v>
      </c>
    </row>
    <row r="533" spans="2:9" x14ac:dyDescent="0.25">
      <c r="B533" s="2" t="str">
        <f>"86169#"</f>
        <v>86169#</v>
      </c>
      <c r="C533" s="2" t="str">
        <f>"TWO-85"</f>
        <v>TWO-85</v>
      </c>
      <c r="D533" s="1" t="str">
        <f t="shared" si="4"/>
        <v>Hergebruik Otolift TWO buitenbocht trap</v>
      </c>
      <c r="E533" s="1"/>
      <c r="F533" s="3">
        <v>38637</v>
      </c>
      <c r="G533" s="3">
        <v>42009</v>
      </c>
      <c r="H533" s="3">
        <v>43754</v>
      </c>
      <c r="I533" s="3">
        <v>43769</v>
      </c>
    </row>
    <row r="534" spans="2:9" x14ac:dyDescent="0.25">
      <c r="B534" s="2" t="str">
        <f>"69553#"</f>
        <v>69553#</v>
      </c>
      <c r="C534" s="2" t="str">
        <f>"TWO-85"</f>
        <v>TWO-85</v>
      </c>
      <c r="D534" s="1" t="str">
        <f t="shared" si="4"/>
        <v>Hergebruik Otolift TWO buitenbocht trap</v>
      </c>
      <c r="E534" s="1"/>
      <c r="F534" s="3">
        <v>37880</v>
      </c>
      <c r="G534" s="3">
        <v>41975</v>
      </c>
      <c r="H534" s="3">
        <v>43496</v>
      </c>
      <c r="I534" s="3">
        <v>43861</v>
      </c>
    </row>
    <row r="535" spans="2:9" x14ac:dyDescent="0.25">
      <c r="B535" s="2" t="str">
        <f>"113624#"</f>
        <v>113624#</v>
      </c>
      <c r="C535" s="2" t="str">
        <f>"TWO-85"</f>
        <v>TWO-85</v>
      </c>
      <c r="D535" s="1" t="str">
        <f t="shared" si="4"/>
        <v>Hergebruik Otolift TWO buitenbocht trap</v>
      </c>
      <c r="E535" s="1"/>
      <c r="F535" s="3">
        <v>40843</v>
      </c>
      <c r="G535" s="3">
        <v>41985</v>
      </c>
      <c r="H535" s="3">
        <v>43405</v>
      </c>
      <c r="I535" s="3">
        <v>43770</v>
      </c>
    </row>
    <row r="536" spans="2:9" x14ac:dyDescent="0.25">
      <c r="B536" s="2" t="str">
        <f>"091250#"</f>
        <v>091250#</v>
      </c>
      <c r="C536" s="2" t="str">
        <f>"TWO-86"</f>
        <v>TWO-86</v>
      </c>
      <c r="D536" s="1" t="str">
        <f t="shared" si="4"/>
        <v>Hergebruik Otolift TWO buitenbocht trap</v>
      </c>
      <c r="E536" s="1"/>
      <c r="F536" s="3">
        <v>38968</v>
      </c>
      <c r="G536" s="3">
        <v>41996</v>
      </c>
      <c r="H536" s="3">
        <v>43104</v>
      </c>
      <c r="I536" s="3">
        <v>43469</v>
      </c>
    </row>
    <row r="537" spans="2:9" x14ac:dyDescent="0.25">
      <c r="B537" s="2" t="str">
        <f>"092904#"</f>
        <v>092904#</v>
      </c>
      <c r="C537" s="2" t="str">
        <f>"TWO-85"</f>
        <v>TWO-85</v>
      </c>
      <c r="D537" s="1" t="str">
        <f t="shared" si="4"/>
        <v>Hergebruik Otolift TWO buitenbocht trap</v>
      </c>
      <c r="E537" s="1"/>
      <c r="F537" s="3">
        <v>39122</v>
      </c>
      <c r="G537" s="3">
        <v>41991</v>
      </c>
      <c r="H537" s="3">
        <v>43437</v>
      </c>
      <c r="I537" s="3">
        <v>43802</v>
      </c>
    </row>
    <row r="538" spans="2:9" x14ac:dyDescent="0.25">
      <c r="B538" s="2" t="str">
        <f>"104385#"</f>
        <v>104385#</v>
      </c>
      <c r="C538" s="2" t="str">
        <f>"TWO-86"</f>
        <v>TWO-86</v>
      </c>
      <c r="D538" s="1" t="str">
        <f t="shared" si="4"/>
        <v>Hergebruik Otolift TWO buitenbocht trap</v>
      </c>
      <c r="E538" s="1"/>
      <c r="F538" s="3">
        <v>40065</v>
      </c>
      <c r="G538" s="3">
        <v>42016</v>
      </c>
      <c r="H538" s="3">
        <v>43742</v>
      </c>
      <c r="I538" s="3">
        <v>43574</v>
      </c>
    </row>
    <row r="539" spans="2:9" x14ac:dyDescent="0.25">
      <c r="B539" s="2" t="str">
        <f>"090669#"</f>
        <v>090669#</v>
      </c>
      <c r="C539" s="2" t="str">
        <f>"TWO-85"</f>
        <v>TWO-85</v>
      </c>
      <c r="D539" s="1" t="str">
        <f t="shared" si="4"/>
        <v>Hergebruik Otolift TWO buitenbocht trap</v>
      </c>
      <c r="E539" s="1"/>
      <c r="F539" s="3">
        <v>38958</v>
      </c>
      <c r="G539" s="3">
        <v>42030</v>
      </c>
      <c r="H539" s="3">
        <v>43655</v>
      </c>
      <c r="I539" s="3">
        <v>43879</v>
      </c>
    </row>
    <row r="540" spans="2:9" x14ac:dyDescent="0.25">
      <c r="B540" s="2" t="str">
        <f>"100887#"</f>
        <v>100887#</v>
      </c>
      <c r="C540" s="2" t="str">
        <f>"TWO-86"</f>
        <v>TWO-86</v>
      </c>
      <c r="D540" s="1" t="str">
        <f t="shared" si="4"/>
        <v>Hergebruik Otolift TWO buitenbocht trap</v>
      </c>
      <c r="E540" s="1"/>
      <c r="F540" s="3">
        <v>39840</v>
      </c>
      <c r="G540" s="3">
        <v>42038</v>
      </c>
      <c r="H540" s="3">
        <v>43634</v>
      </c>
      <c r="I540" s="3">
        <v>43579</v>
      </c>
    </row>
    <row r="541" spans="2:9" x14ac:dyDescent="0.25">
      <c r="B541" s="2" t="str">
        <f>"092941#"</f>
        <v>092941#</v>
      </c>
      <c r="C541" s="2" t="str">
        <f>"TWO-85"</f>
        <v>TWO-85</v>
      </c>
      <c r="D541" s="1" t="str">
        <f t="shared" si="4"/>
        <v>Hergebruik Otolift TWO buitenbocht trap</v>
      </c>
      <c r="E541" s="1"/>
      <c r="F541" s="3">
        <v>39140</v>
      </c>
      <c r="G541" s="3">
        <v>42027</v>
      </c>
      <c r="H541" s="3">
        <v>43504</v>
      </c>
      <c r="I541" s="3">
        <v>43869</v>
      </c>
    </row>
    <row r="542" spans="2:9" x14ac:dyDescent="0.25">
      <c r="B542" s="2" t="str">
        <f>"094710#"</f>
        <v>094710#</v>
      </c>
      <c r="C542" s="2" t="str">
        <f>"TWO-86"</f>
        <v>TWO-86</v>
      </c>
      <c r="D542" s="1" t="str">
        <f t="shared" si="4"/>
        <v>Hergebruik Otolift TWO buitenbocht trap</v>
      </c>
      <c r="E542" s="1"/>
      <c r="F542" s="3">
        <v>39330</v>
      </c>
      <c r="G542" s="3">
        <v>42094</v>
      </c>
      <c r="H542" s="3">
        <v>43483</v>
      </c>
      <c r="I542" s="3">
        <v>43848</v>
      </c>
    </row>
    <row r="543" spans="2:9" x14ac:dyDescent="0.25">
      <c r="B543" s="2" t="str">
        <f>"82115#"</f>
        <v>82115#</v>
      </c>
      <c r="C543" s="2" t="str">
        <f>"TWO-85"</f>
        <v>TWO-85</v>
      </c>
      <c r="D543" s="1" t="str">
        <f t="shared" si="4"/>
        <v>Hergebruik Otolift TWO buitenbocht trap</v>
      </c>
      <c r="E543" s="1"/>
      <c r="F543" s="3">
        <v>38413</v>
      </c>
      <c r="G543" s="3">
        <v>42044</v>
      </c>
      <c r="H543" s="3">
        <v>43767</v>
      </c>
      <c r="I543" s="3">
        <v>43954</v>
      </c>
    </row>
    <row r="544" spans="2:9" x14ac:dyDescent="0.25">
      <c r="B544" s="2" t="str">
        <f>"81301#"</f>
        <v>81301#</v>
      </c>
      <c r="C544" s="2" t="str">
        <f>"TWO-85"</f>
        <v>TWO-85</v>
      </c>
      <c r="D544" s="1" t="str">
        <f t="shared" si="4"/>
        <v>Hergebruik Otolift TWO buitenbocht trap</v>
      </c>
      <c r="E544" s="1"/>
      <c r="F544" s="3">
        <v>38398</v>
      </c>
      <c r="G544" s="3">
        <v>42039</v>
      </c>
      <c r="H544" s="3">
        <v>43748</v>
      </c>
      <c r="I544" s="3">
        <v>43749</v>
      </c>
    </row>
    <row r="545" spans="2:9" x14ac:dyDescent="0.25">
      <c r="B545" s="2" t="str">
        <f>"82441#"</f>
        <v>82441#</v>
      </c>
      <c r="C545" s="2" t="str">
        <f>"TWO-85"</f>
        <v>TWO-85</v>
      </c>
      <c r="D545" s="1" t="str">
        <f t="shared" si="4"/>
        <v>Hergebruik Otolift TWO buitenbocht trap</v>
      </c>
      <c r="E545" s="1"/>
      <c r="F545" s="3">
        <v>38432</v>
      </c>
      <c r="G545" s="3">
        <v>42052</v>
      </c>
      <c r="H545" s="3">
        <v>43605</v>
      </c>
      <c r="I545" s="3">
        <v>43971</v>
      </c>
    </row>
    <row r="546" spans="2:9" x14ac:dyDescent="0.25">
      <c r="B546" s="2" t="str">
        <f>"096666#"</f>
        <v>096666#</v>
      </c>
      <c r="C546" s="2" t="str">
        <f>"TWO-86"</f>
        <v>TWO-86</v>
      </c>
      <c r="D546" s="1" t="str">
        <f t="shared" si="4"/>
        <v>Hergebruik Otolift TWO buitenbocht trap</v>
      </c>
      <c r="E546" s="1"/>
      <c r="F546" s="3">
        <v>39499</v>
      </c>
      <c r="G546" s="3">
        <v>42052</v>
      </c>
      <c r="H546" s="3">
        <v>43419</v>
      </c>
      <c r="I546" s="3">
        <v>43784</v>
      </c>
    </row>
    <row r="547" spans="2:9" x14ac:dyDescent="0.25">
      <c r="B547" s="2" t="str">
        <f>"098767#"</f>
        <v>098767#</v>
      </c>
      <c r="C547" s="2" t="str">
        <f>"TWO-86"</f>
        <v>TWO-86</v>
      </c>
      <c r="D547" s="1" t="str">
        <f t="shared" si="4"/>
        <v>Hergebruik Otolift TWO buitenbocht trap</v>
      </c>
      <c r="E547" s="1"/>
      <c r="F547" s="3">
        <v>39625</v>
      </c>
      <c r="G547" s="3">
        <v>42093</v>
      </c>
      <c r="H547" s="3">
        <v>43552</v>
      </c>
      <c r="I547" s="3">
        <v>43918</v>
      </c>
    </row>
    <row r="548" spans="2:9" x14ac:dyDescent="0.25">
      <c r="B548" s="2" t="str">
        <f>"097558#"</f>
        <v>097558#</v>
      </c>
      <c r="C548" s="2" t="str">
        <f>"TWO-85"</f>
        <v>TWO-85</v>
      </c>
      <c r="D548" s="1" t="str">
        <f t="shared" si="4"/>
        <v>Hergebruik Otolift TWO buitenbocht trap</v>
      </c>
      <c r="E548" s="1"/>
      <c r="F548" s="3">
        <v>39633</v>
      </c>
      <c r="G548" s="3">
        <v>42142</v>
      </c>
      <c r="H548" s="3">
        <v>43664</v>
      </c>
      <c r="I548" s="3">
        <v>43571</v>
      </c>
    </row>
    <row r="549" spans="2:9" x14ac:dyDescent="0.25">
      <c r="B549" s="2" t="str">
        <f>"103608#"</f>
        <v>103608#</v>
      </c>
      <c r="C549" s="2" t="str">
        <f>"TWO-85"</f>
        <v>TWO-85</v>
      </c>
      <c r="D549" s="1" t="str">
        <f t="shared" si="4"/>
        <v>Hergebruik Otolift TWO buitenbocht trap</v>
      </c>
      <c r="E549" s="1"/>
      <c r="F549" s="3">
        <v>40001</v>
      </c>
      <c r="G549" s="3">
        <v>42173</v>
      </c>
      <c r="H549" s="3">
        <v>43426</v>
      </c>
      <c r="I549" s="3">
        <v>43791</v>
      </c>
    </row>
    <row r="550" spans="2:9" x14ac:dyDescent="0.25">
      <c r="B550" s="2" t="str">
        <f>"101264#"</f>
        <v>101264#</v>
      </c>
      <c r="C550" s="2" t="str">
        <f>"TWO-86"</f>
        <v>TWO-86</v>
      </c>
      <c r="D550" s="1" t="str">
        <f t="shared" si="4"/>
        <v>Hergebruik Otolift TWO buitenbocht trap</v>
      </c>
      <c r="E550" s="1"/>
      <c r="F550" s="3">
        <v>39829</v>
      </c>
      <c r="G550" s="3">
        <v>42243</v>
      </c>
      <c r="H550" s="3">
        <v>43472</v>
      </c>
      <c r="I550" s="3">
        <v>43837</v>
      </c>
    </row>
    <row r="551" spans="2:9" x14ac:dyDescent="0.25">
      <c r="B551" s="2" t="str">
        <f>"84986#"</f>
        <v>84986#</v>
      </c>
      <c r="C551" s="2" t="str">
        <f>"TWO-85"</f>
        <v>TWO-85</v>
      </c>
      <c r="D551" s="1" t="str">
        <f t="shared" si="4"/>
        <v>Hergebruik Otolift TWO buitenbocht trap</v>
      </c>
      <c r="E551" s="1"/>
      <c r="F551" s="3">
        <v>38625</v>
      </c>
      <c r="G551" s="3">
        <v>42242</v>
      </c>
      <c r="H551" s="3">
        <v>43486</v>
      </c>
      <c r="I551" s="3">
        <v>43851</v>
      </c>
    </row>
    <row r="552" spans="2:9" x14ac:dyDescent="0.25">
      <c r="B552" s="2" t="str">
        <f>"093747#"</f>
        <v>093747#</v>
      </c>
      <c r="C552" s="2" t="str">
        <f>"TWO-85"</f>
        <v>TWO-85</v>
      </c>
      <c r="D552" s="1" t="str">
        <f t="shared" si="4"/>
        <v>Hergebruik Otolift TWO buitenbocht trap</v>
      </c>
      <c r="E552" s="1"/>
      <c r="F552" s="3">
        <v>39209</v>
      </c>
      <c r="G552" s="3">
        <v>42257</v>
      </c>
      <c r="H552" s="3">
        <v>43473</v>
      </c>
      <c r="I552" s="3">
        <v>43838</v>
      </c>
    </row>
    <row r="553" spans="2:9" x14ac:dyDescent="0.25">
      <c r="B553" s="2" t="str">
        <f>"095361#"</f>
        <v>095361#</v>
      </c>
      <c r="C553" s="2" t="str">
        <f>"TWO-85"</f>
        <v>TWO-85</v>
      </c>
      <c r="D553" s="1" t="str">
        <f t="shared" si="4"/>
        <v>Hergebruik Otolift TWO buitenbocht trap</v>
      </c>
      <c r="E553" s="1"/>
      <c r="F553" s="3">
        <v>39343</v>
      </c>
      <c r="G553" s="3">
        <v>42300</v>
      </c>
      <c r="H553" s="3">
        <v>43473</v>
      </c>
      <c r="I553" s="3">
        <v>43838</v>
      </c>
    </row>
    <row r="554" spans="2:9" x14ac:dyDescent="0.25">
      <c r="B554" s="2" t="str">
        <f>"095907#"</f>
        <v>095907#</v>
      </c>
      <c r="C554" s="2" t="str">
        <f>"TWO-85"</f>
        <v>TWO-85</v>
      </c>
      <c r="D554" s="1" t="str">
        <f t="shared" si="4"/>
        <v>Hergebruik Otolift TWO buitenbocht trap</v>
      </c>
      <c r="E554" s="1"/>
      <c r="F554" s="3">
        <v>39408</v>
      </c>
      <c r="G554" s="3">
        <v>42269</v>
      </c>
      <c r="H554" s="3">
        <v>43417</v>
      </c>
      <c r="I554" s="3">
        <v>43782</v>
      </c>
    </row>
    <row r="555" spans="2:9" x14ac:dyDescent="0.25">
      <c r="B555" s="2" t="str">
        <f>"123622#"</f>
        <v>123622#</v>
      </c>
      <c r="C555" s="2" t="str">
        <f>"ONE-4000"</f>
        <v>ONE-4000</v>
      </c>
      <c r="D555" s="1" t="str">
        <f>"ONE-Excellent"</f>
        <v>ONE-Excellent</v>
      </c>
      <c r="E555" s="1" t="s">
        <v>11</v>
      </c>
      <c r="F555" s="3">
        <v>42086</v>
      </c>
      <c r="G555" s="3">
        <v>42086</v>
      </c>
      <c r="H555" s="3">
        <v>43411</v>
      </c>
      <c r="I555" s="3">
        <v>43776</v>
      </c>
    </row>
    <row r="556" spans="2:9" x14ac:dyDescent="0.25">
      <c r="B556" s="2" t="str">
        <f>"098068#"</f>
        <v>098068#</v>
      </c>
      <c r="C556" s="2" t="str">
        <f>"TWO-86"</f>
        <v>TWO-86</v>
      </c>
      <c r="D556" s="1" t="str">
        <f t="shared" ref="D556:D602" si="5">"Hergebruik Otolift TWO buitenbocht trap"</f>
        <v>Hergebruik Otolift TWO buitenbocht trap</v>
      </c>
      <c r="E556" s="1"/>
      <c r="F556" s="3">
        <v>39587</v>
      </c>
      <c r="G556" s="3">
        <v>42282</v>
      </c>
      <c r="H556" s="3">
        <v>43546</v>
      </c>
      <c r="I556" s="3">
        <v>43912</v>
      </c>
    </row>
    <row r="557" spans="2:9" x14ac:dyDescent="0.25">
      <c r="B557" s="2" t="str">
        <f>"099369#"</f>
        <v>099369#</v>
      </c>
      <c r="C557" s="2" t="str">
        <f>"TWO-86-K"</f>
        <v>TWO-86-K</v>
      </c>
      <c r="D557" s="1" t="str">
        <f t="shared" si="5"/>
        <v>Hergebruik Otolift TWO buitenbocht trap</v>
      </c>
      <c r="E557" s="1"/>
      <c r="F557" s="3">
        <v>39686</v>
      </c>
      <c r="G557" s="3">
        <v>42297</v>
      </c>
      <c r="H557" s="3">
        <v>43423</v>
      </c>
      <c r="I557" s="3">
        <v>43480</v>
      </c>
    </row>
    <row r="558" spans="2:9" x14ac:dyDescent="0.25">
      <c r="B558" s="2" t="str">
        <f>"091403#"</f>
        <v>091403#</v>
      </c>
      <c r="C558" s="2" t="str">
        <f>"TWO-85"</f>
        <v>TWO-85</v>
      </c>
      <c r="D558" s="1" t="str">
        <f t="shared" si="5"/>
        <v>Hergebruik Otolift TWO buitenbocht trap</v>
      </c>
      <c r="E558" s="1"/>
      <c r="F558" s="3">
        <v>39029</v>
      </c>
      <c r="G558" s="3">
        <v>42347</v>
      </c>
      <c r="H558" s="3">
        <v>43630</v>
      </c>
      <c r="I558" s="3">
        <v>43469</v>
      </c>
    </row>
    <row r="559" spans="2:9" x14ac:dyDescent="0.25">
      <c r="B559" s="2" t="str">
        <f>"102475#"</f>
        <v>102475#</v>
      </c>
      <c r="C559" s="2" t="str">
        <f>"TWO-85"</f>
        <v>TWO-85</v>
      </c>
      <c r="D559" s="1" t="str">
        <f t="shared" si="5"/>
        <v>Hergebruik Otolift TWO buitenbocht trap</v>
      </c>
      <c r="E559" s="1"/>
      <c r="F559" s="3">
        <v>39926</v>
      </c>
      <c r="G559" s="3">
        <v>42317</v>
      </c>
      <c r="H559" s="3">
        <v>43374</v>
      </c>
      <c r="I559" s="3">
        <v>43571</v>
      </c>
    </row>
    <row r="560" spans="2:9" x14ac:dyDescent="0.25">
      <c r="B560" s="2" t="str">
        <f>"094557#"</f>
        <v>094557#</v>
      </c>
      <c r="C560" s="2" t="str">
        <f>"TWO-86-SZ"</f>
        <v>TWO-86-SZ</v>
      </c>
      <c r="D560" s="1" t="str">
        <f t="shared" si="5"/>
        <v>Hergebruik Otolift TWO buitenbocht trap</v>
      </c>
      <c r="E560" s="1"/>
      <c r="F560" s="3">
        <v>39274</v>
      </c>
      <c r="G560" s="3">
        <v>42325</v>
      </c>
      <c r="H560" s="3">
        <v>43111</v>
      </c>
      <c r="I560" s="3">
        <v>43476</v>
      </c>
    </row>
    <row r="561" spans="2:9" x14ac:dyDescent="0.25">
      <c r="B561" s="2" t="str">
        <f>"103651#"</f>
        <v>103651#</v>
      </c>
      <c r="C561" s="2" t="str">
        <f>"TWO-86"</f>
        <v>TWO-86</v>
      </c>
      <c r="D561" s="1" t="str">
        <f t="shared" si="5"/>
        <v>Hergebruik Otolift TWO buitenbocht trap</v>
      </c>
      <c r="E561" s="1"/>
      <c r="F561" s="3">
        <v>39988</v>
      </c>
      <c r="G561" s="3">
        <v>42324</v>
      </c>
      <c r="H561" s="3">
        <v>43476</v>
      </c>
      <c r="I561" s="3">
        <v>43841</v>
      </c>
    </row>
    <row r="562" spans="2:9" x14ac:dyDescent="0.25">
      <c r="B562" s="2" t="str">
        <f>"097103#"</f>
        <v>097103#</v>
      </c>
      <c r="C562" s="2" t="str">
        <f>"TWO-86"</f>
        <v>TWO-86</v>
      </c>
      <c r="D562" s="1" t="str">
        <f t="shared" si="5"/>
        <v>Hergebruik Otolift TWO buitenbocht trap</v>
      </c>
      <c r="E562" s="1"/>
      <c r="F562" s="3">
        <v>39511</v>
      </c>
      <c r="G562" s="3">
        <v>42331</v>
      </c>
      <c r="H562" s="3">
        <v>43482</v>
      </c>
      <c r="I562" s="3">
        <v>43847</v>
      </c>
    </row>
    <row r="563" spans="2:9" x14ac:dyDescent="0.25">
      <c r="B563" s="2" t="str">
        <f>"091022#"</f>
        <v>091022#</v>
      </c>
      <c r="C563" s="2" t="str">
        <f>"TWO-85"</f>
        <v>TWO-85</v>
      </c>
      <c r="D563" s="1" t="str">
        <f t="shared" si="5"/>
        <v>Hergebruik Otolift TWO buitenbocht trap</v>
      </c>
      <c r="E563" s="1"/>
      <c r="F563" s="3">
        <v>38974</v>
      </c>
      <c r="G563" s="3">
        <v>42352</v>
      </c>
      <c r="H563" s="3">
        <v>43424</v>
      </c>
      <c r="I563" s="3">
        <v>43789</v>
      </c>
    </row>
    <row r="564" spans="2:9" x14ac:dyDescent="0.25">
      <c r="B564" s="2" t="str">
        <f>"108435#"</f>
        <v>108435#</v>
      </c>
      <c r="C564" s="2" t="str">
        <f>"TWO-85"</f>
        <v>TWO-85</v>
      </c>
      <c r="D564" s="1" t="str">
        <f t="shared" si="5"/>
        <v>Hergebruik Otolift TWO buitenbocht trap</v>
      </c>
      <c r="E564" s="1"/>
      <c r="F564" s="3">
        <v>40357</v>
      </c>
      <c r="G564" s="3">
        <v>42353</v>
      </c>
      <c r="H564" s="3">
        <v>43785</v>
      </c>
      <c r="I564" s="3">
        <v>43960</v>
      </c>
    </row>
    <row r="565" spans="2:9" x14ac:dyDescent="0.25">
      <c r="B565" s="2" t="str">
        <f>"089146#"</f>
        <v>089146#</v>
      </c>
      <c r="C565" s="2" t="str">
        <f>"TWO-85"</f>
        <v>TWO-85</v>
      </c>
      <c r="D565" s="1" t="str">
        <f t="shared" si="5"/>
        <v>Hergebruik Otolift TWO buitenbocht trap</v>
      </c>
      <c r="E565" s="1"/>
      <c r="F565" s="3">
        <v>38778</v>
      </c>
      <c r="G565" s="3">
        <v>42387</v>
      </c>
      <c r="H565" s="3">
        <v>43634</v>
      </c>
      <c r="I565" s="3">
        <v>43566</v>
      </c>
    </row>
    <row r="566" spans="2:9" x14ac:dyDescent="0.25">
      <c r="B566" s="2" t="str">
        <f>"094670#"</f>
        <v>094670#</v>
      </c>
      <c r="C566" s="2" t="str">
        <f>"TWO-85-S"</f>
        <v>TWO-85-S</v>
      </c>
      <c r="D566" s="1" t="str">
        <f t="shared" si="5"/>
        <v>Hergebruik Otolift TWO buitenbocht trap</v>
      </c>
      <c r="E566" s="1"/>
      <c r="F566" s="3">
        <v>39328</v>
      </c>
      <c r="G566" s="3">
        <v>42410</v>
      </c>
      <c r="H566" s="3">
        <v>43748</v>
      </c>
      <c r="I566" s="3">
        <v>43924</v>
      </c>
    </row>
    <row r="567" spans="2:9" x14ac:dyDescent="0.25">
      <c r="B567" s="2" t="str">
        <f>"101022#"</f>
        <v>101022#</v>
      </c>
      <c r="C567" s="2" t="str">
        <f>"TWO-86"</f>
        <v>TWO-86</v>
      </c>
      <c r="D567" s="1" t="str">
        <f t="shared" si="5"/>
        <v>Hergebruik Otolift TWO buitenbocht trap</v>
      </c>
      <c r="E567" s="1"/>
      <c r="F567" s="3">
        <v>39793</v>
      </c>
      <c r="G567" s="3">
        <v>42426</v>
      </c>
      <c r="H567" s="3">
        <v>43738</v>
      </c>
      <c r="I567" s="3">
        <v>43728</v>
      </c>
    </row>
    <row r="568" spans="2:9" x14ac:dyDescent="0.25">
      <c r="B568" s="2" t="str">
        <f>"096000#"</f>
        <v>096000#</v>
      </c>
      <c r="C568" s="2" t="str">
        <f>"TWO-86"</f>
        <v>TWO-86</v>
      </c>
      <c r="D568" s="1" t="str">
        <f t="shared" si="5"/>
        <v>Hergebruik Otolift TWO buitenbocht trap</v>
      </c>
      <c r="E568" s="1"/>
      <c r="F568" s="3">
        <v>39393</v>
      </c>
      <c r="G568" s="3">
        <v>42704</v>
      </c>
      <c r="H568" s="3">
        <v>43104</v>
      </c>
      <c r="I568" s="3">
        <v>43469</v>
      </c>
    </row>
    <row r="569" spans="2:9" x14ac:dyDescent="0.25">
      <c r="B569" s="2" t="str">
        <f>"107198#"</f>
        <v>107198#</v>
      </c>
      <c r="C569" s="2" t="str">
        <f>"TWO-86"</f>
        <v>TWO-86</v>
      </c>
      <c r="D569" s="1" t="str">
        <f t="shared" si="5"/>
        <v>Hergebruik Otolift TWO buitenbocht trap</v>
      </c>
      <c r="E569" s="1"/>
      <c r="F569" s="3">
        <v>40259</v>
      </c>
      <c r="G569" s="3">
        <v>42500</v>
      </c>
      <c r="H569" s="3">
        <v>43648</v>
      </c>
      <c r="I569" s="3">
        <v>43581</v>
      </c>
    </row>
    <row r="570" spans="2:9" x14ac:dyDescent="0.25">
      <c r="B570" s="2" t="str">
        <f>"104740#"</f>
        <v>104740#</v>
      </c>
      <c r="C570" s="2" t="str">
        <f>"TWO-86-S"</f>
        <v>TWO-86-S</v>
      </c>
      <c r="D570" s="1" t="str">
        <f t="shared" si="5"/>
        <v>Hergebruik Otolift TWO buitenbocht trap</v>
      </c>
      <c r="E570" s="1"/>
      <c r="F570" s="3">
        <v>40077</v>
      </c>
      <c r="G570" s="3">
        <v>42486</v>
      </c>
      <c r="H570" s="3">
        <v>43744</v>
      </c>
      <c r="I570" s="3">
        <v>43953</v>
      </c>
    </row>
    <row r="571" spans="2:9" x14ac:dyDescent="0.25">
      <c r="B571" s="2" t="str">
        <f>"107098#"</f>
        <v>107098#</v>
      </c>
      <c r="C571" s="2" t="str">
        <f>"TWO-86-SZ"</f>
        <v>TWO-86-SZ</v>
      </c>
      <c r="D571" s="1" t="str">
        <f t="shared" si="5"/>
        <v>Hergebruik Otolift TWO buitenbocht trap</v>
      </c>
      <c r="E571" s="1"/>
      <c r="F571" s="3">
        <v>40240</v>
      </c>
      <c r="G571" s="3">
        <v>42488</v>
      </c>
      <c r="H571" s="3">
        <v>43651</v>
      </c>
      <c r="I571" s="3">
        <v>43603</v>
      </c>
    </row>
    <row r="572" spans="2:9" x14ac:dyDescent="0.25">
      <c r="B572" s="2" t="str">
        <f>"106792#"</f>
        <v>106792#</v>
      </c>
      <c r="C572" s="2" t="str">
        <f>"TWO-86"</f>
        <v>TWO-86</v>
      </c>
      <c r="D572" s="1" t="str">
        <f t="shared" si="5"/>
        <v>Hergebruik Otolift TWO buitenbocht trap</v>
      </c>
      <c r="E572" s="1"/>
      <c r="F572" s="3">
        <v>40245</v>
      </c>
      <c r="G572" s="3">
        <v>42489</v>
      </c>
      <c r="H572" s="3">
        <v>43339</v>
      </c>
      <c r="I572" s="3">
        <v>43704</v>
      </c>
    </row>
    <row r="573" spans="2:9" x14ac:dyDescent="0.25">
      <c r="B573" s="2" t="str">
        <f>"092897#"</f>
        <v>092897#</v>
      </c>
      <c r="C573" s="2" t="str">
        <f>"TWO-85"</f>
        <v>TWO-85</v>
      </c>
      <c r="D573" s="1" t="str">
        <f t="shared" si="5"/>
        <v>Hergebruik Otolift TWO buitenbocht trap</v>
      </c>
      <c r="E573" s="1"/>
      <c r="F573" s="3">
        <v>39114</v>
      </c>
      <c r="G573" s="3">
        <v>42544</v>
      </c>
      <c r="H573" s="3">
        <v>43483</v>
      </c>
      <c r="I573" s="3">
        <v>43848</v>
      </c>
    </row>
    <row r="574" spans="2:9" x14ac:dyDescent="0.25">
      <c r="B574" s="2" t="str">
        <f>"104707#"</f>
        <v>104707#</v>
      </c>
      <c r="C574" s="2" t="str">
        <f>"TWO-86"</f>
        <v>TWO-86</v>
      </c>
      <c r="D574" s="1" t="str">
        <f t="shared" si="5"/>
        <v>Hergebruik Otolift TWO buitenbocht trap</v>
      </c>
      <c r="E574" s="1"/>
      <c r="F574" s="3">
        <v>40077</v>
      </c>
      <c r="G574" s="3">
        <v>42551</v>
      </c>
      <c r="H574" s="3">
        <v>43658</v>
      </c>
      <c r="I574" s="3">
        <v>43677</v>
      </c>
    </row>
    <row r="575" spans="2:9" x14ac:dyDescent="0.25">
      <c r="B575" s="2" t="str">
        <f>"093477#"</f>
        <v>093477#</v>
      </c>
      <c r="C575" s="2" t="str">
        <f>"TWO-85"</f>
        <v>TWO-85</v>
      </c>
      <c r="D575" s="1" t="str">
        <f t="shared" si="5"/>
        <v>Hergebruik Otolift TWO buitenbocht trap</v>
      </c>
      <c r="E575" s="1"/>
      <c r="F575" s="3">
        <v>39204</v>
      </c>
      <c r="G575" s="3">
        <v>42537</v>
      </c>
      <c r="H575" s="3">
        <v>43651</v>
      </c>
      <c r="I575" s="3">
        <v>43643</v>
      </c>
    </row>
    <row r="576" spans="2:9" x14ac:dyDescent="0.25">
      <c r="B576" s="2" t="str">
        <f>"093499#"</f>
        <v>093499#</v>
      </c>
      <c r="C576" s="2" t="str">
        <f>"TWO-86"</f>
        <v>TWO-86</v>
      </c>
      <c r="D576" s="1" t="str">
        <f t="shared" si="5"/>
        <v>Hergebruik Otolift TWO buitenbocht trap</v>
      </c>
      <c r="E576" s="1"/>
      <c r="F576" s="3">
        <v>39156</v>
      </c>
      <c r="G576" s="3">
        <v>42542</v>
      </c>
      <c r="H576" s="3">
        <v>43742</v>
      </c>
      <c r="I576" s="3">
        <v>43721</v>
      </c>
    </row>
    <row r="577" spans="2:9" x14ac:dyDescent="0.25">
      <c r="B577" s="2" t="str">
        <f>"096531#"</f>
        <v>096531#</v>
      </c>
      <c r="C577" s="2" t="str">
        <f>"TWO-86-S"</f>
        <v>TWO-86-S</v>
      </c>
      <c r="D577" s="1" t="str">
        <f t="shared" si="5"/>
        <v>Hergebruik Otolift TWO buitenbocht trap</v>
      </c>
      <c r="E577" s="1"/>
      <c r="F577" s="3">
        <v>39436</v>
      </c>
      <c r="G577" s="3">
        <v>42599</v>
      </c>
      <c r="H577" s="3">
        <v>43734</v>
      </c>
      <c r="I577" s="3">
        <v>43721</v>
      </c>
    </row>
    <row r="578" spans="2:9" x14ac:dyDescent="0.25">
      <c r="B578" s="2" t="str">
        <f>"095787#"</f>
        <v>095787#</v>
      </c>
      <c r="C578" s="2" t="str">
        <f>"TWO-86-S"</f>
        <v>TWO-86-S</v>
      </c>
      <c r="D578" s="1" t="str">
        <f t="shared" si="5"/>
        <v>Hergebruik Otolift TWO buitenbocht trap</v>
      </c>
      <c r="E578" s="1"/>
      <c r="F578" s="3">
        <v>39380</v>
      </c>
      <c r="G578" s="3">
        <v>42619</v>
      </c>
      <c r="H578" s="3">
        <v>43740</v>
      </c>
      <c r="I578" s="3">
        <v>43719</v>
      </c>
    </row>
    <row r="579" spans="2:9" x14ac:dyDescent="0.25">
      <c r="B579" s="2" t="str">
        <f>"095284#"</f>
        <v>095284#</v>
      </c>
      <c r="C579" s="2" t="str">
        <f>"TWO-85-S"</f>
        <v>TWO-85-S</v>
      </c>
      <c r="D579" s="1" t="str">
        <f t="shared" si="5"/>
        <v>Hergebruik Otolift TWO buitenbocht trap</v>
      </c>
      <c r="E579" s="1"/>
      <c r="F579" s="3">
        <v>39350</v>
      </c>
      <c r="G579" s="3">
        <v>42720</v>
      </c>
      <c r="H579" s="3">
        <v>43796</v>
      </c>
      <c r="I579" s="3">
        <v>43754</v>
      </c>
    </row>
    <row r="580" spans="2:9" x14ac:dyDescent="0.25">
      <c r="B580" s="2" t="str">
        <f>"104068#"</f>
        <v>104068#</v>
      </c>
      <c r="C580" s="2" t="str">
        <f>"TWO-86-S"</f>
        <v>TWO-86-S</v>
      </c>
      <c r="D580" s="1" t="str">
        <f t="shared" si="5"/>
        <v>Hergebruik Otolift TWO buitenbocht trap</v>
      </c>
      <c r="E580" s="1"/>
      <c r="F580" s="3">
        <v>40109</v>
      </c>
      <c r="G580" s="3">
        <v>42710</v>
      </c>
      <c r="H580" s="3">
        <v>43602</v>
      </c>
      <c r="I580" s="3">
        <v>43781</v>
      </c>
    </row>
    <row r="581" spans="2:9" x14ac:dyDescent="0.25">
      <c r="B581" s="2" t="str">
        <f>"098433#"</f>
        <v>098433#</v>
      </c>
      <c r="C581" s="2" t="str">
        <f>"TWO-86"</f>
        <v>TWO-86</v>
      </c>
      <c r="D581" s="1" t="str">
        <f t="shared" si="5"/>
        <v>Hergebruik Otolift TWO buitenbocht trap</v>
      </c>
      <c r="E581" s="1"/>
      <c r="F581" s="3">
        <v>39624</v>
      </c>
      <c r="G581" s="3">
        <v>42737</v>
      </c>
      <c r="H581" s="3">
        <v>43130</v>
      </c>
      <c r="I581" s="3">
        <v>43495</v>
      </c>
    </row>
    <row r="582" spans="2:9" x14ac:dyDescent="0.25">
      <c r="B582" s="2" t="str">
        <f>"106940#"</f>
        <v>106940#</v>
      </c>
      <c r="C582" s="2" t="str">
        <f>"TWO-86-SZ"</f>
        <v>TWO-86-SZ</v>
      </c>
      <c r="D582" s="1" t="str">
        <f t="shared" si="5"/>
        <v>Hergebruik Otolift TWO buitenbocht trap</v>
      </c>
      <c r="E582" s="1"/>
      <c r="F582" s="3">
        <v>40242</v>
      </c>
      <c r="G582" s="3">
        <v>42746</v>
      </c>
      <c r="H582" s="3">
        <v>43539</v>
      </c>
      <c r="I582" s="3">
        <v>43905</v>
      </c>
    </row>
    <row r="583" spans="2:9" x14ac:dyDescent="0.25">
      <c r="B583" s="2" t="str">
        <f>"100747#"</f>
        <v>100747#</v>
      </c>
      <c r="C583" s="2" t="str">
        <f>"TWO-86"</f>
        <v>TWO-86</v>
      </c>
      <c r="D583" s="1" t="str">
        <f t="shared" si="5"/>
        <v>Hergebruik Otolift TWO buitenbocht trap</v>
      </c>
      <c r="E583" s="1"/>
      <c r="F583" s="3">
        <v>39769</v>
      </c>
      <c r="G583" s="3">
        <v>42738</v>
      </c>
      <c r="H583" s="3">
        <v>43657</v>
      </c>
      <c r="I583" s="3">
        <v>43574</v>
      </c>
    </row>
    <row r="584" spans="2:9" x14ac:dyDescent="0.25">
      <c r="B584" s="2" t="str">
        <f>"102672#"</f>
        <v>102672#</v>
      </c>
      <c r="C584" s="2" t="str">
        <f>"TWO-86-SZ"</f>
        <v>TWO-86-SZ</v>
      </c>
      <c r="D584" s="1" t="str">
        <f t="shared" si="5"/>
        <v>Hergebruik Otolift TWO buitenbocht trap</v>
      </c>
      <c r="E584" s="1"/>
      <c r="F584" s="3">
        <v>39913</v>
      </c>
      <c r="G584" s="3">
        <v>42753</v>
      </c>
      <c r="H584" s="3">
        <v>43607</v>
      </c>
      <c r="I584" s="3">
        <v>43973</v>
      </c>
    </row>
    <row r="585" spans="2:9" x14ac:dyDescent="0.25">
      <c r="B585" s="2" t="str">
        <f>"096061#"</f>
        <v>096061#</v>
      </c>
      <c r="C585" s="2" t="str">
        <f>"TWO-86-S"</f>
        <v>TWO-86-S</v>
      </c>
      <c r="D585" s="1" t="str">
        <f t="shared" si="5"/>
        <v>Hergebruik Otolift TWO buitenbocht trap</v>
      </c>
      <c r="E585" s="1"/>
      <c r="F585" s="3">
        <v>39400</v>
      </c>
      <c r="G585" s="3">
        <v>42796</v>
      </c>
      <c r="H585" s="3">
        <v>43202</v>
      </c>
      <c r="I585" s="3">
        <v>43567</v>
      </c>
    </row>
    <row r="586" spans="2:9" x14ac:dyDescent="0.25">
      <c r="B586" s="2" t="str">
        <f>"112563#"</f>
        <v>112563#</v>
      </c>
      <c r="C586" s="2" t="str">
        <f>"TWO-86"</f>
        <v>TWO-86</v>
      </c>
      <c r="D586" s="1" t="str">
        <f t="shared" si="5"/>
        <v>Hergebruik Otolift TWO buitenbocht trap</v>
      </c>
      <c r="E586" s="1"/>
      <c r="F586" s="3">
        <v>40738</v>
      </c>
      <c r="G586" s="3">
        <v>42808</v>
      </c>
      <c r="H586" s="3">
        <v>43544</v>
      </c>
      <c r="I586" s="3">
        <v>43910</v>
      </c>
    </row>
    <row r="587" spans="2:9" x14ac:dyDescent="0.25">
      <c r="B587" s="2" t="str">
        <f>"101126#"</f>
        <v>101126#</v>
      </c>
      <c r="C587" s="2" t="str">
        <f>"TWO-86"</f>
        <v>TWO-86</v>
      </c>
      <c r="D587" s="1" t="str">
        <f t="shared" si="5"/>
        <v>Hergebruik Otolift TWO buitenbocht trap</v>
      </c>
      <c r="E587" s="1"/>
      <c r="F587" s="3">
        <v>39825</v>
      </c>
      <c r="G587" s="3">
        <v>42818</v>
      </c>
      <c r="H587" s="3">
        <v>43635</v>
      </c>
      <c r="I587" s="3">
        <v>43602</v>
      </c>
    </row>
    <row r="588" spans="2:9" x14ac:dyDescent="0.25">
      <c r="B588" s="2" t="str">
        <f>"100395#"</f>
        <v>100395#</v>
      </c>
      <c r="C588" s="2" t="str">
        <f>"TWO-86-Z"</f>
        <v>TWO-86-Z</v>
      </c>
      <c r="D588" s="1" t="str">
        <f t="shared" si="5"/>
        <v>Hergebruik Otolift TWO buitenbocht trap</v>
      </c>
      <c r="E588" s="1"/>
      <c r="F588" s="3">
        <v>39758</v>
      </c>
      <c r="G588" s="3">
        <v>42965</v>
      </c>
      <c r="H588" s="3">
        <v>43342</v>
      </c>
      <c r="I588" s="3">
        <v>43707</v>
      </c>
    </row>
    <row r="589" spans="2:9" x14ac:dyDescent="0.25">
      <c r="B589" s="2" t="str">
        <f>"101327#"</f>
        <v>101327#</v>
      </c>
      <c r="C589" s="2" t="str">
        <f>"TWO-86-SZ"</f>
        <v>TWO-86-SZ</v>
      </c>
      <c r="D589" s="1" t="str">
        <f t="shared" si="5"/>
        <v>Hergebruik Otolift TWO buitenbocht trap</v>
      </c>
      <c r="E589" s="1"/>
      <c r="F589" s="3">
        <v>39855</v>
      </c>
      <c r="G589" s="3">
        <v>42926</v>
      </c>
      <c r="H589" s="3">
        <v>43587</v>
      </c>
      <c r="I589" s="3">
        <v>43894</v>
      </c>
    </row>
    <row r="590" spans="2:9" x14ac:dyDescent="0.25">
      <c r="B590" s="2" t="str">
        <f>"100318#"</f>
        <v>100318#</v>
      </c>
      <c r="C590" s="2" t="str">
        <f>"TWO-86-SZ"</f>
        <v>TWO-86-SZ</v>
      </c>
      <c r="D590" s="1" t="str">
        <f t="shared" si="5"/>
        <v>Hergebruik Otolift TWO buitenbocht trap</v>
      </c>
      <c r="E590" s="1"/>
      <c r="F590" s="3">
        <v>39799</v>
      </c>
      <c r="G590" s="3">
        <v>42940</v>
      </c>
      <c r="H590" s="3">
        <v>43314</v>
      </c>
      <c r="I590" s="3">
        <v>43679</v>
      </c>
    </row>
    <row r="591" spans="2:9" x14ac:dyDescent="0.25">
      <c r="B591" s="2" t="str">
        <f>"100358#"</f>
        <v>100358#</v>
      </c>
      <c r="C591" s="2" t="str">
        <f>"TWO-85"</f>
        <v>TWO-85</v>
      </c>
      <c r="D591" s="1" t="str">
        <f t="shared" si="5"/>
        <v>Hergebruik Otolift TWO buitenbocht trap</v>
      </c>
      <c r="E591" s="1"/>
      <c r="F591" s="3">
        <v>39763</v>
      </c>
      <c r="G591" s="3">
        <v>42934</v>
      </c>
      <c r="H591" s="3">
        <v>43727</v>
      </c>
      <c r="I591" s="3">
        <v>43720</v>
      </c>
    </row>
    <row r="592" spans="2:9" x14ac:dyDescent="0.25">
      <c r="B592" s="2" t="str">
        <f>"096560#"</f>
        <v>096560#</v>
      </c>
      <c r="C592" s="2" t="str">
        <f>"TWO-85-S"</f>
        <v>TWO-85-S</v>
      </c>
      <c r="D592" s="1" t="str">
        <f t="shared" si="5"/>
        <v>Hergebruik Otolift TWO buitenbocht trap</v>
      </c>
      <c r="E592" s="1"/>
      <c r="F592" s="3">
        <v>39469</v>
      </c>
      <c r="G592" s="3">
        <v>42978</v>
      </c>
      <c r="H592" s="3">
        <v>43762</v>
      </c>
      <c r="I592" s="3">
        <v>43754</v>
      </c>
    </row>
    <row r="593" spans="2:9" x14ac:dyDescent="0.25">
      <c r="B593" s="2" t="str">
        <f>"102836#"</f>
        <v>102836#</v>
      </c>
      <c r="C593" s="2" t="str">
        <f>"TWO-86"</f>
        <v>TWO-86</v>
      </c>
      <c r="D593" s="1" t="str">
        <f t="shared" si="5"/>
        <v>Hergebruik Otolift TWO buitenbocht trap</v>
      </c>
      <c r="E593" s="1"/>
      <c r="F593" s="3">
        <v>39926</v>
      </c>
      <c r="G593" s="3">
        <v>42962</v>
      </c>
      <c r="H593" s="3">
        <v>43333</v>
      </c>
      <c r="I593" s="3">
        <v>43698</v>
      </c>
    </row>
    <row r="594" spans="2:9" x14ac:dyDescent="0.25">
      <c r="B594" s="2" t="str">
        <f>"097115#"</f>
        <v>097115#</v>
      </c>
      <c r="C594" s="2" t="str">
        <f>"TWO-86"</f>
        <v>TWO-86</v>
      </c>
      <c r="D594" s="1" t="str">
        <f t="shared" si="5"/>
        <v>Hergebruik Otolift TWO buitenbocht trap</v>
      </c>
      <c r="E594" s="1"/>
      <c r="F594" s="3">
        <v>39521</v>
      </c>
      <c r="G594" s="3">
        <v>42970</v>
      </c>
      <c r="H594" s="3">
        <v>43336</v>
      </c>
      <c r="I594" s="3">
        <v>43701</v>
      </c>
    </row>
    <row r="595" spans="2:9" x14ac:dyDescent="0.25">
      <c r="B595" s="2" t="str">
        <f>"100350#"</f>
        <v>100350#</v>
      </c>
      <c r="C595" s="2" t="str">
        <f>"TWO-85"</f>
        <v>TWO-85</v>
      </c>
      <c r="D595" s="1" t="str">
        <f t="shared" si="5"/>
        <v>Hergebruik Otolift TWO buitenbocht trap</v>
      </c>
      <c r="E595" s="1"/>
      <c r="F595" s="3">
        <v>39786</v>
      </c>
      <c r="G595" s="3">
        <v>42971</v>
      </c>
      <c r="H595" s="3">
        <v>43738</v>
      </c>
      <c r="I595" s="3">
        <v>43715</v>
      </c>
    </row>
    <row r="596" spans="2:9" x14ac:dyDescent="0.25">
      <c r="B596" s="2" t="str">
        <f>"095285#"</f>
        <v>095285#</v>
      </c>
      <c r="C596" s="2" t="str">
        <f>"TWO-85"</f>
        <v>TWO-85</v>
      </c>
      <c r="D596" s="1" t="str">
        <f t="shared" si="5"/>
        <v>Hergebruik Otolift TWO buitenbocht trap</v>
      </c>
      <c r="E596" s="1"/>
      <c r="F596" s="3">
        <v>39373</v>
      </c>
      <c r="G596" s="3">
        <v>42996</v>
      </c>
      <c r="H596" s="3">
        <v>43766</v>
      </c>
      <c r="I596" s="3">
        <v>43741</v>
      </c>
    </row>
    <row r="597" spans="2:9" x14ac:dyDescent="0.25">
      <c r="B597" s="2" t="str">
        <f>"096927#"</f>
        <v>096927#</v>
      </c>
      <c r="C597" s="2" t="str">
        <f>"TWO-85"</f>
        <v>TWO-85</v>
      </c>
      <c r="D597" s="1" t="str">
        <f t="shared" si="5"/>
        <v>Hergebruik Otolift TWO buitenbocht trap</v>
      </c>
      <c r="E597" s="1"/>
      <c r="F597" s="3">
        <v>39490</v>
      </c>
      <c r="G597" s="3">
        <v>43000</v>
      </c>
      <c r="H597" s="3">
        <v>43776</v>
      </c>
      <c r="I597" s="3">
        <v>43742</v>
      </c>
    </row>
    <row r="598" spans="2:9" x14ac:dyDescent="0.25">
      <c r="B598" s="2" t="str">
        <f>"100289#"</f>
        <v>100289#</v>
      </c>
      <c r="C598" s="2" t="str">
        <f>"TWO-86"</f>
        <v>TWO-86</v>
      </c>
      <c r="D598" s="1" t="str">
        <f t="shared" si="5"/>
        <v>Hergebruik Otolift TWO buitenbocht trap</v>
      </c>
      <c r="E598" s="1"/>
      <c r="F598" s="3">
        <v>39755</v>
      </c>
      <c r="G598" s="3">
        <v>43028</v>
      </c>
      <c r="H598" s="3">
        <v>43559</v>
      </c>
      <c r="I598" s="3">
        <v>43802</v>
      </c>
    </row>
    <row r="599" spans="2:9" x14ac:dyDescent="0.25">
      <c r="B599" s="2" t="str">
        <f>"097878#"</f>
        <v>097878#</v>
      </c>
      <c r="C599" s="2" t="str">
        <f>"TWO-85"</f>
        <v>TWO-85</v>
      </c>
      <c r="D599" s="1" t="str">
        <f t="shared" si="5"/>
        <v>Hergebruik Otolift TWO buitenbocht trap</v>
      </c>
      <c r="E599" s="1"/>
      <c r="F599" s="3">
        <v>39584</v>
      </c>
      <c r="G599" s="3">
        <v>43020</v>
      </c>
      <c r="H599" s="3">
        <v>43769</v>
      </c>
      <c r="I599" s="3">
        <v>43753</v>
      </c>
    </row>
    <row r="600" spans="2:9" x14ac:dyDescent="0.25">
      <c r="B600" s="2" t="str">
        <f>"101830#"</f>
        <v>101830#</v>
      </c>
      <c r="C600" s="2" t="str">
        <f>"TWO-85-S"</f>
        <v>TWO-85-S</v>
      </c>
      <c r="D600" s="1" t="str">
        <f t="shared" si="5"/>
        <v>Hergebruik Otolift TWO buitenbocht trap</v>
      </c>
      <c r="E600" s="1"/>
      <c r="F600" s="3">
        <v>39868</v>
      </c>
      <c r="G600" s="3">
        <v>43019</v>
      </c>
      <c r="H600" s="3">
        <v>43682</v>
      </c>
      <c r="I600" s="3">
        <v>43797</v>
      </c>
    </row>
    <row r="601" spans="2:9" x14ac:dyDescent="0.25">
      <c r="B601" s="2" t="str">
        <f>"102698#"</f>
        <v>102698#</v>
      </c>
      <c r="C601" s="2" t="str">
        <f>"TWO-85-S"</f>
        <v>TWO-85-S</v>
      </c>
      <c r="D601" s="1" t="str">
        <f t="shared" si="5"/>
        <v>Hergebruik Otolift TWO buitenbocht trap</v>
      </c>
      <c r="E601" s="1"/>
      <c r="F601" s="3">
        <v>39947</v>
      </c>
      <c r="G601" s="3">
        <v>43158</v>
      </c>
      <c r="H601" s="3">
        <v>43530</v>
      </c>
      <c r="I601" s="3">
        <v>43896</v>
      </c>
    </row>
    <row r="602" spans="2:9" x14ac:dyDescent="0.25">
      <c r="B602" s="2" t="str">
        <f>"112121#"</f>
        <v>112121#</v>
      </c>
      <c r="C602" s="2" t="str">
        <f>"TWO-86-S"</f>
        <v>TWO-86-S</v>
      </c>
      <c r="D602" s="1" t="str">
        <f t="shared" si="5"/>
        <v>Hergebruik Otolift TWO buitenbocht trap</v>
      </c>
      <c r="E602" s="1"/>
      <c r="F602" s="3">
        <v>40686</v>
      </c>
      <c r="G602" s="3">
        <v>43034</v>
      </c>
      <c r="H602" s="3">
        <v>43798</v>
      </c>
      <c r="I602" s="3">
        <v>43774</v>
      </c>
    </row>
    <row r="603" spans="2:9" x14ac:dyDescent="0.25">
      <c r="B603" s="2" t="str">
        <f>"123696#"</f>
        <v>123696#</v>
      </c>
      <c r="C603" s="2" t="str">
        <f>"MOD-G-6040-1"</f>
        <v>MOD-G-6040-1</v>
      </c>
      <c r="D603" s="1" t="str">
        <f>"Hergebruik Otolift Modul-AIR buitenbocht"</f>
        <v>Hergebruik Otolift Modul-AIR buitenbocht</v>
      </c>
      <c r="E603" s="1" t="s">
        <v>7</v>
      </c>
      <c r="F603" s="3">
        <v>42079</v>
      </c>
      <c r="G603" s="3">
        <v>43544</v>
      </c>
      <c r="H603" s="3">
        <v>43544</v>
      </c>
      <c r="I603" s="3" t="str">
        <f>""</f>
        <v/>
      </c>
    </row>
    <row r="604" spans="2:9" x14ac:dyDescent="0.25">
      <c r="B604" s="2" t="str">
        <f>"098117#"</f>
        <v>098117#</v>
      </c>
      <c r="C604" s="2" t="str">
        <f>"TWO-85"</f>
        <v>TWO-85</v>
      </c>
      <c r="D604" s="1" t="str">
        <f t="shared" ref="D604:D611" si="6">"Hergebruik Otolift TWO buitenbocht trap"</f>
        <v>Hergebruik Otolift TWO buitenbocht trap</v>
      </c>
      <c r="E604" s="1"/>
      <c r="F604" s="3">
        <v>39608</v>
      </c>
      <c r="G604" s="3">
        <v>43070</v>
      </c>
      <c r="H604" s="3">
        <v>43490</v>
      </c>
      <c r="I604" s="3">
        <v>43855</v>
      </c>
    </row>
    <row r="605" spans="2:9" x14ac:dyDescent="0.25">
      <c r="B605" s="2" t="str">
        <f>"101897#"</f>
        <v>101897#</v>
      </c>
      <c r="C605" s="2" t="str">
        <f>"TWO-85"</f>
        <v>TWO-85</v>
      </c>
      <c r="D605" s="1" t="str">
        <f t="shared" si="6"/>
        <v>Hergebruik Otolift TWO buitenbocht trap</v>
      </c>
      <c r="E605" s="1"/>
      <c r="F605" s="3">
        <v>39902</v>
      </c>
      <c r="G605" s="3">
        <v>43132</v>
      </c>
      <c r="H605" s="3">
        <v>43511</v>
      </c>
      <c r="I605" s="3">
        <v>43876</v>
      </c>
    </row>
    <row r="606" spans="2:9" x14ac:dyDescent="0.25">
      <c r="B606" s="2" t="str">
        <f>"099663#"</f>
        <v>099663#</v>
      </c>
      <c r="C606" s="2" t="str">
        <f>"TWO-86"</f>
        <v>TWO-86</v>
      </c>
      <c r="D606" s="1" t="str">
        <f t="shared" si="6"/>
        <v>Hergebruik Otolift TWO buitenbocht trap</v>
      </c>
      <c r="E606" s="1"/>
      <c r="F606" s="3">
        <v>39716</v>
      </c>
      <c r="G606" s="3">
        <v>43147</v>
      </c>
      <c r="H606" s="3">
        <v>43523</v>
      </c>
      <c r="I606" s="3">
        <v>43888</v>
      </c>
    </row>
    <row r="607" spans="2:9" x14ac:dyDescent="0.25">
      <c r="B607" s="2" t="str">
        <f>"102211#"</f>
        <v>102211#</v>
      </c>
      <c r="C607" s="2" t="str">
        <f>"TWO-85"</f>
        <v>TWO-85</v>
      </c>
      <c r="D607" s="1" t="str">
        <f t="shared" si="6"/>
        <v>Hergebruik Otolift TWO buitenbocht trap</v>
      </c>
      <c r="E607" s="1"/>
      <c r="F607" s="3">
        <v>39913</v>
      </c>
      <c r="G607" s="3">
        <v>43242</v>
      </c>
      <c r="H607" s="3">
        <v>43801</v>
      </c>
      <c r="I607" s="3">
        <v>43607</v>
      </c>
    </row>
    <row r="608" spans="2:9" x14ac:dyDescent="0.25">
      <c r="B608" s="2" t="str">
        <f>"099993#"</f>
        <v>099993#</v>
      </c>
      <c r="C608" s="2" t="str">
        <f>"TWO-86"</f>
        <v>TWO-86</v>
      </c>
      <c r="D608" s="1" t="str">
        <f t="shared" si="6"/>
        <v>Hergebruik Otolift TWO buitenbocht trap</v>
      </c>
      <c r="E608" s="1"/>
      <c r="F608" s="3">
        <v>39793</v>
      </c>
      <c r="G608" s="3">
        <v>43215</v>
      </c>
      <c r="H608" s="3">
        <v>43644</v>
      </c>
      <c r="I608" s="3">
        <v>43580</v>
      </c>
    </row>
    <row r="609" spans="2:9" x14ac:dyDescent="0.25">
      <c r="B609" s="2" t="str">
        <f>"116310#"</f>
        <v>116310#</v>
      </c>
      <c r="C609" s="2" t="str">
        <f>"TWO-85"</f>
        <v>TWO-85</v>
      </c>
      <c r="D609" s="1" t="str">
        <f t="shared" si="6"/>
        <v>Hergebruik Otolift TWO buitenbocht trap</v>
      </c>
      <c r="E609" s="1"/>
      <c r="F609" s="3">
        <v>41180</v>
      </c>
      <c r="G609" s="3">
        <v>43269</v>
      </c>
      <c r="H609" s="3">
        <v>43679</v>
      </c>
      <c r="I609" s="3">
        <v>43634</v>
      </c>
    </row>
    <row r="610" spans="2:9" x14ac:dyDescent="0.25">
      <c r="B610" s="2" t="str">
        <f>"106895#"</f>
        <v>106895#</v>
      </c>
      <c r="C610" s="2" t="str">
        <f>"TWO-85"</f>
        <v>TWO-85</v>
      </c>
      <c r="D610" s="1" t="str">
        <f t="shared" si="6"/>
        <v>Hergebruik Otolift TWO buitenbocht trap</v>
      </c>
      <c r="E610" s="1"/>
      <c r="F610" s="3">
        <v>40255</v>
      </c>
      <c r="G610" s="3">
        <v>43285</v>
      </c>
      <c r="H610" s="3">
        <v>43784</v>
      </c>
      <c r="I610" s="3">
        <v>43650</v>
      </c>
    </row>
    <row r="611" spans="2:9" x14ac:dyDescent="0.25">
      <c r="B611" s="2" t="str">
        <f>"104706#"</f>
        <v>104706#</v>
      </c>
      <c r="C611" s="2" t="str">
        <f>"TWO-85"</f>
        <v>TWO-85</v>
      </c>
      <c r="D611" s="1" t="str">
        <f t="shared" si="6"/>
        <v>Hergebruik Otolift TWO buitenbocht trap</v>
      </c>
      <c r="E611" s="1"/>
      <c r="F611" s="3">
        <v>40093</v>
      </c>
      <c r="G611" s="3">
        <v>43277</v>
      </c>
      <c r="H611" s="3">
        <v>43672</v>
      </c>
      <c r="I611" s="3">
        <v>43642</v>
      </c>
    </row>
    <row r="612" spans="2:9" x14ac:dyDescent="0.25">
      <c r="B612" s="2" t="str">
        <f>"130494#"</f>
        <v>130494#</v>
      </c>
      <c r="C612" s="2" t="str">
        <f>"MOD-O-6020-1"</f>
        <v>MOD-O-6020-1</v>
      </c>
      <c r="D612" s="1" t="str">
        <f>"Otolift Modulair buitenbocht"</f>
        <v>Otolift Modulair buitenbocht</v>
      </c>
      <c r="E612" s="1" t="s">
        <v>7</v>
      </c>
      <c r="F612" s="3">
        <v>42741</v>
      </c>
      <c r="G612" s="3">
        <v>42741</v>
      </c>
      <c r="H612" s="3">
        <v>43636</v>
      </c>
      <c r="I612" s="3">
        <v>43594</v>
      </c>
    </row>
    <row r="613" spans="2:9" x14ac:dyDescent="0.25">
      <c r="B613" s="2" t="str">
        <f>"117036#"</f>
        <v>117036#</v>
      </c>
      <c r="C613" s="2" t="str">
        <f>"MOD-G-6050-1"</f>
        <v>MOD-G-6050-1</v>
      </c>
      <c r="D613" s="1" t="str">
        <f>"Hergebruik Otolift Modul-AIR buitenbocht"</f>
        <v>Hergebruik Otolift Modul-AIR buitenbocht</v>
      </c>
      <c r="E613" s="1" t="s">
        <v>7</v>
      </c>
      <c r="F613" s="3">
        <v>41257</v>
      </c>
      <c r="G613" s="3">
        <v>43544</v>
      </c>
      <c r="H613" s="3">
        <v>43544</v>
      </c>
      <c r="I613" s="3" t="str">
        <f>""</f>
        <v/>
      </c>
    </row>
    <row r="614" spans="2:9" x14ac:dyDescent="0.25">
      <c r="B614" s="2" t="str">
        <f>"103113#"</f>
        <v>103113#</v>
      </c>
      <c r="C614" s="2" t="str">
        <f>"TWO-86"</f>
        <v>TWO-86</v>
      </c>
      <c r="D614" s="1" t="str">
        <f>"Hergebruik Otolift TWO buitenbocht trap"</f>
        <v>Hergebruik Otolift TWO buitenbocht trap</v>
      </c>
      <c r="E614" s="1"/>
      <c r="F614" s="3">
        <v>39962</v>
      </c>
      <c r="G614" s="3">
        <v>43350</v>
      </c>
      <c r="H614" s="3">
        <v>43727</v>
      </c>
      <c r="I614" s="3">
        <v>43715</v>
      </c>
    </row>
    <row r="615" spans="2:9" x14ac:dyDescent="0.25">
      <c r="B615" s="2" t="str">
        <f>"140266#"</f>
        <v>140266#</v>
      </c>
      <c r="C615" s="2" t="str">
        <f>"MOD-T-6040-1"</f>
        <v>MOD-T-6040-1</v>
      </c>
      <c r="D615" s="1" t="str">
        <f>"Otolift Modul-AIR binnenbocht"</f>
        <v>Otolift Modul-AIR binnenbocht</v>
      </c>
      <c r="E615" s="1" t="s">
        <v>11</v>
      </c>
      <c r="F615" s="3">
        <v>43544</v>
      </c>
      <c r="G615" s="3">
        <v>43544</v>
      </c>
      <c r="H615" s="3">
        <v>43544</v>
      </c>
      <c r="I615" s="3" t="str">
        <f>""</f>
        <v/>
      </c>
    </row>
    <row r="616" spans="2:9" x14ac:dyDescent="0.25">
      <c r="B616" s="2" t="str">
        <f>"124800#"</f>
        <v>124800#</v>
      </c>
      <c r="C616" s="2" t="str">
        <f>"TWO-86"</f>
        <v>TWO-86</v>
      </c>
      <c r="D616" s="1" t="str">
        <f>"Hergebruik Otolift TWO buitenbocht trap"</f>
        <v>Hergebruik Otolift TWO buitenbocht trap</v>
      </c>
      <c r="E616" s="1"/>
      <c r="F616" s="3">
        <v>42243</v>
      </c>
      <c r="G616" s="3">
        <v>43363</v>
      </c>
      <c r="H616" s="3">
        <v>43733</v>
      </c>
      <c r="I616" s="3">
        <v>43728</v>
      </c>
    </row>
    <row r="617" spans="2:9" x14ac:dyDescent="0.25">
      <c r="B617" s="2" t="str">
        <f>"114202#"</f>
        <v>114202#</v>
      </c>
      <c r="C617" s="2" t="str">
        <f>"TWO-85"</f>
        <v>TWO-85</v>
      </c>
      <c r="D617" s="1" t="str">
        <f>"Hergebruik Otolift TWO buitenbocht trap"</f>
        <v>Hergebruik Otolift TWO buitenbocht trap</v>
      </c>
      <c r="E617" s="1"/>
      <c r="F617" s="3">
        <v>40928</v>
      </c>
      <c r="G617" s="3">
        <v>43371</v>
      </c>
      <c r="H617" s="3">
        <v>43742</v>
      </c>
      <c r="I617" s="3">
        <v>43736</v>
      </c>
    </row>
    <row r="618" spans="2:9" x14ac:dyDescent="0.25">
      <c r="B618" s="2" t="str">
        <f>"104854#"</f>
        <v>104854#</v>
      </c>
      <c r="C618" s="2" t="str">
        <f>"TWO-86"</f>
        <v>TWO-86</v>
      </c>
      <c r="D618" s="1" t="str">
        <f>"Hergebruik Otolift TWO buitenbocht trap"</f>
        <v>Hergebruik Otolift TWO buitenbocht trap</v>
      </c>
      <c r="E618" s="1" t="s">
        <v>9</v>
      </c>
      <c r="F618" s="3">
        <v>40098</v>
      </c>
      <c r="G618" s="3">
        <v>43545</v>
      </c>
      <c r="H618" s="3">
        <v>43545</v>
      </c>
      <c r="I618" s="3" t="str">
        <f>""</f>
        <v/>
      </c>
    </row>
    <row r="619" spans="2:9" x14ac:dyDescent="0.25">
      <c r="B619" s="2" t="str">
        <f>"104610#"</f>
        <v>104610#</v>
      </c>
      <c r="C619" s="2" t="str">
        <f>"TWO-G-87"</f>
        <v>TWO-G-87</v>
      </c>
      <c r="D619" s="1" t="str">
        <f>"Hergebruik Otolift TWO"</f>
        <v>Hergebruik Otolift TWO</v>
      </c>
      <c r="E619" s="1" t="s">
        <v>7</v>
      </c>
      <c r="F619" s="3">
        <v>40098</v>
      </c>
      <c r="G619" s="3">
        <v>43545</v>
      </c>
      <c r="H619" s="3">
        <v>43545</v>
      </c>
      <c r="I619" s="3" t="str">
        <f>""</f>
        <v/>
      </c>
    </row>
    <row r="620" spans="2:9" x14ac:dyDescent="0.25">
      <c r="B620" s="2" t="str">
        <f>"140382#"</f>
        <v>140382#</v>
      </c>
      <c r="C620" s="2" t="str">
        <f>"MOD-G-6040-1"</f>
        <v>MOD-G-6040-1</v>
      </c>
      <c r="D620" s="1" t="str">
        <f>"Hergebruik Otolift Modul-AIR buitenbocht"</f>
        <v>Hergebruik Otolift Modul-AIR buitenbocht</v>
      </c>
      <c r="E620" s="1" t="s">
        <v>7</v>
      </c>
      <c r="F620" s="3">
        <v>42736</v>
      </c>
      <c r="G620" s="3">
        <v>43549</v>
      </c>
      <c r="H620" s="3">
        <v>43551</v>
      </c>
      <c r="I620" s="3" t="str">
        <f>""</f>
        <v/>
      </c>
    </row>
    <row r="621" spans="2:9" x14ac:dyDescent="0.25">
      <c r="B621" s="2" t="str">
        <f>"140350#"</f>
        <v>140350#</v>
      </c>
      <c r="C621" s="2" t="str">
        <f>"MOD-G-6050-1"</f>
        <v>MOD-G-6050-1</v>
      </c>
      <c r="D621" s="1" t="str">
        <f>"Hergebruik Otolift Modul-AIR buitenbocht"</f>
        <v>Hergebruik Otolift Modul-AIR buitenbocht</v>
      </c>
      <c r="E621" s="1" t="s">
        <v>7</v>
      </c>
      <c r="F621" s="3">
        <v>42736</v>
      </c>
      <c r="G621" s="3">
        <v>43549</v>
      </c>
      <c r="H621" s="3">
        <v>43549</v>
      </c>
      <c r="I621" s="3" t="str">
        <f>""</f>
        <v/>
      </c>
    </row>
    <row r="622" spans="2:9" x14ac:dyDescent="0.25">
      <c r="B622" s="2" t="str">
        <f>"105681#"</f>
        <v>105681#</v>
      </c>
      <c r="C622" s="2" t="str">
        <f>"TWO-86"</f>
        <v>TWO-86</v>
      </c>
      <c r="D622" s="1" t="str">
        <f>"Hergebruik Otolift TWO buitenbocht trap"</f>
        <v>Hergebruik Otolift TWO buitenbocht trap</v>
      </c>
      <c r="E622" s="1"/>
      <c r="F622" s="3">
        <v>40142</v>
      </c>
      <c r="G622" s="3">
        <v>43538</v>
      </c>
      <c r="H622" s="3">
        <v>43375</v>
      </c>
      <c r="I622" s="3">
        <v>43740</v>
      </c>
    </row>
    <row r="623" spans="2:9" x14ac:dyDescent="0.25">
      <c r="B623" s="2" t="str">
        <f>"114147#"</f>
        <v>114147#</v>
      </c>
      <c r="C623" s="2" t="str">
        <f>"TWO-86-Z"</f>
        <v>TWO-86-Z</v>
      </c>
      <c r="D623" s="1" t="str">
        <f t="shared" ref="D623:D631" si="7">"Hergebruik Otolift TWO rechte trap"</f>
        <v>Hergebruik Otolift TWO rechte trap</v>
      </c>
      <c r="E623" s="1"/>
      <c r="F623" s="3">
        <v>40925</v>
      </c>
      <c r="G623" s="3">
        <v>41975</v>
      </c>
      <c r="H623" s="3">
        <v>43711</v>
      </c>
      <c r="I623" s="3">
        <v>43600</v>
      </c>
    </row>
    <row r="624" spans="2:9" x14ac:dyDescent="0.25">
      <c r="B624" s="2" t="str">
        <f>"094522#"</f>
        <v>094522#</v>
      </c>
      <c r="C624" s="2" t="str">
        <f>"TWO-85"</f>
        <v>TWO-85</v>
      </c>
      <c r="D624" s="1" t="str">
        <f t="shared" si="7"/>
        <v>Hergebruik Otolift TWO rechte trap</v>
      </c>
      <c r="E624" s="1"/>
      <c r="F624" s="3">
        <v>39269</v>
      </c>
      <c r="G624" s="3">
        <v>42020</v>
      </c>
      <c r="H624" s="3">
        <v>43663</v>
      </c>
      <c r="I624" s="3">
        <v>44013</v>
      </c>
    </row>
    <row r="625" spans="2:9" x14ac:dyDescent="0.25">
      <c r="B625" s="2" t="str">
        <f>"097279#"</f>
        <v>097279#</v>
      </c>
      <c r="C625" s="2" t="str">
        <f>"TWO-85"</f>
        <v>TWO-85</v>
      </c>
      <c r="D625" s="1" t="str">
        <f t="shared" si="7"/>
        <v>Hergebruik Otolift TWO rechte trap</v>
      </c>
      <c r="E625" s="1"/>
      <c r="F625" s="3">
        <v>39520</v>
      </c>
      <c r="G625" s="3">
        <v>42307</v>
      </c>
      <c r="H625" s="3">
        <v>43451</v>
      </c>
      <c r="I625" s="3">
        <v>43788</v>
      </c>
    </row>
    <row r="626" spans="2:9" x14ac:dyDescent="0.25">
      <c r="B626" s="2" t="str">
        <f>"090991#"</f>
        <v>090991#</v>
      </c>
      <c r="C626" s="2" t="str">
        <f>"TWO-85"</f>
        <v>TWO-85</v>
      </c>
      <c r="D626" s="1" t="str">
        <f t="shared" si="7"/>
        <v>Hergebruik Otolift TWO rechte trap</v>
      </c>
      <c r="E626" s="1"/>
      <c r="F626" s="3">
        <v>38967</v>
      </c>
      <c r="G626" s="3">
        <v>42319</v>
      </c>
      <c r="H626" s="3">
        <v>43559</v>
      </c>
      <c r="I626" s="3">
        <v>43925</v>
      </c>
    </row>
    <row r="627" spans="2:9" x14ac:dyDescent="0.25">
      <c r="B627" s="2" t="str">
        <f>"105167#"</f>
        <v>105167#</v>
      </c>
      <c r="C627" s="2" t="str">
        <f>"TWO-86"</f>
        <v>TWO-86</v>
      </c>
      <c r="D627" s="1" t="str">
        <f t="shared" si="7"/>
        <v>Hergebruik Otolift TWO rechte trap</v>
      </c>
      <c r="E627" s="1"/>
      <c r="F627" s="3">
        <v>40136</v>
      </c>
      <c r="G627" s="3">
        <v>42520</v>
      </c>
      <c r="H627" s="3">
        <v>43649</v>
      </c>
      <c r="I627" s="3">
        <v>43655</v>
      </c>
    </row>
    <row r="628" spans="2:9" x14ac:dyDescent="0.25">
      <c r="B628" s="2" t="str">
        <f>"097065#"</f>
        <v>097065#</v>
      </c>
      <c r="C628" s="2" t="str">
        <f>"TWO-86"</f>
        <v>TWO-86</v>
      </c>
      <c r="D628" s="1" t="str">
        <f t="shared" si="7"/>
        <v>Hergebruik Otolift TWO rechte trap</v>
      </c>
      <c r="E628" s="1"/>
      <c r="F628" s="3">
        <v>39512</v>
      </c>
      <c r="G628" s="3">
        <v>42590</v>
      </c>
      <c r="H628" s="3">
        <v>43336</v>
      </c>
      <c r="I628" s="3">
        <v>43701</v>
      </c>
    </row>
    <row r="629" spans="2:9" x14ac:dyDescent="0.25">
      <c r="B629" s="2" t="str">
        <f>"101544#"</f>
        <v>101544#</v>
      </c>
      <c r="C629" s="2" t="str">
        <f>"TWO-85"</f>
        <v>TWO-85</v>
      </c>
      <c r="D629" s="1" t="str">
        <f t="shared" si="7"/>
        <v>Hergebruik Otolift TWO rechte trap</v>
      </c>
      <c r="E629" s="1"/>
      <c r="F629" s="3">
        <v>39860</v>
      </c>
      <c r="G629" s="3">
        <v>43038</v>
      </c>
      <c r="H629" s="3">
        <v>43438</v>
      </c>
      <c r="I629" s="3">
        <v>43803</v>
      </c>
    </row>
    <row r="630" spans="2:9" x14ac:dyDescent="0.25">
      <c r="B630" s="2" t="str">
        <f>"097657#"</f>
        <v>097657#</v>
      </c>
      <c r="C630" s="2" t="str">
        <f>"TWO-85"</f>
        <v>TWO-85</v>
      </c>
      <c r="D630" s="1" t="str">
        <f t="shared" si="7"/>
        <v>Hergebruik Otolift TWO rechte trap</v>
      </c>
      <c r="E630" s="1"/>
      <c r="F630" s="3">
        <v>39549</v>
      </c>
      <c r="G630" s="3">
        <v>43066</v>
      </c>
      <c r="H630" s="3">
        <v>43434</v>
      </c>
      <c r="I630" s="3">
        <v>43799</v>
      </c>
    </row>
    <row r="631" spans="2:9" x14ac:dyDescent="0.25">
      <c r="B631" s="2" t="str">
        <f>"106096#"</f>
        <v>106096#</v>
      </c>
      <c r="C631" s="2" t="str">
        <f>"TWO-86"</f>
        <v>TWO-86</v>
      </c>
      <c r="D631" s="1" t="str">
        <f t="shared" si="7"/>
        <v>Hergebruik Otolift TWO rechte trap</v>
      </c>
      <c r="E631" s="1"/>
      <c r="F631" s="3">
        <v>40185</v>
      </c>
      <c r="G631" s="3">
        <v>43263</v>
      </c>
      <c r="H631" s="3">
        <v>42646</v>
      </c>
      <c r="I631" s="3">
        <v>43011</v>
      </c>
    </row>
    <row r="632" spans="2:9" x14ac:dyDescent="0.25">
      <c r="B632" s="2" t="str">
        <f>"109702#"</f>
        <v>109702#</v>
      </c>
      <c r="C632" s="2" t="str">
        <f>"TWO-86"</f>
        <v>TWO-86</v>
      </c>
      <c r="D632" s="1" t="str">
        <f>"Hergebruik TWO"</f>
        <v>Hergebruik TWO</v>
      </c>
      <c r="E632" s="1"/>
      <c r="F632" s="3">
        <v>40470</v>
      </c>
      <c r="G632" s="3">
        <v>43011</v>
      </c>
      <c r="H632" s="3">
        <v>43432</v>
      </c>
      <c r="I632" s="3">
        <v>43797</v>
      </c>
    </row>
    <row r="633" spans="2:9" x14ac:dyDescent="0.25">
      <c r="B633" s="2" t="str">
        <f>"118972#"</f>
        <v>118972#</v>
      </c>
      <c r="C633" s="2" t="str">
        <f>"PAR-110"</f>
        <v>PAR-110</v>
      </c>
      <c r="D633" s="1" t="str">
        <f>"Hergebruik Otolift PARALLEL"</f>
        <v>Hergebruik Otolift PARALLEL</v>
      </c>
      <c r="E633" s="1" t="s">
        <v>8</v>
      </c>
      <c r="F633" s="3">
        <v>41474</v>
      </c>
      <c r="G633" s="3">
        <v>43551</v>
      </c>
      <c r="H633" s="3">
        <v>43551</v>
      </c>
      <c r="I633" s="3" t="str">
        <f>""</f>
        <v/>
      </c>
    </row>
    <row r="634" spans="2:9" x14ac:dyDescent="0.25">
      <c r="B634" s="2" t="str">
        <f>"105713#"</f>
        <v>105713#</v>
      </c>
      <c r="C634" s="2" t="str">
        <f t="shared" ref="C634:C647" si="8">"TWO-86"</f>
        <v>TWO-86</v>
      </c>
      <c r="D634" s="1" t="str">
        <f t="shared" ref="D634:D647" si="9">"Hergebruik TWO"</f>
        <v>Hergebruik TWO</v>
      </c>
      <c r="E634" s="1"/>
      <c r="F634" s="3">
        <v>40148</v>
      </c>
      <c r="G634" s="3">
        <v>42544</v>
      </c>
      <c r="H634" s="3">
        <v>43712</v>
      </c>
      <c r="I634" s="3">
        <v>43487</v>
      </c>
    </row>
    <row r="635" spans="2:9" x14ac:dyDescent="0.25">
      <c r="B635" s="2" t="str">
        <f>"101979#"</f>
        <v>101979#</v>
      </c>
      <c r="C635" s="2" t="str">
        <f t="shared" si="8"/>
        <v>TWO-86</v>
      </c>
      <c r="D635" s="1" t="str">
        <f t="shared" si="9"/>
        <v>Hergebruik TWO</v>
      </c>
      <c r="E635" s="1"/>
      <c r="F635" s="3">
        <v>39869</v>
      </c>
      <c r="G635" s="3">
        <v>42811</v>
      </c>
      <c r="H635" s="3">
        <v>43643</v>
      </c>
      <c r="I635" s="3">
        <v>43572</v>
      </c>
    </row>
    <row r="636" spans="2:9" x14ac:dyDescent="0.25">
      <c r="B636" s="2" t="str">
        <f>"091831#"</f>
        <v>091831#</v>
      </c>
      <c r="C636" s="2" t="str">
        <f t="shared" si="8"/>
        <v>TWO-86</v>
      </c>
      <c r="D636" s="1" t="str">
        <f t="shared" si="9"/>
        <v>Hergebruik TWO</v>
      </c>
      <c r="E636" s="1"/>
      <c r="F636" s="3">
        <v>39034</v>
      </c>
      <c r="G636" s="3">
        <v>41936</v>
      </c>
      <c r="H636" s="3">
        <v>43672</v>
      </c>
      <c r="I636" s="3">
        <v>43481</v>
      </c>
    </row>
    <row r="637" spans="2:9" x14ac:dyDescent="0.25">
      <c r="B637" s="2" t="str">
        <f>"096530#"</f>
        <v>096530#</v>
      </c>
      <c r="C637" s="2" t="str">
        <f t="shared" si="8"/>
        <v>TWO-86</v>
      </c>
      <c r="D637" s="1" t="str">
        <f t="shared" si="9"/>
        <v>Hergebruik TWO</v>
      </c>
      <c r="E637" s="1"/>
      <c r="F637" s="3">
        <v>39470</v>
      </c>
      <c r="G637" s="3">
        <v>42044</v>
      </c>
      <c r="H637" s="3">
        <v>43664</v>
      </c>
      <c r="I637" s="3">
        <v>43571</v>
      </c>
    </row>
    <row r="638" spans="2:9" x14ac:dyDescent="0.25">
      <c r="B638" s="2" t="str">
        <f>"100481#"</f>
        <v>100481#</v>
      </c>
      <c r="C638" s="2" t="str">
        <f t="shared" si="8"/>
        <v>TWO-86</v>
      </c>
      <c r="D638" s="1" t="str">
        <f t="shared" si="9"/>
        <v>Hergebruik TWO</v>
      </c>
      <c r="E638" s="1"/>
      <c r="F638" s="3">
        <v>39762</v>
      </c>
      <c r="G638" s="3">
        <v>42199</v>
      </c>
      <c r="H638" s="3">
        <v>43493</v>
      </c>
      <c r="I638" s="3">
        <v>43858</v>
      </c>
    </row>
    <row r="639" spans="2:9" x14ac:dyDescent="0.25">
      <c r="B639" s="2" t="str">
        <f>"104920#"</f>
        <v>104920#</v>
      </c>
      <c r="C639" s="2" t="str">
        <f t="shared" si="8"/>
        <v>TWO-86</v>
      </c>
      <c r="D639" s="1" t="str">
        <f t="shared" si="9"/>
        <v>Hergebruik TWO</v>
      </c>
      <c r="E639" s="1"/>
      <c r="F639" s="3">
        <v>40100</v>
      </c>
      <c r="G639" s="3">
        <v>42545</v>
      </c>
      <c r="H639" s="3">
        <v>43656</v>
      </c>
      <c r="I639" s="3">
        <v>43658</v>
      </c>
    </row>
    <row r="640" spans="2:9" x14ac:dyDescent="0.25">
      <c r="B640" s="2" t="str">
        <f>"101777#"</f>
        <v>101777#</v>
      </c>
      <c r="C640" s="2" t="str">
        <f t="shared" si="8"/>
        <v>TWO-86</v>
      </c>
      <c r="D640" s="1" t="str">
        <f t="shared" si="9"/>
        <v>Hergebruik TWO</v>
      </c>
      <c r="E640" s="1"/>
      <c r="F640" s="3">
        <v>39853</v>
      </c>
      <c r="G640" s="3">
        <v>42737</v>
      </c>
      <c r="H640" s="3">
        <v>43108</v>
      </c>
      <c r="I640" s="3">
        <v>43473</v>
      </c>
    </row>
    <row r="641" spans="2:9" x14ac:dyDescent="0.25">
      <c r="B641" s="2" t="str">
        <f>"104230#"</f>
        <v>104230#</v>
      </c>
      <c r="C641" s="2" t="str">
        <f t="shared" si="8"/>
        <v>TWO-86</v>
      </c>
      <c r="D641" s="1" t="str">
        <f t="shared" si="9"/>
        <v>Hergebruik TWO</v>
      </c>
      <c r="E641" s="1"/>
      <c r="F641" s="3">
        <v>40052</v>
      </c>
      <c r="G641" s="3">
        <v>42958</v>
      </c>
      <c r="H641" s="3">
        <v>43754</v>
      </c>
      <c r="I641" s="3">
        <v>43755</v>
      </c>
    </row>
    <row r="642" spans="2:9" x14ac:dyDescent="0.25">
      <c r="B642" s="2" t="str">
        <f>"114941#"</f>
        <v>114941#</v>
      </c>
      <c r="C642" s="2" t="str">
        <f t="shared" si="8"/>
        <v>TWO-86</v>
      </c>
      <c r="D642" s="1" t="str">
        <f t="shared" si="9"/>
        <v>Hergebruik TWO</v>
      </c>
      <c r="E642" s="1"/>
      <c r="F642" s="3">
        <v>41003</v>
      </c>
      <c r="G642" s="3">
        <v>42989</v>
      </c>
      <c r="H642" s="3">
        <v>43476</v>
      </c>
      <c r="I642" s="3">
        <v>43841</v>
      </c>
    </row>
    <row r="643" spans="2:9" x14ac:dyDescent="0.25">
      <c r="B643" s="2" t="str">
        <f>"106093#"</f>
        <v>106093#</v>
      </c>
      <c r="C643" s="2" t="str">
        <f t="shared" si="8"/>
        <v>TWO-86</v>
      </c>
      <c r="D643" s="1" t="str">
        <f t="shared" si="9"/>
        <v>Hergebruik TWO</v>
      </c>
      <c r="E643" s="1"/>
      <c r="F643" s="3">
        <v>40199</v>
      </c>
      <c r="G643" s="3">
        <v>43006</v>
      </c>
      <c r="H643" s="3">
        <v>43588</v>
      </c>
      <c r="I643" s="3">
        <v>43747</v>
      </c>
    </row>
    <row r="644" spans="2:9" x14ac:dyDescent="0.25">
      <c r="B644" s="2" t="str">
        <f>"103557#"</f>
        <v>103557#</v>
      </c>
      <c r="C644" s="2" t="str">
        <f t="shared" si="8"/>
        <v>TWO-86</v>
      </c>
      <c r="D644" s="1" t="str">
        <f t="shared" si="9"/>
        <v>Hergebruik TWO</v>
      </c>
      <c r="E644" s="1"/>
      <c r="F644" s="3">
        <v>39986</v>
      </c>
      <c r="G644" s="3">
        <v>43186</v>
      </c>
      <c r="H644" s="3">
        <v>43557</v>
      </c>
      <c r="I644" s="3">
        <v>43923</v>
      </c>
    </row>
    <row r="645" spans="2:9" x14ac:dyDescent="0.25">
      <c r="B645" s="2" t="str">
        <f>"113604#"</f>
        <v>113604#</v>
      </c>
      <c r="C645" s="2" t="str">
        <f t="shared" si="8"/>
        <v>TWO-86</v>
      </c>
      <c r="D645" s="1" t="str">
        <f t="shared" si="9"/>
        <v>Hergebruik TWO</v>
      </c>
      <c r="E645" s="1"/>
      <c r="F645" s="3">
        <v>40850</v>
      </c>
      <c r="G645" s="3">
        <v>43179</v>
      </c>
      <c r="H645" s="3">
        <v>43558</v>
      </c>
      <c r="I645" s="3">
        <v>43924</v>
      </c>
    </row>
    <row r="646" spans="2:9" x14ac:dyDescent="0.25">
      <c r="B646" s="2" t="str">
        <f>"104240#"</f>
        <v>104240#</v>
      </c>
      <c r="C646" s="2" t="str">
        <f t="shared" si="8"/>
        <v>TWO-86</v>
      </c>
      <c r="D646" s="1" t="str">
        <f t="shared" si="9"/>
        <v>Hergebruik TWO</v>
      </c>
      <c r="E646" s="1"/>
      <c r="F646" s="3">
        <v>40044</v>
      </c>
      <c r="G646" s="3">
        <v>43301</v>
      </c>
      <c r="H646" s="3">
        <v>43657</v>
      </c>
      <c r="I646" s="3">
        <v>43666</v>
      </c>
    </row>
    <row r="647" spans="2:9" x14ac:dyDescent="0.25">
      <c r="B647" s="2" t="str">
        <f>"106848#"</f>
        <v>106848#</v>
      </c>
      <c r="C647" s="2" t="str">
        <f t="shared" si="8"/>
        <v>TWO-86</v>
      </c>
      <c r="D647" s="1" t="str">
        <f t="shared" si="9"/>
        <v>Hergebruik TWO</v>
      </c>
      <c r="E647" s="1" t="s">
        <v>9</v>
      </c>
      <c r="F647" s="3">
        <v>40248</v>
      </c>
      <c r="G647" s="3">
        <v>43552</v>
      </c>
      <c r="H647" s="3">
        <v>43552</v>
      </c>
      <c r="I647" s="3" t="str">
        <f>""</f>
        <v/>
      </c>
    </row>
    <row r="648" spans="2:9" x14ac:dyDescent="0.25">
      <c r="B648" s="2" t="str">
        <f>"59862#"</f>
        <v>59862#</v>
      </c>
      <c r="C648" s="2" t="str">
        <f>"TWO-52"</f>
        <v>TWO-52</v>
      </c>
      <c r="D648" s="1" t="str">
        <f>"Otolift met Flexirail® model H"</f>
        <v>Otolift met Flexirail® model H</v>
      </c>
      <c r="E648" s="1" t="s">
        <v>7</v>
      </c>
      <c r="F648" s="3">
        <v>37230</v>
      </c>
      <c r="G648" s="3">
        <v>37230</v>
      </c>
      <c r="H648" s="3">
        <v>43523</v>
      </c>
      <c r="I648" s="3">
        <v>43888</v>
      </c>
    </row>
    <row r="649" spans="2:9" x14ac:dyDescent="0.25">
      <c r="B649" s="2" t="str">
        <f>"75176#"</f>
        <v>75176#</v>
      </c>
      <c r="C649" s="2" t="str">
        <f>"TWO-81"</f>
        <v>TWO-81</v>
      </c>
      <c r="D649" s="1" t="str">
        <f>"Otolift met Flexirail® model H"</f>
        <v>Otolift met Flexirail® model H</v>
      </c>
      <c r="E649" s="1" t="s">
        <v>7</v>
      </c>
      <c r="F649" s="3">
        <v>37998</v>
      </c>
      <c r="G649" s="3">
        <v>37998</v>
      </c>
      <c r="H649" s="3">
        <v>43794</v>
      </c>
      <c r="I649" s="3">
        <v>43599</v>
      </c>
    </row>
    <row r="650" spans="2:9" x14ac:dyDescent="0.25">
      <c r="B650" s="2" t="str">
        <f>"101234#"</f>
        <v>101234#</v>
      </c>
      <c r="C650" s="2" t="str">
        <f>"TWO-86-S"</f>
        <v>TWO-86-S</v>
      </c>
      <c r="D650" s="1" t="str">
        <f>"Otolift met Flexirail® model H"</f>
        <v>Otolift met Flexirail® model H</v>
      </c>
      <c r="E650" s="1" t="s">
        <v>7</v>
      </c>
      <c r="F650" s="3">
        <v>39855</v>
      </c>
      <c r="G650" s="3">
        <v>39855</v>
      </c>
      <c r="H650" s="3">
        <v>43539</v>
      </c>
      <c r="I650" s="3">
        <v>43905</v>
      </c>
    </row>
    <row r="651" spans="2:9" x14ac:dyDescent="0.25">
      <c r="B651" s="2" t="str">
        <f>"105136#"</f>
        <v>105136#</v>
      </c>
      <c r="C651" s="2" t="str">
        <f>"TWO-86"</f>
        <v>TWO-86</v>
      </c>
      <c r="D651" s="1" t="str">
        <f>"Otolift met Flexirail® model H"</f>
        <v>Otolift met Flexirail® model H</v>
      </c>
      <c r="E651" s="1" t="s">
        <v>7</v>
      </c>
      <c r="F651" s="3">
        <v>40098</v>
      </c>
      <c r="G651" s="3">
        <v>41198</v>
      </c>
      <c r="H651" s="3">
        <v>43745</v>
      </c>
      <c r="I651" s="3">
        <v>43725</v>
      </c>
    </row>
    <row r="652" spans="2:9" x14ac:dyDescent="0.25">
      <c r="B652" s="2" t="str">
        <f>"136130#"</f>
        <v>136130#</v>
      </c>
      <c r="C652" s="2" t="str">
        <f>"MOD-T-6050-1"</f>
        <v>MOD-T-6050-1</v>
      </c>
      <c r="D652" s="1" t="str">
        <f>"Otolift Modul-AIR binnenbocht"</f>
        <v>Otolift Modul-AIR binnenbocht</v>
      </c>
      <c r="E652" s="1" t="s">
        <v>11</v>
      </c>
      <c r="F652" s="3">
        <v>43194</v>
      </c>
      <c r="G652" s="3">
        <v>43194</v>
      </c>
      <c r="H652" s="3">
        <v>43693</v>
      </c>
      <c r="I652" s="3">
        <v>44051</v>
      </c>
    </row>
    <row r="653" spans="2:9" x14ac:dyDescent="0.25">
      <c r="B653" s="2" t="str">
        <f>"094751#"</f>
        <v>094751#</v>
      </c>
      <c r="C653" s="2" t="str">
        <f>"TWO-85"</f>
        <v>TWO-85</v>
      </c>
      <c r="D653" s="1" t="str">
        <f>"Otolift met Flexirail® model H"</f>
        <v>Otolift met Flexirail® model H</v>
      </c>
      <c r="E653" s="1" t="s">
        <v>7</v>
      </c>
      <c r="F653" s="3">
        <v>39279</v>
      </c>
      <c r="G653" s="3">
        <v>41149</v>
      </c>
      <c r="H653" s="3">
        <v>43490</v>
      </c>
      <c r="I653" s="3">
        <v>43855</v>
      </c>
    </row>
    <row r="654" spans="2:9" x14ac:dyDescent="0.25">
      <c r="B654" s="2" t="str">
        <f>"090508#"</f>
        <v>090508#</v>
      </c>
      <c r="C654" s="2" t="str">
        <f>"TWO-85"</f>
        <v>TWO-85</v>
      </c>
      <c r="D654" s="1" t="str">
        <f>"Otolift met Flexirail® model H"</f>
        <v>Otolift met Flexirail® model H</v>
      </c>
      <c r="E654" s="1" t="s">
        <v>7</v>
      </c>
      <c r="F654" s="3">
        <v>38952</v>
      </c>
      <c r="G654" s="3">
        <v>41381</v>
      </c>
      <c r="H654" s="3">
        <v>43430</v>
      </c>
      <c r="I654" s="3">
        <v>43795</v>
      </c>
    </row>
    <row r="655" spans="2:9" x14ac:dyDescent="0.25">
      <c r="B655" s="2" t="str">
        <f>"75804#"</f>
        <v>75804#</v>
      </c>
      <c r="C655" s="2" t="str">
        <f>"TWO-81"</f>
        <v>TWO-81</v>
      </c>
      <c r="D655" s="1" t="str">
        <f>"Otolift met Flexirail® model H"</f>
        <v>Otolift met Flexirail® model H</v>
      </c>
      <c r="E655" s="1" t="s">
        <v>7</v>
      </c>
      <c r="F655" s="3">
        <v>38224</v>
      </c>
      <c r="G655" s="3">
        <v>41704</v>
      </c>
      <c r="H655" s="3">
        <v>43591</v>
      </c>
      <c r="I655" s="3">
        <v>43957</v>
      </c>
    </row>
    <row r="656" spans="2:9" x14ac:dyDescent="0.25">
      <c r="B656" s="2" t="str">
        <f>"87302#"</f>
        <v>87302#</v>
      </c>
      <c r="C656" s="2" t="str">
        <f>"TWO-85-S"</f>
        <v>TWO-85-S</v>
      </c>
      <c r="D656" s="1" t="str">
        <f>"Otolift met Flexirail® model J"</f>
        <v>Otolift met Flexirail® model J</v>
      </c>
      <c r="E656" s="1" t="s">
        <v>7</v>
      </c>
      <c r="F656" s="3">
        <v>38686</v>
      </c>
      <c r="G656" s="3">
        <v>38686</v>
      </c>
      <c r="H656" s="3">
        <v>43602</v>
      </c>
      <c r="I656" s="3">
        <v>43924</v>
      </c>
    </row>
    <row r="657" spans="2:9" x14ac:dyDescent="0.25">
      <c r="B657" s="2" t="str">
        <f>"119555#"</f>
        <v>119555#</v>
      </c>
      <c r="C657" s="2" t="str">
        <f>"MOD-T-6040-1"</f>
        <v>MOD-T-6040-1</v>
      </c>
      <c r="D657" s="1" t="str">
        <f>"Hergebruik Otolift Modul-AIR binnenbocht"</f>
        <v>Hergebruik Otolift Modul-AIR binnenbocht</v>
      </c>
      <c r="E657" s="1" t="s">
        <v>11</v>
      </c>
      <c r="F657" s="3">
        <v>41568</v>
      </c>
      <c r="G657" s="3">
        <v>43342</v>
      </c>
      <c r="H657" s="3">
        <v>43720</v>
      </c>
      <c r="I657" s="3">
        <v>43610</v>
      </c>
    </row>
    <row r="658" spans="2:9" x14ac:dyDescent="0.25">
      <c r="B658" s="2" t="str">
        <f>"129385#"</f>
        <v>129385#</v>
      </c>
      <c r="C658" s="2" t="str">
        <f>"MOD-T-6040-1"</f>
        <v>MOD-T-6040-1</v>
      </c>
      <c r="D658" s="1" t="str">
        <f>"Hergebruik Otolift Modul-AIR binnenbocht"</f>
        <v>Hergebruik Otolift Modul-AIR binnenbocht</v>
      </c>
      <c r="E658" s="1" t="s">
        <v>11</v>
      </c>
      <c r="F658" s="3">
        <v>42656</v>
      </c>
      <c r="G658" s="3">
        <v>43234</v>
      </c>
      <c r="H658" s="3">
        <v>43055</v>
      </c>
      <c r="I658" s="3">
        <v>43420</v>
      </c>
    </row>
    <row r="659" spans="2:9" x14ac:dyDescent="0.25">
      <c r="B659" s="2" t="str">
        <f>"78685#"</f>
        <v>78685#</v>
      </c>
      <c r="C659" s="2" t="str">
        <f>"TWO-86"</f>
        <v>TWO-86</v>
      </c>
      <c r="D659" s="1" t="str">
        <f>"Otolift met Flexirail® model J"</f>
        <v>Otolift met Flexirail® model J</v>
      </c>
      <c r="E659" s="1" t="s">
        <v>7</v>
      </c>
      <c r="F659" s="3">
        <v>38259</v>
      </c>
      <c r="G659" s="3">
        <v>40480</v>
      </c>
      <c r="H659" s="3">
        <v>43797</v>
      </c>
      <c r="I659" s="3">
        <v>43754</v>
      </c>
    </row>
    <row r="660" spans="2:9" x14ac:dyDescent="0.25">
      <c r="B660" s="2" t="str">
        <f>"84302#"</f>
        <v>84302#</v>
      </c>
      <c r="C660" s="2" t="str">
        <f>"TWO-85"</f>
        <v>TWO-85</v>
      </c>
      <c r="D660" s="1" t="str">
        <f>"Otolift met Flexirail® model J"</f>
        <v>Otolift met Flexirail® model J</v>
      </c>
      <c r="E660" s="1" t="s">
        <v>7</v>
      </c>
      <c r="F660" s="3">
        <v>38593</v>
      </c>
      <c r="G660" s="3">
        <v>41556</v>
      </c>
      <c r="H660" s="3">
        <v>43131</v>
      </c>
      <c r="I660" s="3">
        <v>43496</v>
      </c>
    </row>
    <row r="661" spans="2:9" x14ac:dyDescent="0.25">
      <c r="B661" s="2" t="str">
        <f>"105043#"</f>
        <v>105043#</v>
      </c>
      <c r="C661" s="2" t="str">
        <f>"TWO-86"</f>
        <v>TWO-86</v>
      </c>
      <c r="D661" s="1" t="str">
        <f>"Otolift met Flexirail® model J"</f>
        <v>Otolift met Flexirail® model J</v>
      </c>
      <c r="E661" s="1" t="s">
        <v>7</v>
      </c>
      <c r="F661" s="3">
        <v>40120</v>
      </c>
      <c r="G661" s="3">
        <v>41758</v>
      </c>
      <c r="H661" s="3">
        <v>43102</v>
      </c>
      <c r="I661" s="3">
        <v>43467</v>
      </c>
    </row>
    <row r="662" spans="2:9" x14ac:dyDescent="0.25">
      <c r="B662" s="2" t="str">
        <f>"83162#"</f>
        <v>83162#</v>
      </c>
      <c r="C662" s="2" t="str">
        <f>"TWO-86"</f>
        <v>TWO-86</v>
      </c>
      <c r="D662" s="1" t="str">
        <f>"Otolift met Flexirail® model K"</f>
        <v>Otolift met Flexirail® model K</v>
      </c>
      <c r="E662" s="1" t="s">
        <v>7</v>
      </c>
      <c r="F662" s="3">
        <v>38446</v>
      </c>
      <c r="G662" s="3">
        <v>41429</v>
      </c>
      <c r="H662" s="3">
        <v>43472</v>
      </c>
      <c r="I662" s="3">
        <v>43837</v>
      </c>
    </row>
    <row r="663" spans="2:9" x14ac:dyDescent="0.25">
      <c r="B663" s="2" t="str">
        <f>"088323#"</f>
        <v>088323#</v>
      </c>
      <c r="C663" s="2" t="str">
        <f>"TWO-86"</f>
        <v>TWO-86</v>
      </c>
      <c r="D663" s="1" t="str">
        <f>"Otolift met Flexirail® model L"</f>
        <v>Otolift met Flexirail® model L</v>
      </c>
      <c r="E663" s="1" t="s">
        <v>7</v>
      </c>
      <c r="F663" s="3">
        <v>38742</v>
      </c>
      <c r="G663" s="3">
        <v>40494</v>
      </c>
      <c r="H663" s="3">
        <v>43494</v>
      </c>
      <c r="I663" s="3">
        <v>43859</v>
      </c>
    </row>
    <row r="664" spans="2:9" x14ac:dyDescent="0.25">
      <c r="B664" s="2" t="str">
        <f>"106056#"</f>
        <v>106056#</v>
      </c>
      <c r="C664" s="2" t="str">
        <f>"TWO-86"</f>
        <v>TWO-86</v>
      </c>
      <c r="D664" s="1" t="str">
        <f>"Otolift met Flexirail® model M"</f>
        <v>Otolift met Flexirail® model M</v>
      </c>
      <c r="E664" s="1" t="s">
        <v>7</v>
      </c>
      <c r="F664" s="3">
        <v>40198</v>
      </c>
      <c r="G664" s="3">
        <v>40198</v>
      </c>
      <c r="H664" s="3">
        <v>43451</v>
      </c>
      <c r="I664" s="3">
        <v>43816</v>
      </c>
    </row>
    <row r="665" spans="2:9" x14ac:dyDescent="0.25">
      <c r="B665" s="2" t="str">
        <f>"55205#"</f>
        <v>55205#</v>
      </c>
      <c r="C665" s="2" t="str">
        <f>"TWO-45"</f>
        <v>TWO-45</v>
      </c>
      <c r="D665" s="1" t="str">
        <f>"Otolift met Flexirail® model N"</f>
        <v>Otolift met Flexirail® model N</v>
      </c>
      <c r="E665" s="1" t="s">
        <v>7</v>
      </c>
      <c r="F665" s="3">
        <v>36832</v>
      </c>
      <c r="G665" s="3">
        <v>36832</v>
      </c>
      <c r="H665" s="3">
        <v>43608</v>
      </c>
      <c r="I665" s="3">
        <v>43974</v>
      </c>
    </row>
    <row r="666" spans="2:9" x14ac:dyDescent="0.25">
      <c r="B666" s="2" t="str">
        <f>"79954#"</f>
        <v>79954#</v>
      </c>
      <c r="C666" s="2" t="str">
        <f>"TWO-81"</f>
        <v>TWO-81</v>
      </c>
      <c r="D666" s="1" t="str">
        <f>"Otolift met Flexirail® model N"</f>
        <v>Otolift met Flexirail® model N</v>
      </c>
      <c r="E666" s="1" t="s">
        <v>7</v>
      </c>
      <c r="F666" s="3">
        <v>38273</v>
      </c>
      <c r="G666" s="3">
        <v>38273</v>
      </c>
      <c r="H666" s="3">
        <v>43620</v>
      </c>
      <c r="I666" s="3">
        <v>43937</v>
      </c>
    </row>
    <row r="667" spans="2:9" x14ac:dyDescent="0.25">
      <c r="B667" s="2" t="str">
        <f>"137764#"</f>
        <v>137764#</v>
      </c>
      <c r="C667" s="2" t="str">
        <f>"MOD-P-6040-1"</f>
        <v>MOD-P-6040-1</v>
      </c>
      <c r="D667" s="1" t="str">
        <f>"Otolift Modul-AIR binnenbocht"</f>
        <v>Otolift Modul-AIR binnenbocht</v>
      </c>
      <c r="E667" s="1" t="s">
        <v>11</v>
      </c>
      <c r="F667" s="3">
        <v>43378</v>
      </c>
      <c r="G667" s="3">
        <v>43378</v>
      </c>
      <c r="H667" s="3">
        <v>43804</v>
      </c>
      <c r="I667" s="3">
        <v>43743</v>
      </c>
    </row>
    <row r="668" spans="2:9" x14ac:dyDescent="0.25">
      <c r="B668" s="2" t="str">
        <f>"83064A"</f>
        <v>83064A</v>
      </c>
      <c r="C668" s="2" t="str">
        <f>"TWO-86-SZ"</f>
        <v>TWO-86-SZ</v>
      </c>
      <c r="D668" s="1" t="str">
        <f>"Otolift met Flexirail® model P"</f>
        <v>Otolift met Flexirail® model P</v>
      </c>
      <c r="E668" s="1" t="s">
        <v>7</v>
      </c>
      <c r="F668" s="3">
        <v>38533</v>
      </c>
      <c r="G668" s="3">
        <v>40995</v>
      </c>
      <c r="H668" s="3">
        <v>43424</v>
      </c>
      <c r="I668" s="3">
        <v>43789</v>
      </c>
    </row>
    <row r="669" spans="2:9" x14ac:dyDescent="0.25">
      <c r="B669" s="2" t="str">
        <f>"76927#"</f>
        <v>76927#</v>
      </c>
      <c r="C669" s="2" t="str">
        <f>"TWO-85"</f>
        <v>TWO-85</v>
      </c>
      <c r="D669" s="1" t="str">
        <f>"Otolift met Flexirail® model Q"</f>
        <v>Otolift met Flexirail® model Q</v>
      </c>
      <c r="E669" s="1" t="s">
        <v>7</v>
      </c>
      <c r="F669" s="3">
        <v>38092</v>
      </c>
      <c r="G669" s="3">
        <v>40725</v>
      </c>
      <c r="H669" s="3">
        <v>43663</v>
      </c>
      <c r="I669" s="3">
        <v>43567</v>
      </c>
    </row>
    <row r="670" spans="2:9" x14ac:dyDescent="0.25">
      <c r="B670" s="2" t="str">
        <f>"091308#"</f>
        <v>091308#</v>
      </c>
      <c r="C670" s="2" t="str">
        <f>"TWO-86"</f>
        <v>TWO-86</v>
      </c>
      <c r="D670" s="1" t="str">
        <f>"Otolift met Flexirail® model Q"</f>
        <v>Otolift met Flexirail® model Q</v>
      </c>
      <c r="E670" s="1" t="s">
        <v>7</v>
      </c>
      <c r="F670" s="3">
        <v>38982</v>
      </c>
      <c r="G670" s="3">
        <v>41535</v>
      </c>
      <c r="H670" s="3">
        <v>43724</v>
      </c>
      <c r="I670" s="3">
        <v>43691</v>
      </c>
    </row>
    <row r="671" spans="2:9" x14ac:dyDescent="0.25">
      <c r="B671" s="2" t="str">
        <f>"57540#"</f>
        <v>57540#</v>
      </c>
      <c r="C671" s="2" t="str">
        <f>"TWO-60"</f>
        <v>TWO-60</v>
      </c>
      <c r="D671" s="1" t="str">
        <f>"Otolift met Flexirail® model R"</f>
        <v>Otolift met Flexirail® model R</v>
      </c>
      <c r="E671" s="1" t="s">
        <v>7</v>
      </c>
      <c r="F671" s="3">
        <v>37082</v>
      </c>
      <c r="G671" s="3">
        <v>37082</v>
      </c>
      <c r="H671" s="3">
        <v>43664</v>
      </c>
      <c r="I671" s="3">
        <v>43494</v>
      </c>
    </row>
    <row r="672" spans="2:9" x14ac:dyDescent="0.25">
      <c r="B672" s="2" t="str">
        <f>"62324#"</f>
        <v>62324#</v>
      </c>
      <c r="C672" s="2" t="str">
        <f>"TWO-81"</f>
        <v>TWO-81</v>
      </c>
      <c r="D672" s="1" t="str">
        <f>"Otolift met Flexirail® model R"</f>
        <v>Otolift met Flexirail® model R</v>
      </c>
      <c r="E672" s="1" t="s">
        <v>7</v>
      </c>
      <c r="F672" s="3">
        <v>37410</v>
      </c>
      <c r="G672" s="3">
        <v>39882</v>
      </c>
      <c r="H672" s="3">
        <v>43735</v>
      </c>
      <c r="I672" s="3">
        <v>43552</v>
      </c>
    </row>
    <row r="673" spans="2:9" x14ac:dyDescent="0.25">
      <c r="B673" s="2" t="str">
        <f>"094260#"</f>
        <v>094260#</v>
      </c>
      <c r="C673" s="2" t="str">
        <f>"TWO-65"</f>
        <v>TWO-65</v>
      </c>
      <c r="D673" s="1" t="str">
        <f>"Otolift met Flexirail® model T"</f>
        <v>Otolift met Flexirail® model T</v>
      </c>
      <c r="E673" s="1" t="s">
        <v>11</v>
      </c>
      <c r="F673" s="3">
        <v>39234</v>
      </c>
      <c r="G673" s="3">
        <v>39234</v>
      </c>
      <c r="H673" s="3">
        <v>43668</v>
      </c>
      <c r="I673" s="3">
        <v>43496</v>
      </c>
    </row>
    <row r="674" spans="2:9" x14ac:dyDescent="0.25">
      <c r="B674" s="2" t="str">
        <f>"81456#"</f>
        <v>81456#</v>
      </c>
      <c r="C674" s="2" t="str">
        <f>"TWO-62"</f>
        <v>TWO-62</v>
      </c>
      <c r="D674" s="1" t="str">
        <f>"Otolift met Flexirail® model T"</f>
        <v>Otolift met Flexirail® model T</v>
      </c>
      <c r="E674" s="1" t="s">
        <v>11</v>
      </c>
      <c r="F674" s="3">
        <v>38358</v>
      </c>
      <c r="G674" s="3">
        <v>38358</v>
      </c>
      <c r="H674" s="3">
        <v>43469</v>
      </c>
      <c r="I674" s="3">
        <v>43834</v>
      </c>
    </row>
    <row r="675" spans="2:9" x14ac:dyDescent="0.25">
      <c r="B675" s="2" t="str">
        <f>"106650#"</f>
        <v>106650#</v>
      </c>
      <c r="C675" s="2" t="str">
        <f>"TWO-66"</f>
        <v>TWO-66</v>
      </c>
      <c r="D675" s="1" t="str">
        <f>"Otolift met Flexirail® model V"</f>
        <v>Otolift met Flexirail® model V</v>
      </c>
      <c r="E675" s="1" t="s">
        <v>11</v>
      </c>
      <c r="F675" s="3">
        <v>40213</v>
      </c>
      <c r="G675" s="3">
        <v>40213</v>
      </c>
      <c r="H675" s="3">
        <v>43711</v>
      </c>
      <c r="I675" s="3">
        <v>43883</v>
      </c>
    </row>
    <row r="676" spans="2:9" x14ac:dyDescent="0.25">
      <c r="B676" s="2" t="str">
        <f>"140260#"</f>
        <v>140260#</v>
      </c>
      <c r="C676" s="2" t="str">
        <f>"MOD-R-6040-1"</f>
        <v>MOD-R-6040-1</v>
      </c>
      <c r="D676" s="1" t="str">
        <f>"Otolift Modul-AIR binnenbocht"</f>
        <v>Otolift Modul-AIR binnenbocht</v>
      </c>
      <c r="E676" s="1" t="s">
        <v>11</v>
      </c>
      <c r="F676" s="3">
        <v>43553</v>
      </c>
      <c r="G676" s="3">
        <v>43553</v>
      </c>
      <c r="H676" s="3">
        <v>43553</v>
      </c>
      <c r="I676" s="3" t="str">
        <f>""</f>
        <v/>
      </c>
    </row>
    <row r="677" spans="2:9" x14ac:dyDescent="0.25">
      <c r="B677" s="2" t="str">
        <f>"094138#"</f>
        <v>094138#</v>
      </c>
      <c r="C677" s="2" t="str">
        <f>"TWO-85"</f>
        <v>TWO-85</v>
      </c>
      <c r="D677" s="1" t="str">
        <f>"Otolift met Flexirail® model X"</f>
        <v>Otolift met Flexirail® model X</v>
      </c>
      <c r="E677" s="1" t="s">
        <v>11</v>
      </c>
      <c r="F677" s="3">
        <v>39231</v>
      </c>
      <c r="G677" s="3">
        <v>41379</v>
      </c>
      <c r="H677" s="3">
        <v>43679</v>
      </c>
      <c r="I677" s="3">
        <v>44029</v>
      </c>
    </row>
    <row r="678" spans="2:9" x14ac:dyDescent="0.25">
      <c r="B678" s="2" t="str">
        <f>"126758#"</f>
        <v>126758#</v>
      </c>
      <c r="C678" s="2" t="str">
        <f>"TWO-86"</f>
        <v>TWO-86</v>
      </c>
      <c r="D678" s="1" t="str">
        <f>"Otolift TWO"</f>
        <v>Otolift TWO</v>
      </c>
      <c r="E678" s="1"/>
      <c r="F678" s="3">
        <v>42423</v>
      </c>
      <c r="G678" s="3">
        <v>42423</v>
      </c>
      <c r="H678" s="3">
        <v>43551</v>
      </c>
      <c r="I678" s="3">
        <v>43917</v>
      </c>
    </row>
    <row r="679" spans="2:9" x14ac:dyDescent="0.25">
      <c r="B679" s="2" t="str">
        <f>"110370#"</f>
        <v>110370#</v>
      </c>
      <c r="C679" s="2" t="str">
        <f>"TWO-B-87"</f>
        <v>TWO-B-87</v>
      </c>
      <c r="D679" s="1" t="str">
        <f>"Hergebruik Otolift TWO"</f>
        <v>Hergebruik Otolift TWO</v>
      </c>
      <c r="E679" s="1" t="s">
        <v>9</v>
      </c>
      <c r="F679" s="3">
        <v>40534</v>
      </c>
      <c r="G679" s="3">
        <v>43557</v>
      </c>
      <c r="H679" s="3">
        <v>43557</v>
      </c>
      <c r="I679" s="3" t="str">
        <f>""</f>
        <v/>
      </c>
    </row>
    <row r="680" spans="2:9" x14ac:dyDescent="0.25">
      <c r="B680" s="2" t="str">
        <f>"112145#"</f>
        <v>112145#</v>
      </c>
      <c r="C680" s="2" t="str">
        <f>"TWO-G-87"</f>
        <v>TWO-G-87</v>
      </c>
      <c r="D680" s="1" t="str">
        <f>"Hergebruik Otolift TWO"</f>
        <v>Hergebruik Otolift TWO</v>
      </c>
      <c r="E680" s="1" t="s">
        <v>7</v>
      </c>
      <c r="F680" s="3">
        <v>40702</v>
      </c>
      <c r="G680" s="3">
        <v>43558</v>
      </c>
      <c r="H680" s="3">
        <v>43558</v>
      </c>
      <c r="I680" s="3" t="str">
        <f>""</f>
        <v/>
      </c>
    </row>
    <row r="681" spans="2:9" x14ac:dyDescent="0.25">
      <c r="B681" s="2" t="str">
        <f>"126619#"</f>
        <v>126619#</v>
      </c>
      <c r="C681" s="2" t="str">
        <f>"TWO-86"</f>
        <v>TWO-86</v>
      </c>
      <c r="D681" s="1" t="str">
        <f>"Otolift TWO"</f>
        <v>Otolift TWO</v>
      </c>
      <c r="E681" s="1"/>
      <c r="F681" s="3">
        <v>42424</v>
      </c>
      <c r="G681" s="3">
        <v>42424</v>
      </c>
      <c r="H681" s="3">
        <v>43567</v>
      </c>
      <c r="I681" s="3">
        <v>43933</v>
      </c>
    </row>
    <row r="682" spans="2:9" x14ac:dyDescent="0.25">
      <c r="B682" s="2" t="str">
        <f>"109294#"</f>
        <v>109294#</v>
      </c>
      <c r="C682" s="2" t="str">
        <f>"TWO-A-87"</f>
        <v>TWO-A-87</v>
      </c>
      <c r="D682" s="1" t="str">
        <f>"Hergebruik Otolift TWO"</f>
        <v>Hergebruik Otolift TWO</v>
      </c>
      <c r="E682" s="1" t="s">
        <v>9</v>
      </c>
      <c r="F682" s="3">
        <v>40456</v>
      </c>
      <c r="G682" s="3">
        <v>43560</v>
      </c>
      <c r="H682" s="3">
        <v>43560</v>
      </c>
      <c r="I682" s="3" t="str">
        <f>""</f>
        <v/>
      </c>
    </row>
    <row r="683" spans="2:9" x14ac:dyDescent="0.25">
      <c r="B683" s="2" t="str">
        <f>"107814#"</f>
        <v>107814#</v>
      </c>
      <c r="C683" s="2" t="str">
        <f>"TWO-B-87"</f>
        <v>TWO-B-87</v>
      </c>
      <c r="D683" s="1" t="str">
        <f>"Hergebruik Otolift TWO"</f>
        <v>Hergebruik Otolift TWO</v>
      </c>
      <c r="E683" s="1" t="s">
        <v>9</v>
      </c>
      <c r="F683" s="3">
        <v>40361</v>
      </c>
      <c r="G683" s="3">
        <v>43565</v>
      </c>
      <c r="H683" s="3">
        <v>43565</v>
      </c>
      <c r="I683" s="3" t="str">
        <f>""</f>
        <v/>
      </c>
    </row>
    <row r="684" spans="2:9" x14ac:dyDescent="0.25">
      <c r="B684" s="2" t="str">
        <f>"140630#"</f>
        <v>140630#</v>
      </c>
      <c r="C684" s="2" t="str">
        <f>"MOD-G-6050-1"</f>
        <v>MOD-G-6050-1</v>
      </c>
      <c r="D684" s="1" t="str">
        <f>"Otolift Modul-AIR buitenbocht"</f>
        <v>Otolift Modul-AIR buitenbocht</v>
      </c>
      <c r="E684" s="1" t="s">
        <v>7</v>
      </c>
      <c r="F684" s="3">
        <v>43567</v>
      </c>
      <c r="G684" s="3">
        <v>43567</v>
      </c>
      <c r="H684" s="3">
        <v>43567</v>
      </c>
      <c r="I684" s="3" t="str">
        <f>""</f>
        <v/>
      </c>
    </row>
    <row r="685" spans="2:9" x14ac:dyDescent="0.25">
      <c r="B685" s="2" t="str">
        <f>"140632#"</f>
        <v>140632#</v>
      </c>
      <c r="C685" s="2" t="str">
        <f>"MOD-G-6050-1"</f>
        <v>MOD-G-6050-1</v>
      </c>
      <c r="D685" s="1" t="str">
        <f>"Otolift Modul-AIR buitenbocht"</f>
        <v>Otolift Modul-AIR buitenbocht</v>
      </c>
      <c r="E685" s="1" t="s">
        <v>7</v>
      </c>
      <c r="F685" s="3">
        <v>43567</v>
      </c>
      <c r="G685" s="3">
        <v>43567</v>
      </c>
      <c r="H685" s="3">
        <v>43567</v>
      </c>
      <c r="I685" s="3" t="str">
        <f>""</f>
        <v/>
      </c>
    </row>
    <row r="686" spans="2:9" x14ac:dyDescent="0.25">
      <c r="B686" s="2" t="str">
        <f>"111265#"</f>
        <v>111265#</v>
      </c>
      <c r="C686" s="2" t="str">
        <f>"TWO-B-87"</f>
        <v>TWO-B-87</v>
      </c>
      <c r="D686" s="1" t="str">
        <f>"Hergebruik Otolift TWO"</f>
        <v>Hergebruik Otolift TWO</v>
      </c>
      <c r="E686" s="1" t="s">
        <v>9</v>
      </c>
      <c r="F686" s="3">
        <v>40625</v>
      </c>
      <c r="G686" s="3">
        <v>43567</v>
      </c>
      <c r="H686" s="3">
        <v>43567</v>
      </c>
      <c r="I686" s="3" t="str">
        <f>""</f>
        <v/>
      </c>
    </row>
    <row r="687" spans="2:9" x14ac:dyDescent="0.25">
      <c r="B687" s="2" t="str">
        <f>"140785#"</f>
        <v>140785#</v>
      </c>
      <c r="C687" s="2" t="str">
        <f>"MEDM120RH"</f>
        <v>MEDM120RH</v>
      </c>
      <c r="D687" s="1" t="str">
        <f>"Meditek Handbed. 120kg rechts"</f>
        <v>Meditek Handbed. 120kg rechts</v>
      </c>
      <c r="E687" s="1" t="s">
        <v>8</v>
      </c>
      <c r="F687" s="3">
        <v>43571</v>
      </c>
      <c r="G687" s="3">
        <v>43571</v>
      </c>
      <c r="H687" s="3">
        <v>43571</v>
      </c>
      <c r="I687" s="3" t="str">
        <f>""</f>
        <v/>
      </c>
    </row>
    <row r="688" spans="2:9" x14ac:dyDescent="0.25">
      <c r="B688" s="2" t="str">
        <f>"TT18-0363"</f>
        <v>TT18-0363</v>
      </c>
      <c r="C688" s="2" t="str">
        <f>"MOD-G-6050-1"</f>
        <v>MOD-G-6050-1</v>
      </c>
      <c r="D688" s="1" t="str">
        <f>"Hergebruik Otolift Modul-AIR buitenbocht"</f>
        <v>Hergebruik Otolift Modul-AIR buitenbocht</v>
      </c>
      <c r="E688" s="1" t="s">
        <v>7</v>
      </c>
      <c r="F688" s="3">
        <v>43238</v>
      </c>
      <c r="G688" s="3">
        <v>43571</v>
      </c>
      <c r="H688" s="3">
        <v>43571</v>
      </c>
      <c r="I688" s="3" t="str">
        <f>""</f>
        <v/>
      </c>
    </row>
    <row r="689" spans="2:9" x14ac:dyDescent="0.25">
      <c r="B689" s="2" t="str">
        <f>"139345#"</f>
        <v>139345#</v>
      </c>
      <c r="C689" s="2" t="str">
        <f>"MOD-P-6040-2"</f>
        <v>MOD-P-6040-2</v>
      </c>
      <c r="D689" s="1" t="str">
        <f>"Otolift Modul-AIR binnenbocht"</f>
        <v>Otolift Modul-AIR binnenbocht</v>
      </c>
      <c r="E689" s="1" t="s">
        <v>11</v>
      </c>
      <c r="F689" s="3">
        <v>43480</v>
      </c>
      <c r="G689" s="3">
        <v>43571</v>
      </c>
      <c r="H689" s="3">
        <v>43480</v>
      </c>
      <c r="I689" s="3" t="str">
        <f>""</f>
        <v/>
      </c>
    </row>
    <row r="690" spans="2:9" x14ac:dyDescent="0.25">
      <c r="B690" s="2" t="str">
        <f>"140680#"</f>
        <v>140680#</v>
      </c>
      <c r="C690" s="2" t="str">
        <f>"MOD-G-6050-1"</f>
        <v>MOD-G-6050-1</v>
      </c>
      <c r="D690" s="1" t="str">
        <f>"Hergebruik Otolift Modul-AIR buitenbocht"</f>
        <v>Hergebruik Otolift Modul-AIR buitenbocht</v>
      </c>
      <c r="E690" s="1" t="s">
        <v>7</v>
      </c>
      <c r="F690" s="3">
        <v>42826</v>
      </c>
      <c r="G690" s="3">
        <v>43573</v>
      </c>
      <c r="H690" s="3">
        <v>43573</v>
      </c>
      <c r="I690" s="3" t="str">
        <f>""</f>
        <v/>
      </c>
    </row>
    <row r="691" spans="2:9" x14ac:dyDescent="0.25">
      <c r="B691" s="2" t="str">
        <f>"089909#"</f>
        <v>089909#</v>
      </c>
      <c r="C691" s="2" t="str">
        <f t="shared" ref="C691:C697" si="10">"TWO-A-87"</f>
        <v>TWO-A-87</v>
      </c>
      <c r="D691" s="1" t="str">
        <f t="shared" ref="D691:D697" si="11">"Hergebruik Otolift TWO"</f>
        <v>Hergebruik Otolift TWO</v>
      </c>
      <c r="E691" s="1" t="s">
        <v>9</v>
      </c>
      <c r="F691" s="3">
        <v>38868</v>
      </c>
      <c r="G691" s="3">
        <v>42030</v>
      </c>
      <c r="H691" s="3">
        <v>43550</v>
      </c>
      <c r="I691" s="3">
        <v>43916</v>
      </c>
    </row>
    <row r="692" spans="2:9" x14ac:dyDescent="0.25">
      <c r="B692" s="2" t="str">
        <f>"094513#"</f>
        <v>094513#</v>
      </c>
      <c r="C692" s="2" t="str">
        <f t="shared" si="10"/>
        <v>TWO-A-87</v>
      </c>
      <c r="D692" s="1" t="str">
        <f t="shared" si="11"/>
        <v>Hergebruik Otolift TWO</v>
      </c>
      <c r="E692" s="1" t="s">
        <v>9</v>
      </c>
      <c r="F692" s="3">
        <v>39253</v>
      </c>
      <c r="G692" s="3">
        <v>42461</v>
      </c>
      <c r="H692" s="3">
        <v>43671</v>
      </c>
      <c r="I692" s="3">
        <v>43593</v>
      </c>
    </row>
    <row r="693" spans="2:9" x14ac:dyDescent="0.25">
      <c r="B693" s="2" t="str">
        <f>"101048#"</f>
        <v>101048#</v>
      </c>
      <c r="C693" s="2" t="str">
        <f t="shared" si="10"/>
        <v>TWO-A-87</v>
      </c>
      <c r="D693" s="1" t="str">
        <f t="shared" si="11"/>
        <v>Hergebruik Otolift TWO</v>
      </c>
      <c r="E693" s="1" t="s">
        <v>9</v>
      </c>
      <c r="F693" s="3">
        <v>39820</v>
      </c>
      <c r="G693" s="3">
        <v>42970</v>
      </c>
      <c r="H693" s="3">
        <v>43773</v>
      </c>
      <c r="I693" s="3">
        <v>43769</v>
      </c>
    </row>
    <row r="694" spans="2:9" x14ac:dyDescent="0.25">
      <c r="B694" s="2" t="str">
        <f>"106224#"</f>
        <v>106224#</v>
      </c>
      <c r="C694" s="2" t="str">
        <f t="shared" si="10"/>
        <v>TWO-A-87</v>
      </c>
      <c r="D694" s="1" t="str">
        <f t="shared" si="11"/>
        <v>Hergebruik Otolift TWO</v>
      </c>
      <c r="E694" s="1" t="s">
        <v>9</v>
      </c>
      <c r="F694" s="3">
        <v>40203</v>
      </c>
      <c r="G694" s="3">
        <v>42877</v>
      </c>
      <c r="H694" s="3">
        <v>43749</v>
      </c>
      <c r="I694" s="3">
        <v>43656</v>
      </c>
    </row>
    <row r="695" spans="2:9" x14ac:dyDescent="0.25">
      <c r="B695" s="2" t="str">
        <f>"106248#"</f>
        <v>106248#</v>
      </c>
      <c r="C695" s="2" t="str">
        <f t="shared" si="10"/>
        <v>TWO-A-87</v>
      </c>
      <c r="D695" s="1" t="str">
        <f t="shared" si="11"/>
        <v>Hergebruik Otolift TWO</v>
      </c>
      <c r="E695" s="1" t="s">
        <v>9</v>
      </c>
      <c r="F695" s="3">
        <v>40212</v>
      </c>
      <c r="G695" s="3">
        <v>42970</v>
      </c>
      <c r="H695" s="3">
        <v>43741</v>
      </c>
      <c r="I695" s="3">
        <v>43707</v>
      </c>
    </row>
    <row r="696" spans="2:9" x14ac:dyDescent="0.25">
      <c r="B696" s="2" t="str">
        <f>"107775#"</f>
        <v>107775#</v>
      </c>
      <c r="C696" s="2" t="str">
        <f t="shared" si="10"/>
        <v>TWO-A-87</v>
      </c>
      <c r="D696" s="1" t="str">
        <f t="shared" si="11"/>
        <v>Hergebruik Otolift TWO</v>
      </c>
      <c r="E696" s="1" t="s">
        <v>9</v>
      </c>
      <c r="F696" s="3">
        <v>40310</v>
      </c>
      <c r="G696" s="3">
        <v>43039</v>
      </c>
      <c r="H696" s="3">
        <v>43733</v>
      </c>
      <c r="I696" s="3">
        <v>43847</v>
      </c>
    </row>
    <row r="697" spans="2:9" x14ac:dyDescent="0.25">
      <c r="B697" s="2" t="str">
        <f>"108893#"</f>
        <v>108893#</v>
      </c>
      <c r="C697" s="2" t="str">
        <f t="shared" si="10"/>
        <v>TWO-A-87</v>
      </c>
      <c r="D697" s="1" t="str">
        <f t="shared" si="11"/>
        <v>Hergebruik Otolift TWO</v>
      </c>
      <c r="E697" s="1" t="s">
        <v>9</v>
      </c>
      <c r="F697" s="3">
        <v>40437</v>
      </c>
      <c r="G697" s="3">
        <v>42529</v>
      </c>
      <c r="H697" s="3">
        <v>43791</v>
      </c>
      <c r="I697" s="3">
        <v>43735</v>
      </c>
    </row>
    <row r="698" spans="2:9" x14ac:dyDescent="0.25">
      <c r="B698" s="2" t="str">
        <f>"129062#"</f>
        <v>129062#</v>
      </c>
      <c r="C698" s="2" t="str">
        <f>"MOD-G-6040-1"</f>
        <v>MOD-G-6040-1</v>
      </c>
      <c r="D698" s="1" t="str">
        <f>"Hergebruik Otolift Modul-AIR buitenbocht"</f>
        <v>Hergebruik Otolift Modul-AIR buitenbocht</v>
      </c>
      <c r="E698" s="1" t="s">
        <v>7</v>
      </c>
      <c r="F698" s="3">
        <v>42615</v>
      </c>
      <c r="G698" s="3">
        <v>43578</v>
      </c>
      <c r="H698" s="3">
        <v>43578</v>
      </c>
      <c r="I698" s="3" t="str">
        <f>""</f>
        <v/>
      </c>
    </row>
    <row r="699" spans="2:9" x14ac:dyDescent="0.25">
      <c r="B699" s="2" t="str">
        <f>"117599#"</f>
        <v>117599#</v>
      </c>
      <c r="C699" s="2" t="str">
        <f t="shared" ref="C699:C705" si="12">"TWO-A-87"</f>
        <v>TWO-A-87</v>
      </c>
      <c r="D699" s="1" t="str">
        <f>"Hergebruik Otolift TWO"</f>
        <v>Hergebruik Otolift TWO</v>
      </c>
      <c r="E699" s="1" t="s">
        <v>9</v>
      </c>
      <c r="F699" s="3">
        <v>41318</v>
      </c>
      <c r="G699" s="3">
        <v>42478</v>
      </c>
      <c r="H699" s="3">
        <v>43724</v>
      </c>
      <c r="I699" s="3">
        <v>43966</v>
      </c>
    </row>
    <row r="700" spans="2:9" x14ac:dyDescent="0.25">
      <c r="B700" s="2" t="str">
        <f>"124997#"</f>
        <v>124997#</v>
      </c>
      <c r="C700" s="2" t="str">
        <f t="shared" si="12"/>
        <v>TWO-A-87</v>
      </c>
      <c r="D700" s="1" t="str">
        <f>"Hergebruik Otolift TWO"</f>
        <v>Hergebruik Otolift TWO</v>
      </c>
      <c r="E700" s="1" t="s">
        <v>9</v>
      </c>
      <c r="F700" s="3">
        <v>42250</v>
      </c>
      <c r="G700" s="3">
        <v>43020</v>
      </c>
      <c r="H700" s="3">
        <v>43479</v>
      </c>
      <c r="I700" s="3">
        <v>43788</v>
      </c>
    </row>
    <row r="701" spans="2:9" x14ac:dyDescent="0.25">
      <c r="B701" s="2" t="str">
        <f>"125596#"</f>
        <v>125596#</v>
      </c>
      <c r="C701" s="2" t="str">
        <f t="shared" si="12"/>
        <v>TWO-A-87</v>
      </c>
      <c r="D701" s="1" t="str">
        <f>"Hergebruik Otolift TWO"</f>
        <v>Hergebruik Otolift TWO</v>
      </c>
      <c r="E701" s="1" t="s">
        <v>9</v>
      </c>
      <c r="F701" s="3">
        <v>42320</v>
      </c>
      <c r="G701" s="3">
        <v>42893</v>
      </c>
      <c r="H701" s="3">
        <v>43630</v>
      </c>
      <c r="I701" s="3">
        <v>43258</v>
      </c>
    </row>
    <row r="702" spans="2:9" x14ac:dyDescent="0.25">
      <c r="B702" s="2" t="str">
        <f>"126301#"</f>
        <v>126301#</v>
      </c>
      <c r="C702" s="2" t="str">
        <f t="shared" si="12"/>
        <v>TWO-A-87</v>
      </c>
      <c r="D702" s="1" t="str">
        <f>"Otolift TWO"</f>
        <v>Otolift TWO</v>
      </c>
      <c r="E702" s="1" t="s">
        <v>9</v>
      </c>
      <c r="F702" s="3">
        <v>42403</v>
      </c>
      <c r="G702" s="3">
        <v>42403</v>
      </c>
      <c r="H702" s="3">
        <v>43588</v>
      </c>
      <c r="I702" s="3">
        <v>43954</v>
      </c>
    </row>
    <row r="703" spans="2:9" x14ac:dyDescent="0.25">
      <c r="B703" s="2" t="str">
        <f>"129052#"</f>
        <v>129052#</v>
      </c>
      <c r="C703" s="2" t="str">
        <f t="shared" si="12"/>
        <v>TWO-A-87</v>
      </c>
      <c r="D703" s="1" t="str">
        <f>"Hergebruik Otolift TWO"</f>
        <v>Hergebruik Otolift TWO</v>
      </c>
      <c r="E703" s="1" t="s">
        <v>9</v>
      </c>
      <c r="F703" s="3">
        <v>42615</v>
      </c>
      <c r="G703" s="3">
        <v>43076</v>
      </c>
      <c r="H703" s="3">
        <v>43509</v>
      </c>
      <c r="I703" s="3">
        <v>43811</v>
      </c>
    </row>
    <row r="704" spans="2:9" x14ac:dyDescent="0.25">
      <c r="B704" s="2" t="str">
        <f>"129150#"</f>
        <v>129150#</v>
      </c>
      <c r="C704" s="2" t="str">
        <f t="shared" si="12"/>
        <v>TWO-A-87</v>
      </c>
      <c r="D704" s="1" t="str">
        <f>"Otolift TWO"</f>
        <v>Otolift TWO</v>
      </c>
      <c r="E704" s="1" t="s">
        <v>9</v>
      </c>
      <c r="F704" s="3">
        <v>42629</v>
      </c>
      <c r="G704" s="3">
        <v>42629</v>
      </c>
      <c r="H704" s="3">
        <v>43788</v>
      </c>
      <c r="I704" s="3">
        <v>43755</v>
      </c>
    </row>
    <row r="705" spans="2:9" x14ac:dyDescent="0.25">
      <c r="B705" s="2" t="str">
        <f>"134486#"</f>
        <v>134486#</v>
      </c>
      <c r="C705" s="2" t="str">
        <f t="shared" si="12"/>
        <v>TWO-A-87</v>
      </c>
      <c r="D705" s="1" t="str">
        <f>"Otolift TWO"</f>
        <v>Otolift TWO</v>
      </c>
      <c r="E705" s="1" t="s">
        <v>9</v>
      </c>
      <c r="F705" s="3">
        <v>43052</v>
      </c>
      <c r="G705" s="3">
        <v>43052</v>
      </c>
      <c r="H705" s="3">
        <v>43642</v>
      </c>
      <c r="I705" s="3">
        <v>43791</v>
      </c>
    </row>
    <row r="706" spans="2:9" x14ac:dyDescent="0.25">
      <c r="B706" s="2" t="str">
        <f>"127692#"</f>
        <v>127692#</v>
      </c>
      <c r="C706" s="2" t="str">
        <f>"MOD-A-6020-1"</f>
        <v>MOD-A-6020-1</v>
      </c>
      <c r="D706" s="1" t="str">
        <f>"Hergebruik Otolift Modul-AIR"</f>
        <v>Hergebruik Otolift Modul-AIR</v>
      </c>
      <c r="E706" s="1" t="s">
        <v>8</v>
      </c>
      <c r="F706" s="3">
        <v>42499</v>
      </c>
      <c r="G706" s="3">
        <v>43580</v>
      </c>
      <c r="H706" s="3">
        <v>43580</v>
      </c>
      <c r="I706" s="3" t="str">
        <f>""</f>
        <v/>
      </c>
    </row>
    <row r="707" spans="2:9" x14ac:dyDescent="0.25">
      <c r="B707" s="2" t="str">
        <f>"133903#"</f>
        <v>133903#</v>
      </c>
      <c r="C707" s="2" t="str">
        <f>"TWO-A-87-SZ"</f>
        <v>TWO-A-87-SZ</v>
      </c>
      <c r="D707" s="1" t="str">
        <f>"Otolift TWO"</f>
        <v>Otolift TWO</v>
      </c>
      <c r="E707" s="1" t="s">
        <v>9</v>
      </c>
      <c r="F707" s="3">
        <v>43019</v>
      </c>
      <c r="G707" s="3">
        <v>43019</v>
      </c>
      <c r="H707" s="3">
        <v>43768</v>
      </c>
      <c r="I707" s="3">
        <v>43770</v>
      </c>
    </row>
    <row r="708" spans="2:9" x14ac:dyDescent="0.25">
      <c r="B708" s="2" t="str">
        <f>"115378#"</f>
        <v>115378#</v>
      </c>
      <c r="C708" s="2" t="str">
        <f>"TWO-B-87"</f>
        <v>TWO-B-87</v>
      </c>
      <c r="D708" s="1" t="str">
        <f>"Hergebruik Otolift TWO"</f>
        <v>Hergebruik Otolift TWO</v>
      </c>
      <c r="E708" s="1" t="s">
        <v>9</v>
      </c>
      <c r="F708" s="3">
        <v>41072</v>
      </c>
      <c r="G708" s="3">
        <v>43584</v>
      </c>
      <c r="H708" s="3">
        <v>43584</v>
      </c>
      <c r="I708" s="3" t="str">
        <f>""</f>
        <v/>
      </c>
    </row>
    <row r="709" spans="2:9" x14ac:dyDescent="0.25">
      <c r="B709" s="2" t="str">
        <f>"140953#"</f>
        <v>140953#</v>
      </c>
      <c r="C709" s="2" t="str">
        <f>"MOD-G-6050-1"</f>
        <v>MOD-G-6050-1</v>
      </c>
      <c r="D709" s="1" t="str">
        <f>"Traplift 2 bochten"</f>
        <v>Traplift 2 bochten</v>
      </c>
      <c r="E709" s="1" t="s">
        <v>7</v>
      </c>
      <c r="F709" s="3">
        <v>43585</v>
      </c>
      <c r="G709" s="3">
        <v>43585</v>
      </c>
      <c r="H709" s="3" t="str">
        <f>""</f>
        <v/>
      </c>
      <c r="I709" s="3" t="str">
        <f>""</f>
        <v/>
      </c>
    </row>
    <row r="710" spans="2:9" x14ac:dyDescent="0.25">
      <c r="B710" s="2" t="str">
        <f>"140452#"</f>
        <v>140452#</v>
      </c>
      <c r="C710" s="2" t="str">
        <f>"MOD-P-6040-2"</f>
        <v>MOD-P-6040-2</v>
      </c>
      <c r="D710" s="1" t="str">
        <f>"Otolift Modul-AIR binnenbocht"</f>
        <v>Otolift Modul-AIR binnenbocht</v>
      </c>
      <c r="E710" s="1" t="s">
        <v>11</v>
      </c>
      <c r="F710" s="3">
        <v>43585</v>
      </c>
      <c r="G710" s="3">
        <v>43585</v>
      </c>
      <c r="H710" s="3">
        <v>43585</v>
      </c>
      <c r="I710" s="3" t="str">
        <f>""</f>
        <v/>
      </c>
    </row>
    <row r="711" spans="2:9" x14ac:dyDescent="0.25">
      <c r="B711" s="2" t="str">
        <f>"133511#"</f>
        <v>133511#</v>
      </c>
      <c r="C711" s="2" t="str">
        <f>"TWO-B-150"</f>
        <v>TWO-B-150</v>
      </c>
      <c r="D711" s="1" t="str">
        <f>"Otolift TWO"</f>
        <v>Otolift TWO</v>
      </c>
      <c r="E711" s="1" t="s">
        <v>9</v>
      </c>
      <c r="F711" s="3">
        <v>42977</v>
      </c>
      <c r="G711" s="3">
        <v>42977</v>
      </c>
      <c r="H711" s="3">
        <v>43559</v>
      </c>
      <c r="I711" s="3">
        <v>43925</v>
      </c>
    </row>
    <row r="712" spans="2:9" x14ac:dyDescent="0.25">
      <c r="B712" s="2" t="str">
        <f>"091583#"</f>
        <v>091583#</v>
      </c>
      <c r="C712" s="2" t="str">
        <f t="shared" ref="C712:C719" si="13">"TWO-B-87"</f>
        <v>TWO-B-87</v>
      </c>
      <c r="D712" s="1" t="str">
        <f>"Otolift met Flexirail® model M"</f>
        <v>Otolift met Flexirail® model M</v>
      </c>
      <c r="E712" s="1" t="s">
        <v>9</v>
      </c>
      <c r="F712" s="3">
        <v>39044</v>
      </c>
      <c r="G712" s="3">
        <v>41417</v>
      </c>
      <c r="H712" s="3">
        <v>43803</v>
      </c>
      <c r="I712" s="3">
        <v>43755</v>
      </c>
    </row>
    <row r="713" spans="2:9" x14ac:dyDescent="0.25">
      <c r="B713" s="2" t="str">
        <f>"092872#"</f>
        <v>092872#</v>
      </c>
      <c r="C713" s="2" t="str">
        <f t="shared" si="13"/>
        <v>TWO-B-87</v>
      </c>
      <c r="D713" s="1" t="str">
        <f>"Otolift met Flexirail® model P"</f>
        <v>Otolift met Flexirail® model P</v>
      </c>
      <c r="E713" s="1" t="s">
        <v>9</v>
      </c>
      <c r="F713" s="3">
        <v>39545</v>
      </c>
      <c r="G713" s="3">
        <v>41719</v>
      </c>
      <c r="H713" s="3">
        <v>43418</v>
      </c>
      <c r="I713" s="3">
        <v>43783</v>
      </c>
    </row>
    <row r="714" spans="2:9" x14ac:dyDescent="0.25">
      <c r="B714" s="2" t="str">
        <f>"096441#"</f>
        <v>096441#</v>
      </c>
      <c r="C714" s="2" t="str">
        <f t="shared" si="13"/>
        <v>TWO-B-87</v>
      </c>
      <c r="D714" s="1" t="str">
        <f t="shared" ref="D714:D719" si="14">"Hergebruik Otolift TWO"</f>
        <v>Hergebruik Otolift TWO</v>
      </c>
      <c r="E714" s="1" t="s">
        <v>9</v>
      </c>
      <c r="F714" s="3">
        <v>39470</v>
      </c>
      <c r="G714" s="3">
        <v>42795</v>
      </c>
      <c r="H714" s="3">
        <v>43594</v>
      </c>
      <c r="I714" s="3">
        <v>43960</v>
      </c>
    </row>
    <row r="715" spans="2:9" x14ac:dyDescent="0.25">
      <c r="B715" s="2" t="str">
        <f>"097017#"</f>
        <v>097017#</v>
      </c>
      <c r="C715" s="2" t="str">
        <f t="shared" si="13"/>
        <v>TWO-B-87</v>
      </c>
      <c r="D715" s="1" t="str">
        <f t="shared" si="14"/>
        <v>Hergebruik Otolift TWO</v>
      </c>
      <c r="E715" s="1" t="s">
        <v>9</v>
      </c>
      <c r="F715" s="3">
        <v>39513</v>
      </c>
      <c r="G715" s="3">
        <v>42978</v>
      </c>
      <c r="H715" s="3">
        <v>43479</v>
      </c>
      <c r="I715" s="3">
        <v>43844</v>
      </c>
    </row>
    <row r="716" spans="2:9" x14ac:dyDescent="0.25">
      <c r="B716" s="2" t="str">
        <f>"097742#"</f>
        <v>097742#</v>
      </c>
      <c r="C716" s="2" t="str">
        <f t="shared" si="13"/>
        <v>TWO-B-87</v>
      </c>
      <c r="D716" s="1" t="str">
        <f t="shared" si="14"/>
        <v>Hergebruik Otolift TWO</v>
      </c>
      <c r="E716" s="1" t="s">
        <v>9</v>
      </c>
      <c r="F716" s="3">
        <v>39566</v>
      </c>
      <c r="G716" s="3">
        <v>42167</v>
      </c>
      <c r="H716" s="3">
        <v>43790</v>
      </c>
      <c r="I716" s="3">
        <v>43788</v>
      </c>
    </row>
    <row r="717" spans="2:9" x14ac:dyDescent="0.25">
      <c r="B717" s="2" t="str">
        <f>"097968#"</f>
        <v>097968#</v>
      </c>
      <c r="C717" s="2" t="str">
        <f t="shared" si="13"/>
        <v>TWO-B-87</v>
      </c>
      <c r="D717" s="1" t="str">
        <f t="shared" si="14"/>
        <v>Hergebruik Otolift TWO</v>
      </c>
      <c r="E717" s="1" t="s">
        <v>9</v>
      </c>
      <c r="F717" s="3">
        <v>39594</v>
      </c>
      <c r="G717" s="3">
        <v>42131</v>
      </c>
      <c r="H717" s="3">
        <v>43789</v>
      </c>
      <c r="I717" s="3">
        <v>43755</v>
      </c>
    </row>
    <row r="718" spans="2:9" x14ac:dyDescent="0.25">
      <c r="B718" s="2" t="str">
        <f>"099838#"</f>
        <v>099838#</v>
      </c>
      <c r="C718" s="2" t="str">
        <f t="shared" si="13"/>
        <v>TWO-B-87</v>
      </c>
      <c r="D718" s="1" t="str">
        <f t="shared" si="14"/>
        <v>Hergebruik Otolift TWO</v>
      </c>
      <c r="E718" s="1" t="s">
        <v>9</v>
      </c>
      <c r="F718" s="3">
        <v>39750</v>
      </c>
      <c r="G718" s="3">
        <v>42290</v>
      </c>
      <c r="H718" s="3">
        <v>43437</v>
      </c>
      <c r="I718" s="3">
        <v>43802</v>
      </c>
    </row>
    <row r="719" spans="2:9" x14ac:dyDescent="0.25">
      <c r="B719" s="2" t="str">
        <f>"101385#"</f>
        <v>101385#</v>
      </c>
      <c r="C719" s="2" t="str">
        <f t="shared" si="13"/>
        <v>TWO-B-87</v>
      </c>
      <c r="D719" s="1" t="str">
        <f t="shared" si="14"/>
        <v>Hergebruik Otolift TWO</v>
      </c>
      <c r="E719" s="1" t="s">
        <v>9</v>
      </c>
      <c r="F719" s="3">
        <v>39827</v>
      </c>
      <c r="G719" s="3">
        <v>42940</v>
      </c>
      <c r="H719" s="3">
        <v>43479</v>
      </c>
      <c r="I719" s="3">
        <v>43844</v>
      </c>
    </row>
    <row r="720" spans="2:9" x14ac:dyDescent="0.25">
      <c r="B720" s="2" t="str">
        <f>"141014#"</f>
        <v>141014#</v>
      </c>
      <c r="C720" s="2" t="str">
        <f>"MOD-B-6050-1"</f>
        <v>MOD-B-6050-1</v>
      </c>
      <c r="D720" s="1" t="str">
        <f>"Hergebruik Otolift Modul-AIR buitenbocht"</f>
        <v>Hergebruik Otolift Modul-AIR buitenbocht</v>
      </c>
      <c r="E720" s="1" t="s">
        <v>9</v>
      </c>
      <c r="F720" s="3">
        <v>42736</v>
      </c>
      <c r="G720" s="3">
        <v>43588</v>
      </c>
      <c r="H720" s="3">
        <v>43588</v>
      </c>
      <c r="I720" s="3" t="str">
        <f>""</f>
        <v/>
      </c>
    </row>
    <row r="721" spans="2:9" x14ac:dyDescent="0.25">
      <c r="B721" s="2" t="str">
        <f>"103416#"</f>
        <v>103416#</v>
      </c>
      <c r="C721" s="2" t="str">
        <f t="shared" ref="C721:C727" si="15">"TWO-B-87"</f>
        <v>TWO-B-87</v>
      </c>
      <c r="D721" s="1" t="str">
        <f t="shared" ref="D721:D728" si="16">"Hergebruik Otolift TWO"</f>
        <v>Hergebruik Otolift TWO</v>
      </c>
      <c r="E721" s="1" t="s">
        <v>9</v>
      </c>
      <c r="F721" s="3">
        <v>39982</v>
      </c>
      <c r="G721" s="3">
        <v>42034</v>
      </c>
      <c r="H721" s="3">
        <v>43545</v>
      </c>
      <c r="I721" s="3">
        <v>43911</v>
      </c>
    </row>
    <row r="722" spans="2:9" x14ac:dyDescent="0.25">
      <c r="B722" s="2" t="str">
        <f>"104072#"</f>
        <v>104072#</v>
      </c>
      <c r="C722" s="2" t="str">
        <f t="shared" si="15"/>
        <v>TWO-B-87</v>
      </c>
      <c r="D722" s="1" t="str">
        <f t="shared" si="16"/>
        <v>Hergebruik Otolift TWO</v>
      </c>
      <c r="E722" s="1" t="s">
        <v>9</v>
      </c>
      <c r="F722" s="3">
        <v>40042</v>
      </c>
      <c r="G722" s="3">
        <v>43237</v>
      </c>
      <c r="H722" s="3">
        <v>43656</v>
      </c>
      <c r="I722" s="3">
        <v>43602</v>
      </c>
    </row>
    <row r="723" spans="2:9" x14ac:dyDescent="0.25">
      <c r="B723" s="2" t="str">
        <f>"104670#"</f>
        <v>104670#</v>
      </c>
      <c r="C723" s="2" t="str">
        <f t="shared" si="15"/>
        <v>TWO-B-87</v>
      </c>
      <c r="D723" s="1" t="str">
        <f t="shared" si="16"/>
        <v>Hergebruik Otolift TWO</v>
      </c>
      <c r="E723" s="1" t="s">
        <v>9</v>
      </c>
      <c r="F723" s="3">
        <v>40163</v>
      </c>
      <c r="G723" s="3">
        <v>42922</v>
      </c>
      <c r="H723" s="3">
        <v>43663</v>
      </c>
      <c r="I723" s="3">
        <v>43663</v>
      </c>
    </row>
    <row r="724" spans="2:9" x14ac:dyDescent="0.25">
      <c r="B724" s="2" t="str">
        <f>"104809#"</f>
        <v>104809#</v>
      </c>
      <c r="C724" s="2" t="str">
        <f t="shared" si="15"/>
        <v>TWO-B-87</v>
      </c>
      <c r="D724" s="1" t="str">
        <f t="shared" si="16"/>
        <v>Hergebruik Otolift TWO</v>
      </c>
      <c r="E724" s="1" t="s">
        <v>9</v>
      </c>
      <c r="F724" s="3">
        <v>40115</v>
      </c>
      <c r="G724" s="3">
        <v>41932</v>
      </c>
      <c r="H724" s="3">
        <v>43511</v>
      </c>
      <c r="I724" s="3">
        <v>43876</v>
      </c>
    </row>
    <row r="725" spans="2:9" x14ac:dyDescent="0.25">
      <c r="B725" s="2" t="str">
        <f>"105116#"</f>
        <v>105116#</v>
      </c>
      <c r="C725" s="2" t="str">
        <f t="shared" si="15"/>
        <v>TWO-B-87</v>
      </c>
      <c r="D725" s="1" t="str">
        <f t="shared" si="16"/>
        <v>Hergebruik Otolift TWO</v>
      </c>
      <c r="E725" s="1" t="s">
        <v>9</v>
      </c>
      <c r="F725" s="3">
        <v>40107</v>
      </c>
      <c r="G725" s="3">
        <v>43440</v>
      </c>
      <c r="H725" s="3">
        <v>43808</v>
      </c>
      <c r="I725" s="3">
        <v>43805</v>
      </c>
    </row>
    <row r="726" spans="2:9" x14ac:dyDescent="0.25">
      <c r="B726" s="2" t="str">
        <f>"105588#"</f>
        <v>105588#</v>
      </c>
      <c r="C726" s="2" t="str">
        <f t="shared" si="15"/>
        <v>TWO-B-87</v>
      </c>
      <c r="D726" s="1" t="str">
        <f t="shared" si="16"/>
        <v>Hergebruik Otolift TWO</v>
      </c>
      <c r="E726" s="1" t="s">
        <v>9</v>
      </c>
      <c r="F726" s="3">
        <v>40155</v>
      </c>
      <c r="G726" s="3">
        <v>42824</v>
      </c>
      <c r="H726" s="3">
        <v>42468</v>
      </c>
      <c r="I726" s="3">
        <v>42782</v>
      </c>
    </row>
    <row r="727" spans="2:9" x14ac:dyDescent="0.25">
      <c r="B727" s="2" t="str">
        <f>"106216#"</f>
        <v>106216#</v>
      </c>
      <c r="C727" s="2" t="str">
        <f t="shared" si="15"/>
        <v>TWO-B-87</v>
      </c>
      <c r="D727" s="1" t="str">
        <f t="shared" si="16"/>
        <v>Hergebruik Otolift TWO</v>
      </c>
      <c r="E727" s="1" t="s">
        <v>9</v>
      </c>
      <c r="F727" s="3">
        <v>40197</v>
      </c>
      <c r="G727" s="3">
        <v>43377</v>
      </c>
      <c r="H727" s="3">
        <v>43738</v>
      </c>
      <c r="I727" s="3">
        <v>43742</v>
      </c>
    </row>
    <row r="728" spans="2:9" x14ac:dyDescent="0.25">
      <c r="B728" s="2" t="str">
        <f>"099145#"</f>
        <v>099145#</v>
      </c>
      <c r="C728" s="2" t="str">
        <f>"TWO-G-87"</f>
        <v>TWO-G-87</v>
      </c>
      <c r="D728" s="1" t="str">
        <f t="shared" si="16"/>
        <v>Hergebruik Otolift TWO</v>
      </c>
      <c r="E728" s="1" t="s">
        <v>7</v>
      </c>
      <c r="F728" s="3">
        <v>39686</v>
      </c>
      <c r="G728" s="3">
        <v>43588</v>
      </c>
      <c r="H728" s="3">
        <v>43588</v>
      </c>
      <c r="I728" s="3" t="str">
        <f>""</f>
        <v/>
      </c>
    </row>
    <row r="729" spans="2:9" x14ac:dyDescent="0.25">
      <c r="B729" s="2" t="str">
        <f>"141011#"</f>
        <v>141011#</v>
      </c>
      <c r="C729" s="2" t="str">
        <f>"MOD-G-6050-1"</f>
        <v>MOD-G-6050-1</v>
      </c>
      <c r="D729" s="1" t="str">
        <f>"Hergebruik Otolift Modul-AIR buitenbocht"</f>
        <v>Hergebruik Otolift Modul-AIR buitenbocht</v>
      </c>
      <c r="E729" s="1" t="s">
        <v>7</v>
      </c>
      <c r="F729" s="3">
        <v>42736</v>
      </c>
      <c r="G729" s="3">
        <v>43591</v>
      </c>
      <c r="H729" s="3">
        <v>43591</v>
      </c>
      <c r="I729" s="3" t="str">
        <f>""</f>
        <v/>
      </c>
    </row>
    <row r="730" spans="2:9" x14ac:dyDescent="0.25">
      <c r="B730" s="2" t="str">
        <f>"106474#"</f>
        <v>106474#</v>
      </c>
      <c r="C730" s="2" t="str">
        <f>"TWO-B-87"</f>
        <v>TWO-B-87</v>
      </c>
      <c r="D730" s="1" t="str">
        <f>"Hergebruik Otolift TWO"</f>
        <v>Hergebruik Otolift TWO</v>
      </c>
      <c r="E730" s="1" t="s">
        <v>9</v>
      </c>
      <c r="F730" s="3">
        <v>40211</v>
      </c>
      <c r="G730" s="3">
        <v>42887</v>
      </c>
      <c r="H730" s="3">
        <v>43795</v>
      </c>
      <c r="I730" s="3">
        <v>43754</v>
      </c>
    </row>
    <row r="731" spans="2:9" x14ac:dyDescent="0.25">
      <c r="B731" s="2" t="str">
        <f>"141132#"</f>
        <v>141132#</v>
      </c>
      <c r="C731" s="2" t="str">
        <f>"TWO-A-87-Z"</f>
        <v>TWO-A-87-Z</v>
      </c>
      <c r="D731" s="1" t="str">
        <f>"Otolift TWO"</f>
        <v>Otolift TWO</v>
      </c>
      <c r="E731" s="1" t="s">
        <v>9</v>
      </c>
      <c r="F731" s="3">
        <v>43593</v>
      </c>
      <c r="G731" s="3">
        <v>43593</v>
      </c>
      <c r="H731" s="3">
        <v>43593</v>
      </c>
      <c r="I731" s="3" t="str">
        <f>""</f>
        <v/>
      </c>
    </row>
    <row r="732" spans="2:9" x14ac:dyDescent="0.25">
      <c r="B732" s="2" t="str">
        <f>"107503#"</f>
        <v>107503#</v>
      </c>
      <c r="C732" s="2" t="str">
        <f>"TWO-B-87"</f>
        <v>TWO-B-87</v>
      </c>
      <c r="D732" s="1" t="str">
        <f>"Hergebruik Otolift TWO"</f>
        <v>Hergebruik Otolift TWO</v>
      </c>
      <c r="E732" s="1" t="s">
        <v>9</v>
      </c>
      <c r="F732" s="3">
        <v>40287</v>
      </c>
      <c r="G732" s="3">
        <v>43207</v>
      </c>
      <c r="H732" s="3">
        <v>43601</v>
      </c>
      <c r="I732" s="3">
        <v>43967</v>
      </c>
    </row>
    <row r="733" spans="2:9" x14ac:dyDescent="0.25">
      <c r="B733" s="2" t="str">
        <f>"141082#"</f>
        <v>141082#</v>
      </c>
      <c r="C733" s="2" t="str">
        <f>"TWO-G-87"</f>
        <v>TWO-G-87</v>
      </c>
      <c r="D733" s="1" t="str">
        <f>"Hergebruik Otolift TWO"</f>
        <v>Hergebruik Otolift TWO</v>
      </c>
      <c r="E733" s="1" t="s">
        <v>7</v>
      </c>
      <c r="F733" s="3">
        <v>43593</v>
      </c>
      <c r="G733" s="3">
        <v>43593</v>
      </c>
      <c r="H733" s="3">
        <v>43593</v>
      </c>
      <c r="I733" s="3" t="str">
        <f>""</f>
        <v/>
      </c>
    </row>
    <row r="734" spans="2:9" x14ac:dyDescent="0.25">
      <c r="B734" s="2" t="str">
        <f>"107735#"</f>
        <v>107735#</v>
      </c>
      <c r="C734" s="2" t="str">
        <f>"TWO-B-87"</f>
        <v>TWO-B-87</v>
      </c>
      <c r="D734" s="1" t="str">
        <f>"Hergebruik Otolift TWO"</f>
        <v>Hergebruik Otolift TWO</v>
      </c>
      <c r="E734" s="1" t="s">
        <v>9</v>
      </c>
      <c r="F734" s="3">
        <v>40296</v>
      </c>
      <c r="G734" s="3">
        <v>42180</v>
      </c>
      <c r="H734" s="3">
        <v>43313</v>
      </c>
      <c r="I734" s="3">
        <v>43678</v>
      </c>
    </row>
    <row r="735" spans="2:9" x14ac:dyDescent="0.25">
      <c r="B735" s="2" t="str">
        <f>"139962#"</f>
        <v>139962#</v>
      </c>
      <c r="C735" s="2" t="str">
        <f>"MEDM120LH"</f>
        <v>MEDM120LH</v>
      </c>
      <c r="D735" s="1" t="str">
        <f>"Meditek Handbed. 120kg links"</f>
        <v>Meditek Handbed. 120kg links</v>
      </c>
      <c r="E735" s="1" t="s">
        <v>8</v>
      </c>
      <c r="F735" s="3">
        <v>43509</v>
      </c>
      <c r="G735" s="3">
        <v>43594</v>
      </c>
      <c r="H735" s="3">
        <v>43594</v>
      </c>
      <c r="I735" s="3" t="str">
        <f>""</f>
        <v/>
      </c>
    </row>
    <row r="736" spans="2:9" x14ac:dyDescent="0.25">
      <c r="B736" s="2" t="str">
        <f>"108290#"</f>
        <v>108290#</v>
      </c>
      <c r="C736" s="2" t="str">
        <f>"TWO-B-87"</f>
        <v>TWO-B-87</v>
      </c>
      <c r="D736" s="1" t="str">
        <f>"Hergebruik Otolift TWO"</f>
        <v>Hergebruik Otolift TWO</v>
      </c>
      <c r="E736" s="1" t="s">
        <v>9</v>
      </c>
      <c r="F736" s="3">
        <v>40345</v>
      </c>
      <c r="G736" s="3">
        <v>42345</v>
      </c>
      <c r="H736" s="3">
        <v>43808</v>
      </c>
      <c r="I736" s="3">
        <v>43926</v>
      </c>
    </row>
    <row r="737" spans="2:9" x14ac:dyDescent="0.25">
      <c r="B737" s="2" t="str">
        <f>"141094#"</f>
        <v>141094#</v>
      </c>
      <c r="C737" s="2" t="str">
        <f>"MOD-G-6050-1"</f>
        <v>MOD-G-6050-1</v>
      </c>
      <c r="D737" s="1" t="str">
        <f>"Hergebruik Otolift Modul-AIR buitenbocht"</f>
        <v>Hergebruik Otolift Modul-AIR buitenbocht</v>
      </c>
      <c r="E737" s="1" t="s">
        <v>7</v>
      </c>
      <c r="F737" s="3">
        <v>42736</v>
      </c>
      <c r="G737" s="3">
        <v>43594</v>
      </c>
      <c r="H737" s="3">
        <v>43594</v>
      </c>
      <c r="I737" s="3" t="str">
        <f>""</f>
        <v/>
      </c>
    </row>
    <row r="738" spans="2:9" x14ac:dyDescent="0.25">
      <c r="B738" s="2" t="str">
        <f>"109155#"</f>
        <v>109155#</v>
      </c>
      <c r="C738" s="2" t="str">
        <f>"TWO-B-87"</f>
        <v>TWO-B-87</v>
      </c>
      <c r="D738" s="1" t="str">
        <f>"Hergebruik Otolift TWO"</f>
        <v>Hergebruik Otolift TWO</v>
      </c>
      <c r="E738" s="1" t="s">
        <v>9</v>
      </c>
      <c r="F738" s="3">
        <v>40430</v>
      </c>
      <c r="G738" s="3">
        <v>42912</v>
      </c>
      <c r="H738" s="3">
        <v>43720</v>
      </c>
      <c r="I738" s="3">
        <v>43789</v>
      </c>
    </row>
    <row r="739" spans="2:9" x14ac:dyDescent="0.25">
      <c r="B739" s="2" t="str">
        <f>"109660#"</f>
        <v>109660#</v>
      </c>
      <c r="C739" s="2" t="str">
        <f>"TWO-B-87"</f>
        <v>TWO-B-87</v>
      </c>
      <c r="D739" s="1" t="str">
        <f>"Hergebruik Otolift TWO"</f>
        <v>Hergebruik Otolift TWO</v>
      </c>
      <c r="E739" s="1" t="s">
        <v>9</v>
      </c>
      <c r="F739" s="3">
        <v>40484</v>
      </c>
      <c r="G739" s="3">
        <v>42921</v>
      </c>
      <c r="H739" s="3">
        <v>43651</v>
      </c>
      <c r="I739" s="3">
        <v>43663</v>
      </c>
    </row>
    <row r="740" spans="2:9" x14ac:dyDescent="0.25">
      <c r="B740" s="2" t="str">
        <f>"109713#"</f>
        <v>109713#</v>
      </c>
      <c r="C740" s="2" t="str">
        <f>"TWO-B-87"</f>
        <v>TWO-B-87</v>
      </c>
      <c r="D740" s="1" t="str">
        <f>"Robijn met 1 bocht"</f>
        <v>Robijn met 1 bocht</v>
      </c>
      <c r="E740" s="1" t="s">
        <v>9</v>
      </c>
      <c r="F740" s="3">
        <v>40471</v>
      </c>
      <c r="G740" s="3">
        <v>41066</v>
      </c>
      <c r="H740" s="3">
        <v>43524</v>
      </c>
      <c r="I740" s="3">
        <v>43889</v>
      </c>
    </row>
    <row r="741" spans="2:9" x14ac:dyDescent="0.25">
      <c r="B741" s="2" t="str">
        <f>"141164#"</f>
        <v>141164#</v>
      </c>
      <c r="C741" s="2" t="str">
        <f>"MOD-G-6050-1"</f>
        <v>MOD-G-6050-1</v>
      </c>
      <c r="D741" s="1" t="str">
        <f>"Otolift Modul-AIR buitenbocht"</f>
        <v>Otolift Modul-AIR buitenbocht</v>
      </c>
      <c r="E741" s="1" t="s">
        <v>7</v>
      </c>
      <c r="F741" s="3">
        <v>43598</v>
      </c>
      <c r="G741" s="3">
        <v>43598</v>
      </c>
      <c r="H741" s="3">
        <v>43598</v>
      </c>
      <c r="I741" s="3" t="str">
        <f>""</f>
        <v/>
      </c>
    </row>
    <row r="742" spans="2:9" x14ac:dyDescent="0.25">
      <c r="B742" s="2" t="str">
        <f>"110045#"</f>
        <v>110045#</v>
      </c>
      <c r="C742" s="2" t="str">
        <f>"TWO-B-87"</f>
        <v>TWO-B-87</v>
      </c>
      <c r="D742" s="1" t="str">
        <f>"Hergebruik Otolift TWO"</f>
        <v>Hergebruik Otolift TWO</v>
      </c>
      <c r="E742" s="1" t="s">
        <v>9</v>
      </c>
      <c r="F742" s="3">
        <v>40494</v>
      </c>
      <c r="G742" s="3">
        <v>43398</v>
      </c>
      <c r="H742" s="3">
        <v>43067</v>
      </c>
      <c r="I742" s="3">
        <v>43432</v>
      </c>
    </row>
    <row r="743" spans="2:9" x14ac:dyDescent="0.25">
      <c r="B743" s="2" t="str">
        <f>"110242#"</f>
        <v>110242#</v>
      </c>
      <c r="C743" s="2" t="str">
        <f>"TWO-B-87"</f>
        <v>TWO-B-87</v>
      </c>
      <c r="D743" s="1" t="str">
        <f>"Hergebruik Otolift TWO"</f>
        <v>Hergebruik Otolift TWO</v>
      </c>
      <c r="E743" s="1" t="s">
        <v>9</v>
      </c>
      <c r="F743" s="3">
        <v>40526</v>
      </c>
      <c r="G743" s="3">
        <v>43032</v>
      </c>
      <c r="H743" s="3">
        <v>43493</v>
      </c>
      <c r="I743" s="3">
        <v>43858</v>
      </c>
    </row>
    <row r="744" spans="2:9" x14ac:dyDescent="0.25">
      <c r="B744" s="2" t="str">
        <f>"141388#"</f>
        <v>141388#</v>
      </c>
      <c r="C744" s="2" t="str">
        <f>"MOD-B-6040-1"</f>
        <v>MOD-B-6040-1</v>
      </c>
      <c r="D744" s="1" t="str">
        <f>"Otolift Modul-AIR buitenbocht"</f>
        <v>Otolift Modul-AIR buitenbocht</v>
      </c>
      <c r="E744" s="1" t="s">
        <v>9</v>
      </c>
      <c r="F744" s="3">
        <v>43600</v>
      </c>
      <c r="G744" s="3">
        <v>43600</v>
      </c>
      <c r="H744" s="3">
        <v>43600</v>
      </c>
      <c r="I744" s="3" t="str">
        <f>""</f>
        <v/>
      </c>
    </row>
    <row r="745" spans="2:9" x14ac:dyDescent="0.25">
      <c r="B745" s="2" t="str">
        <f>"110848#"</f>
        <v>110848#</v>
      </c>
      <c r="C745" s="2" t="str">
        <f>"TWO-B-87"</f>
        <v>TWO-B-87</v>
      </c>
      <c r="D745" s="1" t="str">
        <f>"Hergebruik Otolift TWO"</f>
        <v>Hergebruik Otolift TWO</v>
      </c>
      <c r="E745" s="1" t="s">
        <v>9</v>
      </c>
      <c r="F745" s="3">
        <v>40585</v>
      </c>
      <c r="G745" s="3">
        <v>42919</v>
      </c>
      <c r="H745" s="3">
        <v>43672</v>
      </c>
      <c r="I745" s="3">
        <v>43659</v>
      </c>
    </row>
    <row r="746" spans="2:9" x14ac:dyDescent="0.25">
      <c r="B746" s="2" t="str">
        <f>"111188#"</f>
        <v>111188#</v>
      </c>
      <c r="C746" s="2" t="str">
        <f>"TWO-B-87"</f>
        <v>TWO-B-87</v>
      </c>
      <c r="D746" s="1" t="str">
        <f>"Hergebruik Otolift TWO"</f>
        <v>Hergebruik Otolift TWO</v>
      </c>
      <c r="E746" s="1" t="s">
        <v>9</v>
      </c>
      <c r="F746" s="3">
        <v>40583</v>
      </c>
      <c r="G746" s="3">
        <v>43139</v>
      </c>
      <c r="H746" s="3">
        <v>43507</v>
      </c>
      <c r="I746" s="3">
        <v>43872</v>
      </c>
    </row>
    <row r="747" spans="2:9" x14ac:dyDescent="0.25">
      <c r="B747" s="2" t="str">
        <f>"141257#"</f>
        <v>141257#</v>
      </c>
      <c r="C747" s="2" t="str">
        <f>"MOD-B-6050-1"</f>
        <v>MOD-B-6050-1</v>
      </c>
      <c r="D747" s="1" t="str">
        <f>"Hergebruik Otolift Modul-AIR buitenbocht"</f>
        <v>Hergebruik Otolift Modul-AIR buitenbocht</v>
      </c>
      <c r="E747" s="1" t="s">
        <v>9</v>
      </c>
      <c r="F747" s="3">
        <v>43600</v>
      </c>
      <c r="G747" s="3">
        <v>43600</v>
      </c>
      <c r="H747" s="3">
        <v>43600</v>
      </c>
      <c r="I747" s="3" t="str">
        <f>""</f>
        <v/>
      </c>
    </row>
    <row r="748" spans="2:9" x14ac:dyDescent="0.25">
      <c r="B748" s="2" t="str">
        <f>"141393#"</f>
        <v>141393#</v>
      </c>
      <c r="C748" s="2" t="str">
        <f>"MOD-R-6040-1"</f>
        <v>MOD-R-6040-1</v>
      </c>
      <c r="D748" s="1" t="str">
        <f>"Otolift Modul-AIR binnenbocht"</f>
        <v>Otolift Modul-AIR binnenbocht</v>
      </c>
      <c r="E748" s="1" t="s">
        <v>11</v>
      </c>
      <c r="F748" s="3">
        <v>43600</v>
      </c>
      <c r="G748" s="3">
        <v>43600</v>
      </c>
      <c r="H748" s="3" t="str">
        <f>""</f>
        <v/>
      </c>
      <c r="I748" s="3" t="str">
        <f>""</f>
        <v/>
      </c>
    </row>
    <row r="749" spans="2:9" x14ac:dyDescent="0.25">
      <c r="B749" s="2" t="str">
        <f>"112226#"</f>
        <v>112226#</v>
      </c>
      <c r="C749" s="2" t="str">
        <f t="shared" ref="C749:C761" si="17">"TWO-B-87"</f>
        <v>TWO-B-87</v>
      </c>
      <c r="D749" s="1" t="str">
        <f t="shared" ref="D749:D754" si="18">"Hergebruik Otolift TWO"</f>
        <v>Hergebruik Otolift TWO</v>
      </c>
      <c r="E749" s="1" t="s">
        <v>9</v>
      </c>
      <c r="F749" s="3">
        <v>40703</v>
      </c>
      <c r="G749" s="3">
        <v>43024</v>
      </c>
      <c r="H749" s="3">
        <v>43418</v>
      </c>
      <c r="I749" s="3">
        <v>43783</v>
      </c>
    </row>
    <row r="750" spans="2:9" x14ac:dyDescent="0.25">
      <c r="B750" s="2" t="str">
        <f>"112233#"</f>
        <v>112233#</v>
      </c>
      <c r="C750" s="2" t="str">
        <f t="shared" si="17"/>
        <v>TWO-B-87</v>
      </c>
      <c r="D750" s="1" t="str">
        <f t="shared" si="18"/>
        <v>Hergebruik Otolift TWO</v>
      </c>
      <c r="E750" s="1" t="s">
        <v>9</v>
      </c>
      <c r="F750" s="3">
        <v>40703</v>
      </c>
      <c r="G750" s="3">
        <v>42145</v>
      </c>
      <c r="H750" s="3">
        <v>43705</v>
      </c>
      <c r="I750" s="3">
        <v>43708</v>
      </c>
    </row>
    <row r="751" spans="2:9" x14ac:dyDescent="0.25">
      <c r="B751" s="2" t="str">
        <f>"112236#"</f>
        <v>112236#</v>
      </c>
      <c r="C751" s="2" t="str">
        <f t="shared" si="17"/>
        <v>TWO-B-87</v>
      </c>
      <c r="D751" s="1" t="str">
        <f t="shared" si="18"/>
        <v>Hergebruik Otolift TWO</v>
      </c>
      <c r="E751" s="1" t="s">
        <v>9</v>
      </c>
      <c r="F751" s="3">
        <v>40703</v>
      </c>
      <c r="G751" s="3">
        <v>42052</v>
      </c>
      <c r="H751" s="3">
        <v>43679</v>
      </c>
      <c r="I751" s="3">
        <v>43545</v>
      </c>
    </row>
    <row r="752" spans="2:9" x14ac:dyDescent="0.25">
      <c r="B752" s="2" t="str">
        <f>"112737#"</f>
        <v>112737#</v>
      </c>
      <c r="C752" s="2" t="str">
        <f t="shared" si="17"/>
        <v>TWO-B-87</v>
      </c>
      <c r="D752" s="1" t="str">
        <f t="shared" si="18"/>
        <v>Hergebruik Otolift TWO</v>
      </c>
      <c r="E752" s="1" t="s">
        <v>9</v>
      </c>
      <c r="F752" s="3">
        <v>40772</v>
      </c>
      <c r="G752" s="3">
        <v>42013</v>
      </c>
      <c r="H752" s="3">
        <v>43579</v>
      </c>
      <c r="I752" s="3">
        <v>43945</v>
      </c>
    </row>
    <row r="753" spans="2:9" x14ac:dyDescent="0.25">
      <c r="B753" s="2" t="str">
        <f>"106379#"</f>
        <v>106379#</v>
      </c>
      <c r="C753" s="2" t="str">
        <f t="shared" si="17"/>
        <v>TWO-B-87</v>
      </c>
      <c r="D753" s="1" t="str">
        <f t="shared" si="18"/>
        <v>Hergebruik Otolift TWO</v>
      </c>
      <c r="E753" s="1" t="s">
        <v>9</v>
      </c>
      <c r="F753" s="3">
        <v>40199</v>
      </c>
      <c r="G753" s="3">
        <v>43608</v>
      </c>
      <c r="H753" s="3">
        <v>43608</v>
      </c>
      <c r="I753" s="3" t="str">
        <f>""</f>
        <v/>
      </c>
    </row>
    <row r="754" spans="2:9" x14ac:dyDescent="0.25">
      <c r="B754" s="2" t="str">
        <f>"112946#"</f>
        <v>112946#</v>
      </c>
      <c r="C754" s="2" t="str">
        <f t="shared" si="17"/>
        <v>TWO-B-87</v>
      </c>
      <c r="D754" s="1" t="str">
        <f t="shared" si="18"/>
        <v>Hergebruik Otolift TWO</v>
      </c>
      <c r="E754" s="1" t="s">
        <v>9</v>
      </c>
      <c r="F754" s="3">
        <v>40781</v>
      </c>
      <c r="G754" s="3">
        <v>42900</v>
      </c>
      <c r="H754" s="3">
        <v>43802</v>
      </c>
      <c r="I754" s="3">
        <v>43840</v>
      </c>
    </row>
    <row r="755" spans="2:9" x14ac:dyDescent="0.25">
      <c r="B755" s="2" t="str">
        <f>"112957#"</f>
        <v>112957#</v>
      </c>
      <c r="C755" s="2" t="str">
        <f t="shared" si="17"/>
        <v>TWO-B-87</v>
      </c>
      <c r="D755" s="1" t="str">
        <f>"Otolift Jade® standaard"</f>
        <v>Otolift Jade® standaard</v>
      </c>
      <c r="E755" s="1" t="s">
        <v>9</v>
      </c>
      <c r="F755" s="3">
        <v>40770</v>
      </c>
      <c r="G755" s="3">
        <v>41737</v>
      </c>
      <c r="H755" s="3">
        <v>43798</v>
      </c>
      <c r="I755" s="3">
        <v>43767</v>
      </c>
    </row>
    <row r="756" spans="2:9" x14ac:dyDescent="0.25">
      <c r="B756" s="2" t="str">
        <f>"113130#"</f>
        <v>113130#</v>
      </c>
      <c r="C756" s="2" t="str">
        <f t="shared" si="17"/>
        <v>TWO-B-87</v>
      </c>
      <c r="D756" s="1" t="str">
        <f>"Hergebruik Otolift TWO"</f>
        <v>Hergebruik Otolift TWO</v>
      </c>
      <c r="E756" s="1" t="s">
        <v>9</v>
      </c>
      <c r="F756" s="3">
        <v>40815</v>
      </c>
      <c r="G756" s="3">
        <v>43258</v>
      </c>
      <c r="H756" s="3">
        <v>43795</v>
      </c>
      <c r="I756" s="3">
        <v>44010</v>
      </c>
    </row>
    <row r="757" spans="2:9" x14ac:dyDescent="0.25">
      <c r="B757" s="2" t="str">
        <f>"113286#"</f>
        <v>113286#</v>
      </c>
      <c r="C757" s="2" t="str">
        <f t="shared" si="17"/>
        <v>TWO-B-87</v>
      </c>
      <c r="D757" s="1" t="str">
        <f>"Hergebruik Otolift TWO"</f>
        <v>Hergebruik Otolift TWO</v>
      </c>
      <c r="E757" s="1" t="s">
        <v>9</v>
      </c>
      <c r="F757" s="3">
        <v>40822</v>
      </c>
      <c r="G757" s="3">
        <v>43167</v>
      </c>
      <c r="H757" s="3">
        <v>43542</v>
      </c>
      <c r="I757" s="3">
        <v>43908</v>
      </c>
    </row>
    <row r="758" spans="2:9" x14ac:dyDescent="0.25">
      <c r="B758" s="2" t="str">
        <f>"113343#"</f>
        <v>113343#</v>
      </c>
      <c r="C758" s="2" t="str">
        <f t="shared" si="17"/>
        <v>TWO-B-87</v>
      </c>
      <c r="D758" s="1" t="str">
        <f>"Hergebruik Otolift TWO"</f>
        <v>Hergebruik Otolift TWO</v>
      </c>
      <c r="E758" s="1" t="s">
        <v>9</v>
      </c>
      <c r="F758" s="3">
        <v>40829</v>
      </c>
      <c r="G758" s="3">
        <v>42982</v>
      </c>
      <c r="H758" s="3">
        <v>43753</v>
      </c>
      <c r="I758" s="3">
        <v>43725</v>
      </c>
    </row>
    <row r="759" spans="2:9" x14ac:dyDescent="0.25">
      <c r="B759" s="2" t="str">
        <f>"113803#"</f>
        <v>113803#</v>
      </c>
      <c r="C759" s="2" t="str">
        <f t="shared" si="17"/>
        <v>TWO-B-87</v>
      </c>
      <c r="D759" s="1" t="str">
        <f>"Otolift TWO buitenbocht trap"</f>
        <v>Otolift TWO buitenbocht trap</v>
      </c>
      <c r="E759" s="1" t="s">
        <v>9</v>
      </c>
      <c r="F759" s="3">
        <v>40882</v>
      </c>
      <c r="G759" s="3">
        <v>41215</v>
      </c>
      <c r="H759" s="3">
        <v>43454</v>
      </c>
      <c r="I759" s="3">
        <v>43819</v>
      </c>
    </row>
    <row r="760" spans="2:9" x14ac:dyDescent="0.25">
      <c r="B760" s="2" t="str">
        <f>"110017#"</f>
        <v>110017#</v>
      </c>
      <c r="C760" s="2" t="str">
        <f t="shared" si="17"/>
        <v>TWO-B-87</v>
      </c>
      <c r="D760" s="1" t="str">
        <f>"Hergebruik Otolift TWO"</f>
        <v>Hergebruik Otolift TWO</v>
      </c>
      <c r="E760" s="1" t="s">
        <v>9</v>
      </c>
      <c r="F760" s="3">
        <v>40515</v>
      </c>
      <c r="G760" s="3">
        <v>43612</v>
      </c>
      <c r="H760" s="3" t="str">
        <f>""</f>
        <v/>
      </c>
      <c r="I760" s="3" t="str">
        <f>""</f>
        <v/>
      </c>
    </row>
    <row r="761" spans="2:9" x14ac:dyDescent="0.25">
      <c r="B761" s="2" t="str">
        <f>"114965#"</f>
        <v>114965#</v>
      </c>
      <c r="C761" s="2" t="str">
        <f t="shared" si="17"/>
        <v>TWO-B-87</v>
      </c>
      <c r="D761" s="1" t="str">
        <f>"Hergebruik Otolift TWO"</f>
        <v>Hergebruik Otolift TWO</v>
      </c>
      <c r="E761" s="1" t="s">
        <v>9</v>
      </c>
      <c r="F761" s="3">
        <v>41009</v>
      </c>
      <c r="G761" s="3">
        <v>43612</v>
      </c>
      <c r="H761" s="3">
        <v>43612</v>
      </c>
      <c r="I761" s="3" t="str">
        <f>""</f>
        <v/>
      </c>
    </row>
    <row r="762" spans="2:9" x14ac:dyDescent="0.25">
      <c r="B762" s="2" t="str">
        <f>"141445#"</f>
        <v>141445#</v>
      </c>
      <c r="C762" s="2" t="str">
        <f>"MOD-R-6040-1"</f>
        <v>MOD-R-6040-1</v>
      </c>
      <c r="D762" s="1" t="str">
        <f>"Traplift 2 bochten"</f>
        <v>Traplift 2 bochten</v>
      </c>
      <c r="E762" s="1" t="s">
        <v>11</v>
      </c>
      <c r="F762" s="3">
        <v>43614</v>
      </c>
      <c r="G762" s="3">
        <v>43614</v>
      </c>
      <c r="H762" s="3" t="str">
        <f>""</f>
        <v/>
      </c>
      <c r="I762" s="3" t="str">
        <f>""</f>
        <v/>
      </c>
    </row>
    <row r="763" spans="2:9" x14ac:dyDescent="0.25">
      <c r="B763" s="2" t="str">
        <f>"129058#"</f>
        <v>129058#</v>
      </c>
      <c r="C763" s="2" t="str">
        <f>"MOD-A-6020-1"</f>
        <v>MOD-A-6020-1</v>
      </c>
      <c r="D763" s="1" t="str">
        <f>"Hergebruik Otolift Modul-AIR"</f>
        <v>Hergebruik Otolift Modul-AIR</v>
      </c>
      <c r="E763" s="1" t="s">
        <v>8</v>
      </c>
      <c r="F763" s="3">
        <v>42625</v>
      </c>
      <c r="G763" s="3">
        <v>43620</v>
      </c>
      <c r="H763" s="3" t="str">
        <f>""</f>
        <v/>
      </c>
      <c r="I763" s="3" t="str">
        <f>""</f>
        <v/>
      </c>
    </row>
    <row r="764" spans="2:9" x14ac:dyDescent="0.25">
      <c r="B764" s="2" t="str">
        <f>"114672#"</f>
        <v>114672#</v>
      </c>
      <c r="C764" s="2" t="str">
        <f>"TWO-G-87-S"</f>
        <v>TWO-G-87-S</v>
      </c>
      <c r="D764" s="1" t="str">
        <f>"Hergebruik Otolift TWO"</f>
        <v>Hergebruik Otolift TWO</v>
      </c>
      <c r="E764" s="1" t="s">
        <v>7</v>
      </c>
      <c r="F764" s="3">
        <v>40961</v>
      </c>
      <c r="G764" s="3">
        <v>43621</v>
      </c>
      <c r="H764" s="3" t="str">
        <f>""</f>
        <v/>
      </c>
      <c r="I764" s="3" t="str">
        <f>""</f>
        <v/>
      </c>
    </row>
    <row r="765" spans="2:9" x14ac:dyDescent="0.25">
      <c r="B765" s="2" t="str">
        <f>"140411#"</f>
        <v>140411#</v>
      </c>
      <c r="C765" s="2" t="str">
        <f>"MOD-G-6050-1"</f>
        <v>MOD-G-6050-1</v>
      </c>
      <c r="D765" s="1" t="str">
        <f>"Hergebruik Otolift Modul-AIR buitenbocht"</f>
        <v>Hergebruik Otolift Modul-AIR buitenbocht</v>
      </c>
      <c r="E765" s="1" t="s">
        <v>7</v>
      </c>
      <c r="F765" s="3">
        <v>43553</v>
      </c>
      <c r="G765" s="3">
        <v>43623</v>
      </c>
      <c r="H765" s="3" t="str">
        <f>""</f>
        <v/>
      </c>
      <c r="I765" s="3" t="str">
        <f>""</f>
        <v/>
      </c>
    </row>
    <row r="766" spans="2:9" x14ac:dyDescent="0.25">
      <c r="B766" s="2" t="str">
        <f>"118186#"</f>
        <v>118186#</v>
      </c>
      <c r="C766" s="2" t="str">
        <f>"TWO-B-87"</f>
        <v>TWO-B-87</v>
      </c>
      <c r="D766" s="1" t="str">
        <f>"Hergebruik Otolift TWO"</f>
        <v>Hergebruik Otolift TWO</v>
      </c>
      <c r="E766" s="1" t="s">
        <v>9</v>
      </c>
      <c r="F766" s="3">
        <v>41400</v>
      </c>
      <c r="G766" s="3">
        <v>42811</v>
      </c>
      <c r="H766" s="3">
        <v>43742</v>
      </c>
      <c r="I766" s="3">
        <v>43756</v>
      </c>
    </row>
    <row r="767" spans="2:9" x14ac:dyDescent="0.25">
      <c r="B767" s="2" t="str">
        <f>"109108#"</f>
        <v>109108#</v>
      </c>
      <c r="C767" s="2" t="str">
        <f>"TWO-G-87"</f>
        <v>TWO-G-87</v>
      </c>
      <c r="D767" s="1" t="str">
        <f>"Hergebruik Otolift TWO"</f>
        <v>Hergebruik Otolift TWO</v>
      </c>
      <c r="E767" s="1" t="s">
        <v>7</v>
      </c>
      <c r="F767" s="3">
        <v>40438</v>
      </c>
      <c r="G767" s="3">
        <v>43623</v>
      </c>
      <c r="H767" s="3" t="str">
        <f>""</f>
        <v/>
      </c>
      <c r="I767" s="3" t="str">
        <f>""</f>
        <v/>
      </c>
    </row>
    <row r="768" spans="2:9" x14ac:dyDescent="0.25">
      <c r="B768" s="2" t="str">
        <f>"115788#"</f>
        <v>115788#</v>
      </c>
      <c r="C768" s="2" t="str">
        <f>"MOD-G-6050-1"</f>
        <v>MOD-G-6050-1</v>
      </c>
      <c r="D768" s="1" t="str">
        <f>"Hergebruik Otolift Modul-AIR buitenbocht"</f>
        <v>Hergebruik Otolift Modul-AIR buitenbocht</v>
      </c>
      <c r="E768" s="1" t="s">
        <v>7</v>
      </c>
      <c r="F768" s="3">
        <v>41130</v>
      </c>
      <c r="G768" s="3">
        <v>43628</v>
      </c>
      <c r="H768" s="3" t="str">
        <f>""</f>
        <v/>
      </c>
      <c r="I768" s="3" t="str">
        <f>""</f>
        <v/>
      </c>
    </row>
    <row r="769" spans="2:9" x14ac:dyDescent="0.25">
      <c r="B769" s="2" t="str">
        <f>"121442#"</f>
        <v>121442#</v>
      </c>
      <c r="C769" s="2" t="str">
        <f>"TWO-B-87"</f>
        <v>TWO-B-87</v>
      </c>
      <c r="D769" s="1" t="str">
        <f>"Hergebruik Otolift TWO"</f>
        <v>Hergebruik Otolift TWO</v>
      </c>
      <c r="E769" s="1" t="s">
        <v>9</v>
      </c>
      <c r="F769" s="3">
        <v>41778</v>
      </c>
      <c r="G769" s="3">
        <v>41836</v>
      </c>
      <c r="H769" s="3">
        <v>43510</v>
      </c>
      <c r="I769" s="3">
        <v>43482</v>
      </c>
    </row>
    <row r="770" spans="2:9" x14ac:dyDescent="0.25">
      <c r="B770" s="2" t="str">
        <f>"122222#"</f>
        <v>122222#</v>
      </c>
      <c r="C770" s="2" t="str">
        <f>"TWO-B-87"</f>
        <v>TWO-B-87</v>
      </c>
      <c r="D770" s="1" t="str">
        <f>"Hergebruik Otolift TWO"</f>
        <v>Hergebruik Otolift TWO</v>
      </c>
      <c r="E770" s="1" t="s">
        <v>9</v>
      </c>
      <c r="F770" s="3">
        <v>41885</v>
      </c>
      <c r="G770" s="3">
        <v>43077</v>
      </c>
      <c r="H770" s="3">
        <v>43454</v>
      </c>
      <c r="I770" s="3">
        <v>43819</v>
      </c>
    </row>
    <row r="771" spans="2:9" x14ac:dyDescent="0.25">
      <c r="B771" s="2" t="str">
        <f>"125168#"</f>
        <v>125168#</v>
      </c>
      <c r="C771" s="2" t="str">
        <f>"PAR-110"</f>
        <v>PAR-110</v>
      </c>
      <c r="D771" s="1" t="str">
        <f>"Hergebruik Otolift PARALLEL"</f>
        <v>Hergebruik Otolift PARALLEL</v>
      </c>
      <c r="E771" s="1" t="s">
        <v>8</v>
      </c>
      <c r="F771" s="3">
        <v>42283</v>
      </c>
      <c r="G771" s="3">
        <v>43633</v>
      </c>
      <c r="H771" s="3" t="str">
        <f>""</f>
        <v/>
      </c>
      <c r="I771" s="3" t="str">
        <f>""</f>
        <v/>
      </c>
    </row>
    <row r="772" spans="2:9" x14ac:dyDescent="0.25">
      <c r="B772" s="2" t="str">
        <f>"123555#"</f>
        <v>123555#</v>
      </c>
      <c r="C772" s="2" t="str">
        <f t="shared" ref="C772:C782" si="19">"TWO-B-87"</f>
        <v>TWO-B-87</v>
      </c>
      <c r="D772" s="1" t="str">
        <f>"Otolift TWO"</f>
        <v>Otolift TWO</v>
      </c>
      <c r="E772" s="1" t="s">
        <v>9</v>
      </c>
      <c r="F772" s="3">
        <v>42061</v>
      </c>
      <c r="G772" s="3">
        <v>42061</v>
      </c>
      <c r="H772" s="3">
        <v>43427</v>
      </c>
      <c r="I772" s="3">
        <v>43792</v>
      </c>
    </row>
    <row r="773" spans="2:9" x14ac:dyDescent="0.25">
      <c r="B773" s="2" t="str">
        <f>"125621#"</f>
        <v>125621#</v>
      </c>
      <c r="C773" s="2" t="str">
        <f t="shared" si="19"/>
        <v>TWO-B-87</v>
      </c>
      <c r="D773" s="1" t="str">
        <f>"Otolift TWO"</f>
        <v>Otolift TWO</v>
      </c>
      <c r="E773" s="1" t="s">
        <v>9</v>
      </c>
      <c r="F773" s="3">
        <v>42333</v>
      </c>
      <c r="G773" s="3">
        <v>42333</v>
      </c>
      <c r="H773" s="3">
        <v>43781</v>
      </c>
      <c r="I773" s="3">
        <v>43546</v>
      </c>
    </row>
    <row r="774" spans="2:9" x14ac:dyDescent="0.25">
      <c r="B774" s="2" t="str">
        <f>"125875#"</f>
        <v>125875#</v>
      </c>
      <c r="C774" s="2" t="str">
        <f t="shared" si="19"/>
        <v>TWO-B-87</v>
      </c>
      <c r="D774" s="1" t="str">
        <f>"Otolift TWO"</f>
        <v>Otolift TWO</v>
      </c>
      <c r="E774" s="1" t="s">
        <v>9</v>
      </c>
      <c r="F774" s="3">
        <v>42375</v>
      </c>
      <c r="G774" s="3">
        <v>42375</v>
      </c>
      <c r="H774" s="3">
        <v>43738</v>
      </c>
      <c r="I774" s="3">
        <v>43712</v>
      </c>
    </row>
    <row r="775" spans="2:9" x14ac:dyDescent="0.25">
      <c r="B775" s="2" t="str">
        <f>"126517#"</f>
        <v>126517#</v>
      </c>
      <c r="C775" s="2" t="str">
        <f t="shared" si="19"/>
        <v>TWO-B-87</v>
      </c>
      <c r="D775" s="1" t="str">
        <f>"Otolift TWO"</f>
        <v>Otolift TWO</v>
      </c>
      <c r="E775" s="1" t="s">
        <v>9</v>
      </c>
      <c r="F775" s="3">
        <v>42417</v>
      </c>
      <c r="G775" s="3">
        <v>42417</v>
      </c>
      <c r="H775" s="3">
        <v>43546</v>
      </c>
      <c r="I775" s="3">
        <v>43873</v>
      </c>
    </row>
    <row r="776" spans="2:9" x14ac:dyDescent="0.25">
      <c r="B776" s="2" t="str">
        <f>"120792#"</f>
        <v>120792#</v>
      </c>
      <c r="C776" s="2" t="str">
        <f t="shared" si="19"/>
        <v>TWO-B-87</v>
      </c>
      <c r="D776" s="1" t="str">
        <f>"Hergebruik Otolift TWO"</f>
        <v>Hergebruik Otolift TWO</v>
      </c>
      <c r="E776" s="1" t="s">
        <v>9</v>
      </c>
      <c r="F776" s="3">
        <v>41710</v>
      </c>
      <c r="G776" s="3">
        <v>43635</v>
      </c>
      <c r="H776" s="3" t="str">
        <f>""</f>
        <v/>
      </c>
      <c r="I776" s="3" t="str">
        <f>""</f>
        <v/>
      </c>
    </row>
    <row r="777" spans="2:9" x14ac:dyDescent="0.25">
      <c r="B777" s="2" t="str">
        <f>"127220#"</f>
        <v>127220#</v>
      </c>
      <c r="C777" s="2" t="str">
        <f t="shared" si="19"/>
        <v>TWO-B-87</v>
      </c>
      <c r="D777" s="1" t="str">
        <f>"Otolift TWO"</f>
        <v>Otolift TWO</v>
      </c>
      <c r="E777" s="1" t="s">
        <v>9</v>
      </c>
      <c r="F777" s="3">
        <v>42473</v>
      </c>
      <c r="G777" s="3">
        <v>42473</v>
      </c>
      <c r="H777" s="3">
        <v>43595</v>
      </c>
      <c r="I777" s="3">
        <v>43961</v>
      </c>
    </row>
    <row r="778" spans="2:9" x14ac:dyDescent="0.25">
      <c r="B778" s="2" t="str">
        <f>"127757#"</f>
        <v>127757#</v>
      </c>
      <c r="C778" s="2" t="str">
        <f t="shared" si="19"/>
        <v>TWO-B-87</v>
      </c>
      <c r="D778" s="1" t="str">
        <f>"Otolift TWO"</f>
        <v>Otolift TWO</v>
      </c>
      <c r="E778" s="1" t="s">
        <v>9</v>
      </c>
      <c r="F778" s="3">
        <v>42521</v>
      </c>
      <c r="G778" s="3">
        <v>42521</v>
      </c>
      <c r="H778" s="3">
        <v>43739</v>
      </c>
      <c r="I778" s="3">
        <v>43781</v>
      </c>
    </row>
    <row r="779" spans="2:9" x14ac:dyDescent="0.25">
      <c r="B779" s="2" t="str">
        <f>"128210#"</f>
        <v>128210#</v>
      </c>
      <c r="C779" s="2" t="str">
        <f t="shared" si="19"/>
        <v>TWO-B-87</v>
      </c>
      <c r="D779" s="1" t="str">
        <f>"Hergebruik Otolift TWO"</f>
        <v>Hergebruik Otolift TWO</v>
      </c>
      <c r="E779" s="1" t="s">
        <v>9</v>
      </c>
      <c r="F779" s="3">
        <v>42545</v>
      </c>
      <c r="G779" s="3">
        <v>43389</v>
      </c>
      <c r="H779" s="3">
        <v>43756</v>
      </c>
      <c r="I779" s="3">
        <v>43754</v>
      </c>
    </row>
    <row r="780" spans="2:9" x14ac:dyDescent="0.25">
      <c r="B780" s="2" t="str">
        <f>"128623#"</f>
        <v>128623#</v>
      </c>
      <c r="C780" s="2" t="str">
        <f t="shared" si="19"/>
        <v>TWO-B-87</v>
      </c>
      <c r="D780" s="1" t="str">
        <f>"Otolift TWO"</f>
        <v>Otolift TWO</v>
      </c>
      <c r="E780" s="1" t="s">
        <v>9</v>
      </c>
      <c r="F780" s="3">
        <v>42681</v>
      </c>
      <c r="G780" s="3">
        <v>42681</v>
      </c>
      <c r="H780" s="3">
        <v>43777</v>
      </c>
      <c r="I780" s="3">
        <v>43482</v>
      </c>
    </row>
    <row r="781" spans="2:9" x14ac:dyDescent="0.25">
      <c r="B781" s="2" t="str">
        <f>"128821#"</f>
        <v>128821#</v>
      </c>
      <c r="C781" s="2" t="str">
        <f t="shared" si="19"/>
        <v>TWO-B-87</v>
      </c>
      <c r="D781" s="1" t="str">
        <f>"Otolift TWO"</f>
        <v>Otolift TWO</v>
      </c>
      <c r="E781" s="1" t="s">
        <v>9</v>
      </c>
      <c r="F781" s="3">
        <v>42619</v>
      </c>
      <c r="G781" s="3">
        <v>42619</v>
      </c>
      <c r="H781" s="3">
        <v>43740</v>
      </c>
      <c r="I781" s="3">
        <v>43719</v>
      </c>
    </row>
    <row r="782" spans="2:9" x14ac:dyDescent="0.25">
      <c r="B782" s="2" t="str">
        <f>"129976#"</f>
        <v>129976#</v>
      </c>
      <c r="C782" s="2" t="str">
        <f t="shared" si="19"/>
        <v>TWO-B-87</v>
      </c>
      <c r="D782" s="1" t="str">
        <f>"Otolift TWO"</f>
        <v>Otolift TWO</v>
      </c>
      <c r="E782" s="1" t="s">
        <v>9</v>
      </c>
      <c r="F782" s="3">
        <v>42689</v>
      </c>
      <c r="G782" s="3">
        <v>42689</v>
      </c>
      <c r="H782" s="3">
        <v>43488</v>
      </c>
      <c r="I782" s="3">
        <v>43853</v>
      </c>
    </row>
    <row r="783" spans="2:9" x14ac:dyDescent="0.25">
      <c r="B783" s="2" t="str">
        <f>"141682#"</f>
        <v>141682#</v>
      </c>
      <c r="C783" s="2" t="str">
        <f>"MOD-G-6050-1"</f>
        <v>MOD-G-6050-1</v>
      </c>
      <c r="D783" s="1" t="str">
        <f>"Hergebruik Otolift Modul-AIR buitenbocht"</f>
        <v>Hergebruik Otolift Modul-AIR buitenbocht</v>
      </c>
      <c r="E783" s="1" t="s">
        <v>7</v>
      </c>
      <c r="F783" s="3">
        <v>42736</v>
      </c>
      <c r="G783" s="3">
        <v>43637</v>
      </c>
      <c r="H783" s="3" t="str">
        <f>""</f>
        <v/>
      </c>
      <c r="I783" s="3" t="str">
        <f>""</f>
        <v/>
      </c>
    </row>
    <row r="784" spans="2:9" x14ac:dyDescent="0.25">
      <c r="B784" s="2" t="str">
        <f>"134456#"</f>
        <v>134456#</v>
      </c>
      <c r="C784" s="2" t="str">
        <f>"TWO-B-87"</f>
        <v>TWO-B-87</v>
      </c>
      <c r="D784" s="1" t="str">
        <f>"Otolift TWO"</f>
        <v>Otolift TWO</v>
      </c>
      <c r="E784" s="1" t="s">
        <v>9</v>
      </c>
      <c r="F784" s="3">
        <v>43060</v>
      </c>
      <c r="G784" s="3">
        <v>43060</v>
      </c>
      <c r="H784" s="3">
        <v>43430</v>
      </c>
      <c r="I784" s="3">
        <v>43795</v>
      </c>
    </row>
    <row r="785" spans="2:9" x14ac:dyDescent="0.25">
      <c r="B785" s="2" t="str">
        <f>"128905#"</f>
        <v>128905#</v>
      </c>
      <c r="C785" s="2" t="str">
        <f>"MOD-B-6050-1"</f>
        <v>MOD-B-6050-1</v>
      </c>
      <c r="D785" s="1" t="str">
        <f>"Hergebruik Otolift Modul-AIR buitenbocht"</f>
        <v>Hergebruik Otolift Modul-AIR buitenbocht</v>
      </c>
      <c r="E785" s="1" t="s">
        <v>9</v>
      </c>
      <c r="F785" s="3">
        <v>42628</v>
      </c>
      <c r="G785" s="3">
        <v>43640</v>
      </c>
      <c r="H785" s="3" t="str">
        <f>""</f>
        <v/>
      </c>
      <c r="I785" s="3" t="str">
        <f>""</f>
        <v/>
      </c>
    </row>
    <row r="786" spans="2:9" x14ac:dyDescent="0.25">
      <c r="B786" s="2" t="str">
        <f>"134662#"</f>
        <v>134662#</v>
      </c>
      <c r="C786" s="2" t="str">
        <f>"TWO-B-87"</f>
        <v>TWO-B-87</v>
      </c>
      <c r="D786" s="1" t="str">
        <f>"Hergebruik Otolift TWO"</f>
        <v>Hergebruik Otolift TWO</v>
      </c>
      <c r="E786" s="1" t="s">
        <v>9</v>
      </c>
      <c r="F786" s="3">
        <v>43070</v>
      </c>
      <c r="G786" s="3">
        <v>43070</v>
      </c>
      <c r="H786" s="3">
        <v>43510</v>
      </c>
      <c r="I786" s="3">
        <v>43861</v>
      </c>
    </row>
    <row r="787" spans="2:9" x14ac:dyDescent="0.25">
      <c r="B787" s="2" t="str">
        <f>"134883#"</f>
        <v>134883#</v>
      </c>
      <c r="C787" s="2" t="str">
        <f>"TWO-B-87"</f>
        <v>TWO-B-87</v>
      </c>
      <c r="D787" s="1" t="str">
        <f>"Hergebruik Otolift TWO"</f>
        <v>Hergebruik Otolift TWO</v>
      </c>
      <c r="E787" s="1" t="s">
        <v>9</v>
      </c>
      <c r="F787" s="3">
        <v>43110</v>
      </c>
      <c r="G787" s="3">
        <v>43382</v>
      </c>
      <c r="H787" s="3">
        <v>43782</v>
      </c>
      <c r="I787" s="3">
        <v>43747</v>
      </c>
    </row>
    <row r="788" spans="2:9" x14ac:dyDescent="0.25">
      <c r="B788" s="2" t="str">
        <f>"VOR-19003591"</f>
        <v>VOR-19003591</v>
      </c>
      <c r="C788" s="2" t="str">
        <f>"MOD-B-6040-1"</f>
        <v>MOD-B-6040-1</v>
      </c>
      <c r="D788" s="1" t="str">
        <f>"Traplift met één bocht"</f>
        <v>Traplift met één bocht</v>
      </c>
      <c r="E788" s="1" t="s">
        <v>9</v>
      </c>
      <c r="F788" s="3">
        <v>43641</v>
      </c>
      <c r="G788" s="3">
        <v>43641</v>
      </c>
      <c r="H788" s="3" t="str">
        <f>""</f>
        <v/>
      </c>
      <c r="I788" s="3" t="str">
        <f>""</f>
        <v/>
      </c>
    </row>
    <row r="789" spans="2:9" x14ac:dyDescent="0.25">
      <c r="B789" s="2" t="str">
        <f>"NL19-000081"</f>
        <v>NL19-000081</v>
      </c>
      <c r="C789" s="2" t="str">
        <f>"MOD-B-6040-1"</f>
        <v>MOD-B-6040-1</v>
      </c>
      <c r="D789" s="1" t="str">
        <f>"Traplift met 1 bocht"</f>
        <v>Traplift met 1 bocht</v>
      </c>
      <c r="E789" s="1" t="s">
        <v>9</v>
      </c>
      <c r="F789" s="3">
        <v>43643</v>
      </c>
      <c r="G789" s="3">
        <v>43643</v>
      </c>
      <c r="H789" s="3" t="str">
        <f>""</f>
        <v/>
      </c>
      <c r="I789" s="3" t="str">
        <f>""</f>
        <v/>
      </c>
    </row>
    <row r="790" spans="2:9" x14ac:dyDescent="0.25">
      <c r="B790" s="2" t="str">
        <f>"135313#"</f>
        <v>135313#</v>
      </c>
      <c r="C790" s="2" t="str">
        <f>"TWO-B-87"</f>
        <v>TWO-B-87</v>
      </c>
      <c r="D790" s="1" t="str">
        <f>"Hergebruik Otolift TWO"</f>
        <v>Hergebruik Otolift TWO</v>
      </c>
      <c r="E790" s="1" t="s">
        <v>9</v>
      </c>
      <c r="F790" s="3">
        <v>43118</v>
      </c>
      <c r="G790" s="3">
        <v>43186</v>
      </c>
      <c r="H790" s="3">
        <v>43630</v>
      </c>
      <c r="I790" s="3">
        <v>43551</v>
      </c>
    </row>
    <row r="791" spans="2:9" x14ac:dyDescent="0.25">
      <c r="B791" s="2" t="str">
        <f>"135529#"</f>
        <v>135529#</v>
      </c>
      <c r="C791" s="2" t="str">
        <f>"TWO-B-87"</f>
        <v>TWO-B-87</v>
      </c>
      <c r="D791" s="1" t="str">
        <f>"Otolift TWO"</f>
        <v>Otolift TWO</v>
      </c>
      <c r="E791" s="1" t="s">
        <v>9</v>
      </c>
      <c r="F791" s="3">
        <v>43145</v>
      </c>
      <c r="G791" s="3">
        <v>43145</v>
      </c>
      <c r="H791" s="3">
        <v>43566</v>
      </c>
      <c r="I791" s="3">
        <v>43876</v>
      </c>
    </row>
    <row r="792" spans="2:9" x14ac:dyDescent="0.25">
      <c r="B792" s="2" t="str">
        <f>"VOR-19003628"</f>
        <v>VOR-19003628</v>
      </c>
      <c r="C792" s="2" t="str">
        <f>"MOD-G-6050-1"</f>
        <v>MOD-G-6050-1</v>
      </c>
      <c r="D792" s="1" t="str">
        <f>"Traplift met twee bochten"</f>
        <v>Traplift met twee bochten</v>
      </c>
      <c r="E792" s="1" t="s">
        <v>7</v>
      </c>
      <c r="F792" s="3">
        <v>43643</v>
      </c>
      <c r="G792" s="3">
        <v>43643</v>
      </c>
      <c r="H792" s="3" t="str">
        <f>""</f>
        <v/>
      </c>
      <c r="I792" s="3" t="str">
        <f>""</f>
        <v/>
      </c>
    </row>
    <row r="793" spans="2:9" x14ac:dyDescent="0.25">
      <c r="B793" s="2" t="str">
        <f>"136894#"</f>
        <v>136894#</v>
      </c>
      <c r="C793" s="2" t="str">
        <f>"TWO-B-87"</f>
        <v>TWO-B-87</v>
      </c>
      <c r="D793" s="1" t="str">
        <f>"Hergebruik Otolift TWO"</f>
        <v>Hergebruik Otolift TWO</v>
      </c>
      <c r="E793" s="1" t="s">
        <v>9</v>
      </c>
      <c r="F793" s="3">
        <v>43258</v>
      </c>
      <c r="G793" s="3">
        <v>43370</v>
      </c>
      <c r="H793" s="3">
        <v>43728</v>
      </c>
      <c r="I793" s="3">
        <v>43735</v>
      </c>
    </row>
    <row r="794" spans="2:9" x14ac:dyDescent="0.25">
      <c r="B794" s="2" t="str">
        <f>"138293#"</f>
        <v>138293#</v>
      </c>
      <c r="C794" s="2" t="str">
        <f>"TWO-B-87"</f>
        <v>TWO-B-87</v>
      </c>
      <c r="D794" s="1" t="str">
        <f>"Otolift TWO"</f>
        <v>Otolift TWO</v>
      </c>
      <c r="E794" s="1" t="s">
        <v>9</v>
      </c>
      <c r="F794" s="3">
        <v>43388</v>
      </c>
      <c r="G794" s="3">
        <v>43388</v>
      </c>
      <c r="H794" s="3">
        <v>43761</v>
      </c>
      <c r="I794" s="3">
        <v>43753</v>
      </c>
    </row>
    <row r="795" spans="2:9" x14ac:dyDescent="0.25">
      <c r="B795" s="2" t="str">
        <f>"VOR-19003621"</f>
        <v>VOR-19003621</v>
      </c>
      <c r="C795" s="2" t="str">
        <f>"MOD-B-6050-1"</f>
        <v>MOD-B-6050-1</v>
      </c>
      <c r="D795" s="1" t="str">
        <f>"Traplift met één bocht"</f>
        <v>Traplift met één bocht</v>
      </c>
      <c r="E795" s="1" t="s">
        <v>9</v>
      </c>
      <c r="F795" s="3">
        <v>43644</v>
      </c>
      <c r="G795" s="3">
        <v>43644</v>
      </c>
      <c r="H795" s="3" t="str">
        <f>""</f>
        <v/>
      </c>
      <c r="I795" s="3" t="str">
        <f>""</f>
        <v/>
      </c>
    </row>
    <row r="796" spans="2:9" x14ac:dyDescent="0.25">
      <c r="B796" s="2" t="str">
        <f>"VOR-19003587"</f>
        <v>VOR-19003587</v>
      </c>
      <c r="C796" s="2" t="str">
        <f>"MOD-A-6040-1"</f>
        <v>MOD-A-6040-1</v>
      </c>
      <c r="D796" s="1" t="str">
        <f>"Otolift Modul-AIR"</f>
        <v>Otolift Modul-AIR</v>
      </c>
      <c r="E796" s="1" t="s">
        <v>8</v>
      </c>
      <c r="F796" s="3">
        <v>43649</v>
      </c>
      <c r="G796" s="3">
        <v>43649</v>
      </c>
      <c r="H796" s="3" t="str">
        <f>""</f>
        <v/>
      </c>
      <c r="I796" s="3" t="str">
        <f>""</f>
        <v/>
      </c>
    </row>
    <row r="797" spans="2:9" x14ac:dyDescent="0.25">
      <c r="B797" s="2" t="str">
        <f>"VOR-19003238"</f>
        <v>VOR-19003238</v>
      </c>
      <c r="C797" s="2" t="str">
        <f>"MOD-G-6050-1"</f>
        <v>MOD-G-6050-1</v>
      </c>
      <c r="D797" s="1" t="str">
        <f>"Traplift met twee bochten"</f>
        <v>Traplift met twee bochten</v>
      </c>
      <c r="E797" s="1" t="s">
        <v>7</v>
      </c>
      <c r="F797" s="3">
        <v>43649</v>
      </c>
      <c r="G797" s="3">
        <v>43649</v>
      </c>
      <c r="H797" s="3" t="str">
        <f>""</f>
        <v/>
      </c>
      <c r="I797" s="3" t="str">
        <f>""</f>
        <v/>
      </c>
    </row>
    <row r="798" spans="2:9" x14ac:dyDescent="0.25">
      <c r="B798" s="2" t="str">
        <f>"84507#"</f>
        <v>84507#</v>
      </c>
      <c r="C798" s="2" t="str">
        <f>"TWO-B-87"</f>
        <v>TWO-B-87</v>
      </c>
      <c r="D798" s="1" t="str">
        <f>"Hergebruik Otolift TWO"</f>
        <v>Hergebruik Otolift TWO</v>
      </c>
      <c r="E798" s="1" t="s">
        <v>9</v>
      </c>
      <c r="F798" s="3">
        <v>38600</v>
      </c>
      <c r="G798" s="3">
        <v>42089</v>
      </c>
      <c r="H798" s="3">
        <v>43663</v>
      </c>
      <c r="I798" s="3">
        <v>43568</v>
      </c>
    </row>
    <row r="799" spans="2:9" x14ac:dyDescent="0.25">
      <c r="B799" s="2" t="str">
        <f>"85453#"</f>
        <v>85453#</v>
      </c>
      <c r="C799" s="2" t="str">
        <f>"TWO-B-87"</f>
        <v>TWO-B-87</v>
      </c>
      <c r="D799" s="1" t="str">
        <f>"Hergebruik Otolift TWO"</f>
        <v>Hergebruik Otolift TWO</v>
      </c>
      <c r="E799" s="1" t="s">
        <v>9</v>
      </c>
      <c r="F799" s="3">
        <v>38614</v>
      </c>
      <c r="G799" s="3">
        <v>42012</v>
      </c>
      <c r="H799" s="3">
        <v>43601</v>
      </c>
      <c r="I799" s="3">
        <v>43950</v>
      </c>
    </row>
    <row r="800" spans="2:9" x14ac:dyDescent="0.25">
      <c r="B800" s="2" t="str">
        <f>"VOR-19003805"</f>
        <v>VOR-19003805</v>
      </c>
      <c r="C800" s="2" t="str">
        <f>"MOD-C-6040-1"</f>
        <v>MOD-C-6040-1</v>
      </c>
      <c r="D800" s="1" t="str">
        <f>"Otolift Modul-AIR"</f>
        <v>Otolift Modul-AIR</v>
      </c>
      <c r="E800" s="1" t="s">
        <v>9</v>
      </c>
      <c r="F800" s="3">
        <v>43656</v>
      </c>
      <c r="G800" s="3">
        <v>43656</v>
      </c>
      <c r="H800" s="3" t="str">
        <f>""</f>
        <v/>
      </c>
      <c r="I800" s="3" t="str">
        <f>""</f>
        <v/>
      </c>
    </row>
    <row r="801" spans="2:9" x14ac:dyDescent="0.25">
      <c r="B801" s="2" t="str">
        <f>"108607#"</f>
        <v>108607#</v>
      </c>
      <c r="C801" s="2" t="str">
        <f>"TWO-B-87-S"</f>
        <v>TWO-B-87-S</v>
      </c>
      <c r="D801" s="1" t="str">
        <f>"Hergebruik Otolift TWO"</f>
        <v>Hergebruik Otolift TWO</v>
      </c>
      <c r="E801" s="1" t="s">
        <v>9</v>
      </c>
      <c r="F801" s="3">
        <v>40371</v>
      </c>
      <c r="G801" s="3">
        <v>42899</v>
      </c>
      <c r="H801" s="3">
        <v>43699</v>
      </c>
      <c r="I801" s="3">
        <v>43833</v>
      </c>
    </row>
    <row r="802" spans="2:9" x14ac:dyDescent="0.25">
      <c r="B802" s="2" t="str">
        <f>"106004#"</f>
        <v>106004#</v>
      </c>
      <c r="C802" s="2" t="str">
        <f>"TWO-B-87-Z"</f>
        <v>TWO-B-87-Z</v>
      </c>
      <c r="D802" s="1" t="str">
        <f>"Hergebruik Otolift TWO"</f>
        <v>Hergebruik Otolift TWO</v>
      </c>
      <c r="E802" s="1" t="s">
        <v>9</v>
      </c>
      <c r="F802" s="3">
        <v>40199</v>
      </c>
      <c r="G802" s="3">
        <v>42030</v>
      </c>
      <c r="H802" s="3">
        <v>43682</v>
      </c>
      <c r="I802" s="3">
        <v>43573</v>
      </c>
    </row>
    <row r="803" spans="2:9" x14ac:dyDescent="0.25">
      <c r="B803" s="2" t="str">
        <f>"125905#"</f>
        <v>125905#</v>
      </c>
      <c r="C803" s="2" t="str">
        <f>"TWO-B-87-Z"</f>
        <v>TWO-B-87-Z</v>
      </c>
      <c r="D803" s="1" t="str">
        <f>"Otolift TWO"</f>
        <v>Otolift TWO</v>
      </c>
      <c r="E803" s="1" t="s">
        <v>9</v>
      </c>
      <c r="F803" s="3">
        <v>42445</v>
      </c>
      <c r="G803" s="3">
        <v>42445</v>
      </c>
      <c r="H803" s="3">
        <v>43787</v>
      </c>
      <c r="I803" s="3">
        <v>43656</v>
      </c>
    </row>
    <row r="804" spans="2:9" x14ac:dyDescent="0.25">
      <c r="B804" s="2" t="str">
        <f>"141384#"</f>
        <v>141384#</v>
      </c>
      <c r="C804" s="2" t="str">
        <f>"TWO-B-87"</f>
        <v>TWO-B-87</v>
      </c>
      <c r="D804" s="1" t="str">
        <f>"Otolift TWO"</f>
        <v>Otolift TWO</v>
      </c>
      <c r="E804" s="1" t="s">
        <v>9</v>
      </c>
      <c r="F804" s="3">
        <v>43663</v>
      </c>
      <c r="G804" s="3">
        <v>43663</v>
      </c>
      <c r="H804" s="3" t="str">
        <f>""</f>
        <v/>
      </c>
      <c r="I804" s="3" t="str">
        <f>""</f>
        <v/>
      </c>
    </row>
    <row r="805" spans="2:9" x14ac:dyDescent="0.25">
      <c r="B805" s="2" t="str">
        <f>"NL19-000329"</f>
        <v>NL19-000329</v>
      </c>
      <c r="C805" s="2" t="str">
        <f>"MOD-A-6050-1"</f>
        <v>MOD-A-6050-1</v>
      </c>
      <c r="D805" s="1" t="str">
        <f>"Traplift met 1 bocht"</f>
        <v>Traplift met 1 bocht</v>
      </c>
      <c r="E805" s="1" t="s">
        <v>8</v>
      </c>
      <c r="F805" s="3">
        <v>43673</v>
      </c>
      <c r="G805" s="3">
        <v>43673</v>
      </c>
      <c r="H805" s="3" t="str">
        <f>""</f>
        <v/>
      </c>
      <c r="I805" s="3" t="str">
        <f>""</f>
        <v/>
      </c>
    </row>
    <row r="806" spans="2:9" x14ac:dyDescent="0.25">
      <c r="B806" s="2" t="str">
        <f>"134944#"</f>
        <v>134944#</v>
      </c>
      <c r="C806" s="2" t="str">
        <f>"TWO-C-87"</f>
        <v>TWO-C-87</v>
      </c>
      <c r="D806" s="1" t="str">
        <f>"Hergebruik Otolift TWO"</f>
        <v>Hergebruik Otolift TWO</v>
      </c>
      <c r="E806" s="1" t="s">
        <v>9</v>
      </c>
      <c r="F806" s="3">
        <v>43110</v>
      </c>
      <c r="G806" s="3">
        <v>43200</v>
      </c>
      <c r="H806" s="3">
        <v>43644</v>
      </c>
      <c r="I806" s="3">
        <v>43565</v>
      </c>
    </row>
    <row r="807" spans="2:9" x14ac:dyDescent="0.25">
      <c r="B807" s="2" t="str">
        <f>"NL19-000031"</f>
        <v>NL19-000031</v>
      </c>
      <c r="C807" s="2" t="str">
        <f>"MOD-G-6030-1"</f>
        <v>MOD-G-6030-1</v>
      </c>
      <c r="D807" s="1" t="str">
        <f>"Traplift 2 bochten"</f>
        <v>Traplift 2 bochten</v>
      </c>
      <c r="E807" s="1" t="s">
        <v>7</v>
      </c>
      <c r="F807" s="3">
        <v>43677</v>
      </c>
      <c r="G807" s="3">
        <v>43677</v>
      </c>
      <c r="H807" s="3" t="str">
        <f>""</f>
        <v/>
      </c>
      <c r="I807" s="3" t="str">
        <f>""</f>
        <v/>
      </c>
    </row>
    <row r="808" spans="2:9" x14ac:dyDescent="0.25">
      <c r="B808" s="2" t="str">
        <f>"110520#"</f>
        <v>110520#</v>
      </c>
      <c r="C808" s="2" t="str">
        <f>"TWO-C-87-S"</f>
        <v>TWO-C-87-S</v>
      </c>
      <c r="D808" s="1" t="str">
        <f>"Hergebruik Otolift TWO"</f>
        <v>Hergebruik Otolift TWO</v>
      </c>
      <c r="E808" s="1" t="s">
        <v>9</v>
      </c>
      <c r="F808" s="3">
        <v>40564</v>
      </c>
      <c r="G808" s="3">
        <v>43088</v>
      </c>
      <c r="H808" s="3">
        <v>43720</v>
      </c>
      <c r="I808" s="3">
        <v>43818</v>
      </c>
    </row>
    <row r="809" spans="2:9" x14ac:dyDescent="0.25">
      <c r="B809" s="2" t="str">
        <f>"128872#"</f>
        <v>128872#</v>
      </c>
      <c r="C809" s="2" t="str">
        <f>"TWO-C-87-S"</f>
        <v>TWO-C-87-S</v>
      </c>
      <c r="D809" s="1" t="str">
        <f>"Otolift TWO"</f>
        <v>Otolift TWO</v>
      </c>
      <c r="E809" s="1" t="s">
        <v>9</v>
      </c>
      <c r="F809" s="3">
        <v>42621</v>
      </c>
      <c r="G809" s="3">
        <v>42621</v>
      </c>
      <c r="H809" s="3">
        <v>43762</v>
      </c>
      <c r="I809" s="3">
        <v>43749</v>
      </c>
    </row>
    <row r="810" spans="2:9" x14ac:dyDescent="0.25">
      <c r="B810" s="2" t="str">
        <f>"88175#"</f>
        <v>88175#</v>
      </c>
      <c r="C810" s="2" t="str">
        <f>"TWO-C-87-S"</f>
        <v>TWO-C-87-S</v>
      </c>
      <c r="D810" s="1" t="str">
        <f>"Hergebruik Otolift TWO buitenbocht trap"</f>
        <v>Hergebruik Otolift TWO buitenbocht trap</v>
      </c>
      <c r="E810" s="1" t="s">
        <v>9</v>
      </c>
      <c r="F810" s="3">
        <v>38758</v>
      </c>
      <c r="G810" s="3">
        <v>41886</v>
      </c>
      <c r="H810" s="3">
        <v>43756</v>
      </c>
      <c r="I810" s="3">
        <v>43749</v>
      </c>
    </row>
    <row r="811" spans="2:9" x14ac:dyDescent="0.25">
      <c r="B811" s="2" t="str">
        <f>"VOR-19003349"</f>
        <v>VOR-19003349</v>
      </c>
      <c r="C811" s="2" t="str">
        <f>"MOD-G-6050-1"</f>
        <v>MOD-G-6050-1</v>
      </c>
      <c r="D811" s="1" t="str">
        <f>"Traplift met twee bochten"</f>
        <v>Traplift met twee bochten</v>
      </c>
      <c r="E811" s="1" t="s">
        <v>7</v>
      </c>
      <c r="F811" s="3">
        <v>43684</v>
      </c>
      <c r="G811" s="3">
        <v>43684</v>
      </c>
      <c r="H811" s="3" t="str">
        <f>""</f>
        <v/>
      </c>
      <c r="I811" s="3" t="str">
        <f>""</f>
        <v/>
      </c>
    </row>
    <row r="812" spans="2:9" x14ac:dyDescent="0.25">
      <c r="B812" s="2" t="str">
        <f>"NL19-000750"</f>
        <v>NL19-000750</v>
      </c>
      <c r="C812" s="2" t="str">
        <f>"MOD-B-6050-1"</f>
        <v>MOD-B-6050-1</v>
      </c>
      <c r="D812" s="1" t="str">
        <f>"Traplift met 1 bocht"</f>
        <v>Traplift met 1 bocht</v>
      </c>
      <c r="E812" s="1" t="s">
        <v>9</v>
      </c>
      <c r="F812" s="3">
        <v>43690</v>
      </c>
      <c r="G812" s="3">
        <v>43690</v>
      </c>
      <c r="H812" s="3" t="str">
        <f>""</f>
        <v/>
      </c>
      <c r="I812" s="3" t="str">
        <f>""</f>
        <v/>
      </c>
    </row>
    <row r="813" spans="2:9" x14ac:dyDescent="0.25">
      <c r="B813" s="2" t="str">
        <f>"125206#"</f>
        <v>125206#</v>
      </c>
      <c r="C813" s="2" t="str">
        <f>"TWO-E-150"</f>
        <v>TWO-E-150</v>
      </c>
      <c r="D813" s="1" t="str">
        <f>"Otolift TWO"</f>
        <v>Otolift TWO</v>
      </c>
      <c r="E813" s="1" t="s">
        <v>9</v>
      </c>
      <c r="F813" s="3">
        <v>42349</v>
      </c>
      <c r="G813" s="3">
        <v>42349</v>
      </c>
      <c r="H813" s="3">
        <v>43783</v>
      </c>
      <c r="I813" s="3">
        <v>43769</v>
      </c>
    </row>
    <row r="814" spans="2:9" x14ac:dyDescent="0.25">
      <c r="B814" s="2" t="str">
        <f>"105233#"</f>
        <v>105233#</v>
      </c>
      <c r="C814" s="2" t="str">
        <f>"TWO-E-87"</f>
        <v>TWO-E-87</v>
      </c>
      <c r="D814" s="1" t="str">
        <f>"Hergebruik Otolift TWO"</f>
        <v>Hergebruik Otolift TWO</v>
      </c>
      <c r="E814" s="1" t="s">
        <v>9</v>
      </c>
      <c r="F814" s="3">
        <v>40105</v>
      </c>
      <c r="G814" s="3">
        <v>42188</v>
      </c>
      <c r="H814" s="3">
        <v>43748</v>
      </c>
      <c r="I814" s="3">
        <v>43714</v>
      </c>
    </row>
    <row r="815" spans="2:9" x14ac:dyDescent="0.25">
      <c r="B815" s="2" t="str">
        <f>"132921#"</f>
        <v>132921#</v>
      </c>
      <c r="C815" s="2" t="str">
        <f>"TWO-G-150"</f>
        <v>TWO-G-150</v>
      </c>
      <c r="D815" s="1" t="str">
        <f>"Otolift TWO"</f>
        <v>Otolift TWO</v>
      </c>
      <c r="E815" s="1" t="s">
        <v>7</v>
      </c>
      <c r="F815" s="3">
        <v>43003</v>
      </c>
      <c r="G815" s="3">
        <v>43003</v>
      </c>
      <c r="H815" s="3">
        <v>43406</v>
      </c>
      <c r="I815" s="3">
        <v>43771</v>
      </c>
    </row>
    <row r="816" spans="2:9" x14ac:dyDescent="0.25">
      <c r="B816" s="2" t="str">
        <f>"091816#"</f>
        <v>091816#</v>
      </c>
      <c r="C816" s="2" t="str">
        <f>"TWO-G-87"</f>
        <v>TWO-G-87</v>
      </c>
      <c r="D816" s="1" t="str">
        <f>"Hergebruik Otolift TWO"</f>
        <v>Hergebruik Otolift TWO</v>
      </c>
      <c r="E816" s="1" t="s">
        <v>7</v>
      </c>
      <c r="F816" s="3">
        <v>39030</v>
      </c>
      <c r="G816" s="3">
        <v>42348</v>
      </c>
      <c r="H816" s="3">
        <v>43767</v>
      </c>
      <c r="I816" s="3">
        <v>43132</v>
      </c>
    </row>
    <row r="817" spans="2:9" x14ac:dyDescent="0.25">
      <c r="B817" s="2" t="str">
        <f>"097344#"</f>
        <v>097344#</v>
      </c>
      <c r="C817" s="2" t="str">
        <f>"TWO-G-87"</f>
        <v>TWO-G-87</v>
      </c>
      <c r="D817" s="1" t="str">
        <f>"Hergebruik Otolift TWO"</f>
        <v>Hergebruik Otolift TWO</v>
      </c>
      <c r="E817" s="1" t="s">
        <v>7</v>
      </c>
      <c r="F817" s="3">
        <v>39538</v>
      </c>
      <c r="G817" s="3">
        <v>42200</v>
      </c>
      <c r="H817" s="3">
        <v>43678</v>
      </c>
      <c r="I817" s="3">
        <v>44027</v>
      </c>
    </row>
    <row r="818" spans="2:9" x14ac:dyDescent="0.25">
      <c r="B818" s="2" t="str">
        <f>"NL19-000780"</f>
        <v>NL19-000780</v>
      </c>
      <c r="C818" s="2" t="str">
        <f>"MOD-G-6050-1"</f>
        <v>MOD-G-6050-1</v>
      </c>
      <c r="D818" s="1" t="str">
        <f>"Traplift met twee bochten"</f>
        <v>Traplift met twee bochten</v>
      </c>
      <c r="E818" s="1" t="s">
        <v>7</v>
      </c>
      <c r="F818" s="3">
        <v>43690</v>
      </c>
      <c r="G818" s="3">
        <v>43690</v>
      </c>
      <c r="H818" s="3" t="str">
        <f>""</f>
        <v/>
      </c>
      <c r="I818" s="3" t="str">
        <f>""</f>
        <v/>
      </c>
    </row>
    <row r="819" spans="2:9" x14ac:dyDescent="0.25">
      <c r="B819" s="2" t="str">
        <f>"100204#"</f>
        <v>100204#</v>
      </c>
      <c r="C819" s="2" t="str">
        <f>"TWO-G-87"</f>
        <v>TWO-G-87</v>
      </c>
      <c r="D819" s="1" t="str">
        <f>"Hergebruik Otolift TWO"</f>
        <v>Hergebruik Otolift TWO</v>
      </c>
      <c r="E819" s="1" t="s">
        <v>7</v>
      </c>
      <c r="F819" s="3">
        <v>39756</v>
      </c>
      <c r="G819" s="3">
        <v>43381</v>
      </c>
      <c r="H819" s="3">
        <v>43759</v>
      </c>
      <c r="I819" s="3">
        <v>43746</v>
      </c>
    </row>
    <row r="820" spans="2:9" x14ac:dyDescent="0.25">
      <c r="B820" s="2" t="str">
        <f>"17935A"</f>
        <v>17935A</v>
      </c>
      <c r="C820" s="2" t="str">
        <f>"TWO-47-S"</f>
        <v>TWO-47-S</v>
      </c>
      <c r="D820" s="1" t="str">
        <f>"Hergebruik Flexirail® model G"</f>
        <v>Hergebruik Flexirail® model G</v>
      </c>
      <c r="E820" s="1" t="s">
        <v>7</v>
      </c>
      <c r="F820" s="3">
        <v>37194</v>
      </c>
      <c r="G820" s="3">
        <v>38047</v>
      </c>
      <c r="H820" s="3">
        <v>43567</v>
      </c>
      <c r="I820" s="3">
        <v>43933</v>
      </c>
    </row>
    <row r="821" spans="2:9" x14ac:dyDescent="0.25">
      <c r="B821" s="2" t="str">
        <f>"20470A"</f>
        <v>20470A</v>
      </c>
      <c r="C821" s="2" t="str">
        <f>"TWO-81"</f>
        <v>TWO-81</v>
      </c>
      <c r="D821" s="1" t="str">
        <f>"Hergebruik Flexirail® model A"</f>
        <v>Hergebruik Flexirail® model A</v>
      </c>
      <c r="E821" s="1" t="s">
        <v>8</v>
      </c>
      <c r="F821" s="3">
        <v>38124</v>
      </c>
      <c r="G821" s="3">
        <v>40514</v>
      </c>
      <c r="H821" s="3">
        <v>43342</v>
      </c>
      <c r="I821" s="3">
        <v>43707</v>
      </c>
    </row>
    <row r="822" spans="2:9" x14ac:dyDescent="0.25">
      <c r="B822" s="2" t="str">
        <f>"23179#"</f>
        <v>23179#</v>
      </c>
      <c r="C822" s="2" t="str">
        <f>"TWO"</f>
        <v>TWO</v>
      </c>
      <c r="D822" s="1" t="str">
        <f>"Otolift model B"</f>
        <v>Otolift model B</v>
      </c>
      <c r="E822" s="1" t="s">
        <v>9</v>
      </c>
      <c r="F822" s="3">
        <v>34043</v>
      </c>
      <c r="G822" s="3">
        <v>34043</v>
      </c>
      <c r="H822" s="3">
        <v>43081</v>
      </c>
      <c r="I822" s="3">
        <v>43446</v>
      </c>
    </row>
    <row r="823" spans="2:9" x14ac:dyDescent="0.25">
      <c r="B823" s="2" t="str">
        <f>"28517A"</f>
        <v>28517A</v>
      </c>
      <c r="C823" s="2" t="str">
        <f>"TWO-42"</f>
        <v>TWO-42</v>
      </c>
      <c r="D823" s="1" t="str">
        <f>"Hergebruik Flexirail® model B"</f>
        <v>Hergebruik Flexirail® model B</v>
      </c>
      <c r="E823" s="1" t="s">
        <v>9</v>
      </c>
      <c r="F823" s="3">
        <v>36276</v>
      </c>
      <c r="G823" s="3">
        <v>38455</v>
      </c>
      <c r="H823" s="3">
        <v>43591</v>
      </c>
      <c r="I823" s="3">
        <v>43957</v>
      </c>
    </row>
    <row r="824" spans="2:9" x14ac:dyDescent="0.25">
      <c r="B824" s="2" t="str">
        <f>"NL19-000843"</f>
        <v>NL19-000843</v>
      </c>
      <c r="C824" s="2" t="str">
        <f>"MOD-B-6040-1"</f>
        <v>MOD-B-6040-1</v>
      </c>
      <c r="D824" s="1" t="str">
        <f>"Otolift Modul-AIR"</f>
        <v>Otolift Modul-AIR</v>
      </c>
      <c r="E824" s="1" t="s">
        <v>9</v>
      </c>
      <c r="F824" s="3">
        <v>43700</v>
      </c>
      <c r="G824" s="3">
        <v>43700</v>
      </c>
      <c r="H824" s="3" t="str">
        <f>""</f>
        <v/>
      </c>
      <c r="I824" s="3" t="str">
        <f>""</f>
        <v/>
      </c>
    </row>
    <row r="825" spans="2:9" x14ac:dyDescent="0.25">
      <c r="B825" s="2" t="str">
        <f>"30492A"</f>
        <v>30492A</v>
      </c>
      <c r="C825" s="2" t="str">
        <f>"TWO-45"</f>
        <v>TWO-45</v>
      </c>
      <c r="D825" s="1" t="str">
        <f>"Otolift met Flexirail® model B"</f>
        <v>Otolift met Flexirail® model B</v>
      </c>
      <c r="E825" s="1" t="s">
        <v>9</v>
      </c>
      <c r="F825" s="3">
        <v>37041</v>
      </c>
      <c r="G825" s="3">
        <v>37041</v>
      </c>
      <c r="H825" s="3">
        <v>43746</v>
      </c>
      <c r="I825" s="3">
        <v>43473</v>
      </c>
    </row>
    <row r="826" spans="2:9" x14ac:dyDescent="0.25">
      <c r="B826" s="2" t="str">
        <f>"31211#"</f>
        <v>31211#</v>
      </c>
      <c r="C826" s="2" t="str">
        <f>"TWO-31-S"</f>
        <v>TWO-31-S</v>
      </c>
      <c r="D826" s="1" t="str">
        <f>"Otolift model G"</f>
        <v>Otolift model G</v>
      </c>
      <c r="E826" s="1" t="s">
        <v>7</v>
      </c>
      <c r="F826" s="3">
        <v>35012</v>
      </c>
      <c r="G826" s="3">
        <v>35012</v>
      </c>
      <c r="H826" s="3">
        <v>43111</v>
      </c>
      <c r="I826" s="3">
        <v>43476</v>
      </c>
    </row>
    <row r="827" spans="2:9" x14ac:dyDescent="0.25">
      <c r="B827" s="2" t="str">
        <f>"31973A"</f>
        <v>31973A</v>
      </c>
      <c r="C827" s="2" t="str">
        <f>"TWO-45"</f>
        <v>TWO-45</v>
      </c>
      <c r="D827" s="1" t="str">
        <f>"Hergebruik Flexirail® model A"</f>
        <v>Hergebruik Flexirail® model A</v>
      </c>
      <c r="E827" s="1" t="s">
        <v>8</v>
      </c>
      <c r="F827" s="3">
        <v>36615</v>
      </c>
      <c r="G827" s="3">
        <v>38776</v>
      </c>
      <c r="H827" s="3">
        <v>43794</v>
      </c>
      <c r="I827" s="3">
        <v>43489</v>
      </c>
    </row>
    <row r="828" spans="2:9" x14ac:dyDescent="0.25">
      <c r="B828" s="2" t="str">
        <f>"100599#"</f>
        <v>100599#</v>
      </c>
      <c r="C828" s="2" t="str">
        <f>"TWO-G-87"</f>
        <v>TWO-G-87</v>
      </c>
      <c r="D828" s="1" t="str">
        <f>"Hergebruik Otolift TWO"</f>
        <v>Hergebruik Otolift TWO</v>
      </c>
      <c r="E828" s="1" t="s">
        <v>7</v>
      </c>
      <c r="F828" s="3">
        <v>39790</v>
      </c>
      <c r="G828" s="3">
        <v>42996</v>
      </c>
      <c r="H828" s="3">
        <v>43755</v>
      </c>
      <c r="I828" s="3">
        <v>43753</v>
      </c>
    </row>
    <row r="829" spans="2:9" x14ac:dyDescent="0.25">
      <c r="B829" s="2" t="str">
        <f>"35665#"</f>
        <v>35665#</v>
      </c>
      <c r="C829" s="2" t="str">
        <f>"TWO-41-S"</f>
        <v>TWO-41-S</v>
      </c>
      <c r="D829" s="1" t="str">
        <f>"Otolift met Flexirail® model G"</f>
        <v>Otolift met Flexirail® model G</v>
      </c>
      <c r="E829" s="1" t="s">
        <v>7</v>
      </c>
      <c r="F829" s="3">
        <v>35527</v>
      </c>
      <c r="G829" s="3">
        <v>35527</v>
      </c>
      <c r="H829" s="3">
        <v>43514</v>
      </c>
      <c r="I829" s="3">
        <v>43879</v>
      </c>
    </row>
    <row r="830" spans="2:9" x14ac:dyDescent="0.25">
      <c r="B830" s="2" t="str">
        <f>"35962B"</f>
        <v>35962B</v>
      </c>
      <c r="C830" s="2" t="str">
        <f>"TWO-85"</f>
        <v>TWO-85</v>
      </c>
      <c r="D830" s="1" t="str">
        <f>"Otolift met Flexirail® model G"</f>
        <v>Otolift met Flexirail® model G</v>
      </c>
      <c r="E830" s="1" t="s">
        <v>7</v>
      </c>
      <c r="F830" s="3">
        <v>37797</v>
      </c>
      <c r="G830" s="3">
        <v>40966</v>
      </c>
      <c r="H830" s="3">
        <v>43640</v>
      </c>
      <c r="I830" s="3">
        <v>44001</v>
      </c>
    </row>
    <row r="831" spans="2:9" x14ac:dyDescent="0.25">
      <c r="B831" s="2" t="str">
        <f>"36654#"</f>
        <v>36654#</v>
      </c>
      <c r="C831" s="2" t="str">
        <f>"TWO-41"</f>
        <v>TWO-41</v>
      </c>
      <c r="D831" s="1" t="str">
        <f>"Otolift met Flexirail® model B"</f>
        <v>Otolift met Flexirail® model B</v>
      </c>
      <c r="E831" s="1" t="s">
        <v>9</v>
      </c>
      <c r="F831" s="3">
        <v>35543</v>
      </c>
      <c r="G831" s="3">
        <v>35543</v>
      </c>
      <c r="H831" s="3">
        <v>43684</v>
      </c>
      <c r="I831" s="3">
        <v>43480</v>
      </c>
    </row>
    <row r="832" spans="2:9" x14ac:dyDescent="0.25">
      <c r="B832" s="2" t="str">
        <f>"36764#"</f>
        <v>36764#</v>
      </c>
      <c r="C832" s="2" t="str">
        <f>"TWO-41"</f>
        <v>TWO-41</v>
      </c>
      <c r="D832" s="1" t="str">
        <f>"Otolift met Flexirail® model G"</f>
        <v>Otolift met Flexirail® model G</v>
      </c>
      <c r="E832" s="1" t="s">
        <v>7</v>
      </c>
      <c r="F832" s="3">
        <v>35585</v>
      </c>
      <c r="G832" s="3">
        <v>35585</v>
      </c>
      <c r="H832" s="3">
        <v>43493</v>
      </c>
      <c r="I832" s="3">
        <v>43858</v>
      </c>
    </row>
    <row r="833" spans="2:9" x14ac:dyDescent="0.25">
      <c r="B833" s="2" t="str">
        <f>"38486#"</f>
        <v>38486#</v>
      </c>
      <c r="C833" s="2" t="str">
        <f>"TWO-41"</f>
        <v>TWO-41</v>
      </c>
      <c r="D833" s="1" t="str">
        <f>"Otolift met Flexirail® model B"</f>
        <v>Otolift met Flexirail® model B</v>
      </c>
      <c r="E833" s="1" t="s">
        <v>9</v>
      </c>
      <c r="F833" s="3">
        <v>35726</v>
      </c>
      <c r="G833" s="3">
        <v>35726</v>
      </c>
      <c r="H833" s="3">
        <v>43593</v>
      </c>
      <c r="I833" s="3">
        <v>43959</v>
      </c>
    </row>
    <row r="834" spans="2:9" x14ac:dyDescent="0.25">
      <c r="B834" s="2" t="str">
        <f>"NL19-000383"</f>
        <v>NL19-000383</v>
      </c>
      <c r="C834" s="2" t="str">
        <f>"MOD-G-6050-1"</f>
        <v>MOD-G-6050-1</v>
      </c>
      <c r="D834" s="1" t="str">
        <f>"Traplift met twee bochten"</f>
        <v>Traplift met twee bochten</v>
      </c>
      <c r="E834" s="1" t="s">
        <v>7</v>
      </c>
      <c r="F834" s="3">
        <v>43701</v>
      </c>
      <c r="G834" s="3">
        <v>43701</v>
      </c>
      <c r="H834" s="3" t="str">
        <f>""</f>
        <v/>
      </c>
      <c r="I834" s="3" t="str">
        <f>""</f>
        <v/>
      </c>
    </row>
    <row r="835" spans="2:9" x14ac:dyDescent="0.25">
      <c r="B835" s="2" t="str">
        <f>"44962#"</f>
        <v>44962#</v>
      </c>
      <c r="C835" s="2" t="str">
        <f>"TWO-41-S"</f>
        <v>TWO-41-S</v>
      </c>
      <c r="D835" s="1" t="str">
        <f>"Otolift met Flexirail® model G"</f>
        <v>Otolift met Flexirail® model G</v>
      </c>
      <c r="E835" s="1" t="s">
        <v>7</v>
      </c>
      <c r="F835" s="3">
        <v>36153</v>
      </c>
      <c r="G835" s="3">
        <v>36153</v>
      </c>
      <c r="H835" s="3">
        <v>43705</v>
      </c>
      <c r="I835" s="3">
        <v>43468</v>
      </c>
    </row>
    <row r="836" spans="2:9" x14ac:dyDescent="0.25">
      <c r="B836" s="2" t="str">
        <f>"46297#"</f>
        <v>46297#</v>
      </c>
      <c r="C836" s="2" t="str">
        <f>"TWO-41"</f>
        <v>TWO-41</v>
      </c>
      <c r="D836" s="1" t="str">
        <f>"Otolift met Flexirail® model A"</f>
        <v>Otolift met Flexirail® model A</v>
      </c>
      <c r="E836" s="1" t="s">
        <v>8</v>
      </c>
      <c r="F836" s="3">
        <v>36215</v>
      </c>
      <c r="G836" s="3">
        <v>36215</v>
      </c>
      <c r="H836" s="3">
        <v>43767</v>
      </c>
      <c r="I836" s="3">
        <v>43469</v>
      </c>
    </row>
    <row r="837" spans="2:9" x14ac:dyDescent="0.25">
      <c r="B837" s="2" t="str">
        <f>"46303#"</f>
        <v>46303#</v>
      </c>
      <c r="C837" s="2" t="str">
        <f>"TWO-42"</f>
        <v>TWO-42</v>
      </c>
      <c r="D837" s="1" t="str">
        <f>"Otolift met Flexirail® model B"</f>
        <v>Otolift met Flexirail® model B</v>
      </c>
      <c r="E837" s="1" t="s">
        <v>9</v>
      </c>
      <c r="F837" s="3">
        <v>36236</v>
      </c>
      <c r="G837" s="3">
        <v>36236</v>
      </c>
      <c r="H837" s="3">
        <v>43720</v>
      </c>
      <c r="I837" s="3">
        <v>43488</v>
      </c>
    </row>
    <row r="838" spans="2:9" x14ac:dyDescent="0.25">
      <c r="B838" s="2" t="str">
        <f>"46373#"</f>
        <v>46373#</v>
      </c>
      <c r="C838" s="2" t="str">
        <f>"TWO-42"</f>
        <v>TWO-42</v>
      </c>
      <c r="D838" s="1" t="str">
        <f>"Otolift met Flexirail® model G"</f>
        <v>Otolift met Flexirail® model G</v>
      </c>
      <c r="E838" s="1" t="s">
        <v>7</v>
      </c>
      <c r="F838" s="3">
        <v>36257</v>
      </c>
      <c r="G838" s="3">
        <v>36257</v>
      </c>
      <c r="H838" s="3">
        <v>43504</v>
      </c>
      <c r="I838" s="3">
        <v>43869</v>
      </c>
    </row>
    <row r="839" spans="2:9" x14ac:dyDescent="0.25">
      <c r="B839" s="2" t="str">
        <f>"46884#"</f>
        <v>46884#</v>
      </c>
      <c r="C839" s="2" t="str">
        <f>"TWO-42"</f>
        <v>TWO-42</v>
      </c>
      <c r="D839" s="1" t="str">
        <f>"Otolift met Flexirail® model G"</f>
        <v>Otolift met Flexirail® model G</v>
      </c>
      <c r="E839" s="1" t="s">
        <v>7</v>
      </c>
      <c r="F839" s="3">
        <v>36307</v>
      </c>
      <c r="G839" s="3">
        <v>39848</v>
      </c>
      <c r="H839" s="3">
        <v>43711</v>
      </c>
      <c r="I839" s="3">
        <v>43537</v>
      </c>
    </row>
    <row r="840" spans="2:9" x14ac:dyDescent="0.25">
      <c r="B840" s="2" t="str">
        <f>"47691#"</f>
        <v>47691#</v>
      </c>
      <c r="C840" s="2" t="str">
        <f>"TWO-43-S"</f>
        <v>TWO-43-S</v>
      </c>
      <c r="D840" s="1" t="str">
        <f>"Otolift met Flexirail® model G"</f>
        <v>Otolift met Flexirail® model G</v>
      </c>
      <c r="E840" s="1" t="s">
        <v>7</v>
      </c>
      <c r="F840" s="3">
        <v>36458</v>
      </c>
      <c r="G840" s="3">
        <v>36458</v>
      </c>
      <c r="H840" s="3">
        <v>43501</v>
      </c>
      <c r="I840" s="3">
        <v>43866</v>
      </c>
    </row>
    <row r="841" spans="2:9" x14ac:dyDescent="0.25">
      <c r="B841" s="2" t="str">
        <f>"49214#"</f>
        <v>49214#</v>
      </c>
      <c r="C841" s="2" t="str">
        <f>"TWO-42-S"</f>
        <v>TWO-42-S</v>
      </c>
      <c r="D841" s="1" t="str">
        <f>"Otolift met Flexirail® model C"</f>
        <v>Otolift met Flexirail® model C</v>
      </c>
      <c r="E841" s="1" t="s">
        <v>9</v>
      </c>
      <c r="F841" s="3">
        <v>36454</v>
      </c>
      <c r="G841" s="3">
        <v>36454</v>
      </c>
      <c r="H841" s="3">
        <v>43795</v>
      </c>
      <c r="I841" s="3">
        <v>44023</v>
      </c>
    </row>
    <row r="842" spans="2:9" x14ac:dyDescent="0.25">
      <c r="B842" s="2" t="str">
        <f>"NL19-001068"</f>
        <v>NL19-001068</v>
      </c>
      <c r="C842" s="2" t="str">
        <f>"MOD-G-6040-1"</f>
        <v>MOD-G-6040-1</v>
      </c>
      <c r="D842" s="1" t="str">
        <f>"Otolift Modul-AIR"</f>
        <v>Otolift Modul-AIR</v>
      </c>
      <c r="E842" s="1" t="s">
        <v>7</v>
      </c>
      <c r="F842" s="3">
        <v>43711</v>
      </c>
      <c r="G842" s="3">
        <v>43711</v>
      </c>
      <c r="H842" s="3" t="str">
        <f>""</f>
        <v/>
      </c>
      <c r="I842" s="3" t="str">
        <f>""</f>
        <v/>
      </c>
    </row>
    <row r="843" spans="2:9" x14ac:dyDescent="0.25">
      <c r="B843" s="2" t="str">
        <f>"50260#"</f>
        <v>50260#</v>
      </c>
      <c r="C843" s="2" t="str">
        <f>"TWO-45"</f>
        <v>TWO-45</v>
      </c>
      <c r="D843" s="1" t="str">
        <f>"Otolift met Flexirail® model B"</f>
        <v>Otolift met Flexirail® model B</v>
      </c>
      <c r="E843" s="1" t="s">
        <v>9</v>
      </c>
      <c r="F843" s="3">
        <v>36502</v>
      </c>
      <c r="G843" s="3">
        <v>36502</v>
      </c>
      <c r="H843" s="3">
        <v>43732</v>
      </c>
      <c r="I843" s="3">
        <v>43698</v>
      </c>
    </row>
    <row r="844" spans="2:9" x14ac:dyDescent="0.25">
      <c r="B844" s="2" t="str">
        <f>"51582#"</f>
        <v>51582#</v>
      </c>
      <c r="C844" s="2" t="str">
        <f>"TWO-45"</f>
        <v>TWO-45</v>
      </c>
      <c r="D844" s="1" t="str">
        <f>"Otolift met Flexirail® model A"</f>
        <v>Otolift met Flexirail® model A</v>
      </c>
      <c r="E844" s="1" t="s">
        <v>8</v>
      </c>
      <c r="F844" s="3">
        <v>36565</v>
      </c>
      <c r="G844" s="3">
        <v>36565</v>
      </c>
      <c r="H844" s="3">
        <v>43738</v>
      </c>
      <c r="I844" s="3">
        <v>43477</v>
      </c>
    </row>
    <row r="845" spans="2:9" x14ac:dyDescent="0.25">
      <c r="B845" s="2" t="str">
        <f>"51639#"</f>
        <v>51639#</v>
      </c>
      <c r="C845" s="2" t="str">
        <f>"TWO-45"</f>
        <v>TWO-45</v>
      </c>
      <c r="D845" s="1" t="str">
        <f>"Otolift met Flexirail® model B"</f>
        <v>Otolift met Flexirail® model B</v>
      </c>
      <c r="E845" s="1" t="s">
        <v>9</v>
      </c>
      <c r="F845" s="3">
        <v>36592</v>
      </c>
      <c r="G845" s="3">
        <v>36592</v>
      </c>
      <c r="H845" s="3">
        <v>43738</v>
      </c>
      <c r="I845" s="3">
        <v>43488</v>
      </c>
    </row>
    <row r="846" spans="2:9" x14ac:dyDescent="0.25">
      <c r="B846" s="2" t="str">
        <f>"52535#"</f>
        <v>52535#</v>
      </c>
      <c r="C846" s="2" t="str">
        <f>"TWO-45"</f>
        <v>TWO-45</v>
      </c>
      <c r="D846" s="1" t="str">
        <f>"Otolift met Flexirail® model G"</f>
        <v>Otolift met Flexirail® model G</v>
      </c>
      <c r="E846" s="1" t="s">
        <v>7</v>
      </c>
      <c r="F846" s="3">
        <v>36627</v>
      </c>
      <c r="G846" s="3">
        <v>39252</v>
      </c>
      <c r="H846" s="3">
        <v>43608</v>
      </c>
      <c r="I846" s="3">
        <v>43974</v>
      </c>
    </row>
    <row r="847" spans="2:9" x14ac:dyDescent="0.25">
      <c r="B847" s="2" t="str">
        <f>"52581A"</f>
        <v>52581A</v>
      </c>
      <c r="C847" s="2" t="str">
        <f>"TWO-85"</f>
        <v>TWO-85</v>
      </c>
      <c r="D847" s="1" t="str">
        <f>"Otolift met Flexirail® model C"</f>
        <v>Otolift met Flexirail® model C</v>
      </c>
      <c r="E847" s="1" t="s">
        <v>9</v>
      </c>
      <c r="F847" s="3">
        <v>38538</v>
      </c>
      <c r="G847" s="3">
        <v>40991</v>
      </c>
      <c r="H847" s="3">
        <v>43433</v>
      </c>
      <c r="I847" s="3">
        <v>43798</v>
      </c>
    </row>
    <row r="848" spans="2:9" x14ac:dyDescent="0.25">
      <c r="B848" s="2" t="str">
        <f>"52731#"</f>
        <v>52731#</v>
      </c>
      <c r="C848" s="2" t="str">
        <f>"TWO-50"</f>
        <v>TWO-50</v>
      </c>
      <c r="D848" s="1" t="str">
        <f>"Otolift met Flexirail® model G"</f>
        <v>Otolift met Flexirail® model G</v>
      </c>
      <c r="E848" s="1" t="s">
        <v>7</v>
      </c>
      <c r="F848" s="3">
        <v>36782</v>
      </c>
      <c r="G848" s="3">
        <v>36782</v>
      </c>
      <c r="H848" s="3">
        <v>43409</v>
      </c>
      <c r="I848" s="3">
        <v>43774</v>
      </c>
    </row>
    <row r="849" spans="2:9" x14ac:dyDescent="0.25">
      <c r="B849" s="2" t="str">
        <f>"53030#"</f>
        <v>53030#</v>
      </c>
      <c r="C849" s="2" t="str">
        <f>"TWO-45-S"</f>
        <v>TWO-45-S</v>
      </c>
      <c r="D849" s="1" t="str">
        <f>"Otolift met Flexirail® model G"</f>
        <v>Otolift met Flexirail® model G</v>
      </c>
      <c r="E849" s="1" t="s">
        <v>7</v>
      </c>
      <c r="F849" s="3">
        <v>36783</v>
      </c>
      <c r="G849" s="3">
        <v>36783</v>
      </c>
      <c r="H849" s="3">
        <v>43572</v>
      </c>
      <c r="I849" s="3">
        <v>43769</v>
      </c>
    </row>
    <row r="850" spans="2:9" x14ac:dyDescent="0.25">
      <c r="B850" s="2" t="str">
        <f>"53314#"</f>
        <v>53314#</v>
      </c>
      <c r="C850" s="2" t="str">
        <f>"TWO-45"</f>
        <v>TWO-45</v>
      </c>
      <c r="D850" s="1" t="str">
        <f>"Otolift met Flexirail® model G"</f>
        <v>Otolift met Flexirail® model G</v>
      </c>
      <c r="E850" s="1" t="s">
        <v>7</v>
      </c>
      <c r="F850" s="3">
        <v>36759</v>
      </c>
      <c r="G850" s="3">
        <v>36759</v>
      </c>
      <c r="H850" s="3">
        <v>43635</v>
      </c>
      <c r="I850" s="3">
        <v>43629</v>
      </c>
    </row>
    <row r="851" spans="2:9" x14ac:dyDescent="0.25">
      <c r="B851" s="2" t="str">
        <f>"53363A"</f>
        <v>53363A</v>
      </c>
      <c r="C851" s="2" t="str">
        <f>"TWO-81"</f>
        <v>TWO-81</v>
      </c>
      <c r="D851" s="1" t="str">
        <f>"Otolift met Flexirail® model A"</f>
        <v>Otolift met Flexirail® model A</v>
      </c>
      <c r="E851" s="1" t="s">
        <v>8</v>
      </c>
      <c r="F851" s="3">
        <v>38005</v>
      </c>
      <c r="G851" s="3">
        <v>40609</v>
      </c>
      <c r="H851" s="3">
        <v>43480</v>
      </c>
      <c r="I851" s="3">
        <v>43845</v>
      </c>
    </row>
    <row r="852" spans="2:9" x14ac:dyDescent="0.25">
      <c r="B852" s="2" t="str">
        <f>"54517#"</f>
        <v>54517#</v>
      </c>
      <c r="C852" s="2" t="str">
        <f>"TWO-45"</f>
        <v>TWO-45</v>
      </c>
      <c r="D852" s="1" t="str">
        <f>"Otolift met Flexirail® model B"</f>
        <v>Otolift met Flexirail® model B</v>
      </c>
      <c r="E852" s="1" t="s">
        <v>9</v>
      </c>
      <c r="F852" s="3">
        <v>36790</v>
      </c>
      <c r="G852" s="3">
        <v>39605</v>
      </c>
      <c r="H852" s="3">
        <v>43781</v>
      </c>
      <c r="I852" s="3">
        <v>43470</v>
      </c>
    </row>
    <row r="853" spans="2:9" x14ac:dyDescent="0.25">
      <c r="B853" s="2" t="str">
        <f>"54547#"</f>
        <v>54547#</v>
      </c>
      <c r="C853" s="2" t="str">
        <f>"TWO-45"</f>
        <v>TWO-45</v>
      </c>
      <c r="D853" s="1" t="str">
        <f>"Otolift met Flexirail® model A"</f>
        <v>Otolift met Flexirail® model A</v>
      </c>
      <c r="E853" s="1" t="s">
        <v>8</v>
      </c>
      <c r="F853" s="3">
        <v>36795</v>
      </c>
      <c r="G853" s="3">
        <v>38842</v>
      </c>
      <c r="H853" s="3">
        <v>43269</v>
      </c>
      <c r="I853" s="3">
        <v>43634</v>
      </c>
    </row>
    <row r="854" spans="2:9" x14ac:dyDescent="0.25">
      <c r="B854" s="2" t="str">
        <f>"54548#"</f>
        <v>54548#</v>
      </c>
      <c r="C854" s="2" t="str">
        <f>"TWO-45"</f>
        <v>TWO-45</v>
      </c>
      <c r="D854" s="1" t="str">
        <f>"Otolift met Flexirail® model B"</f>
        <v>Otolift met Flexirail® model B</v>
      </c>
      <c r="E854" s="1" t="s">
        <v>9</v>
      </c>
      <c r="F854" s="3">
        <v>36795</v>
      </c>
      <c r="G854" s="3">
        <v>36795</v>
      </c>
      <c r="H854" s="3">
        <v>43763</v>
      </c>
      <c r="I854" s="3">
        <v>43741</v>
      </c>
    </row>
    <row r="855" spans="2:9" x14ac:dyDescent="0.25">
      <c r="B855" s="2" t="str">
        <f>"NL19-001164"</f>
        <v>NL19-001164</v>
      </c>
      <c r="C855" s="2" t="str">
        <f>"MOD-G-6050-1"</f>
        <v>MOD-G-6050-1</v>
      </c>
      <c r="D855" s="1" t="str">
        <f>"Traplift met twee bochten"</f>
        <v>Traplift met twee bochten</v>
      </c>
      <c r="E855" s="1" t="s">
        <v>7</v>
      </c>
      <c r="F855" s="3">
        <v>43711</v>
      </c>
      <c r="G855" s="3">
        <v>43711</v>
      </c>
      <c r="H855" s="3" t="str">
        <f>""</f>
        <v/>
      </c>
      <c r="I855" s="3" t="str">
        <f>""</f>
        <v/>
      </c>
    </row>
    <row r="856" spans="2:9" x14ac:dyDescent="0.25">
      <c r="B856" s="2" t="str">
        <f>"55036#"</f>
        <v>55036#</v>
      </c>
      <c r="C856" s="2" t="str">
        <f>"TWO-86"</f>
        <v>TWO-86</v>
      </c>
      <c r="D856" s="1" t="str">
        <f>"Hergebruik Flexirail® model G"</f>
        <v>Hergebruik Flexirail® model G</v>
      </c>
      <c r="E856" s="1" t="s">
        <v>7</v>
      </c>
      <c r="F856" s="3">
        <v>36447</v>
      </c>
      <c r="G856" s="3">
        <v>40070</v>
      </c>
      <c r="H856" s="3">
        <v>43801</v>
      </c>
      <c r="I856" s="3">
        <v>43796</v>
      </c>
    </row>
    <row r="857" spans="2:9" x14ac:dyDescent="0.25">
      <c r="B857" s="2" t="str">
        <f>"55058#"</f>
        <v>55058#</v>
      </c>
      <c r="C857" s="2" t="str">
        <f>"TWO-45-S"</f>
        <v>TWO-45-S</v>
      </c>
      <c r="D857" s="1" t="str">
        <f>"Otolift met Flexirail® model G"</f>
        <v>Otolift met Flexirail® model G</v>
      </c>
      <c r="E857" s="1" t="s">
        <v>7</v>
      </c>
      <c r="F857" s="3">
        <v>36809</v>
      </c>
      <c r="G857" s="3">
        <v>36809</v>
      </c>
      <c r="H857" s="3">
        <v>43578</v>
      </c>
      <c r="I857" s="3">
        <v>43944</v>
      </c>
    </row>
    <row r="858" spans="2:9" x14ac:dyDescent="0.25">
      <c r="B858" s="2" t="str">
        <f>"101261#"</f>
        <v>101261#</v>
      </c>
      <c r="C858" s="2" t="str">
        <f>"TWO-G-87"</f>
        <v>TWO-G-87</v>
      </c>
      <c r="D858" s="1" t="str">
        <f>"Hergebruik Otolift TWO"</f>
        <v>Hergebruik Otolift TWO</v>
      </c>
      <c r="E858" s="1" t="s">
        <v>7</v>
      </c>
      <c r="F858" s="3">
        <v>39868</v>
      </c>
      <c r="G858" s="3">
        <v>42921</v>
      </c>
      <c r="H858" s="3">
        <v>43332</v>
      </c>
      <c r="I858" s="3">
        <v>43697</v>
      </c>
    </row>
    <row r="859" spans="2:9" x14ac:dyDescent="0.25">
      <c r="B859" s="2" t="str">
        <f>"55205A"</f>
        <v>55205A</v>
      </c>
      <c r="C859" s="2" t="str">
        <f>"TWO-45"</f>
        <v>TWO-45</v>
      </c>
      <c r="D859" s="1" t="str">
        <f>"Otolift met Flexirail® model A"</f>
        <v>Otolift met Flexirail® model A</v>
      </c>
      <c r="E859" s="1" t="s">
        <v>8</v>
      </c>
      <c r="F859" s="3">
        <v>36845</v>
      </c>
      <c r="G859" s="3">
        <v>36845</v>
      </c>
      <c r="H859" s="3">
        <v>43608</v>
      </c>
      <c r="I859" s="3">
        <v>43974</v>
      </c>
    </row>
    <row r="860" spans="2:9" x14ac:dyDescent="0.25">
      <c r="B860" s="2" t="str">
        <f>"55771#"</f>
        <v>55771#</v>
      </c>
      <c r="C860" s="2" t="str">
        <f>"TWO-45-S"</f>
        <v>TWO-45-S</v>
      </c>
      <c r="D860" s="1" t="str">
        <f>"Otolift met Flexirail® model G"</f>
        <v>Otolift met Flexirail® model G</v>
      </c>
      <c r="E860" s="1" t="s">
        <v>7</v>
      </c>
      <c r="F860" s="3">
        <v>36880</v>
      </c>
      <c r="G860" s="3">
        <v>36880</v>
      </c>
      <c r="H860" s="3">
        <v>43713</v>
      </c>
      <c r="I860" s="3">
        <v>43964</v>
      </c>
    </row>
    <row r="861" spans="2:9" x14ac:dyDescent="0.25">
      <c r="B861" s="2" t="str">
        <f>"56182#"</f>
        <v>56182#</v>
      </c>
      <c r="C861" s="2" t="str">
        <f>"TWO-42"</f>
        <v>TWO-42</v>
      </c>
      <c r="D861" s="1" t="str">
        <f>"Hergebruik Flexirail® model B"</f>
        <v>Hergebruik Flexirail® model B</v>
      </c>
      <c r="E861" s="1" t="s">
        <v>9</v>
      </c>
      <c r="F861" s="3">
        <v>36341</v>
      </c>
      <c r="G861" s="3">
        <v>36872</v>
      </c>
      <c r="H861" s="3">
        <v>43641</v>
      </c>
      <c r="I861" s="3">
        <v>43975</v>
      </c>
    </row>
    <row r="862" spans="2:9" x14ac:dyDescent="0.25">
      <c r="B862" s="2" t="str">
        <f>"56593#"</f>
        <v>56593#</v>
      </c>
      <c r="C862" s="2" t="str">
        <f>"TWO-45"</f>
        <v>TWO-45</v>
      </c>
      <c r="D862" s="1" t="str">
        <f>"Hergebruik Flexirail® model B"</f>
        <v>Hergebruik Flexirail® model B</v>
      </c>
      <c r="E862" s="1" t="s">
        <v>9</v>
      </c>
      <c r="F862" s="3">
        <v>36634</v>
      </c>
      <c r="G862" s="3">
        <v>36879</v>
      </c>
      <c r="H862" s="3">
        <v>43406</v>
      </c>
      <c r="I862" s="3">
        <v>43771</v>
      </c>
    </row>
    <row r="863" spans="2:9" x14ac:dyDescent="0.25">
      <c r="B863" s="2" t="str">
        <f>"56691A"</f>
        <v>56691A</v>
      </c>
      <c r="C863" s="2" t="str">
        <f>"TWO-50"</f>
        <v>TWO-50</v>
      </c>
      <c r="D863" s="1" t="str">
        <f>"Otolift met Flexirail® model A"</f>
        <v>Otolift met Flexirail® model A</v>
      </c>
      <c r="E863" s="1" t="s">
        <v>8</v>
      </c>
      <c r="F863" s="3">
        <v>36920</v>
      </c>
      <c r="G863" s="3">
        <v>36920</v>
      </c>
      <c r="H863" s="3">
        <v>43586</v>
      </c>
      <c r="I863" s="3">
        <v>43952</v>
      </c>
    </row>
    <row r="864" spans="2:9" x14ac:dyDescent="0.25">
      <c r="B864" s="2" t="str">
        <f>"56691B"</f>
        <v>56691B</v>
      </c>
      <c r="C864" s="2" t="str">
        <f>"TWO-50"</f>
        <v>TWO-50</v>
      </c>
      <c r="D864" s="1" t="str">
        <f>"Otolift met Flexirail® model B"</f>
        <v>Otolift met Flexirail® model B</v>
      </c>
      <c r="E864" s="1" t="s">
        <v>9</v>
      </c>
      <c r="F864" s="3">
        <v>36920</v>
      </c>
      <c r="G864" s="3">
        <v>36920</v>
      </c>
      <c r="H864" s="3">
        <v>43586</v>
      </c>
      <c r="I864" s="3">
        <v>43952</v>
      </c>
    </row>
    <row r="865" spans="2:9" x14ac:dyDescent="0.25">
      <c r="B865" s="2" t="str">
        <f>"56786#"</f>
        <v>56786#</v>
      </c>
      <c r="C865" s="2" t="str">
        <f>"TWO-45"</f>
        <v>TWO-45</v>
      </c>
      <c r="D865" s="1" t="str">
        <f>"Otolift met Flexirail® model B"</f>
        <v>Otolift met Flexirail® model B</v>
      </c>
      <c r="E865" s="1" t="s">
        <v>9</v>
      </c>
      <c r="F865" s="3">
        <v>36980</v>
      </c>
      <c r="G865" s="3">
        <v>38855</v>
      </c>
      <c r="H865" s="3">
        <v>43738</v>
      </c>
      <c r="I865" s="3">
        <v>43488</v>
      </c>
    </row>
    <row r="866" spans="2:9" x14ac:dyDescent="0.25">
      <c r="B866" s="2" t="str">
        <f>"56943#"</f>
        <v>56943#</v>
      </c>
      <c r="C866" s="2" t="str">
        <f>"TWO-60"</f>
        <v>TWO-60</v>
      </c>
      <c r="D866" s="1" t="str">
        <f>"Otolift met Flexirail® model B"</f>
        <v>Otolift met Flexirail® model B</v>
      </c>
      <c r="E866" s="1" t="s">
        <v>9</v>
      </c>
      <c r="F866" s="3">
        <v>37013</v>
      </c>
      <c r="G866" s="3">
        <v>37013</v>
      </c>
      <c r="H866" s="3">
        <v>43663</v>
      </c>
      <c r="I866" s="3">
        <v>43649</v>
      </c>
    </row>
    <row r="867" spans="2:9" x14ac:dyDescent="0.25">
      <c r="B867" s="2" t="str">
        <f>"57128#"</f>
        <v>57128#</v>
      </c>
      <c r="C867" s="2" t="str">
        <f>"TWO-45-S"</f>
        <v>TWO-45-S</v>
      </c>
      <c r="D867" s="1" t="str">
        <f>"Otolift met Flexirail® model G"</f>
        <v>Otolift met Flexirail® model G</v>
      </c>
      <c r="E867" s="1" t="s">
        <v>7</v>
      </c>
      <c r="F867" s="3">
        <v>36952</v>
      </c>
      <c r="G867" s="3">
        <v>36952</v>
      </c>
      <c r="H867" s="3">
        <v>43714</v>
      </c>
      <c r="I867" s="3">
        <v>43720</v>
      </c>
    </row>
    <row r="868" spans="2:9" x14ac:dyDescent="0.25">
      <c r="B868" s="2" t="str">
        <f>"101383#"</f>
        <v>101383#</v>
      </c>
      <c r="C868" s="2" t="str">
        <f>"TWO-G-87"</f>
        <v>TWO-G-87</v>
      </c>
      <c r="D868" s="1" t="str">
        <f>"Hergebruik Otolift TWO"</f>
        <v>Hergebruik Otolift TWO</v>
      </c>
      <c r="E868" s="1" t="s">
        <v>7</v>
      </c>
      <c r="F868" s="3">
        <v>39860</v>
      </c>
      <c r="G868" s="3">
        <v>42174</v>
      </c>
      <c r="H868" s="3">
        <v>43416</v>
      </c>
      <c r="I868" s="3">
        <v>43781</v>
      </c>
    </row>
    <row r="869" spans="2:9" x14ac:dyDescent="0.25">
      <c r="B869" s="2" t="str">
        <f>"57763#"</f>
        <v>57763#</v>
      </c>
      <c r="C869" s="2" t="str">
        <f>"TWO-50"</f>
        <v>TWO-50</v>
      </c>
      <c r="D869" s="1" t="str">
        <f>"Otolift met Flexirail® model B"</f>
        <v>Otolift met Flexirail® model B</v>
      </c>
      <c r="E869" s="1" t="s">
        <v>9</v>
      </c>
      <c r="F869" s="3">
        <v>36976</v>
      </c>
      <c r="G869" s="3">
        <v>36976</v>
      </c>
      <c r="H869" s="3">
        <v>43612</v>
      </c>
      <c r="I869" s="3">
        <v>43978</v>
      </c>
    </row>
    <row r="870" spans="2:9" x14ac:dyDescent="0.25">
      <c r="B870" s="2" t="str">
        <f>"58503#"</f>
        <v>58503#</v>
      </c>
      <c r="C870" s="2" t="str">
        <f>"TWO-45-S"</f>
        <v>TWO-45-S</v>
      </c>
      <c r="D870" s="1" t="str">
        <f>"Otolift met Flexirail® model G"</f>
        <v>Otolift met Flexirail® model G</v>
      </c>
      <c r="E870" s="1" t="s">
        <v>7</v>
      </c>
      <c r="F870" s="3">
        <v>37041</v>
      </c>
      <c r="G870" s="3">
        <v>37041</v>
      </c>
      <c r="H870" s="3">
        <v>43617</v>
      </c>
      <c r="I870" s="3">
        <v>43643</v>
      </c>
    </row>
    <row r="871" spans="2:9" x14ac:dyDescent="0.25">
      <c r="B871" s="2" t="str">
        <f>"58675#"</f>
        <v>58675#</v>
      </c>
      <c r="C871" s="2" t="str">
        <f>"TWO-81-S"</f>
        <v>TWO-81-S</v>
      </c>
      <c r="D871" s="1" t="str">
        <f>"Otolift met Flexirail® model C"</f>
        <v>Otolift met Flexirail® model C</v>
      </c>
      <c r="E871" s="1" t="s">
        <v>9</v>
      </c>
      <c r="F871" s="3">
        <v>37064</v>
      </c>
      <c r="G871" s="3">
        <v>38908</v>
      </c>
      <c r="H871" s="3">
        <v>43801</v>
      </c>
      <c r="I871" s="3">
        <v>43753</v>
      </c>
    </row>
    <row r="872" spans="2:9" x14ac:dyDescent="0.25">
      <c r="B872" s="2" t="str">
        <f>"59229#"</f>
        <v>59229#</v>
      </c>
      <c r="C872" s="2" t="str">
        <f>"TWO-45-S"</f>
        <v>TWO-45-S</v>
      </c>
      <c r="D872" s="1" t="str">
        <f>"Otolift met Flexirail® model C"</f>
        <v>Otolift met Flexirail® model C</v>
      </c>
      <c r="E872" s="1" t="s">
        <v>9</v>
      </c>
      <c r="F872" s="3">
        <v>37085</v>
      </c>
      <c r="G872" s="3">
        <v>37085</v>
      </c>
      <c r="H872" s="3">
        <v>43500</v>
      </c>
      <c r="I872" s="3">
        <v>43865</v>
      </c>
    </row>
    <row r="873" spans="2:9" x14ac:dyDescent="0.25">
      <c r="B873" s="2" t="str">
        <f>"59242#"</f>
        <v>59242#</v>
      </c>
      <c r="C873" s="2" t="str">
        <f>"TWO-45-S"</f>
        <v>TWO-45-S</v>
      </c>
      <c r="D873" s="1" t="str">
        <f>"Otolift met Flexirail® model G"</f>
        <v>Otolift met Flexirail® model G</v>
      </c>
      <c r="E873" s="1" t="s">
        <v>7</v>
      </c>
      <c r="F873" s="3">
        <v>37090</v>
      </c>
      <c r="G873" s="3">
        <v>39357</v>
      </c>
      <c r="H873" s="3">
        <v>43215</v>
      </c>
      <c r="I873" s="3">
        <v>43580</v>
      </c>
    </row>
    <row r="874" spans="2:9" x14ac:dyDescent="0.25">
      <c r="B874" s="2" t="str">
        <f>"59294#"</f>
        <v>59294#</v>
      </c>
      <c r="C874" s="2" t="str">
        <f>"TWO-45-S"</f>
        <v>TWO-45-S</v>
      </c>
      <c r="D874" s="1" t="str">
        <f>"Otolift met Flexirail® model G"</f>
        <v>Otolift met Flexirail® model G</v>
      </c>
      <c r="E874" s="1" t="s">
        <v>7</v>
      </c>
      <c r="F874" s="3">
        <v>37083</v>
      </c>
      <c r="G874" s="3">
        <v>39636</v>
      </c>
      <c r="H874" s="3">
        <v>42989</v>
      </c>
      <c r="I874" s="3">
        <v>43354</v>
      </c>
    </row>
    <row r="875" spans="2:9" x14ac:dyDescent="0.25">
      <c r="B875" s="2" t="str">
        <f>"59320#"</f>
        <v>59320#</v>
      </c>
      <c r="C875" s="2" t="str">
        <f>"TWO-45-S"</f>
        <v>TWO-45-S</v>
      </c>
      <c r="D875" s="1" t="str">
        <f>"Otolift met Flexirail® model G"</f>
        <v>Otolift met Flexirail® model G</v>
      </c>
      <c r="E875" s="1" t="s">
        <v>7</v>
      </c>
      <c r="F875" s="3">
        <v>37084</v>
      </c>
      <c r="G875" s="3">
        <v>37084</v>
      </c>
      <c r="H875" s="3">
        <v>43679</v>
      </c>
      <c r="I875" s="3">
        <v>43581</v>
      </c>
    </row>
    <row r="876" spans="2:9" x14ac:dyDescent="0.25">
      <c r="B876" s="2" t="str">
        <f>"104091#"</f>
        <v>104091#</v>
      </c>
      <c r="C876" s="2" t="str">
        <f>"TWO-G-87"</f>
        <v>TWO-G-87</v>
      </c>
      <c r="D876" s="1" t="str">
        <f>"Hergebruik Otolift TWO"</f>
        <v>Hergebruik Otolift TWO</v>
      </c>
      <c r="E876" s="1" t="s">
        <v>7</v>
      </c>
      <c r="F876" s="3">
        <v>40017</v>
      </c>
      <c r="G876" s="3">
        <v>41920</v>
      </c>
      <c r="H876" s="3">
        <v>43756</v>
      </c>
      <c r="I876" s="3">
        <v>43867</v>
      </c>
    </row>
    <row r="877" spans="2:9" x14ac:dyDescent="0.25">
      <c r="B877" s="2" t="str">
        <f>"60332#"</f>
        <v>60332#</v>
      </c>
      <c r="C877" s="2" t="str">
        <f>"TWO-46"</f>
        <v>TWO-46</v>
      </c>
      <c r="D877" s="1" t="str">
        <f>"Otolift met Flexirail® model G"</f>
        <v>Otolift met Flexirail® model G</v>
      </c>
      <c r="E877" s="1" t="s">
        <v>7</v>
      </c>
      <c r="F877" s="3">
        <v>37176</v>
      </c>
      <c r="G877" s="3">
        <v>37176</v>
      </c>
      <c r="H877" s="3">
        <v>43215</v>
      </c>
      <c r="I877" s="3">
        <v>43580</v>
      </c>
    </row>
    <row r="878" spans="2:9" x14ac:dyDescent="0.25">
      <c r="B878" s="2" t="str">
        <f>"60732#"</f>
        <v>60732#</v>
      </c>
      <c r="C878" s="2" t="str">
        <f>"TWO-41"</f>
        <v>TWO-41</v>
      </c>
      <c r="D878" s="1" t="str">
        <f>"Hergebruik Flexirail® model G"</f>
        <v>Hergebruik Flexirail® model G</v>
      </c>
      <c r="E878" s="1" t="s">
        <v>7</v>
      </c>
      <c r="F878" s="3">
        <v>36056</v>
      </c>
      <c r="G878" s="3">
        <v>39601</v>
      </c>
      <c r="H878" s="3">
        <v>43508</v>
      </c>
      <c r="I878" s="3">
        <v>43873</v>
      </c>
    </row>
    <row r="879" spans="2:9" x14ac:dyDescent="0.25">
      <c r="B879" s="2" t="str">
        <f>"60938#"</f>
        <v>60938#</v>
      </c>
      <c r="C879" s="2" t="str">
        <f>"TWO-45"</f>
        <v>TWO-45</v>
      </c>
      <c r="D879" s="1" t="str">
        <f>"Hergebruik Flexirail® model B"</f>
        <v>Hergebruik Flexirail® model B</v>
      </c>
      <c r="E879" s="1" t="s">
        <v>9</v>
      </c>
      <c r="F879" s="3">
        <v>35503</v>
      </c>
      <c r="G879" s="3">
        <v>37202</v>
      </c>
      <c r="H879" s="3">
        <v>43605</v>
      </c>
      <c r="I879" s="3">
        <v>43971</v>
      </c>
    </row>
    <row r="880" spans="2:9" x14ac:dyDescent="0.25">
      <c r="B880" s="2" t="str">
        <f>"61256#"</f>
        <v>61256#</v>
      </c>
      <c r="C880" s="2" t="str">
        <f>"TWO-81"</f>
        <v>TWO-81</v>
      </c>
      <c r="D880" s="1" t="str">
        <f>"Otolift met Flexirail® model B"</f>
        <v>Otolift met Flexirail® model B</v>
      </c>
      <c r="E880" s="1" t="s">
        <v>9</v>
      </c>
      <c r="F880" s="3">
        <v>37230</v>
      </c>
      <c r="G880" s="3">
        <v>40596</v>
      </c>
      <c r="H880" s="3">
        <v>43796</v>
      </c>
      <c r="I880" s="3">
        <v>43753</v>
      </c>
    </row>
    <row r="881" spans="2:9" x14ac:dyDescent="0.25">
      <c r="B881" s="2" t="str">
        <f>"61421#"</f>
        <v>61421#</v>
      </c>
      <c r="C881" s="2" t="str">
        <f>"TWO-47"</f>
        <v>TWO-47</v>
      </c>
      <c r="D881" s="1" t="str">
        <f>"Otolift met Flexirail® model G"</f>
        <v>Otolift met Flexirail® model G</v>
      </c>
      <c r="E881" s="1" t="s">
        <v>7</v>
      </c>
      <c r="F881" s="3">
        <v>37229</v>
      </c>
      <c r="G881" s="3">
        <v>39378</v>
      </c>
      <c r="H881" s="3">
        <v>43712</v>
      </c>
      <c r="I881" s="3">
        <v>43909</v>
      </c>
    </row>
    <row r="882" spans="2:9" x14ac:dyDescent="0.25">
      <c r="B882" s="2" t="str">
        <f>"61591#"</f>
        <v>61591#</v>
      </c>
      <c r="C882" s="2" t="str">
        <f>"TWO-52"</f>
        <v>TWO-52</v>
      </c>
      <c r="D882" s="1" t="str">
        <f>"Otolift met Flexirail® model A"</f>
        <v>Otolift met Flexirail® model A</v>
      </c>
      <c r="E882" s="1" t="s">
        <v>8</v>
      </c>
      <c r="F882" s="3">
        <v>37229</v>
      </c>
      <c r="G882" s="3">
        <v>37229</v>
      </c>
      <c r="H882" s="3">
        <v>43591</v>
      </c>
      <c r="I882" s="3">
        <v>43904</v>
      </c>
    </row>
    <row r="883" spans="2:9" x14ac:dyDescent="0.25">
      <c r="B883" s="2" t="str">
        <f>"62189#"</f>
        <v>62189#</v>
      </c>
      <c r="C883" s="2" t="str">
        <f>"TWO-52"</f>
        <v>TWO-52</v>
      </c>
      <c r="D883" s="1" t="str">
        <f>"Otolift met Flexirail® model B"</f>
        <v>Otolift met Flexirail® model B</v>
      </c>
      <c r="E883" s="1" t="s">
        <v>9</v>
      </c>
      <c r="F883" s="3">
        <v>37302</v>
      </c>
      <c r="G883" s="3">
        <v>38782</v>
      </c>
      <c r="H883" s="3">
        <v>43714</v>
      </c>
      <c r="I883" s="3">
        <v>43700</v>
      </c>
    </row>
    <row r="884" spans="2:9" x14ac:dyDescent="0.25">
      <c r="B884" s="2" t="str">
        <f>"NL19-001210"</f>
        <v>NL19-001210</v>
      </c>
      <c r="C884" s="2" t="str">
        <f>"MOD-A-6020-1"</f>
        <v>MOD-A-6020-1</v>
      </c>
      <c r="D884" s="1" t="str">
        <f>"Rechte traplift"</f>
        <v>Rechte traplift</v>
      </c>
      <c r="E884" s="1" t="s">
        <v>8</v>
      </c>
      <c r="F884" s="3">
        <v>43714</v>
      </c>
      <c r="G884" s="3">
        <v>43714</v>
      </c>
      <c r="H884" s="3" t="str">
        <f>""</f>
        <v/>
      </c>
      <c r="I884" s="3" t="str">
        <f>""</f>
        <v/>
      </c>
    </row>
    <row r="885" spans="2:9" x14ac:dyDescent="0.25">
      <c r="B885" s="2" t="str">
        <f>"62446#"</f>
        <v>62446#</v>
      </c>
      <c r="C885" s="2" t="str">
        <f>"TWO-52"</f>
        <v>TWO-52</v>
      </c>
      <c r="D885" s="1" t="str">
        <f>"Otolift met Flexirail® model A"</f>
        <v>Otolift met Flexirail® model A</v>
      </c>
      <c r="E885" s="1" t="s">
        <v>8</v>
      </c>
      <c r="F885" s="3">
        <v>37321</v>
      </c>
      <c r="G885" s="3">
        <v>37321</v>
      </c>
      <c r="H885" s="3">
        <v>43661</v>
      </c>
      <c r="I885" s="3">
        <v>43637</v>
      </c>
    </row>
    <row r="886" spans="2:9" x14ac:dyDescent="0.25">
      <c r="B886" s="2" t="str">
        <f>"62735#"</f>
        <v>62735#</v>
      </c>
      <c r="C886" s="2" t="str">
        <f>"TWO-52"</f>
        <v>TWO-52</v>
      </c>
      <c r="D886" s="1" t="str">
        <f>"Otolift met Flexirail® model G"</f>
        <v>Otolift met Flexirail® model G</v>
      </c>
      <c r="E886" s="1" t="s">
        <v>7</v>
      </c>
      <c r="F886" s="3">
        <v>37308</v>
      </c>
      <c r="G886" s="3">
        <v>40455</v>
      </c>
      <c r="H886" s="3">
        <v>43423</v>
      </c>
      <c r="I886" s="3">
        <v>43770</v>
      </c>
    </row>
    <row r="887" spans="2:9" x14ac:dyDescent="0.25">
      <c r="B887" s="2" t="str">
        <f>"62816B"</f>
        <v>62816B</v>
      </c>
      <c r="C887" s="2" t="str">
        <f>"TWO-85"</f>
        <v>TWO-85</v>
      </c>
      <c r="D887" s="1" t="str">
        <f>"Otolift met Flexirail® model G"</f>
        <v>Otolift met Flexirail® model G</v>
      </c>
      <c r="E887" s="1" t="s">
        <v>7</v>
      </c>
      <c r="F887" s="3">
        <v>37435</v>
      </c>
      <c r="G887" s="3">
        <v>40996</v>
      </c>
      <c r="H887" s="3">
        <v>43430</v>
      </c>
      <c r="I887" s="3">
        <v>43795</v>
      </c>
    </row>
    <row r="888" spans="2:9" x14ac:dyDescent="0.25">
      <c r="B888" s="2" t="str">
        <f>"63124#"</f>
        <v>63124#</v>
      </c>
      <c r="C888" s="2" t="str">
        <f>"TWO-47"</f>
        <v>TWO-47</v>
      </c>
      <c r="D888" s="1" t="str">
        <f>"Otolift met Flexirail® model A"</f>
        <v>Otolift met Flexirail® model A</v>
      </c>
      <c r="E888" s="1" t="s">
        <v>8</v>
      </c>
      <c r="F888" s="3">
        <v>37295</v>
      </c>
      <c r="G888" s="3">
        <v>37295</v>
      </c>
      <c r="H888" s="3">
        <v>43587</v>
      </c>
      <c r="I888" s="3">
        <v>43953</v>
      </c>
    </row>
    <row r="889" spans="2:9" x14ac:dyDescent="0.25">
      <c r="B889" s="2" t="str">
        <f>"63274#"</f>
        <v>63274#</v>
      </c>
      <c r="C889" s="2" t="str">
        <f>"TWO-40"</f>
        <v>TWO-40</v>
      </c>
      <c r="D889" s="1" t="str">
        <f>"Hergebruik Flexirail® model B"</f>
        <v>Hergebruik Flexirail® model B</v>
      </c>
      <c r="E889" s="1" t="s">
        <v>9</v>
      </c>
      <c r="F889" s="3">
        <v>35139</v>
      </c>
      <c r="G889" s="3">
        <v>37312</v>
      </c>
      <c r="H889" s="3">
        <v>43738</v>
      </c>
      <c r="I889" s="3">
        <v>43714</v>
      </c>
    </row>
    <row r="890" spans="2:9" x14ac:dyDescent="0.25">
      <c r="B890" s="2" t="str">
        <f>"63781#"</f>
        <v>63781#</v>
      </c>
      <c r="C890" s="2" t="str">
        <f>"TWO-81"</f>
        <v>TWO-81</v>
      </c>
      <c r="D890" s="1" t="str">
        <f>"Otolift met Flexirail® model B"</f>
        <v>Otolift met Flexirail® model B</v>
      </c>
      <c r="E890" s="1" t="s">
        <v>9</v>
      </c>
      <c r="F890" s="3">
        <v>37405</v>
      </c>
      <c r="G890" s="3">
        <v>40983</v>
      </c>
      <c r="H890" s="3">
        <v>43474</v>
      </c>
      <c r="I890" s="3">
        <v>43839</v>
      </c>
    </row>
    <row r="891" spans="2:9" x14ac:dyDescent="0.25">
      <c r="B891" s="2" t="str">
        <f>"63856#"</f>
        <v>63856#</v>
      </c>
      <c r="C891" s="2" t="str">
        <f>"TWO-86"</f>
        <v>TWO-86</v>
      </c>
      <c r="D891" s="1" t="str">
        <f>"Otolift met Flexirail® model B"</f>
        <v>Otolift met Flexirail® model B</v>
      </c>
      <c r="E891" s="1" t="s">
        <v>9</v>
      </c>
      <c r="F891" s="3">
        <v>37379</v>
      </c>
      <c r="G891" s="3">
        <v>40437</v>
      </c>
      <c r="H891" s="3">
        <v>43802</v>
      </c>
      <c r="I891" s="3">
        <v>43785</v>
      </c>
    </row>
    <row r="892" spans="2:9" x14ac:dyDescent="0.25">
      <c r="B892" s="2" t="str">
        <f>"63920#"</f>
        <v>63920#</v>
      </c>
      <c r="C892" s="2" t="str">
        <f>"TWO-52-S"</f>
        <v>TWO-52-S</v>
      </c>
      <c r="D892" s="1" t="str">
        <f>"Otolift met Flexirail® model C"</f>
        <v>Otolift met Flexirail® model C</v>
      </c>
      <c r="E892" s="1" t="s">
        <v>9</v>
      </c>
      <c r="F892" s="3">
        <v>37400</v>
      </c>
      <c r="G892" s="3">
        <v>37400</v>
      </c>
      <c r="H892" s="3">
        <v>43663</v>
      </c>
      <c r="I892" s="3">
        <v>43901</v>
      </c>
    </row>
    <row r="893" spans="2:9" x14ac:dyDescent="0.25">
      <c r="B893" s="2" t="str">
        <f>"63989#"</f>
        <v>63989#</v>
      </c>
      <c r="C893" s="2" t="str">
        <f>"TWO-81"</f>
        <v>TWO-81</v>
      </c>
      <c r="D893" s="1" t="str">
        <f>"Otolift met Flexirail® model G"</f>
        <v>Otolift met Flexirail® model G</v>
      </c>
      <c r="E893" s="1" t="s">
        <v>7</v>
      </c>
      <c r="F893" s="3">
        <v>37350</v>
      </c>
      <c r="G893" s="3">
        <v>40519</v>
      </c>
      <c r="H893" s="3">
        <v>43538</v>
      </c>
      <c r="I893" s="3">
        <v>43904</v>
      </c>
    </row>
    <row r="894" spans="2:9" x14ac:dyDescent="0.25">
      <c r="B894" s="2" t="str">
        <f>"64058#"</f>
        <v>64058#</v>
      </c>
      <c r="C894" s="2" t="str">
        <f>"TWO-52"</f>
        <v>TWO-52</v>
      </c>
      <c r="D894" s="1" t="str">
        <f>"Otolift met Flexirail® model G"</f>
        <v>Otolift met Flexirail® model G</v>
      </c>
      <c r="E894" s="1" t="s">
        <v>7</v>
      </c>
      <c r="F894" s="3">
        <v>37363</v>
      </c>
      <c r="G894" s="3">
        <v>37363</v>
      </c>
      <c r="H894" s="3">
        <v>43705</v>
      </c>
      <c r="I894" s="3">
        <v>43939</v>
      </c>
    </row>
    <row r="895" spans="2:9" x14ac:dyDescent="0.25">
      <c r="B895" s="2" t="str">
        <f>"64104#"</f>
        <v>64104#</v>
      </c>
      <c r="C895" s="2" t="str">
        <f>"TWO-52-S"</f>
        <v>TWO-52-S</v>
      </c>
      <c r="D895" s="1" t="str">
        <f>"Otolift met Flexirail® model G"</f>
        <v>Otolift met Flexirail® model G</v>
      </c>
      <c r="E895" s="1" t="s">
        <v>7</v>
      </c>
      <c r="F895" s="3">
        <v>37357</v>
      </c>
      <c r="G895" s="3">
        <v>37357</v>
      </c>
      <c r="H895" s="3">
        <v>43684</v>
      </c>
      <c r="I895" s="3">
        <v>43539</v>
      </c>
    </row>
    <row r="896" spans="2:9" x14ac:dyDescent="0.25">
      <c r="B896" s="2" t="str">
        <f>"64146#"</f>
        <v>64146#</v>
      </c>
      <c r="C896" s="2" t="str">
        <f>"TWO-52"</f>
        <v>TWO-52</v>
      </c>
      <c r="D896" s="1" t="str">
        <f>"Otolift met Flexirail® model G"</f>
        <v>Otolift met Flexirail® model G</v>
      </c>
      <c r="E896" s="1" t="s">
        <v>7</v>
      </c>
      <c r="F896" s="3">
        <v>37364</v>
      </c>
      <c r="G896" s="3">
        <v>37364</v>
      </c>
      <c r="H896" s="3">
        <v>43700</v>
      </c>
      <c r="I896" s="3">
        <v>43802</v>
      </c>
    </row>
    <row r="897" spans="2:9" x14ac:dyDescent="0.25">
      <c r="B897" s="2" t="str">
        <f>"64907#"</f>
        <v>64907#</v>
      </c>
      <c r="C897" s="2" t="str">
        <f>"TWO-52-S"</f>
        <v>TWO-52-S</v>
      </c>
      <c r="D897" s="1" t="str">
        <f>"Otolift met Flexirail® model G"</f>
        <v>Otolift met Flexirail® model G</v>
      </c>
      <c r="E897" s="1" t="s">
        <v>7</v>
      </c>
      <c r="F897" s="3">
        <v>37413</v>
      </c>
      <c r="G897" s="3">
        <v>37413</v>
      </c>
      <c r="H897" s="3">
        <v>43454</v>
      </c>
      <c r="I897" s="3">
        <v>43819</v>
      </c>
    </row>
    <row r="898" spans="2:9" x14ac:dyDescent="0.25">
      <c r="B898" s="2" t="str">
        <f>"64971#"</f>
        <v>64971#</v>
      </c>
      <c r="C898" s="2" t="str">
        <f>"TWO-52"</f>
        <v>TWO-52</v>
      </c>
      <c r="D898" s="1" t="str">
        <f>"Otolift met Flexirail® model B"</f>
        <v>Otolift met Flexirail® model B</v>
      </c>
      <c r="E898" s="1" t="s">
        <v>9</v>
      </c>
      <c r="F898" s="3">
        <v>37435</v>
      </c>
      <c r="G898" s="3">
        <v>37435</v>
      </c>
      <c r="H898" s="3">
        <v>43572</v>
      </c>
      <c r="I898" s="3">
        <v>43938</v>
      </c>
    </row>
    <row r="899" spans="2:9" x14ac:dyDescent="0.25">
      <c r="B899" s="2" t="str">
        <f>"64976#"</f>
        <v>64976#</v>
      </c>
      <c r="C899" s="2" t="str">
        <f>"TWO-52"</f>
        <v>TWO-52</v>
      </c>
      <c r="D899" s="1" t="str">
        <f>"Otolift met Flexirail® model G"</f>
        <v>Otolift met Flexirail® model G</v>
      </c>
      <c r="E899" s="1" t="s">
        <v>7</v>
      </c>
      <c r="F899" s="3">
        <v>37417</v>
      </c>
      <c r="G899" s="3">
        <v>39742</v>
      </c>
      <c r="H899" s="3">
        <v>43630</v>
      </c>
      <c r="I899" s="3">
        <v>43607</v>
      </c>
    </row>
    <row r="900" spans="2:9" x14ac:dyDescent="0.25">
      <c r="B900" s="2" t="str">
        <f>"64984#"</f>
        <v>64984#</v>
      </c>
      <c r="C900" s="2" t="str">
        <f>"TWO-85-S"</f>
        <v>TWO-85-S</v>
      </c>
      <c r="D900" s="1" t="str">
        <f>"Otolift met Flexirail® model B"</f>
        <v>Otolift met Flexirail® model B</v>
      </c>
      <c r="E900" s="1" t="s">
        <v>9</v>
      </c>
      <c r="F900" s="3">
        <v>37587</v>
      </c>
      <c r="G900" s="3">
        <v>41144</v>
      </c>
      <c r="H900" s="3">
        <v>43672</v>
      </c>
      <c r="I900" s="3">
        <v>43578</v>
      </c>
    </row>
    <row r="901" spans="2:9" x14ac:dyDescent="0.25">
      <c r="B901" s="2" t="str">
        <f>"66076#"</f>
        <v>66076#</v>
      </c>
      <c r="C901" s="2" t="str">
        <f>"TWO-81"</f>
        <v>TWO-81</v>
      </c>
      <c r="D901" s="1" t="str">
        <f>"Otolift met Flexirail® model B"</f>
        <v>Otolift met Flexirail® model B</v>
      </c>
      <c r="E901" s="1" t="s">
        <v>9</v>
      </c>
      <c r="F901" s="3">
        <v>37510</v>
      </c>
      <c r="G901" s="3">
        <v>38952</v>
      </c>
      <c r="H901" s="3">
        <v>43511</v>
      </c>
      <c r="I901" s="3">
        <v>43876</v>
      </c>
    </row>
    <row r="902" spans="2:9" x14ac:dyDescent="0.25">
      <c r="B902" s="2" t="str">
        <f>"66551#"</f>
        <v>66551#</v>
      </c>
      <c r="C902" s="2" t="str">
        <f>"TWO-52"</f>
        <v>TWO-52</v>
      </c>
      <c r="D902" s="1" t="str">
        <f>"Otolift met Flexirail® model B"</f>
        <v>Otolift met Flexirail® model B</v>
      </c>
      <c r="E902" s="1" t="s">
        <v>9</v>
      </c>
      <c r="F902" s="3">
        <v>37519</v>
      </c>
      <c r="G902" s="3">
        <v>39111</v>
      </c>
      <c r="H902" s="3">
        <v>43586</v>
      </c>
      <c r="I902" s="3">
        <v>43952</v>
      </c>
    </row>
    <row r="903" spans="2:9" x14ac:dyDescent="0.25">
      <c r="B903" s="2" t="str">
        <f>"66632#"</f>
        <v>66632#</v>
      </c>
      <c r="C903" s="2" t="str">
        <f>"TWO-85"</f>
        <v>TWO-85</v>
      </c>
      <c r="D903" s="1" t="str">
        <f>"Otolift met Flexirail® model A"</f>
        <v>Otolift met Flexirail® model A</v>
      </c>
      <c r="E903" s="1" t="s">
        <v>8</v>
      </c>
      <c r="F903" s="3">
        <v>37517</v>
      </c>
      <c r="G903" s="3">
        <v>40757</v>
      </c>
      <c r="H903" s="3">
        <v>43510</v>
      </c>
      <c r="I903" s="3">
        <v>43875</v>
      </c>
    </row>
    <row r="904" spans="2:9" x14ac:dyDescent="0.25">
      <c r="B904" s="2" t="str">
        <f>"66633#"</f>
        <v>66633#</v>
      </c>
      <c r="C904" s="2" t="str">
        <f>"TWO-85"</f>
        <v>TWO-85</v>
      </c>
      <c r="D904" s="1" t="str">
        <f>"Otolift met Flexirail® model B"</f>
        <v>Otolift met Flexirail® model B</v>
      </c>
      <c r="E904" s="1" t="s">
        <v>9</v>
      </c>
      <c r="F904" s="3">
        <v>37508</v>
      </c>
      <c r="G904" s="3">
        <v>40802</v>
      </c>
      <c r="H904" s="3">
        <v>43508</v>
      </c>
      <c r="I904" s="3">
        <v>43873</v>
      </c>
    </row>
    <row r="905" spans="2:9" x14ac:dyDescent="0.25">
      <c r="B905" s="2" t="str">
        <f>"66637#"</f>
        <v>66637#</v>
      </c>
      <c r="C905" s="2" t="str">
        <f>"TWO-106"</f>
        <v>TWO-106</v>
      </c>
      <c r="D905" s="1" t="str">
        <f>"Otolift met Flexirail® model A"</f>
        <v>Otolift met Flexirail® model A</v>
      </c>
      <c r="E905" s="1" t="s">
        <v>8</v>
      </c>
      <c r="F905" s="3">
        <v>37517</v>
      </c>
      <c r="G905" s="3">
        <v>41145</v>
      </c>
      <c r="H905" s="3">
        <v>43507</v>
      </c>
      <c r="I905" s="3">
        <v>43872</v>
      </c>
    </row>
    <row r="906" spans="2:9" x14ac:dyDescent="0.25">
      <c r="B906" s="2" t="str">
        <f>"66756#"</f>
        <v>66756#</v>
      </c>
      <c r="C906" s="2" t="str">
        <f>"TWO-80"</f>
        <v>TWO-80</v>
      </c>
      <c r="D906" s="1" t="str">
        <f>"Otolift met Flexirail® model B"</f>
        <v>Otolift met Flexirail® model B</v>
      </c>
      <c r="E906" s="1" t="s">
        <v>9</v>
      </c>
      <c r="F906" s="3">
        <v>37537</v>
      </c>
      <c r="G906" s="3">
        <v>37537</v>
      </c>
      <c r="H906" s="3">
        <v>43663</v>
      </c>
      <c r="I906" s="3">
        <v>43543</v>
      </c>
    </row>
    <row r="907" spans="2:9" x14ac:dyDescent="0.25">
      <c r="B907" s="2" t="str">
        <f>"66978#"</f>
        <v>66978#</v>
      </c>
      <c r="C907" s="2" t="str">
        <f>"TWO-81"</f>
        <v>TWO-81</v>
      </c>
      <c r="D907" s="1" t="str">
        <f>"Otolift met Flexirail® model B"</f>
        <v>Otolift met Flexirail® model B</v>
      </c>
      <c r="E907" s="1" t="s">
        <v>9</v>
      </c>
      <c r="F907" s="3">
        <v>37547</v>
      </c>
      <c r="G907" s="3">
        <v>40792</v>
      </c>
      <c r="H907" s="3">
        <v>43423</v>
      </c>
      <c r="I907" s="3">
        <v>43788</v>
      </c>
    </row>
    <row r="908" spans="2:9" x14ac:dyDescent="0.25">
      <c r="B908" s="2" t="str">
        <f>"67732A"</f>
        <v>67732A</v>
      </c>
      <c r="C908" s="2" t="str">
        <f>"TWO-81-S"</f>
        <v>TWO-81-S</v>
      </c>
      <c r="D908" s="1" t="str">
        <f>"Otolift met Flexirail® model G"</f>
        <v>Otolift met Flexirail® model G</v>
      </c>
      <c r="E908" s="1" t="s">
        <v>7</v>
      </c>
      <c r="F908" s="3">
        <v>37607</v>
      </c>
      <c r="G908" s="3">
        <v>38889</v>
      </c>
      <c r="H908" s="3">
        <v>43111</v>
      </c>
      <c r="I908" s="3">
        <v>43476</v>
      </c>
    </row>
    <row r="909" spans="2:9" x14ac:dyDescent="0.25">
      <c r="B909" s="2" t="str">
        <f>"67824#"</f>
        <v>67824#</v>
      </c>
      <c r="C909" s="2" t="str">
        <f>"TWO-81"</f>
        <v>TWO-81</v>
      </c>
      <c r="D909" s="1" t="str">
        <f>"Otolift met Flexirail® model G"</f>
        <v>Otolift met Flexirail® model G</v>
      </c>
      <c r="E909" s="1" t="s">
        <v>7</v>
      </c>
      <c r="F909" s="3">
        <v>37582</v>
      </c>
      <c r="G909" s="3">
        <v>39414</v>
      </c>
      <c r="H909" s="3">
        <v>43601</v>
      </c>
      <c r="I909" s="3">
        <v>43967</v>
      </c>
    </row>
    <row r="910" spans="2:9" x14ac:dyDescent="0.25">
      <c r="B910" s="2" t="str">
        <f>"68142#"</f>
        <v>68142#</v>
      </c>
      <c r="C910" s="2" t="str">
        <f>"TWO-81"</f>
        <v>TWO-81</v>
      </c>
      <c r="D910" s="1" t="str">
        <f>"Hergebruik Flexirail® model A"</f>
        <v>Hergebruik Flexirail® model A</v>
      </c>
      <c r="E910" s="1" t="s">
        <v>8</v>
      </c>
      <c r="F910" s="3">
        <v>36220</v>
      </c>
      <c r="G910" s="3">
        <v>39183</v>
      </c>
      <c r="H910" s="3">
        <v>43500</v>
      </c>
      <c r="I910" s="3">
        <v>43865</v>
      </c>
    </row>
    <row r="911" spans="2:9" x14ac:dyDescent="0.25">
      <c r="B911" s="2" t="str">
        <f>"68310#"</f>
        <v>68310#</v>
      </c>
      <c r="C911" s="2" t="str">
        <f>"TWO-81"</f>
        <v>TWO-81</v>
      </c>
      <c r="D911" s="1" t="str">
        <f>"Hergebruik Flexirail® model B"</f>
        <v>Hergebruik Flexirail® model B</v>
      </c>
      <c r="E911" s="1" t="s">
        <v>9</v>
      </c>
      <c r="F911" s="3">
        <v>37203</v>
      </c>
      <c r="G911" s="3">
        <v>39723</v>
      </c>
      <c r="H911" s="3">
        <v>43486</v>
      </c>
      <c r="I911" s="3">
        <v>43851</v>
      </c>
    </row>
    <row r="912" spans="2:9" x14ac:dyDescent="0.25">
      <c r="B912" s="2" t="str">
        <f>"68311#"</f>
        <v>68311#</v>
      </c>
      <c r="C912" s="2" t="str">
        <f>"TWO-50"</f>
        <v>TWO-50</v>
      </c>
      <c r="D912" s="1" t="str">
        <f>"Hergebruik Flexirail® model A"</f>
        <v>Hergebruik Flexirail® model A</v>
      </c>
      <c r="E912" s="1" t="s">
        <v>8</v>
      </c>
      <c r="F912" s="3">
        <v>37138</v>
      </c>
      <c r="G912" s="3">
        <v>37610</v>
      </c>
      <c r="H912" s="3">
        <v>43607</v>
      </c>
      <c r="I912" s="3">
        <v>43973</v>
      </c>
    </row>
    <row r="913" spans="2:9" x14ac:dyDescent="0.25">
      <c r="B913" s="2" t="str">
        <f>"68419B"</f>
        <v>68419B</v>
      </c>
      <c r="C913" s="2" t="str">
        <f>"TWO-85"</f>
        <v>TWO-85</v>
      </c>
      <c r="D913" s="1" t="str">
        <f>"Otolift met Flexirail® model G"</f>
        <v>Otolift met Flexirail® model G</v>
      </c>
      <c r="E913" s="1" t="s">
        <v>7</v>
      </c>
      <c r="F913" s="3">
        <v>37715</v>
      </c>
      <c r="G913" s="3">
        <v>41351</v>
      </c>
      <c r="H913" s="3">
        <v>43479</v>
      </c>
      <c r="I913" s="3">
        <v>43844</v>
      </c>
    </row>
    <row r="914" spans="2:9" x14ac:dyDescent="0.25">
      <c r="B914" s="2" t="str">
        <f>"68432#"</f>
        <v>68432#</v>
      </c>
      <c r="C914" s="2" t="str">
        <f>"TWO-85-S"</f>
        <v>TWO-85-S</v>
      </c>
      <c r="D914" s="1" t="str">
        <f>"Otolift met Flexirail® model G"</f>
        <v>Otolift met Flexirail® model G</v>
      </c>
      <c r="E914" s="1" t="s">
        <v>7</v>
      </c>
      <c r="F914" s="3">
        <v>37638</v>
      </c>
      <c r="G914" s="3">
        <v>39556</v>
      </c>
      <c r="H914" s="3">
        <v>43763</v>
      </c>
      <c r="I914" s="3">
        <v>43713</v>
      </c>
    </row>
    <row r="915" spans="2:9" x14ac:dyDescent="0.25">
      <c r="B915" s="2" t="str">
        <f>"68694#"</f>
        <v>68694#</v>
      </c>
      <c r="C915" s="2" t="str">
        <f>"TWO-81-S"</f>
        <v>TWO-81-S</v>
      </c>
      <c r="D915" s="1" t="str">
        <f>"Otolift met Flexirail® model A"</f>
        <v>Otolift met Flexirail® model A</v>
      </c>
      <c r="E915" s="1" t="s">
        <v>8</v>
      </c>
      <c r="F915" s="3">
        <v>37643</v>
      </c>
      <c r="G915" s="3">
        <v>37643</v>
      </c>
      <c r="H915" s="3">
        <v>43411</v>
      </c>
      <c r="I915" s="3">
        <v>43776</v>
      </c>
    </row>
    <row r="916" spans="2:9" x14ac:dyDescent="0.25">
      <c r="B916" s="2" t="str">
        <f>"68781#"</f>
        <v>68781#</v>
      </c>
      <c r="C916" s="2" t="str">
        <f>"TWO-81"</f>
        <v>TWO-81</v>
      </c>
      <c r="D916" s="1" t="str">
        <f>"Otolift met Flexirail® model G"</f>
        <v>Otolift met Flexirail® model G</v>
      </c>
      <c r="E916" s="1" t="s">
        <v>7</v>
      </c>
      <c r="F916" s="3">
        <v>37664</v>
      </c>
      <c r="G916" s="3">
        <v>39727</v>
      </c>
      <c r="H916" s="3">
        <v>43441</v>
      </c>
      <c r="I916" s="3">
        <v>43806</v>
      </c>
    </row>
    <row r="917" spans="2:9" x14ac:dyDescent="0.25">
      <c r="B917" s="2" t="str">
        <f>"68782#"</f>
        <v>68782#</v>
      </c>
      <c r="C917" s="2" t="str">
        <f>"TWO-85"</f>
        <v>TWO-85</v>
      </c>
      <c r="D917" s="1" t="str">
        <f>"Otolift met Flexirail® model A"</f>
        <v>Otolift met Flexirail® model A</v>
      </c>
      <c r="E917" s="1" t="s">
        <v>8</v>
      </c>
      <c r="F917" s="3">
        <v>37643</v>
      </c>
      <c r="G917" s="3">
        <v>39518</v>
      </c>
      <c r="H917" s="3">
        <v>43511</v>
      </c>
      <c r="I917" s="3">
        <v>43876</v>
      </c>
    </row>
    <row r="918" spans="2:9" x14ac:dyDescent="0.25">
      <c r="B918" s="2" t="str">
        <f>"69051#"</f>
        <v>69051#</v>
      </c>
      <c r="C918" s="2" t="str">
        <f>"TWO-81"</f>
        <v>TWO-81</v>
      </c>
      <c r="D918" s="1" t="str">
        <f>"Otolift met Flexirail® model G"</f>
        <v>Otolift met Flexirail® model G</v>
      </c>
      <c r="E918" s="1" t="s">
        <v>7</v>
      </c>
      <c r="F918" s="3">
        <v>37659</v>
      </c>
      <c r="G918" s="3">
        <v>39175</v>
      </c>
      <c r="H918" s="3">
        <v>43782</v>
      </c>
      <c r="I918" s="3">
        <v>43749</v>
      </c>
    </row>
    <row r="919" spans="2:9" x14ac:dyDescent="0.25">
      <c r="B919" s="2" t="str">
        <f>"NL19-000941"</f>
        <v>NL19-000941</v>
      </c>
      <c r="C919" s="2" t="str">
        <f>"MOD-G-6040-1"</f>
        <v>MOD-G-6040-1</v>
      </c>
      <c r="D919" s="1" t="str">
        <f>"Traplift met twee bochten"</f>
        <v>Traplift met twee bochten</v>
      </c>
      <c r="E919" s="1" t="s">
        <v>7</v>
      </c>
      <c r="F919" s="3">
        <v>43714</v>
      </c>
      <c r="G919" s="3">
        <v>43714</v>
      </c>
      <c r="H919" s="3" t="str">
        <f>""</f>
        <v/>
      </c>
      <c r="I919" s="3" t="str">
        <f>""</f>
        <v/>
      </c>
    </row>
    <row r="920" spans="2:9" x14ac:dyDescent="0.25">
      <c r="B920" s="2" t="str">
        <f>"69112#"</f>
        <v>69112#</v>
      </c>
      <c r="C920" s="2" t="str">
        <f>"TWO-81"</f>
        <v>TWO-81</v>
      </c>
      <c r="D920" s="1" t="str">
        <f>"Otolift met Flexirail® model B"</f>
        <v>Otolift met Flexirail® model B</v>
      </c>
      <c r="E920" s="1" t="s">
        <v>9</v>
      </c>
      <c r="F920" s="3">
        <v>37671</v>
      </c>
      <c r="G920" s="3">
        <v>37671</v>
      </c>
      <c r="H920" s="3">
        <v>43508</v>
      </c>
      <c r="I920" s="3">
        <v>43873</v>
      </c>
    </row>
    <row r="921" spans="2:9" x14ac:dyDescent="0.25">
      <c r="B921" s="2" t="str">
        <f>"69391#"</f>
        <v>69391#</v>
      </c>
      <c r="C921" s="2" t="str">
        <f>"TWO-81"</f>
        <v>TWO-81</v>
      </c>
      <c r="D921" s="1" t="str">
        <f>"Otolift met Flexirail® model B"</f>
        <v>Otolift met Flexirail® model B</v>
      </c>
      <c r="E921" s="1" t="s">
        <v>9</v>
      </c>
      <c r="F921" s="3">
        <v>37728</v>
      </c>
      <c r="G921" s="3">
        <v>40820</v>
      </c>
      <c r="H921" s="3">
        <v>43745</v>
      </c>
      <c r="I921" s="3">
        <v>44030</v>
      </c>
    </row>
    <row r="922" spans="2:9" x14ac:dyDescent="0.25">
      <c r="B922" s="2" t="str">
        <f>"105687#"</f>
        <v>105687#</v>
      </c>
      <c r="C922" s="2" t="str">
        <f>"TWO-G-87"</f>
        <v>TWO-G-87</v>
      </c>
      <c r="D922" s="1" t="str">
        <f>"Hergebruik Otolift TWO"</f>
        <v>Hergebruik Otolift TWO</v>
      </c>
      <c r="E922" s="1" t="s">
        <v>7</v>
      </c>
      <c r="F922" s="3">
        <v>40163</v>
      </c>
      <c r="G922" s="3">
        <v>41928</v>
      </c>
      <c r="H922" s="3">
        <v>43500</v>
      </c>
      <c r="I922" s="3">
        <v>43865</v>
      </c>
    </row>
    <row r="923" spans="2:9" x14ac:dyDescent="0.25">
      <c r="B923" s="2" t="str">
        <f>"69779#"</f>
        <v>69779#</v>
      </c>
      <c r="C923" s="2" t="str">
        <f>"TWO-85"</f>
        <v>TWO-85</v>
      </c>
      <c r="D923" s="1" t="str">
        <f>"Otolift met Flexirail® model B"</f>
        <v>Otolift met Flexirail® model B</v>
      </c>
      <c r="E923" s="1" t="s">
        <v>9</v>
      </c>
      <c r="F923" s="3">
        <v>37691</v>
      </c>
      <c r="G923" s="3">
        <v>40802</v>
      </c>
      <c r="H923" s="3">
        <v>43418</v>
      </c>
      <c r="I923" s="3">
        <v>43783</v>
      </c>
    </row>
    <row r="924" spans="2:9" x14ac:dyDescent="0.25">
      <c r="B924" s="2" t="str">
        <f>"106601#"</f>
        <v>106601#</v>
      </c>
      <c r="C924" s="2" t="str">
        <f>"TWO-G-87"</f>
        <v>TWO-G-87</v>
      </c>
      <c r="D924" s="1" t="str">
        <f>"Hergebruik Otolift TWO"</f>
        <v>Hergebruik Otolift TWO</v>
      </c>
      <c r="E924" s="1" t="s">
        <v>7</v>
      </c>
      <c r="F924" s="3">
        <v>40241</v>
      </c>
      <c r="G924" s="3">
        <v>42907</v>
      </c>
      <c r="H924" s="3">
        <v>43405</v>
      </c>
      <c r="I924" s="3">
        <v>43770</v>
      </c>
    </row>
    <row r="925" spans="2:9" x14ac:dyDescent="0.25">
      <c r="B925" s="2" t="str">
        <f>"69845#"</f>
        <v>69845#</v>
      </c>
      <c r="C925" s="2" t="str">
        <f>"TWO-81"</f>
        <v>TWO-81</v>
      </c>
      <c r="D925" s="1" t="str">
        <f>"Otolift met Flexirail® model B"</f>
        <v>Otolift met Flexirail® model B</v>
      </c>
      <c r="E925" s="1" t="s">
        <v>9</v>
      </c>
      <c r="F925" s="3">
        <v>37705</v>
      </c>
      <c r="G925" s="3">
        <v>39562</v>
      </c>
      <c r="H925" s="3">
        <v>43661</v>
      </c>
      <c r="I925" s="3">
        <v>43659</v>
      </c>
    </row>
    <row r="926" spans="2:9" x14ac:dyDescent="0.25">
      <c r="B926" s="2" t="str">
        <f>"69928#"</f>
        <v>69928#</v>
      </c>
      <c r="C926" s="2" t="str">
        <f>"TWO-81-S"</f>
        <v>TWO-81-S</v>
      </c>
      <c r="D926" s="1" t="str">
        <f>"Otolift met Flexirail® model G"</f>
        <v>Otolift met Flexirail® model G</v>
      </c>
      <c r="E926" s="1" t="s">
        <v>7</v>
      </c>
      <c r="F926" s="3">
        <v>37705</v>
      </c>
      <c r="G926" s="3">
        <v>37705</v>
      </c>
      <c r="H926" s="3">
        <v>43671</v>
      </c>
      <c r="I926" s="3">
        <v>43642</v>
      </c>
    </row>
    <row r="927" spans="2:9" x14ac:dyDescent="0.25">
      <c r="B927" s="2" t="str">
        <f>"69999#"</f>
        <v>69999#</v>
      </c>
      <c r="C927" s="2" t="str">
        <f>"TWO-42"</f>
        <v>TWO-42</v>
      </c>
      <c r="D927" s="1" t="str">
        <f>"Hergebruik Flexirail® model B"</f>
        <v>Hergebruik Flexirail® model B</v>
      </c>
      <c r="E927" s="1" t="s">
        <v>9</v>
      </c>
      <c r="F927" s="3">
        <v>35165</v>
      </c>
      <c r="G927" s="3">
        <v>37712</v>
      </c>
      <c r="H927" s="3">
        <v>43571</v>
      </c>
      <c r="I927" s="3">
        <v>43937</v>
      </c>
    </row>
    <row r="928" spans="2:9" x14ac:dyDescent="0.25">
      <c r="B928" s="2" t="str">
        <f>"70040#"</f>
        <v>70040#</v>
      </c>
      <c r="C928" s="2" t="str">
        <f>"TWO-81"</f>
        <v>TWO-81</v>
      </c>
      <c r="D928" s="1" t="str">
        <f>"Otolift met Flexirail® model G"</f>
        <v>Otolift met Flexirail® model G</v>
      </c>
      <c r="E928" s="1" t="s">
        <v>7</v>
      </c>
      <c r="F928" s="3">
        <v>37788</v>
      </c>
      <c r="G928" s="3">
        <v>41320</v>
      </c>
      <c r="H928" s="3">
        <v>43543</v>
      </c>
      <c r="I928" s="3">
        <v>43909</v>
      </c>
    </row>
    <row r="929" spans="2:9" x14ac:dyDescent="0.25">
      <c r="B929" s="2" t="str">
        <f>"70273#"</f>
        <v>70273#</v>
      </c>
      <c r="C929" s="2" t="str">
        <f>"TWO-81-S"</f>
        <v>TWO-81-S</v>
      </c>
      <c r="D929" s="1" t="str">
        <f>"Hergebruik Flexirail® model G"</f>
        <v>Hergebruik Flexirail® model G</v>
      </c>
      <c r="E929" s="1" t="s">
        <v>7</v>
      </c>
      <c r="F929" s="3">
        <v>37312</v>
      </c>
      <c r="G929" s="3">
        <v>37729</v>
      </c>
      <c r="H929" s="3">
        <v>43677</v>
      </c>
      <c r="I929" s="3">
        <v>43593</v>
      </c>
    </row>
    <row r="930" spans="2:9" x14ac:dyDescent="0.25">
      <c r="B930" s="2" t="str">
        <f>"70704#"</f>
        <v>70704#</v>
      </c>
      <c r="C930" s="2" t="str">
        <f>"TWO-81-S"</f>
        <v>TWO-81-S</v>
      </c>
      <c r="D930" s="1" t="str">
        <f>"Otolift met Flexirail® model G"</f>
        <v>Otolift met Flexirail® model G</v>
      </c>
      <c r="E930" s="1" t="s">
        <v>7</v>
      </c>
      <c r="F930" s="3">
        <v>38114</v>
      </c>
      <c r="G930" s="3">
        <v>38114</v>
      </c>
      <c r="H930" s="3">
        <v>43731</v>
      </c>
      <c r="I930" s="3">
        <v>43648</v>
      </c>
    </row>
    <row r="931" spans="2:9" x14ac:dyDescent="0.25">
      <c r="B931" s="2" t="str">
        <f>"71096#"</f>
        <v>71096#</v>
      </c>
      <c r="C931" s="2" t="str">
        <f>"TWO-81-S"</f>
        <v>TWO-81-S</v>
      </c>
      <c r="D931" s="1" t="str">
        <f>"Otolift met Flexirail® model G"</f>
        <v>Otolift met Flexirail® model G</v>
      </c>
      <c r="E931" s="1" t="s">
        <v>7</v>
      </c>
      <c r="F931" s="3">
        <v>37774</v>
      </c>
      <c r="G931" s="3">
        <v>37774</v>
      </c>
      <c r="H931" s="3">
        <v>43698</v>
      </c>
      <c r="I931" s="3">
        <v>43996</v>
      </c>
    </row>
    <row r="932" spans="2:9" x14ac:dyDescent="0.25">
      <c r="B932" s="2" t="str">
        <f>"71211#"</f>
        <v>71211#</v>
      </c>
      <c r="C932" s="2" t="str">
        <f>"TWO-81"</f>
        <v>TWO-81</v>
      </c>
      <c r="D932" s="1" t="str">
        <f>"Otolift met Flexirail® model B"</f>
        <v>Otolift met Flexirail® model B</v>
      </c>
      <c r="E932" s="1" t="s">
        <v>9</v>
      </c>
      <c r="F932" s="3">
        <v>37775</v>
      </c>
      <c r="G932" s="3">
        <v>39115</v>
      </c>
      <c r="H932" s="3">
        <v>43606</v>
      </c>
      <c r="I932" s="3">
        <v>43972</v>
      </c>
    </row>
    <row r="933" spans="2:9" x14ac:dyDescent="0.25">
      <c r="B933" s="2" t="str">
        <f>"71212#"</f>
        <v>71212#</v>
      </c>
      <c r="C933" s="2" t="str">
        <f>"TWO-45"</f>
        <v>TWO-45</v>
      </c>
      <c r="D933" s="1" t="str">
        <f>"Hergebruik Flexirail® model B"</f>
        <v>Hergebruik Flexirail® model B</v>
      </c>
      <c r="E933" s="1" t="s">
        <v>9</v>
      </c>
      <c r="F933" s="3">
        <v>36557</v>
      </c>
      <c r="G933" s="3">
        <v>39365</v>
      </c>
      <c r="H933" s="3">
        <v>43782</v>
      </c>
      <c r="I933" s="3">
        <v>43615</v>
      </c>
    </row>
    <row r="934" spans="2:9" x14ac:dyDescent="0.25">
      <c r="B934" s="2" t="str">
        <f>"71431#"</f>
        <v>71431#</v>
      </c>
      <c r="C934" s="2" t="str">
        <f>"TWO-81"</f>
        <v>TWO-81</v>
      </c>
      <c r="D934" s="1" t="str">
        <f>"Otolift met Flexirail® model G"</f>
        <v>Otolift met Flexirail® model G</v>
      </c>
      <c r="E934" s="1" t="s">
        <v>7</v>
      </c>
      <c r="F934" s="3">
        <v>37799</v>
      </c>
      <c r="G934" s="3">
        <v>37799</v>
      </c>
      <c r="H934" s="3">
        <v>43762</v>
      </c>
      <c r="I934" s="3">
        <v>43543</v>
      </c>
    </row>
    <row r="935" spans="2:9" x14ac:dyDescent="0.25">
      <c r="B935" s="2" t="str">
        <f>"71547#"</f>
        <v>71547#</v>
      </c>
      <c r="C935" s="2" t="str">
        <f>"TWO-81"</f>
        <v>TWO-81</v>
      </c>
      <c r="D935" s="1" t="str">
        <f>"Otolift met Flexirail® model B"</f>
        <v>Otolift met Flexirail® model B</v>
      </c>
      <c r="E935" s="1" t="s">
        <v>9</v>
      </c>
      <c r="F935" s="3">
        <v>37806</v>
      </c>
      <c r="G935" s="3">
        <v>37806</v>
      </c>
      <c r="H935" s="3">
        <v>43557</v>
      </c>
      <c r="I935" s="3">
        <v>43788</v>
      </c>
    </row>
    <row r="936" spans="2:9" x14ac:dyDescent="0.25">
      <c r="B936" s="2" t="str">
        <f>"71676#"</f>
        <v>71676#</v>
      </c>
      <c r="C936" s="2" t="str">
        <f>"TWO-81-S"</f>
        <v>TWO-81-S</v>
      </c>
      <c r="D936" s="1" t="str">
        <f>"Otolift met Flexirail® model G"</f>
        <v>Otolift met Flexirail® model G</v>
      </c>
      <c r="E936" s="1" t="s">
        <v>7</v>
      </c>
      <c r="F936" s="3">
        <v>37798</v>
      </c>
      <c r="G936" s="3">
        <v>37798</v>
      </c>
      <c r="H936" s="3">
        <v>43573</v>
      </c>
      <c r="I936" s="3">
        <v>43939</v>
      </c>
    </row>
    <row r="937" spans="2:9" x14ac:dyDescent="0.25">
      <c r="B937" s="2" t="str">
        <f>"71714#"</f>
        <v>71714#</v>
      </c>
      <c r="C937" s="2" t="str">
        <f>"TWO-81"</f>
        <v>TWO-81</v>
      </c>
      <c r="D937" s="1" t="str">
        <f>"Otolift met Flexirail® model B"</f>
        <v>Otolift met Flexirail® model B</v>
      </c>
      <c r="E937" s="1" t="s">
        <v>9</v>
      </c>
      <c r="F937" s="3">
        <v>37798</v>
      </c>
      <c r="G937" s="3">
        <v>37798</v>
      </c>
      <c r="H937" s="3">
        <v>43339</v>
      </c>
      <c r="I937" s="3">
        <v>43550</v>
      </c>
    </row>
    <row r="938" spans="2:9" x14ac:dyDescent="0.25">
      <c r="B938" s="2" t="str">
        <f>"71716#"</f>
        <v>71716#</v>
      </c>
      <c r="C938" s="2" t="str">
        <f>"TWO-81-S"</f>
        <v>TWO-81-S</v>
      </c>
      <c r="D938" s="1" t="str">
        <f>"Otolift met Flexirail® model C"</f>
        <v>Otolift met Flexirail® model C</v>
      </c>
      <c r="E938" s="1" t="s">
        <v>9</v>
      </c>
      <c r="F938" s="3">
        <v>37809</v>
      </c>
      <c r="G938" s="3">
        <v>39553</v>
      </c>
      <c r="H938" s="3">
        <v>43593</v>
      </c>
      <c r="I938" s="3">
        <v>43959</v>
      </c>
    </row>
    <row r="939" spans="2:9" x14ac:dyDescent="0.25">
      <c r="B939" s="2" t="str">
        <f>"71717#"</f>
        <v>71717#</v>
      </c>
      <c r="C939" s="2" t="str">
        <f t="shared" ref="C939:C945" si="20">"TWO-81"</f>
        <v>TWO-81</v>
      </c>
      <c r="D939" s="1" t="str">
        <f>"Otolift met Flexirail® model B"</f>
        <v>Otolift met Flexirail® model B</v>
      </c>
      <c r="E939" s="1" t="s">
        <v>9</v>
      </c>
      <c r="F939" s="3">
        <v>37802</v>
      </c>
      <c r="G939" s="3">
        <v>37802</v>
      </c>
      <c r="H939" s="3">
        <v>43711</v>
      </c>
      <c r="I939" s="3">
        <v>43874</v>
      </c>
    </row>
    <row r="940" spans="2:9" x14ac:dyDescent="0.25">
      <c r="B940" s="2" t="str">
        <f>"71841#"</f>
        <v>71841#</v>
      </c>
      <c r="C940" s="2" t="str">
        <f t="shared" si="20"/>
        <v>TWO-81</v>
      </c>
      <c r="D940" s="1" t="str">
        <f>"Otolift met Flexirail® model A"</f>
        <v>Otolift met Flexirail® model A</v>
      </c>
      <c r="E940" s="1" t="s">
        <v>8</v>
      </c>
      <c r="F940" s="3">
        <v>37810</v>
      </c>
      <c r="G940" s="3">
        <v>40780</v>
      </c>
      <c r="H940" s="3">
        <v>43479</v>
      </c>
      <c r="I940" s="3">
        <v>43844</v>
      </c>
    </row>
    <row r="941" spans="2:9" x14ac:dyDescent="0.25">
      <c r="B941" s="2" t="str">
        <f>"72317#"</f>
        <v>72317#</v>
      </c>
      <c r="C941" s="2" t="str">
        <f t="shared" si="20"/>
        <v>TWO-81</v>
      </c>
      <c r="D941" s="1" t="str">
        <f>"Otolift met Flexirail® model B"</f>
        <v>Otolift met Flexirail® model B</v>
      </c>
      <c r="E941" s="1" t="s">
        <v>9</v>
      </c>
      <c r="F941" s="3">
        <v>37847</v>
      </c>
      <c r="G941" s="3">
        <v>37847</v>
      </c>
      <c r="H941" s="3">
        <v>43663</v>
      </c>
      <c r="I941" s="3">
        <v>43662</v>
      </c>
    </row>
    <row r="942" spans="2:9" x14ac:dyDescent="0.25">
      <c r="B942" s="2" t="str">
        <f>"72319#"</f>
        <v>72319#</v>
      </c>
      <c r="C942" s="2" t="str">
        <f t="shared" si="20"/>
        <v>TWO-81</v>
      </c>
      <c r="D942" s="1" t="str">
        <f>"Otolift met Flexirail® model B"</f>
        <v>Otolift met Flexirail® model B</v>
      </c>
      <c r="E942" s="1" t="s">
        <v>9</v>
      </c>
      <c r="F942" s="3">
        <v>37846</v>
      </c>
      <c r="G942" s="3">
        <v>39414</v>
      </c>
      <c r="H942" s="3">
        <v>42922</v>
      </c>
      <c r="I942" s="3">
        <v>43287</v>
      </c>
    </row>
    <row r="943" spans="2:9" x14ac:dyDescent="0.25">
      <c r="B943" s="2" t="str">
        <f>"72321#"</f>
        <v>72321#</v>
      </c>
      <c r="C943" s="2" t="str">
        <f t="shared" si="20"/>
        <v>TWO-81</v>
      </c>
      <c r="D943" s="1" t="str">
        <f>"Otolift met Flexirail® model B"</f>
        <v>Otolift met Flexirail® model B</v>
      </c>
      <c r="E943" s="1" t="s">
        <v>9</v>
      </c>
      <c r="F943" s="3">
        <v>37845</v>
      </c>
      <c r="G943" s="3">
        <v>37845</v>
      </c>
      <c r="H943" s="3">
        <v>43633</v>
      </c>
      <c r="I943" s="3">
        <v>43599</v>
      </c>
    </row>
    <row r="944" spans="2:9" x14ac:dyDescent="0.25">
      <c r="B944" s="2" t="str">
        <f>"72470#"</f>
        <v>72470#</v>
      </c>
      <c r="C944" s="2" t="str">
        <f t="shared" si="20"/>
        <v>TWO-81</v>
      </c>
      <c r="D944" s="1" t="str">
        <f>"Otolift met Flexirail® model B"</f>
        <v>Otolift met Flexirail® model B</v>
      </c>
      <c r="E944" s="1" t="s">
        <v>9</v>
      </c>
      <c r="F944" s="3">
        <v>37868</v>
      </c>
      <c r="G944" s="3">
        <v>41131</v>
      </c>
      <c r="H944" s="3">
        <v>43550</v>
      </c>
      <c r="I944" s="3">
        <v>43916</v>
      </c>
    </row>
    <row r="945" spans="2:9" x14ac:dyDescent="0.25">
      <c r="B945" s="2" t="str">
        <f>"72632#"</f>
        <v>72632#</v>
      </c>
      <c r="C945" s="2" t="str">
        <f t="shared" si="20"/>
        <v>TWO-81</v>
      </c>
      <c r="D945" s="1" t="str">
        <f>"Otolift met Flexirail® model B"</f>
        <v>Otolift met Flexirail® model B</v>
      </c>
      <c r="E945" s="1" t="s">
        <v>9</v>
      </c>
      <c r="F945" s="3">
        <v>37879</v>
      </c>
      <c r="G945" s="3">
        <v>37879</v>
      </c>
      <c r="H945" s="3">
        <v>43676</v>
      </c>
      <c r="I945" s="3">
        <v>43788</v>
      </c>
    </row>
    <row r="946" spans="2:9" x14ac:dyDescent="0.25">
      <c r="B946" s="2" t="str">
        <f>"72713#"</f>
        <v>72713#</v>
      </c>
      <c r="C946" s="2" t="str">
        <f>"TWO-85-S"</f>
        <v>TWO-85-S</v>
      </c>
      <c r="D946" s="1" t="str">
        <f>"Otolift met Flexirail® model G"</f>
        <v>Otolift met Flexirail® model G</v>
      </c>
      <c r="E946" s="1" t="s">
        <v>7</v>
      </c>
      <c r="F946" s="3">
        <v>37868</v>
      </c>
      <c r="G946" s="3">
        <v>41151</v>
      </c>
      <c r="H946" s="3">
        <v>43728</v>
      </c>
      <c r="I946" s="3">
        <v>43732</v>
      </c>
    </row>
    <row r="947" spans="2:9" x14ac:dyDescent="0.25">
      <c r="B947" s="2" t="str">
        <f>"72776#"</f>
        <v>72776#</v>
      </c>
      <c r="C947" s="2" t="str">
        <f>"TWO-81-S"</f>
        <v>TWO-81-S</v>
      </c>
      <c r="D947" s="1" t="str">
        <f>"Otolift met Flexirail® model G"</f>
        <v>Otolift met Flexirail® model G</v>
      </c>
      <c r="E947" s="1" t="s">
        <v>7</v>
      </c>
      <c r="F947" s="3">
        <v>37874</v>
      </c>
      <c r="G947" s="3">
        <v>37874</v>
      </c>
      <c r="H947" s="3">
        <v>43543</v>
      </c>
      <c r="I947" s="3">
        <v>43909</v>
      </c>
    </row>
    <row r="948" spans="2:9" x14ac:dyDescent="0.25">
      <c r="B948" s="2" t="str">
        <f>"72831#"</f>
        <v>72831#</v>
      </c>
      <c r="C948" s="2" t="str">
        <f>"TWO-81"</f>
        <v>TWO-81</v>
      </c>
      <c r="D948" s="1" t="str">
        <f>"Otolift met Flexirail® model G"</f>
        <v>Otolift met Flexirail® model G</v>
      </c>
      <c r="E948" s="1" t="s">
        <v>7</v>
      </c>
      <c r="F948" s="3">
        <v>37865</v>
      </c>
      <c r="G948" s="3">
        <v>37865</v>
      </c>
      <c r="H948" s="3">
        <v>43595</v>
      </c>
      <c r="I948" s="3">
        <v>43961</v>
      </c>
    </row>
    <row r="949" spans="2:9" x14ac:dyDescent="0.25">
      <c r="B949" s="2" t="str">
        <f>"72926#"</f>
        <v>72926#</v>
      </c>
      <c r="C949" s="2" t="str">
        <f>"TWO-81"</f>
        <v>TWO-81</v>
      </c>
      <c r="D949" s="1" t="str">
        <f>"Otolift met Flexirail® model B"</f>
        <v>Otolift met Flexirail® model B</v>
      </c>
      <c r="E949" s="1" t="s">
        <v>9</v>
      </c>
      <c r="F949" s="3">
        <v>37873</v>
      </c>
      <c r="G949" s="3">
        <v>40584</v>
      </c>
      <c r="H949" s="3">
        <v>43445</v>
      </c>
      <c r="I949" s="3">
        <v>43789</v>
      </c>
    </row>
    <row r="950" spans="2:9" x14ac:dyDescent="0.25">
      <c r="B950" s="2" t="str">
        <f>"72991A"</f>
        <v>72991A</v>
      </c>
      <c r="C950" s="2" t="str">
        <f>"TWO-81"</f>
        <v>TWO-81</v>
      </c>
      <c r="D950" s="1" t="str">
        <f>"Otolift met Flexirail® model A"</f>
        <v>Otolift met Flexirail® model A</v>
      </c>
      <c r="E950" s="1" t="s">
        <v>8</v>
      </c>
      <c r="F950" s="3">
        <v>37931</v>
      </c>
      <c r="G950" s="3">
        <v>37931</v>
      </c>
      <c r="H950" s="3">
        <v>43419</v>
      </c>
      <c r="I950" s="3">
        <v>43784</v>
      </c>
    </row>
    <row r="951" spans="2:9" x14ac:dyDescent="0.25">
      <c r="B951" s="2" t="str">
        <f>"72991B"</f>
        <v>72991B</v>
      </c>
      <c r="C951" s="2" t="str">
        <f>"TWO-81"</f>
        <v>TWO-81</v>
      </c>
      <c r="D951" s="1" t="str">
        <f>"Otolift met Flexirail® model G"</f>
        <v>Otolift met Flexirail® model G</v>
      </c>
      <c r="E951" s="1" t="s">
        <v>7</v>
      </c>
      <c r="F951" s="3">
        <v>37931</v>
      </c>
      <c r="G951" s="3">
        <v>37931</v>
      </c>
      <c r="H951" s="3">
        <v>43511</v>
      </c>
      <c r="I951" s="3">
        <v>43784</v>
      </c>
    </row>
    <row r="952" spans="2:9" x14ac:dyDescent="0.25">
      <c r="B952" s="2" t="str">
        <f>"73178#"</f>
        <v>73178#</v>
      </c>
      <c r="C952" s="2" t="str">
        <f>"TWO-81-S"</f>
        <v>TWO-81-S</v>
      </c>
      <c r="D952" s="1" t="str">
        <f>"Otolift met Flexirail® model G"</f>
        <v>Otolift met Flexirail® model G</v>
      </c>
      <c r="E952" s="1" t="s">
        <v>7</v>
      </c>
      <c r="F952" s="3">
        <v>37880</v>
      </c>
      <c r="G952" s="3">
        <v>37880</v>
      </c>
      <c r="H952" s="3">
        <v>43558</v>
      </c>
      <c r="I952" s="3">
        <v>43924</v>
      </c>
    </row>
    <row r="953" spans="2:9" x14ac:dyDescent="0.25">
      <c r="B953" s="2" t="str">
        <f>"73223#"</f>
        <v>73223#</v>
      </c>
      <c r="C953" s="2" t="str">
        <f>"TWO-85"</f>
        <v>TWO-85</v>
      </c>
      <c r="D953" s="1" t="str">
        <f>"Otolift met Flexirail® model A"</f>
        <v>Otolift met Flexirail® model A</v>
      </c>
      <c r="E953" s="1" t="s">
        <v>8</v>
      </c>
      <c r="F953" s="3">
        <v>37895</v>
      </c>
      <c r="G953" s="3">
        <v>41290</v>
      </c>
      <c r="H953" s="3">
        <v>43552</v>
      </c>
      <c r="I953" s="3">
        <v>43918</v>
      </c>
    </row>
    <row r="954" spans="2:9" x14ac:dyDescent="0.25">
      <c r="B954" s="2" t="str">
        <f>"73950#"</f>
        <v>73950#</v>
      </c>
      <c r="C954" s="2" t="str">
        <f>"TWO-85-S"</f>
        <v>TWO-85-S</v>
      </c>
      <c r="D954" s="1" t="str">
        <f>"Otolift met Flexirail® model G"</f>
        <v>Otolift met Flexirail® model G</v>
      </c>
      <c r="E954" s="1" t="s">
        <v>7</v>
      </c>
      <c r="F954" s="3">
        <v>37923</v>
      </c>
      <c r="G954" s="3">
        <v>40102</v>
      </c>
      <c r="H954" s="3">
        <v>43529</v>
      </c>
      <c r="I954" s="3">
        <v>43895</v>
      </c>
    </row>
    <row r="955" spans="2:9" x14ac:dyDescent="0.25">
      <c r="B955" s="2" t="str">
        <f>"74003#"</f>
        <v>74003#</v>
      </c>
      <c r="C955" s="2" t="str">
        <f>"TWO-L-87"</f>
        <v>TWO-L-87</v>
      </c>
      <c r="D955" s="1" t="str">
        <f>"Otolift met Flexirail® model C"</f>
        <v>Otolift met Flexirail® model C</v>
      </c>
      <c r="E955" s="1" t="s">
        <v>9</v>
      </c>
      <c r="F955" s="3">
        <v>37932</v>
      </c>
      <c r="G955" s="3">
        <v>40848</v>
      </c>
      <c r="H955" s="3">
        <v>43110</v>
      </c>
      <c r="I955" s="3">
        <v>43475</v>
      </c>
    </row>
    <row r="956" spans="2:9" x14ac:dyDescent="0.25">
      <c r="B956" s="2" t="str">
        <f>"74008A"</f>
        <v>74008A</v>
      </c>
      <c r="C956" s="2" t="str">
        <f>"TWO-86"</f>
        <v>TWO-86</v>
      </c>
      <c r="D956" s="1" t="str">
        <f>"Otolift met Flexirail® model G"</f>
        <v>Otolift met Flexirail® model G</v>
      </c>
      <c r="E956" s="1" t="s">
        <v>7</v>
      </c>
      <c r="F956" s="3">
        <v>38706</v>
      </c>
      <c r="G956" s="3">
        <v>40527</v>
      </c>
      <c r="H956" s="3">
        <v>43487</v>
      </c>
      <c r="I956" s="3">
        <v>43852</v>
      </c>
    </row>
    <row r="957" spans="2:9" x14ac:dyDescent="0.25">
      <c r="B957" s="2" t="str">
        <f>"74195#"</f>
        <v>74195#</v>
      </c>
      <c r="C957" s="2" t="str">
        <f>"TWO-81"</f>
        <v>TWO-81</v>
      </c>
      <c r="D957" s="1" t="str">
        <f>"Otolift met Flexirail® model B"</f>
        <v>Otolift met Flexirail® model B</v>
      </c>
      <c r="E957" s="1" t="s">
        <v>9</v>
      </c>
      <c r="F957" s="3">
        <v>37943</v>
      </c>
      <c r="G957" s="3">
        <v>40641</v>
      </c>
      <c r="H957" s="3">
        <v>43124</v>
      </c>
      <c r="I957" s="3">
        <v>43154</v>
      </c>
    </row>
    <row r="958" spans="2:9" x14ac:dyDescent="0.25">
      <c r="B958" s="2" t="str">
        <f>"74269#"</f>
        <v>74269#</v>
      </c>
      <c r="C958" s="2" t="str">
        <f>"TWO-81"</f>
        <v>TWO-81</v>
      </c>
      <c r="D958" s="1" t="str">
        <f>"Hergebruik Flexirail® model A"</f>
        <v>Hergebruik Flexirail® model A</v>
      </c>
      <c r="E958" s="1" t="s">
        <v>8</v>
      </c>
      <c r="F958" s="3">
        <v>37649</v>
      </c>
      <c r="G958" s="3">
        <v>39535</v>
      </c>
      <c r="H958" s="3">
        <v>43794</v>
      </c>
      <c r="I958" s="3">
        <v>43517</v>
      </c>
    </row>
    <row r="959" spans="2:9" x14ac:dyDescent="0.25">
      <c r="B959" s="2" t="str">
        <f>"74431#"</f>
        <v>74431#</v>
      </c>
      <c r="C959" s="2" t="str">
        <f>"TWO-81"</f>
        <v>TWO-81</v>
      </c>
      <c r="D959" s="1" t="str">
        <f>"Otolift met Flexirail® model C"</f>
        <v>Otolift met Flexirail® model C</v>
      </c>
      <c r="E959" s="1" t="s">
        <v>9</v>
      </c>
      <c r="F959" s="3">
        <v>37957</v>
      </c>
      <c r="G959" s="3">
        <v>38972</v>
      </c>
      <c r="H959" s="3">
        <v>43549</v>
      </c>
      <c r="I959" s="3">
        <v>43915</v>
      </c>
    </row>
    <row r="960" spans="2:9" x14ac:dyDescent="0.25">
      <c r="B960" s="2" t="str">
        <f>"74461#"</f>
        <v>74461#</v>
      </c>
      <c r="C960" s="2" t="str">
        <f>"TWO-81"</f>
        <v>TWO-81</v>
      </c>
      <c r="D960" s="1" t="str">
        <f>"Otolift met Flexirail® model G"</f>
        <v>Otolift met Flexirail® model G</v>
      </c>
      <c r="E960" s="1" t="s">
        <v>7</v>
      </c>
      <c r="F960" s="3">
        <v>38012</v>
      </c>
      <c r="G960" s="3">
        <v>41583</v>
      </c>
      <c r="H960" s="3">
        <v>43801</v>
      </c>
      <c r="I960" s="3">
        <v>43819</v>
      </c>
    </row>
    <row r="961" spans="2:9" x14ac:dyDescent="0.25">
      <c r="B961" s="2" t="str">
        <f>"74585#"</f>
        <v>74585#</v>
      </c>
      <c r="C961" s="2" t="str">
        <f>"TWO-81"</f>
        <v>TWO-81</v>
      </c>
      <c r="D961" s="1" t="str">
        <f>"Hergebruik Flexirail® model G"</f>
        <v>Hergebruik Flexirail® model G</v>
      </c>
      <c r="E961" s="1" t="s">
        <v>7</v>
      </c>
      <c r="F961" s="3">
        <v>38064</v>
      </c>
      <c r="G961" s="3">
        <v>41316</v>
      </c>
      <c r="H961" s="3">
        <v>43676</v>
      </c>
      <c r="I961" s="3">
        <v>43543</v>
      </c>
    </row>
    <row r="962" spans="2:9" x14ac:dyDescent="0.25">
      <c r="B962" s="2" t="str">
        <f>"74744#"</f>
        <v>74744#</v>
      </c>
      <c r="C962" s="2" t="str">
        <f>"TWO-81-S"</f>
        <v>TWO-81-S</v>
      </c>
      <c r="D962" s="1" t="str">
        <f>"Otolift met Flexirail® model G"</f>
        <v>Otolift met Flexirail® model G</v>
      </c>
      <c r="E962" s="1" t="s">
        <v>7</v>
      </c>
      <c r="F962" s="3">
        <v>37972</v>
      </c>
      <c r="G962" s="3">
        <v>37972</v>
      </c>
      <c r="H962" s="3">
        <v>43587</v>
      </c>
      <c r="I962" s="3">
        <v>43953</v>
      </c>
    </row>
    <row r="963" spans="2:9" x14ac:dyDescent="0.25">
      <c r="B963" s="2" t="str">
        <f>"74774A"</f>
        <v>74774A</v>
      </c>
      <c r="C963" s="2" t="str">
        <f>"TWO-81"</f>
        <v>TWO-81</v>
      </c>
      <c r="D963" s="1" t="str">
        <f>"Hergebruik Flexirail® model B"</f>
        <v>Hergebruik Flexirail® model B</v>
      </c>
      <c r="E963" s="1" t="s">
        <v>9</v>
      </c>
      <c r="F963" s="3">
        <v>38009</v>
      </c>
      <c r="G963" s="3">
        <v>38009</v>
      </c>
      <c r="H963" s="3">
        <v>43664</v>
      </c>
      <c r="I963" s="3">
        <v>43637</v>
      </c>
    </row>
    <row r="964" spans="2:9" x14ac:dyDescent="0.25">
      <c r="B964" s="2" t="str">
        <f>"74867#"</f>
        <v>74867#</v>
      </c>
      <c r="C964" s="2" t="str">
        <f>"TWO-52"</f>
        <v>TWO-52</v>
      </c>
      <c r="D964" s="1" t="str">
        <f>"Hergebruik Flexirail® model B"</f>
        <v>Hergebruik Flexirail® model B</v>
      </c>
      <c r="E964" s="1" t="s">
        <v>9</v>
      </c>
      <c r="F964" s="3">
        <v>37414</v>
      </c>
      <c r="G964" s="3">
        <v>37998</v>
      </c>
      <c r="H964" s="3">
        <v>43789</v>
      </c>
      <c r="I964" s="3">
        <v>43712</v>
      </c>
    </row>
    <row r="965" spans="2:9" x14ac:dyDescent="0.25">
      <c r="B965" s="2" t="str">
        <f>"107049#"</f>
        <v>107049#</v>
      </c>
      <c r="C965" s="2" t="str">
        <f>"TWO-G-87"</f>
        <v>TWO-G-87</v>
      </c>
      <c r="D965" s="1" t="str">
        <f>"Hergebruik Otolift TWO"</f>
        <v>Hergebruik Otolift TWO</v>
      </c>
      <c r="E965" s="1" t="s">
        <v>7</v>
      </c>
      <c r="F965" s="3">
        <v>40267</v>
      </c>
      <c r="G965" s="3">
        <v>42997</v>
      </c>
      <c r="H965" s="3">
        <v>43790</v>
      </c>
      <c r="I965" s="3">
        <v>43749</v>
      </c>
    </row>
    <row r="966" spans="2:9" x14ac:dyDescent="0.25">
      <c r="B966" s="2" t="str">
        <f>"75177#"</f>
        <v>75177#</v>
      </c>
      <c r="C966" s="2" t="str">
        <f>"TWO-47"</f>
        <v>TWO-47</v>
      </c>
      <c r="D966" s="1" t="str">
        <f>"Hergebruik Flexirail® model A"</f>
        <v>Hergebruik Flexirail® model A</v>
      </c>
      <c r="E966" s="1" t="s">
        <v>8</v>
      </c>
      <c r="F966" s="3">
        <v>36034</v>
      </c>
      <c r="G966" s="3">
        <v>39408</v>
      </c>
      <c r="H966" s="3">
        <v>43657</v>
      </c>
      <c r="I966" s="3">
        <v>43643</v>
      </c>
    </row>
    <row r="967" spans="2:9" x14ac:dyDescent="0.25">
      <c r="B967" s="2" t="str">
        <f>"75304#"</f>
        <v>75304#</v>
      </c>
      <c r="C967" s="2" t="str">
        <f>"TWO-85"</f>
        <v>TWO-85</v>
      </c>
      <c r="D967" s="1" t="str">
        <f>"Hergebruik Flexirail® model G"</f>
        <v>Hergebruik Flexirail® model G</v>
      </c>
      <c r="E967" s="1" t="s">
        <v>7</v>
      </c>
      <c r="F967" s="3">
        <v>37168</v>
      </c>
      <c r="G967" s="3">
        <v>40106</v>
      </c>
      <c r="H967" s="3">
        <v>43473</v>
      </c>
      <c r="I967" s="3">
        <v>43838</v>
      </c>
    </row>
    <row r="968" spans="2:9" x14ac:dyDescent="0.25">
      <c r="B968" s="2" t="str">
        <f>"75426#"</f>
        <v>75426#</v>
      </c>
      <c r="C968" s="2" t="str">
        <f>"TWO-86"</f>
        <v>TWO-86</v>
      </c>
      <c r="D968" s="1" t="str">
        <f>"Otolift met Flexirail® model G"</f>
        <v>Otolift met Flexirail® model G</v>
      </c>
      <c r="E968" s="1" t="s">
        <v>7</v>
      </c>
      <c r="F968" s="3">
        <v>38069</v>
      </c>
      <c r="G968" s="3">
        <v>41150</v>
      </c>
      <c r="H968" s="3">
        <v>43420</v>
      </c>
      <c r="I968" s="3">
        <v>43785</v>
      </c>
    </row>
    <row r="969" spans="2:9" x14ac:dyDescent="0.25">
      <c r="B969" s="2" t="str">
        <f>"75756#"</f>
        <v>75756#</v>
      </c>
      <c r="C969" s="2" t="str">
        <f>"TWO-81"</f>
        <v>TWO-81</v>
      </c>
      <c r="D969" s="1" t="str">
        <f>"Otolift met Flexirail® model C"</f>
        <v>Otolift met Flexirail® model C</v>
      </c>
      <c r="E969" s="1" t="s">
        <v>9</v>
      </c>
      <c r="F969" s="3">
        <v>38056</v>
      </c>
      <c r="G969" s="3">
        <v>41710</v>
      </c>
      <c r="H969" s="3">
        <v>43711</v>
      </c>
      <c r="I969" s="3">
        <v>43946</v>
      </c>
    </row>
    <row r="970" spans="2:9" x14ac:dyDescent="0.25">
      <c r="B970" s="2" t="str">
        <f>"107931#"</f>
        <v>107931#</v>
      </c>
      <c r="C970" s="2" t="str">
        <f>"TWO-G-87"</f>
        <v>TWO-G-87</v>
      </c>
      <c r="D970" s="1" t="str">
        <f>"Hergebruik Otolift TWO"</f>
        <v>Hergebruik Otolift TWO</v>
      </c>
      <c r="E970" s="1" t="s">
        <v>7</v>
      </c>
      <c r="F970" s="3">
        <v>40315</v>
      </c>
      <c r="G970" s="3">
        <v>43200</v>
      </c>
      <c r="H970" s="3">
        <v>43089</v>
      </c>
      <c r="I970" s="3">
        <v>43454</v>
      </c>
    </row>
    <row r="971" spans="2:9" x14ac:dyDescent="0.25">
      <c r="B971" s="2" t="str">
        <f>"76011#"</f>
        <v>76011#</v>
      </c>
      <c r="C971" s="2" t="str">
        <f>"TWO-81"</f>
        <v>TWO-81</v>
      </c>
      <c r="D971" s="1" t="str">
        <f>"Otolift met Flexirail® model A"</f>
        <v>Otolift met Flexirail® model A</v>
      </c>
      <c r="E971" s="1" t="s">
        <v>8</v>
      </c>
      <c r="F971" s="3">
        <v>38040</v>
      </c>
      <c r="G971" s="3">
        <v>38952</v>
      </c>
      <c r="H971" s="3">
        <v>43803</v>
      </c>
      <c r="I971" s="3">
        <v>43490</v>
      </c>
    </row>
    <row r="972" spans="2:9" x14ac:dyDescent="0.25">
      <c r="B972" s="2" t="str">
        <f>"76117#"</f>
        <v>76117#</v>
      </c>
      <c r="C972" s="2" t="str">
        <f>"TWO-85"</f>
        <v>TWO-85</v>
      </c>
      <c r="D972" s="1" t="str">
        <f>"Otolift met Flexirail® model A"</f>
        <v>Otolift met Flexirail® model A</v>
      </c>
      <c r="E972" s="1" t="s">
        <v>8</v>
      </c>
      <c r="F972" s="3">
        <v>38048</v>
      </c>
      <c r="G972" s="3">
        <v>40823</v>
      </c>
      <c r="H972" s="3">
        <v>43483</v>
      </c>
      <c r="I972" s="3">
        <v>43848</v>
      </c>
    </row>
    <row r="973" spans="2:9" x14ac:dyDescent="0.25">
      <c r="B973" s="2" t="str">
        <f>"76210#"</f>
        <v>76210#</v>
      </c>
      <c r="C973" s="2" t="str">
        <f>"TWO-81"</f>
        <v>TWO-81</v>
      </c>
      <c r="D973" s="1" t="str">
        <f>"Hergebruik Flexirail® model B"</f>
        <v>Hergebruik Flexirail® model B</v>
      </c>
      <c r="E973" s="1" t="s">
        <v>9</v>
      </c>
      <c r="F973" s="3">
        <v>37973</v>
      </c>
      <c r="G973" s="3">
        <v>38048</v>
      </c>
      <c r="H973" s="3">
        <v>43656</v>
      </c>
      <c r="I973" s="3">
        <v>43624</v>
      </c>
    </row>
    <row r="974" spans="2:9" x14ac:dyDescent="0.25">
      <c r="B974" s="2" t="str">
        <f>"76311#"</f>
        <v>76311#</v>
      </c>
      <c r="C974" s="2" t="str">
        <f>"TWO-81"</f>
        <v>TWO-81</v>
      </c>
      <c r="D974" s="1" t="str">
        <f>"Otolift met Flexirail® model A"</f>
        <v>Otolift met Flexirail® model A</v>
      </c>
      <c r="E974" s="1" t="s">
        <v>8</v>
      </c>
      <c r="F974" s="3">
        <v>38131</v>
      </c>
      <c r="G974" s="3">
        <v>41689</v>
      </c>
      <c r="H974" s="3">
        <v>43556</v>
      </c>
      <c r="I974" s="3">
        <v>43922</v>
      </c>
    </row>
    <row r="975" spans="2:9" x14ac:dyDescent="0.25">
      <c r="B975" s="2" t="str">
        <f>"76321#"</f>
        <v>76321#</v>
      </c>
      <c r="C975" s="2" t="str">
        <f>"TWO-42"</f>
        <v>TWO-42</v>
      </c>
      <c r="D975" s="1" t="str">
        <f>"Hergebruik Flexirail® model B"</f>
        <v>Hergebruik Flexirail® model B</v>
      </c>
      <c r="E975" s="1" t="s">
        <v>9</v>
      </c>
      <c r="F975" s="3">
        <v>36335</v>
      </c>
      <c r="G975" s="3">
        <v>38868</v>
      </c>
      <c r="H975" s="3">
        <v>43749</v>
      </c>
      <c r="I975" s="3">
        <v>43496</v>
      </c>
    </row>
    <row r="976" spans="2:9" x14ac:dyDescent="0.25">
      <c r="B976" s="2" t="str">
        <f>"76357#"</f>
        <v>76357#</v>
      </c>
      <c r="C976" s="2" t="str">
        <f>"TWO-81-S"</f>
        <v>TWO-81-S</v>
      </c>
      <c r="D976" s="1" t="str">
        <f>"Otolift met Flexirail® model G"</f>
        <v>Otolift met Flexirail® model G</v>
      </c>
      <c r="E976" s="1" t="s">
        <v>7</v>
      </c>
      <c r="F976" s="3">
        <v>38069</v>
      </c>
      <c r="G976" s="3">
        <v>38069</v>
      </c>
      <c r="H976" s="3">
        <v>43468</v>
      </c>
      <c r="I976" s="3">
        <v>43833</v>
      </c>
    </row>
    <row r="977" spans="2:9" x14ac:dyDescent="0.25">
      <c r="B977" s="2" t="str">
        <f>"76358#"</f>
        <v>76358#</v>
      </c>
      <c r="C977" s="2" t="str">
        <f>"TWO-81"</f>
        <v>TWO-81</v>
      </c>
      <c r="D977" s="1" t="str">
        <f>"Otolift met Flexirail® model A"</f>
        <v>Otolift met Flexirail® model A</v>
      </c>
      <c r="E977" s="1" t="s">
        <v>8</v>
      </c>
      <c r="F977" s="3">
        <v>38058</v>
      </c>
      <c r="G977" s="3">
        <v>38764</v>
      </c>
      <c r="H977" s="3">
        <v>43609</v>
      </c>
      <c r="I977" s="3">
        <v>43975</v>
      </c>
    </row>
    <row r="978" spans="2:9" x14ac:dyDescent="0.25">
      <c r="B978" s="2" t="str">
        <f>"76447#"</f>
        <v>76447#</v>
      </c>
      <c r="C978" s="2" t="str">
        <f>"TWO-85"</f>
        <v>TWO-85</v>
      </c>
      <c r="D978" s="1" t="str">
        <f>"Otolift met Flexirail® model G"</f>
        <v>Otolift met Flexirail® model G</v>
      </c>
      <c r="E978" s="1" t="s">
        <v>7</v>
      </c>
      <c r="F978" s="3">
        <v>38061</v>
      </c>
      <c r="G978" s="3">
        <v>41080</v>
      </c>
      <c r="H978" s="3">
        <v>43497</v>
      </c>
      <c r="I978" s="3">
        <v>43706</v>
      </c>
    </row>
    <row r="979" spans="2:9" x14ac:dyDescent="0.25">
      <c r="B979" s="2" t="str">
        <f>"76458#"</f>
        <v>76458#</v>
      </c>
      <c r="C979" s="2" t="str">
        <f>"TWO-B-87"</f>
        <v>TWO-B-87</v>
      </c>
      <c r="D979" s="1" t="str">
        <f>"Otolift met Flexirail® model A"</f>
        <v>Otolift met Flexirail® model A</v>
      </c>
      <c r="E979" s="1" t="s">
        <v>8</v>
      </c>
      <c r="F979" s="3">
        <v>38329</v>
      </c>
      <c r="G979" s="3">
        <v>41673</v>
      </c>
      <c r="H979" s="3">
        <v>43731</v>
      </c>
      <c r="I979" s="3">
        <v>43648</v>
      </c>
    </row>
    <row r="980" spans="2:9" x14ac:dyDescent="0.25">
      <c r="B980" s="2" t="str">
        <f>"76478#"</f>
        <v>76478#</v>
      </c>
      <c r="C980" s="2" t="str">
        <f>"TWO-81"</f>
        <v>TWO-81</v>
      </c>
      <c r="D980" s="1" t="str">
        <f>"Otolift met Flexirail® model B"</f>
        <v>Otolift met Flexirail® model B</v>
      </c>
      <c r="E980" s="1" t="s">
        <v>9</v>
      </c>
      <c r="F980" s="3">
        <v>38117</v>
      </c>
      <c r="G980" s="3">
        <v>40889</v>
      </c>
      <c r="H980" s="3">
        <v>43433</v>
      </c>
      <c r="I980" s="3">
        <v>43798</v>
      </c>
    </row>
    <row r="981" spans="2:9" x14ac:dyDescent="0.25">
      <c r="B981" s="2" t="str">
        <f>"76480#"</f>
        <v>76480#</v>
      </c>
      <c r="C981" s="2" t="str">
        <f>"TWO-105"</f>
        <v>TWO-105</v>
      </c>
      <c r="D981" s="1" t="str">
        <f>"Otolift met Flexirail® model A"</f>
        <v>Otolift met Flexirail® model A</v>
      </c>
      <c r="E981" s="1" t="s">
        <v>8</v>
      </c>
      <c r="F981" s="3">
        <v>38069</v>
      </c>
      <c r="G981" s="3">
        <v>40630</v>
      </c>
      <c r="H981" s="3">
        <v>43733</v>
      </c>
      <c r="I981" s="3">
        <v>43719</v>
      </c>
    </row>
    <row r="982" spans="2:9" x14ac:dyDescent="0.25">
      <c r="B982" s="2" t="str">
        <f>"76565#"</f>
        <v>76565#</v>
      </c>
      <c r="C982" s="2" t="str">
        <f>"TWO-86"</f>
        <v>TWO-86</v>
      </c>
      <c r="D982" s="1" t="str">
        <f>"Otolift met Flexirail® model G"</f>
        <v>Otolift met Flexirail® model G</v>
      </c>
      <c r="E982" s="1" t="s">
        <v>7</v>
      </c>
      <c r="F982" s="3">
        <v>38153</v>
      </c>
      <c r="G982" s="3">
        <v>41507</v>
      </c>
      <c r="H982" s="3">
        <v>43809</v>
      </c>
      <c r="I982" s="3">
        <v>43477</v>
      </c>
    </row>
    <row r="983" spans="2:9" x14ac:dyDescent="0.25">
      <c r="B983" s="2" t="str">
        <f>"76574#"</f>
        <v>76574#</v>
      </c>
      <c r="C983" s="2" t="str">
        <f>"TWO-81"</f>
        <v>TWO-81</v>
      </c>
      <c r="D983" s="1" t="str">
        <f>"Otolift met Flexirail® model G"</f>
        <v>Otolift met Flexirail® model G</v>
      </c>
      <c r="E983" s="1" t="s">
        <v>7</v>
      </c>
      <c r="F983" s="3">
        <v>38075</v>
      </c>
      <c r="G983" s="3">
        <v>38075</v>
      </c>
      <c r="H983" s="3">
        <v>43457</v>
      </c>
      <c r="I983" s="3">
        <v>43546</v>
      </c>
    </row>
    <row r="984" spans="2:9" x14ac:dyDescent="0.25">
      <c r="B984" s="2" t="str">
        <f>"76598#"</f>
        <v>76598#</v>
      </c>
      <c r="C984" s="2" t="str">
        <f>"TWO-85"</f>
        <v>TWO-85</v>
      </c>
      <c r="D984" s="1" t="str">
        <f>"Otolift met Flexirail® model G"</f>
        <v>Otolift met Flexirail® model G</v>
      </c>
      <c r="E984" s="1" t="s">
        <v>7</v>
      </c>
      <c r="F984" s="3">
        <v>38148</v>
      </c>
      <c r="G984" s="3">
        <v>41157</v>
      </c>
      <c r="H984" s="3">
        <v>43587</v>
      </c>
      <c r="I984" s="3">
        <v>43953</v>
      </c>
    </row>
    <row r="985" spans="2:9" x14ac:dyDescent="0.25">
      <c r="B985" s="2" t="str">
        <f>"76606#"</f>
        <v>76606#</v>
      </c>
      <c r="C985" s="2" t="str">
        <f>"TWO-81"</f>
        <v>TWO-81</v>
      </c>
      <c r="D985" s="1" t="str">
        <f>"Otolift met Flexirail® model C"</f>
        <v>Otolift met Flexirail® model C</v>
      </c>
      <c r="E985" s="1" t="s">
        <v>9</v>
      </c>
      <c r="F985" s="3">
        <v>38071</v>
      </c>
      <c r="G985" s="3">
        <v>40518</v>
      </c>
      <c r="H985" s="3">
        <v>43406</v>
      </c>
      <c r="I985" s="3">
        <v>43771</v>
      </c>
    </row>
    <row r="986" spans="2:9" x14ac:dyDescent="0.25">
      <c r="B986" s="2" t="str">
        <f>"NL19-002016"</f>
        <v>NL19-002016</v>
      </c>
      <c r="C986" s="2" t="str">
        <f>"MOD-G-6040-1"</f>
        <v>MOD-G-6040-1</v>
      </c>
      <c r="D986" s="1" t="str">
        <f>"Traplift 2 bochten"</f>
        <v>Traplift 2 bochten</v>
      </c>
      <c r="E986" s="1" t="s">
        <v>7</v>
      </c>
      <c r="F986" s="3">
        <v>43726</v>
      </c>
      <c r="G986" s="3">
        <v>43726</v>
      </c>
      <c r="H986" s="3" t="str">
        <f>""</f>
        <v/>
      </c>
      <c r="I986" s="3" t="str">
        <f>""</f>
        <v/>
      </c>
    </row>
    <row r="987" spans="2:9" x14ac:dyDescent="0.25">
      <c r="B987" s="2" t="str">
        <f>"76830#"</f>
        <v>76830#</v>
      </c>
      <c r="C987" s="2" t="str">
        <f>"TWO-B-87"</f>
        <v>TWO-B-87</v>
      </c>
      <c r="D987" s="1" t="str">
        <f>"Otolift met Flexirail® model B"</f>
        <v>Otolift met Flexirail® model B</v>
      </c>
      <c r="E987" s="1" t="s">
        <v>9</v>
      </c>
      <c r="F987" s="3">
        <v>38119</v>
      </c>
      <c r="G987" s="3">
        <v>41683</v>
      </c>
      <c r="H987" s="3">
        <v>43473</v>
      </c>
      <c r="I987" s="3">
        <v>43838</v>
      </c>
    </row>
    <row r="988" spans="2:9" x14ac:dyDescent="0.25">
      <c r="B988" s="2" t="str">
        <f>"108785#"</f>
        <v>108785#</v>
      </c>
      <c r="C988" s="2" t="str">
        <f>"TWO-G-87"</f>
        <v>TWO-G-87</v>
      </c>
      <c r="D988" s="1" t="str">
        <f>"Hergebruik Otolift TWO"</f>
        <v>Hergebruik Otolift TWO</v>
      </c>
      <c r="E988" s="1" t="s">
        <v>7</v>
      </c>
      <c r="F988" s="3">
        <v>40423</v>
      </c>
      <c r="G988" s="3">
        <v>43070</v>
      </c>
      <c r="H988" s="3">
        <v>42804</v>
      </c>
      <c r="I988" s="3">
        <v>42817</v>
      </c>
    </row>
    <row r="989" spans="2:9" x14ac:dyDescent="0.25">
      <c r="B989" s="2" t="str">
        <f>"76936#"</f>
        <v>76936#</v>
      </c>
      <c r="C989" s="2" t="str">
        <f>"TWO-81"</f>
        <v>TWO-81</v>
      </c>
      <c r="D989" s="1" t="str">
        <f>"Otolift met Flexirail® model A"</f>
        <v>Otolift met Flexirail® model A</v>
      </c>
      <c r="E989" s="1" t="s">
        <v>8</v>
      </c>
      <c r="F989" s="3">
        <v>38098</v>
      </c>
      <c r="G989" s="3">
        <v>38098</v>
      </c>
      <c r="H989" s="3">
        <v>43649</v>
      </c>
      <c r="I989" s="3">
        <v>43523</v>
      </c>
    </row>
    <row r="990" spans="2:9" x14ac:dyDescent="0.25">
      <c r="B990" s="2" t="str">
        <f>"77030#"</f>
        <v>77030#</v>
      </c>
      <c r="C990" s="2" t="str">
        <f>"TWO-85"</f>
        <v>TWO-85</v>
      </c>
      <c r="D990" s="1" t="str">
        <f>"Otolift met Flexirail® model G"</f>
        <v>Otolift met Flexirail® model G</v>
      </c>
      <c r="E990" s="1" t="s">
        <v>7</v>
      </c>
      <c r="F990" s="3">
        <v>38083</v>
      </c>
      <c r="G990" s="3">
        <v>40582</v>
      </c>
      <c r="H990" s="3">
        <v>43406</v>
      </c>
      <c r="I990" s="3">
        <v>43771</v>
      </c>
    </row>
    <row r="991" spans="2:9" x14ac:dyDescent="0.25">
      <c r="B991" s="2" t="str">
        <f>"77086#"</f>
        <v>77086#</v>
      </c>
      <c r="C991" s="2" t="str">
        <f>"TWO-81"</f>
        <v>TWO-81</v>
      </c>
      <c r="D991" s="1" t="str">
        <f>"Otolift met Flexirail® model B"</f>
        <v>Otolift met Flexirail® model B</v>
      </c>
      <c r="E991" s="1" t="s">
        <v>9</v>
      </c>
      <c r="F991" s="3">
        <v>38093</v>
      </c>
      <c r="G991" s="3">
        <v>38093</v>
      </c>
      <c r="H991" s="3">
        <v>43658</v>
      </c>
      <c r="I991" s="3">
        <v>43476</v>
      </c>
    </row>
    <row r="992" spans="2:9" x14ac:dyDescent="0.25">
      <c r="B992" s="2" t="str">
        <f>"77125#"</f>
        <v>77125#</v>
      </c>
      <c r="C992" s="2" t="str">
        <f>"TWO-81-S"</f>
        <v>TWO-81-S</v>
      </c>
      <c r="D992" s="1" t="str">
        <f>"Otolift met Flexirail® model G"</f>
        <v>Otolift met Flexirail® model G</v>
      </c>
      <c r="E992" s="1" t="s">
        <v>7</v>
      </c>
      <c r="F992" s="3">
        <v>38174</v>
      </c>
      <c r="G992" s="3">
        <v>38174</v>
      </c>
      <c r="H992" s="3">
        <v>43596</v>
      </c>
      <c r="I992" s="3">
        <v>43643</v>
      </c>
    </row>
    <row r="993" spans="2:9" x14ac:dyDescent="0.25">
      <c r="B993" s="2" t="str">
        <f>"77329#"</f>
        <v>77329#</v>
      </c>
      <c r="C993" s="2" t="str">
        <f>"TWO-81"</f>
        <v>TWO-81</v>
      </c>
      <c r="D993" s="1" t="str">
        <f>"Otolift met Flexirail® model G"</f>
        <v>Otolift met Flexirail® model G</v>
      </c>
      <c r="E993" s="1" t="s">
        <v>7</v>
      </c>
      <c r="F993" s="3">
        <v>38133</v>
      </c>
      <c r="G993" s="3">
        <v>39344</v>
      </c>
      <c r="H993" s="3">
        <v>43500</v>
      </c>
      <c r="I993" s="3">
        <v>43865</v>
      </c>
    </row>
    <row r="994" spans="2:9" x14ac:dyDescent="0.25">
      <c r="B994" s="2" t="str">
        <f>"77330#"</f>
        <v>77330#</v>
      </c>
      <c r="C994" s="2" t="str">
        <f>"TWO-81-S"</f>
        <v>TWO-81-S</v>
      </c>
      <c r="D994" s="1" t="str">
        <f>"Otolift met Flexirail® model G"</f>
        <v>Otolift met Flexirail® model G</v>
      </c>
      <c r="E994" s="1" t="s">
        <v>7</v>
      </c>
      <c r="F994" s="3">
        <v>38106</v>
      </c>
      <c r="G994" s="3">
        <v>38106</v>
      </c>
      <c r="H994" s="3">
        <v>43671</v>
      </c>
      <c r="I994" s="3">
        <v>43539</v>
      </c>
    </row>
    <row r="995" spans="2:9" x14ac:dyDescent="0.25">
      <c r="B995" s="2" t="str">
        <f>"77331#"</f>
        <v>77331#</v>
      </c>
      <c r="C995" s="2" t="str">
        <f>"TWO-81"</f>
        <v>TWO-81</v>
      </c>
      <c r="D995" s="1" t="str">
        <f>"Hergebruik Flexirail® model B"</f>
        <v>Hergebruik Flexirail® model B</v>
      </c>
      <c r="E995" s="1" t="s">
        <v>9</v>
      </c>
      <c r="F995" s="3">
        <v>37868</v>
      </c>
      <c r="G995" s="3">
        <v>38117</v>
      </c>
      <c r="H995" s="3">
        <v>43795</v>
      </c>
      <c r="I995" s="3">
        <v>43648</v>
      </c>
    </row>
    <row r="996" spans="2:9" x14ac:dyDescent="0.25">
      <c r="B996" s="2" t="str">
        <f>"77332#"</f>
        <v>77332#</v>
      </c>
      <c r="C996" s="2" t="str">
        <f>"TWO-81-S"</f>
        <v>TWO-81-S</v>
      </c>
      <c r="D996" s="1" t="str">
        <f>"Otolift met Flexirail® model G"</f>
        <v>Otolift met Flexirail® model G</v>
      </c>
      <c r="E996" s="1" t="s">
        <v>7</v>
      </c>
      <c r="F996" s="3">
        <v>38114</v>
      </c>
      <c r="G996" s="3">
        <v>38114</v>
      </c>
      <c r="H996" s="3">
        <v>43672</v>
      </c>
      <c r="I996" s="3">
        <v>43468</v>
      </c>
    </row>
    <row r="997" spans="2:9" x14ac:dyDescent="0.25">
      <c r="B997" s="2" t="str">
        <f>"77345#"</f>
        <v>77345#</v>
      </c>
      <c r="C997" s="2" t="str">
        <f>"TWO-81-S"</f>
        <v>TWO-81-S</v>
      </c>
      <c r="D997" s="1" t="str">
        <f>"Hergebruik Flexirail® model G"</f>
        <v>Hergebruik Flexirail® model G</v>
      </c>
      <c r="E997" s="1" t="s">
        <v>7</v>
      </c>
      <c r="F997" s="3">
        <v>38012</v>
      </c>
      <c r="G997" s="3">
        <v>38110</v>
      </c>
      <c r="H997" s="3">
        <v>43671</v>
      </c>
      <c r="I997" s="3">
        <v>43652</v>
      </c>
    </row>
    <row r="998" spans="2:9" x14ac:dyDescent="0.25">
      <c r="B998" s="2" t="str">
        <f>"77508#"</f>
        <v>77508#</v>
      </c>
      <c r="C998" s="2" t="str">
        <f>"TWO-81"</f>
        <v>TWO-81</v>
      </c>
      <c r="D998" s="1" t="str">
        <f>"Otolift met Flexirail® model G"</f>
        <v>Otolift met Flexirail® model G</v>
      </c>
      <c r="E998" s="1" t="s">
        <v>7</v>
      </c>
      <c r="F998" s="3">
        <v>38118</v>
      </c>
      <c r="G998" s="3">
        <v>38118</v>
      </c>
      <c r="H998" s="3">
        <v>42913</v>
      </c>
      <c r="I998" s="3">
        <v>43278</v>
      </c>
    </row>
    <row r="999" spans="2:9" x14ac:dyDescent="0.25">
      <c r="B999" s="2" t="str">
        <f>"77529#"</f>
        <v>77529#</v>
      </c>
      <c r="C999" s="2" t="str">
        <f>"TWO-90"</f>
        <v>TWO-90</v>
      </c>
      <c r="D999" s="1" t="str">
        <f>"Otolift met Flexirail® model A"</f>
        <v>Otolift met Flexirail® model A</v>
      </c>
      <c r="E999" s="1" t="s">
        <v>8</v>
      </c>
      <c r="F999" s="3">
        <v>38124</v>
      </c>
      <c r="G999" s="3">
        <v>38124</v>
      </c>
      <c r="H999" s="3">
        <v>43573</v>
      </c>
      <c r="I999" s="3">
        <v>43939</v>
      </c>
    </row>
    <row r="1000" spans="2:9" x14ac:dyDescent="0.25">
      <c r="B1000" s="2" t="str">
        <f>"77530#"</f>
        <v>77530#</v>
      </c>
      <c r="C1000" s="2" t="str">
        <f>"TWO-86"</f>
        <v>TWO-86</v>
      </c>
      <c r="D1000" s="1" t="str">
        <f>"Otolift met Flexirail® model G"</f>
        <v>Otolift met Flexirail® model G</v>
      </c>
      <c r="E1000" s="1" t="s">
        <v>7</v>
      </c>
      <c r="F1000" s="3">
        <v>38117</v>
      </c>
      <c r="G1000" s="3">
        <v>40801</v>
      </c>
      <c r="H1000" s="3">
        <v>43601</v>
      </c>
      <c r="I1000" s="3">
        <v>43967</v>
      </c>
    </row>
    <row r="1001" spans="2:9" x14ac:dyDescent="0.25">
      <c r="B1001" s="2" t="str">
        <f>"78170#"</f>
        <v>78170#</v>
      </c>
      <c r="C1001" s="2" t="str">
        <f>"TWO-81"</f>
        <v>TWO-81</v>
      </c>
      <c r="D1001" s="1" t="str">
        <f>"Otolift met Flexirail® model A"</f>
        <v>Otolift met Flexirail® model A</v>
      </c>
      <c r="E1001" s="1" t="s">
        <v>8</v>
      </c>
      <c r="F1001" s="3">
        <v>38169</v>
      </c>
      <c r="G1001" s="3">
        <v>38169</v>
      </c>
      <c r="H1001" s="3">
        <v>43703</v>
      </c>
      <c r="I1001" s="3">
        <v>43855</v>
      </c>
    </row>
    <row r="1002" spans="2:9" x14ac:dyDescent="0.25">
      <c r="B1002" s="2" t="str">
        <f>"78189#"</f>
        <v>78189#</v>
      </c>
      <c r="C1002" s="2" t="str">
        <f>"TWO-81"</f>
        <v>TWO-81</v>
      </c>
      <c r="D1002" s="1" t="str">
        <f>"Otolift met Flexirail® model A"</f>
        <v>Otolift met Flexirail® model A</v>
      </c>
      <c r="E1002" s="1" t="s">
        <v>8</v>
      </c>
      <c r="F1002" s="3">
        <v>38169</v>
      </c>
      <c r="G1002" s="3">
        <v>41340</v>
      </c>
      <c r="H1002" s="3">
        <v>43594</v>
      </c>
      <c r="I1002" s="3">
        <v>43960</v>
      </c>
    </row>
    <row r="1003" spans="2:9" x14ac:dyDescent="0.25">
      <c r="B1003" s="2" t="str">
        <f>"78523#"</f>
        <v>78523#</v>
      </c>
      <c r="C1003" s="2" t="str">
        <f>"TWO-85"</f>
        <v>TWO-85</v>
      </c>
      <c r="D1003" s="1" t="str">
        <f>"Otolift met Flexirail® model G"</f>
        <v>Otolift met Flexirail® model G</v>
      </c>
      <c r="E1003" s="1" t="s">
        <v>7</v>
      </c>
      <c r="F1003" s="3">
        <v>38208</v>
      </c>
      <c r="G1003" s="3">
        <v>39857</v>
      </c>
      <c r="H1003" s="3">
        <v>43672</v>
      </c>
      <c r="I1003" s="3">
        <v>43637</v>
      </c>
    </row>
    <row r="1004" spans="2:9" x14ac:dyDescent="0.25">
      <c r="B1004" s="2" t="str">
        <f>"78657#"</f>
        <v>78657#</v>
      </c>
      <c r="C1004" s="2" t="str">
        <f>"TWO-81"</f>
        <v>TWO-81</v>
      </c>
      <c r="D1004" s="1" t="str">
        <f>"Otolift met Flexirail® model G"</f>
        <v>Otolift met Flexirail® model G</v>
      </c>
      <c r="E1004" s="1" t="s">
        <v>7</v>
      </c>
      <c r="F1004" s="3">
        <v>38210</v>
      </c>
      <c r="G1004" s="3">
        <v>38210</v>
      </c>
      <c r="H1004" s="3">
        <v>43431</v>
      </c>
      <c r="I1004" s="3">
        <v>43796</v>
      </c>
    </row>
    <row r="1005" spans="2:9" x14ac:dyDescent="0.25">
      <c r="B1005" s="2" t="str">
        <f>"78658A"</f>
        <v>78658A</v>
      </c>
      <c r="C1005" s="2" t="str">
        <f>"TWO-41"</f>
        <v>TWO-41</v>
      </c>
      <c r="D1005" s="1" t="str">
        <f>"Hergebruik Flexirail® model B"</f>
        <v>Hergebruik Flexirail® model B</v>
      </c>
      <c r="E1005" s="1" t="s">
        <v>9</v>
      </c>
      <c r="F1005" s="3">
        <v>35949</v>
      </c>
      <c r="G1005" s="3">
        <v>38209</v>
      </c>
      <c r="H1005" s="3">
        <v>43565</v>
      </c>
      <c r="I1005" s="3">
        <v>43931</v>
      </c>
    </row>
    <row r="1006" spans="2:9" x14ac:dyDescent="0.25">
      <c r="B1006" s="2" t="str">
        <f>"78658B"</f>
        <v>78658B</v>
      </c>
      <c r="C1006" s="2" t="str">
        <f>"TWO-42-S"</f>
        <v>TWO-42-S</v>
      </c>
      <c r="D1006" s="1" t="str">
        <f>"Hergebruik Flexirail® model C"</f>
        <v>Hergebruik Flexirail® model C</v>
      </c>
      <c r="E1006" s="1" t="s">
        <v>9</v>
      </c>
      <c r="F1006" s="3">
        <v>36270</v>
      </c>
      <c r="G1006" s="3">
        <v>38209</v>
      </c>
      <c r="H1006" s="3">
        <v>43565</v>
      </c>
      <c r="I1006" s="3">
        <v>43931</v>
      </c>
    </row>
    <row r="1007" spans="2:9" x14ac:dyDescent="0.25">
      <c r="B1007" s="2" t="str">
        <f>"109101#"</f>
        <v>109101#</v>
      </c>
      <c r="C1007" s="2" t="str">
        <f>"TWO-G-87"</f>
        <v>TWO-G-87</v>
      </c>
      <c r="D1007" s="1" t="str">
        <f>"Hergebruik Otolift TWO"</f>
        <v>Hergebruik Otolift TWO</v>
      </c>
      <c r="E1007" s="1" t="s">
        <v>7</v>
      </c>
      <c r="F1007" s="3">
        <v>40428</v>
      </c>
      <c r="G1007" s="3">
        <v>42037</v>
      </c>
      <c r="H1007" s="3">
        <v>43644</v>
      </c>
      <c r="I1007" s="3">
        <v>43517</v>
      </c>
    </row>
    <row r="1008" spans="2:9" x14ac:dyDescent="0.25">
      <c r="B1008" s="2" t="str">
        <f>"78811#"</f>
        <v>78811#</v>
      </c>
      <c r="C1008" s="2" t="str">
        <f>"TWO-45"</f>
        <v>TWO-45</v>
      </c>
      <c r="D1008" s="1" t="str">
        <f>"Hergebruik Flexirail® model B"</f>
        <v>Hergebruik Flexirail® model B</v>
      </c>
      <c r="E1008" s="1" t="s">
        <v>9</v>
      </c>
      <c r="F1008" s="3">
        <v>36665</v>
      </c>
      <c r="G1008" s="3">
        <v>38797</v>
      </c>
      <c r="H1008" s="3">
        <v>43522</v>
      </c>
      <c r="I1008" s="3">
        <v>43887</v>
      </c>
    </row>
    <row r="1009" spans="2:9" x14ac:dyDescent="0.25">
      <c r="B1009" s="2" t="str">
        <f>"78919#"</f>
        <v>78919#</v>
      </c>
      <c r="C1009" s="2" t="str">
        <f>"TWO-81"</f>
        <v>TWO-81</v>
      </c>
      <c r="D1009" s="1" t="str">
        <f>"Otolift met Flexirail® model B"</f>
        <v>Otolift met Flexirail® model B</v>
      </c>
      <c r="E1009" s="1" t="s">
        <v>9</v>
      </c>
      <c r="F1009" s="3">
        <v>38281</v>
      </c>
      <c r="G1009" s="3">
        <v>38281</v>
      </c>
      <c r="H1009" s="3">
        <v>43630</v>
      </c>
      <c r="I1009" s="3">
        <v>43566</v>
      </c>
    </row>
    <row r="1010" spans="2:9" x14ac:dyDescent="0.25">
      <c r="B1010" s="2" t="str">
        <f>"78959#"</f>
        <v>78959#</v>
      </c>
      <c r="C1010" s="2" t="str">
        <f>"TWO-85"</f>
        <v>TWO-85</v>
      </c>
      <c r="D1010" s="1" t="str">
        <f>"Otolift met Flexirail® model G"</f>
        <v>Otolift met Flexirail® model G</v>
      </c>
      <c r="E1010" s="1" t="s">
        <v>7</v>
      </c>
      <c r="F1010" s="3">
        <v>38217</v>
      </c>
      <c r="G1010" s="3">
        <v>41290</v>
      </c>
      <c r="H1010" s="3">
        <v>43768</v>
      </c>
      <c r="I1010" s="3">
        <v>43929</v>
      </c>
    </row>
    <row r="1011" spans="2:9" x14ac:dyDescent="0.25">
      <c r="B1011" s="2" t="str">
        <f>"79297#"</f>
        <v>79297#</v>
      </c>
      <c r="C1011" s="2" t="str">
        <f>"TWO-81"</f>
        <v>TWO-81</v>
      </c>
      <c r="D1011" s="1" t="str">
        <f>"Hergebruik Flexirail® model B"</f>
        <v>Hergebruik Flexirail® model B</v>
      </c>
      <c r="E1011" s="1" t="s">
        <v>9</v>
      </c>
      <c r="F1011" s="3">
        <v>37811</v>
      </c>
      <c r="G1011" s="3">
        <v>38264</v>
      </c>
      <c r="H1011" s="3">
        <v>43714</v>
      </c>
      <c r="I1011" s="3">
        <v>43481</v>
      </c>
    </row>
    <row r="1012" spans="2:9" x14ac:dyDescent="0.25">
      <c r="B1012" s="2" t="str">
        <f>"79391#"</f>
        <v>79391#</v>
      </c>
      <c r="C1012" s="2" t="str">
        <f>"TWO-81"</f>
        <v>TWO-81</v>
      </c>
      <c r="D1012" s="1" t="str">
        <f>"Hergebruik Flexirail® model B"</f>
        <v>Hergebruik Flexirail® model B</v>
      </c>
      <c r="E1012" s="1" t="s">
        <v>9</v>
      </c>
      <c r="F1012" s="3">
        <v>37812</v>
      </c>
      <c r="G1012" s="3">
        <v>38272</v>
      </c>
      <c r="H1012" s="3">
        <v>43748</v>
      </c>
      <c r="I1012" s="3">
        <v>43705</v>
      </c>
    </row>
    <row r="1013" spans="2:9" x14ac:dyDescent="0.25">
      <c r="B1013" s="2" t="str">
        <f>"79480#"</f>
        <v>79480#</v>
      </c>
      <c r="C1013" s="2" t="str">
        <f>"TWO-52"</f>
        <v>TWO-52</v>
      </c>
      <c r="D1013" s="1" t="str">
        <f>"Hergebruik Flexirail® model A"</f>
        <v>Hergebruik Flexirail® model A</v>
      </c>
      <c r="E1013" s="1" t="s">
        <v>8</v>
      </c>
      <c r="F1013" s="3">
        <v>37340</v>
      </c>
      <c r="G1013" s="3">
        <v>38895</v>
      </c>
      <c r="H1013" s="3">
        <v>43672</v>
      </c>
      <c r="I1013" s="3">
        <v>43643</v>
      </c>
    </row>
    <row r="1014" spans="2:9" x14ac:dyDescent="0.25">
      <c r="B1014" s="2" t="str">
        <f>"79852#"</f>
        <v>79852#</v>
      </c>
      <c r="C1014" s="2" t="str">
        <f>"TWO-81"</f>
        <v>TWO-81</v>
      </c>
      <c r="D1014" s="1" t="str">
        <f>"Otolift met Flexirail® model C"</f>
        <v>Otolift met Flexirail® model C</v>
      </c>
      <c r="E1014" s="1" t="s">
        <v>9</v>
      </c>
      <c r="F1014" s="3">
        <v>38267</v>
      </c>
      <c r="G1014" s="3">
        <v>38267</v>
      </c>
      <c r="H1014" s="3">
        <v>43565</v>
      </c>
      <c r="I1014" s="3">
        <v>43931</v>
      </c>
    </row>
    <row r="1015" spans="2:9" x14ac:dyDescent="0.25">
      <c r="B1015" s="2" t="str">
        <f>"79896#"</f>
        <v>79896#</v>
      </c>
      <c r="C1015" s="2" t="str">
        <f>"TWO-81"</f>
        <v>TWO-81</v>
      </c>
      <c r="D1015" s="1" t="str">
        <f>"Otolift met Flexirail® model C"</f>
        <v>Otolift met Flexirail® model C</v>
      </c>
      <c r="E1015" s="1" t="s">
        <v>9</v>
      </c>
      <c r="F1015" s="3">
        <v>38272</v>
      </c>
      <c r="G1015" s="3">
        <v>38272</v>
      </c>
      <c r="H1015" s="3">
        <v>43686</v>
      </c>
      <c r="I1015" s="3">
        <v>43851</v>
      </c>
    </row>
    <row r="1016" spans="2:9" x14ac:dyDescent="0.25">
      <c r="B1016" s="2" t="str">
        <f>"79917#"</f>
        <v>79917#</v>
      </c>
      <c r="C1016" s="2" t="str">
        <f>"TWO-81"</f>
        <v>TWO-81</v>
      </c>
      <c r="D1016" s="1" t="str">
        <f>"Otolift met Flexirail® model G"</f>
        <v>Otolift met Flexirail® model G</v>
      </c>
      <c r="E1016" s="1" t="s">
        <v>7</v>
      </c>
      <c r="F1016" s="3">
        <v>38321</v>
      </c>
      <c r="G1016" s="3">
        <v>41547</v>
      </c>
      <c r="H1016" s="3">
        <v>43748</v>
      </c>
      <c r="I1016" s="3">
        <v>43753</v>
      </c>
    </row>
    <row r="1017" spans="2:9" x14ac:dyDescent="0.25">
      <c r="B1017" s="2" t="str">
        <f>"79953#"</f>
        <v>79953#</v>
      </c>
      <c r="C1017" s="2" t="str">
        <f>"TWO-81"</f>
        <v>TWO-81</v>
      </c>
      <c r="D1017" s="1" t="str">
        <f>"Otolift met Flexirail® model G"</f>
        <v>Otolift met Flexirail® model G</v>
      </c>
      <c r="E1017" s="1" t="s">
        <v>7</v>
      </c>
      <c r="F1017" s="3">
        <v>38274</v>
      </c>
      <c r="G1017" s="3">
        <v>38274</v>
      </c>
      <c r="H1017" s="3">
        <v>43446</v>
      </c>
      <c r="I1017" s="3">
        <v>43811</v>
      </c>
    </row>
    <row r="1018" spans="2:9" x14ac:dyDescent="0.25">
      <c r="B1018" s="2" t="str">
        <f>"NL19-001493"</f>
        <v>NL19-001493</v>
      </c>
      <c r="C1018" s="2" t="str">
        <f>"MOD-G-6040-1"</f>
        <v>MOD-G-6040-1</v>
      </c>
      <c r="D1018" s="1" t="str">
        <f>"Traplift met twee bochten"</f>
        <v>Traplift met twee bochten</v>
      </c>
      <c r="E1018" s="1" t="s">
        <v>7</v>
      </c>
      <c r="F1018" s="3">
        <v>43727</v>
      </c>
      <c r="G1018" s="3">
        <v>43727</v>
      </c>
      <c r="H1018" s="3" t="str">
        <f>""</f>
        <v/>
      </c>
      <c r="I1018" s="3" t="str">
        <f>""</f>
        <v/>
      </c>
    </row>
    <row r="1019" spans="2:9" x14ac:dyDescent="0.25">
      <c r="B1019" s="2" t="str">
        <f>"80011#"</f>
        <v>80011#</v>
      </c>
      <c r="C1019" s="2" t="str">
        <f>"TWO-81"</f>
        <v>TWO-81</v>
      </c>
      <c r="D1019" s="1" t="str">
        <f>"Otolift met Flexirail® model A"</f>
        <v>Otolift met Flexirail® model A</v>
      </c>
      <c r="E1019" s="1" t="s">
        <v>8</v>
      </c>
      <c r="F1019" s="3">
        <v>38328</v>
      </c>
      <c r="G1019" s="3">
        <v>41591</v>
      </c>
      <c r="H1019" s="3">
        <v>43607</v>
      </c>
      <c r="I1019" s="3">
        <v>43973</v>
      </c>
    </row>
    <row r="1020" spans="2:9" x14ac:dyDescent="0.25">
      <c r="B1020" s="2" t="str">
        <f>"80078#"</f>
        <v>80078#</v>
      </c>
      <c r="C1020" s="2" t="str">
        <f>"TWO-81"</f>
        <v>TWO-81</v>
      </c>
      <c r="D1020" s="1" t="str">
        <f>"Hergebruik Flexirail® model B"</f>
        <v>Hergebruik Flexirail® model B</v>
      </c>
      <c r="E1020" s="1" t="s">
        <v>9</v>
      </c>
      <c r="F1020" s="3">
        <v>38216</v>
      </c>
      <c r="G1020" s="3">
        <v>39421</v>
      </c>
      <c r="H1020" s="3">
        <v>43788</v>
      </c>
      <c r="I1020" s="3">
        <v>43754</v>
      </c>
    </row>
    <row r="1021" spans="2:9" x14ac:dyDescent="0.25">
      <c r="B1021" s="2" t="str">
        <f>"80355#"</f>
        <v>80355#</v>
      </c>
      <c r="C1021" s="2" t="str">
        <f>"TWO-86"</f>
        <v>TWO-86</v>
      </c>
      <c r="D1021" s="1" t="str">
        <f>"Hergebruik Flexirail® model G"</f>
        <v>Hergebruik Flexirail® model G</v>
      </c>
      <c r="E1021" s="1" t="s">
        <v>7</v>
      </c>
      <c r="F1021" s="3">
        <v>38079</v>
      </c>
      <c r="G1021" s="3">
        <v>40927</v>
      </c>
      <c r="H1021" s="3">
        <v>43677</v>
      </c>
      <c r="I1021" s="3">
        <v>43544</v>
      </c>
    </row>
    <row r="1022" spans="2:9" x14ac:dyDescent="0.25">
      <c r="B1022" s="2" t="str">
        <f>"109691#"</f>
        <v>109691#</v>
      </c>
      <c r="C1022" s="2" t="str">
        <f>"TWO-G-87"</f>
        <v>TWO-G-87</v>
      </c>
      <c r="D1022" s="1" t="str">
        <f>"Hergebruik Otolift TWO"</f>
        <v>Hergebruik Otolift TWO</v>
      </c>
      <c r="E1022" s="1" t="s">
        <v>7</v>
      </c>
      <c r="F1022" s="3">
        <v>40494</v>
      </c>
      <c r="G1022" s="3">
        <v>42958</v>
      </c>
      <c r="H1022" s="3">
        <v>43424</v>
      </c>
      <c r="I1022" s="3">
        <v>43691</v>
      </c>
    </row>
    <row r="1023" spans="2:9" x14ac:dyDescent="0.25">
      <c r="B1023" s="2" t="str">
        <f>"80465#"</f>
        <v>80465#</v>
      </c>
      <c r="C1023" s="2" t="str">
        <f>"TWO-45"</f>
        <v>TWO-45</v>
      </c>
      <c r="D1023" s="1" t="str">
        <f>"Hergebruik Flexirail® model G"</f>
        <v>Hergebruik Flexirail® model G</v>
      </c>
      <c r="E1023" s="1" t="s">
        <v>7</v>
      </c>
      <c r="F1023" s="3">
        <v>36550</v>
      </c>
      <c r="G1023" s="3">
        <v>38299</v>
      </c>
      <c r="H1023" s="3">
        <v>43753</v>
      </c>
      <c r="I1023" s="3">
        <v>43748</v>
      </c>
    </row>
    <row r="1024" spans="2:9" x14ac:dyDescent="0.25">
      <c r="B1024" s="2" t="str">
        <f>"80628#"</f>
        <v>80628#</v>
      </c>
      <c r="C1024" s="2" t="str">
        <f>"TWO-81"</f>
        <v>TWO-81</v>
      </c>
      <c r="D1024" s="1" t="str">
        <f>"Otolift met Flexirail® model B"</f>
        <v>Otolift met Flexirail® model B</v>
      </c>
      <c r="E1024" s="1" t="s">
        <v>9</v>
      </c>
      <c r="F1024" s="3">
        <v>38314</v>
      </c>
      <c r="G1024" s="3">
        <v>38314</v>
      </c>
      <c r="H1024" s="3">
        <v>43720</v>
      </c>
      <c r="I1024" s="3">
        <v>43679</v>
      </c>
    </row>
    <row r="1025" spans="2:9" x14ac:dyDescent="0.25">
      <c r="B1025" s="2" t="str">
        <f>"80909#"</f>
        <v>80909#</v>
      </c>
      <c r="C1025" s="2" t="str">
        <f>"TWO-85"</f>
        <v>TWO-85</v>
      </c>
      <c r="D1025" s="1" t="str">
        <f>"Otolift met Flexirail® model G"</f>
        <v>Otolift met Flexirail® model G</v>
      </c>
      <c r="E1025" s="1" t="s">
        <v>7</v>
      </c>
      <c r="F1025" s="3">
        <v>38414</v>
      </c>
      <c r="G1025" s="3">
        <v>41704</v>
      </c>
      <c r="H1025" s="3">
        <v>43601</v>
      </c>
      <c r="I1025" s="3">
        <v>43886</v>
      </c>
    </row>
    <row r="1026" spans="2:9" x14ac:dyDescent="0.25">
      <c r="B1026" s="2" t="str">
        <f>"81085#"</f>
        <v>81085#</v>
      </c>
      <c r="C1026" s="2" t="str">
        <f>"TWO-81-S"</f>
        <v>TWO-81-S</v>
      </c>
      <c r="D1026" s="1" t="str">
        <f>"Otolift met Flexirail® model G"</f>
        <v>Otolift met Flexirail® model G</v>
      </c>
      <c r="E1026" s="1" t="s">
        <v>7</v>
      </c>
      <c r="F1026" s="3">
        <v>38335</v>
      </c>
      <c r="G1026" s="3">
        <v>38791</v>
      </c>
      <c r="H1026" s="3">
        <v>43594</v>
      </c>
      <c r="I1026" s="3">
        <v>43960</v>
      </c>
    </row>
    <row r="1027" spans="2:9" x14ac:dyDescent="0.25">
      <c r="B1027" s="2" t="str">
        <f>"81154#"</f>
        <v>81154#</v>
      </c>
      <c r="C1027" s="2" t="str">
        <f>"TWO-81"</f>
        <v>TWO-81</v>
      </c>
      <c r="D1027" s="1" t="str">
        <f>"Otolift met Flexirail® model G"</f>
        <v>Otolift met Flexirail® model G</v>
      </c>
      <c r="E1027" s="1" t="s">
        <v>7</v>
      </c>
      <c r="F1027" s="3">
        <v>38378</v>
      </c>
      <c r="G1027" s="3">
        <v>41564</v>
      </c>
      <c r="H1027" s="3">
        <v>43446</v>
      </c>
      <c r="I1027" s="3">
        <v>43811</v>
      </c>
    </row>
    <row r="1028" spans="2:9" x14ac:dyDescent="0.25">
      <c r="B1028" s="2" t="str">
        <f>"109994#"</f>
        <v>109994#</v>
      </c>
      <c r="C1028" s="2" t="str">
        <f>"TWO-G-87"</f>
        <v>TWO-G-87</v>
      </c>
      <c r="D1028" s="1" t="str">
        <f>"Robijn met 2 bochten"</f>
        <v>Robijn met 2 bochten</v>
      </c>
      <c r="E1028" s="1" t="s">
        <v>7</v>
      </c>
      <c r="F1028" s="3">
        <v>40500</v>
      </c>
      <c r="G1028" s="3">
        <v>41144</v>
      </c>
      <c r="H1028" s="3">
        <v>43752</v>
      </c>
      <c r="I1028" s="3">
        <v>43739</v>
      </c>
    </row>
    <row r="1029" spans="2:9" x14ac:dyDescent="0.25">
      <c r="B1029" s="2" t="str">
        <f>"81351B"</f>
        <v>81351B</v>
      </c>
      <c r="C1029" s="2" t="str">
        <f>"TWO-81"</f>
        <v>TWO-81</v>
      </c>
      <c r="D1029" s="1" t="str">
        <f>"Otolift met Flexirail® model G"</f>
        <v>Otolift met Flexirail® model G</v>
      </c>
      <c r="E1029" s="1" t="s">
        <v>7</v>
      </c>
      <c r="F1029" s="3">
        <v>38392</v>
      </c>
      <c r="G1029" s="3">
        <v>41157</v>
      </c>
      <c r="H1029" s="3">
        <v>43752</v>
      </c>
      <c r="I1029" s="3">
        <v>43764</v>
      </c>
    </row>
    <row r="1030" spans="2:9" x14ac:dyDescent="0.25">
      <c r="B1030" s="2" t="str">
        <f>"81362#"</f>
        <v>81362#</v>
      </c>
      <c r="C1030" s="2" t="str">
        <f>"TWO-81"</f>
        <v>TWO-81</v>
      </c>
      <c r="D1030" s="1" t="str">
        <f>"Otolift met Flexirail® model G"</f>
        <v>Otolift met Flexirail® model G</v>
      </c>
      <c r="E1030" s="1" t="s">
        <v>7</v>
      </c>
      <c r="F1030" s="3">
        <v>38344</v>
      </c>
      <c r="G1030" s="3">
        <v>38344</v>
      </c>
      <c r="H1030" s="3">
        <v>43690</v>
      </c>
      <c r="I1030" s="3">
        <v>43483</v>
      </c>
    </row>
    <row r="1031" spans="2:9" x14ac:dyDescent="0.25">
      <c r="B1031" s="2" t="str">
        <f>"81364#"</f>
        <v>81364#</v>
      </c>
      <c r="C1031" s="2" t="str">
        <f>"TWO-85"</f>
        <v>TWO-85</v>
      </c>
      <c r="D1031" s="1" t="str">
        <f>"Otolift met Flexirail® model G"</f>
        <v>Otolift met Flexirail® model G</v>
      </c>
      <c r="E1031" s="1" t="s">
        <v>7</v>
      </c>
      <c r="F1031" s="3">
        <v>38357</v>
      </c>
      <c r="G1031" s="3">
        <v>39399</v>
      </c>
      <c r="H1031" s="3">
        <v>43508</v>
      </c>
      <c r="I1031" s="3">
        <v>43873</v>
      </c>
    </row>
    <row r="1032" spans="2:9" x14ac:dyDescent="0.25">
      <c r="B1032" s="2" t="str">
        <f>"81366#"</f>
        <v>81366#</v>
      </c>
      <c r="C1032" s="2" t="str">
        <f>"TWO-45"</f>
        <v>TWO-45</v>
      </c>
      <c r="D1032" s="1" t="str">
        <f>"Hergebruik Flexirail® model A"</f>
        <v>Hergebruik Flexirail® model A</v>
      </c>
      <c r="E1032" s="1" t="s">
        <v>8</v>
      </c>
      <c r="F1032" s="3">
        <v>36966</v>
      </c>
      <c r="G1032" s="3">
        <v>38357</v>
      </c>
      <c r="H1032" s="3">
        <v>43424</v>
      </c>
      <c r="I1032" s="3">
        <v>43789</v>
      </c>
    </row>
    <row r="1033" spans="2:9" x14ac:dyDescent="0.25">
      <c r="B1033" s="2" t="str">
        <f>"NL19-001336"</f>
        <v>NL19-001336</v>
      </c>
      <c r="C1033" s="2" t="str">
        <f>"MOD-G-6040-1"</f>
        <v>MOD-G-6040-1</v>
      </c>
      <c r="D1033" s="1" t="str">
        <f>"Traplift met twee bochten"</f>
        <v>Traplift met twee bochten</v>
      </c>
      <c r="E1033" s="1" t="s">
        <v>7</v>
      </c>
      <c r="F1033" s="3">
        <v>43732</v>
      </c>
      <c r="G1033" s="3">
        <v>43732</v>
      </c>
      <c r="H1033" s="3" t="str">
        <f>""</f>
        <v/>
      </c>
      <c r="I1033" s="3" t="str">
        <f>""</f>
        <v/>
      </c>
    </row>
    <row r="1034" spans="2:9" x14ac:dyDescent="0.25">
      <c r="B1034" s="2" t="str">
        <f>"111462#"</f>
        <v>111462#</v>
      </c>
      <c r="C1034" s="2" t="str">
        <f>"TWO-G-87"</f>
        <v>TWO-G-87</v>
      </c>
      <c r="D1034" s="1" t="str">
        <f>"Hergebruik Otolift TWO"</f>
        <v>Hergebruik Otolift TWO</v>
      </c>
      <c r="E1034" s="1" t="s">
        <v>7</v>
      </c>
      <c r="F1034" s="3">
        <v>40634</v>
      </c>
      <c r="G1034" s="3">
        <v>43026</v>
      </c>
      <c r="H1034" s="3">
        <v>43739</v>
      </c>
      <c r="I1034" s="3">
        <v>43790</v>
      </c>
    </row>
    <row r="1035" spans="2:9" x14ac:dyDescent="0.25">
      <c r="B1035" s="2" t="str">
        <f>"112044#"</f>
        <v>112044#</v>
      </c>
      <c r="C1035" s="2" t="str">
        <f>"TWO-G-87"</f>
        <v>TWO-G-87</v>
      </c>
      <c r="D1035" s="1" t="str">
        <f>"Robijn met 1 bocht"</f>
        <v>Robijn met 1 bocht</v>
      </c>
      <c r="E1035" s="1" t="s">
        <v>7</v>
      </c>
      <c r="F1035" s="3">
        <v>40682</v>
      </c>
      <c r="G1035" s="3">
        <v>41689</v>
      </c>
      <c r="H1035" s="3">
        <v>43333</v>
      </c>
      <c r="I1035" s="3">
        <v>43698</v>
      </c>
    </row>
    <row r="1036" spans="2:9" x14ac:dyDescent="0.25">
      <c r="B1036" s="2" t="str">
        <f>"81625#"</f>
        <v>81625#</v>
      </c>
      <c r="C1036" s="2" t="str">
        <f>"TWO-81-S"</f>
        <v>TWO-81-S</v>
      </c>
      <c r="D1036" s="1" t="str">
        <f>"Otolift met Flexirail® model A"</f>
        <v>Otolift met Flexirail® model A</v>
      </c>
      <c r="E1036" s="1" t="s">
        <v>8</v>
      </c>
      <c r="F1036" s="3">
        <v>38365</v>
      </c>
      <c r="G1036" s="3">
        <v>38365</v>
      </c>
      <c r="H1036" s="3">
        <v>43802</v>
      </c>
      <c r="I1036" s="3">
        <v>43767</v>
      </c>
    </row>
    <row r="1037" spans="2:9" x14ac:dyDescent="0.25">
      <c r="B1037" s="2" t="str">
        <f>"82011#"</f>
        <v>82011#</v>
      </c>
      <c r="C1037" s="2" t="str">
        <f>"TWO-81"</f>
        <v>TWO-81</v>
      </c>
      <c r="D1037" s="1" t="str">
        <f>"Hergebruik Flexirail® model B"</f>
        <v>Hergebruik Flexirail® model B</v>
      </c>
      <c r="E1037" s="1" t="s">
        <v>9</v>
      </c>
      <c r="F1037" s="3">
        <v>37956</v>
      </c>
      <c r="G1037" s="3">
        <v>38393</v>
      </c>
      <c r="H1037" s="3">
        <v>43668</v>
      </c>
      <c r="I1037" s="3">
        <v>43519</v>
      </c>
    </row>
    <row r="1038" spans="2:9" x14ac:dyDescent="0.25">
      <c r="B1038" s="2" t="str">
        <f>"82013#"</f>
        <v>82013#</v>
      </c>
      <c r="C1038" s="2" t="str">
        <f>"TWO-81"</f>
        <v>TWO-81</v>
      </c>
      <c r="D1038" s="1" t="str">
        <f>"Otolift met Flexirail® model G"</f>
        <v>Otolift met Flexirail® model G</v>
      </c>
      <c r="E1038" s="1" t="s">
        <v>7</v>
      </c>
      <c r="F1038" s="3">
        <v>38435</v>
      </c>
      <c r="G1038" s="3">
        <v>38435</v>
      </c>
      <c r="H1038" s="3">
        <v>43494</v>
      </c>
      <c r="I1038" s="3">
        <v>43859</v>
      </c>
    </row>
    <row r="1039" spans="2:9" x14ac:dyDescent="0.25">
      <c r="B1039" s="2" t="str">
        <f>"NL19-001744"</f>
        <v>NL19-001744</v>
      </c>
      <c r="C1039" s="2" t="str">
        <f>"MOD-G-6040-1"</f>
        <v>MOD-G-6040-1</v>
      </c>
      <c r="D1039" s="1" t="str">
        <f>"Traplift met twee bochten"</f>
        <v>Traplift met twee bochten</v>
      </c>
      <c r="E1039" s="1" t="s">
        <v>7</v>
      </c>
      <c r="F1039" s="3">
        <v>43734</v>
      </c>
      <c r="G1039" s="3">
        <v>43734</v>
      </c>
      <c r="H1039" s="3" t="str">
        <f>""</f>
        <v/>
      </c>
      <c r="I1039" s="3" t="str">
        <f>""</f>
        <v/>
      </c>
    </row>
    <row r="1040" spans="2:9" x14ac:dyDescent="0.25">
      <c r="B1040" s="2" t="str">
        <f>"82142#"</f>
        <v>82142#</v>
      </c>
      <c r="C1040" s="2" t="str">
        <f>"TWO-86"</f>
        <v>TWO-86</v>
      </c>
      <c r="D1040" s="1" t="str">
        <f>"Hergebruik Flexirail® model B"</f>
        <v>Hergebruik Flexirail® model B</v>
      </c>
      <c r="E1040" s="1" t="s">
        <v>9</v>
      </c>
      <c r="F1040" s="3">
        <v>37190</v>
      </c>
      <c r="G1040" s="3">
        <v>40438</v>
      </c>
      <c r="H1040" s="3">
        <v>43490</v>
      </c>
      <c r="I1040" s="3">
        <v>43855</v>
      </c>
    </row>
    <row r="1041" spans="2:9" x14ac:dyDescent="0.25">
      <c r="B1041" s="2" t="str">
        <f>"82382#"</f>
        <v>82382#</v>
      </c>
      <c r="C1041" s="2" t="str">
        <f>"TWO-50"</f>
        <v>TWO-50</v>
      </c>
      <c r="D1041" s="1" t="str">
        <f>"Hergebruik Flexirail® model B"</f>
        <v>Hergebruik Flexirail® model B</v>
      </c>
      <c r="E1041" s="1" t="s">
        <v>9</v>
      </c>
      <c r="F1041" s="3">
        <v>37077</v>
      </c>
      <c r="G1041" s="3">
        <v>39723</v>
      </c>
      <c r="H1041" s="3">
        <v>43773</v>
      </c>
      <c r="I1041" s="3">
        <v>43544</v>
      </c>
    </row>
    <row r="1042" spans="2:9" x14ac:dyDescent="0.25">
      <c r="B1042" s="2" t="str">
        <f>"113820#"</f>
        <v>113820#</v>
      </c>
      <c r="C1042" s="2" t="str">
        <f>"TWO-G-87"</f>
        <v>TWO-G-87</v>
      </c>
      <c r="D1042" s="1" t="str">
        <f>"Hergebruik Otolift TWO"</f>
        <v>Hergebruik Otolift TWO</v>
      </c>
      <c r="E1042" s="1" t="s">
        <v>7</v>
      </c>
      <c r="F1042" s="3">
        <v>40861</v>
      </c>
      <c r="G1042" s="3">
        <v>42459</v>
      </c>
      <c r="H1042" s="3">
        <v>43420</v>
      </c>
      <c r="I1042" s="3">
        <v>43785</v>
      </c>
    </row>
    <row r="1043" spans="2:9" x14ac:dyDescent="0.25">
      <c r="B1043" s="2" t="str">
        <f>"82483#"</f>
        <v>82483#</v>
      </c>
      <c r="C1043" s="2" t="str">
        <f>"TWO-86"</f>
        <v>TWO-86</v>
      </c>
      <c r="D1043" s="1" t="str">
        <f>"Otolift met Flexirail® model G"</f>
        <v>Otolift met Flexirail® model G</v>
      </c>
      <c r="E1043" s="1" t="s">
        <v>7</v>
      </c>
      <c r="F1043" s="3">
        <v>38411</v>
      </c>
      <c r="G1043" s="3">
        <v>41276</v>
      </c>
      <c r="H1043" s="3">
        <v>43410</v>
      </c>
      <c r="I1043" s="3">
        <v>43775</v>
      </c>
    </row>
    <row r="1044" spans="2:9" x14ac:dyDescent="0.25">
      <c r="B1044" s="2" t="str">
        <f>"82879#"</f>
        <v>82879#</v>
      </c>
      <c r="C1044" s="2" t="str">
        <f>"TWO-81"</f>
        <v>TWO-81</v>
      </c>
      <c r="D1044" s="1" t="str">
        <f>"Otolift met Flexirail® model B"</f>
        <v>Otolift met Flexirail® model B</v>
      </c>
      <c r="E1044" s="1" t="s">
        <v>9</v>
      </c>
      <c r="F1044" s="3">
        <v>38433</v>
      </c>
      <c r="G1044" s="3">
        <v>38433</v>
      </c>
      <c r="H1044" s="3">
        <v>43585</v>
      </c>
      <c r="I1044" s="3">
        <v>43573</v>
      </c>
    </row>
    <row r="1045" spans="2:9" x14ac:dyDescent="0.25">
      <c r="B1045" s="2" t="str">
        <f>"NL19-001301"</f>
        <v>NL19-001301</v>
      </c>
      <c r="C1045" s="2" t="str">
        <f>"MOD-T-6040-1"</f>
        <v>MOD-T-6040-1</v>
      </c>
      <c r="D1045" s="1" t="str">
        <f>"Otolift Modul-AIR"</f>
        <v>Otolift Modul-AIR</v>
      </c>
      <c r="E1045" s="1" t="s">
        <v>11</v>
      </c>
      <c r="F1045" s="3">
        <v>43736</v>
      </c>
      <c r="G1045" s="3">
        <v>43736</v>
      </c>
      <c r="H1045" s="3" t="str">
        <f>""</f>
        <v/>
      </c>
      <c r="I1045" s="3" t="str">
        <f>""</f>
        <v/>
      </c>
    </row>
    <row r="1046" spans="2:9" x14ac:dyDescent="0.25">
      <c r="B1046" s="2" t="str">
        <f>"NL19-001381"</f>
        <v>NL19-001381</v>
      </c>
      <c r="C1046" s="2" t="str">
        <f>"MEDM120LH"</f>
        <v>MEDM120LH</v>
      </c>
      <c r="D1046" s="1" t="str">
        <f>"Rechte traplift"</f>
        <v>Rechte traplift</v>
      </c>
      <c r="E1046" s="1" t="s">
        <v>8</v>
      </c>
      <c r="F1046" s="3">
        <v>43738</v>
      </c>
      <c r="G1046" s="3">
        <v>43738</v>
      </c>
      <c r="H1046" s="3" t="str">
        <f>""</f>
        <v/>
      </c>
      <c r="I1046" s="3" t="str">
        <f>""</f>
        <v/>
      </c>
    </row>
    <row r="1047" spans="2:9" x14ac:dyDescent="0.25">
      <c r="B1047" s="2" t="str">
        <f>"83376A"</f>
        <v>83376A</v>
      </c>
      <c r="C1047" s="2" t="str">
        <f>"TWO-G-87"</f>
        <v>TWO-G-87</v>
      </c>
      <c r="D1047" s="1" t="str">
        <f>"Otolift met Flexirail® model G"</f>
        <v>Otolift met Flexirail® model G</v>
      </c>
      <c r="E1047" s="1" t="s">
        <v>7</v>
      </c>
      <c r="F1047" s="3">
        <v>38464</v>
      </c>
      <c r="G1047" s="3">
        <v>41085</v>
      </c>
      <c r="H1047" s="3">
        <v>43663</v>
      </c>
      <c r="I1047" s="3">
        <v>43697</v>
      </c>
    </row>
    <row r="1048" spans="2:9" x14ac:dyDescent="0.25">
      <c r="B1048" s="2" t="str">
        <f>"83378#"</f>
        <v>83378#</v>
      </c>
      <c r="C1048" s="2" t="str">
        <f>"TWO-85-K"</f>
        <v>TWO-85-K</v>
      </c>
      <c r="D1048" s="1" t="str">
        <f>"Otolift met Flexirail® model G"</f>
        <v>Otolift met Flexirail® model G</v>
      </c>
      <c r="E1048" s="1" t="s">
        <v>7</v>
      </c>
      <c r="F1048" s="3">
        <v>38457</v>
      </c>
      <c r="G1048" s="3">
        <v>39563</v>
      </c>
      <c r="H1048" s="3">
        <v>43733</v>
      </c>
      <c r="I1048" s="3">
        <v>43727</v>
      </c>
    </row>
    <row r="1049" spans="2:9" x14ac:dyDescent="0.25">
      <c r="B1049" s="2" t="str">
        <f>"83379#"</f>
        <v>83379#</v>
      </c>
      <c r="C1049" s="2" t="str">
        <f>"TWO-81"</f>
        <v>TWO-81</v>
      </c>
      <c r="D1049" s="1" t="str">
        <f>"Hergebruik Flexirail® model G"</f>
        <v>Hergebruik Flexirail® model G</v>
      </c>
      <c r="E1049" s="1" t="s">
        <v>7</v>
      </c>
      <c r="F1049" s="3">
        <v>37306</v>
      </c>
      <c r="G1049" s="3">
        <v>40872</v>
      </c>
      <c r="H1049" s="3">
        <v>43690</v>
      </c>
      <c r="I1049" s="3">
        <v>43658</v>
      </c>
    </row>
    <row r="1050" spans="2:9" x14ac:dyDescent="0.25">
      <c r="B1050" s="2" t="str">
        <f>"83381#"</f>
        <v>83381#</v>
      </c>
      <c r="C1050" s="2" t="str">
        <f>"TWO-45-S"</f>
        <v>TWO-45-S</v>
      </c>
      <c r="D1050" s="1" t="str">
        <f>"Hergebruik Flexirail® model G"</f>
        <v>Hergebruik Flexirail® model G</v>
      </c>
      <c r="E1050" s="1" t="s">
        <v>7</v>
      </c>
      <c r="F1050" s="3">
        <v>36999</v>
      </c>
      <c r="G1050" s="3">
        <v>39062</v>
      </c>
      <c r="H1050" s="3">
        <v>43717</v>
      </c>
      <c r="I1050" s="3">
        <v>43620</v>
      </c>
    </row>
    <row r="1051" spans="2:9" x14ac:dyDescent="0.25">
      <c r="B1051" s="2" t="str">
        <f>"83608#"</f>
        <v>83608#</v>
      </c>
      <c r="C1051" s="2" t="str">
        <f>"TWO-86"</f>
        <v>TWO-86</v>
      </c>
      <c r="D1051" s="1" t="str">
        <f>"Otolift met Flexirail® model G"</f>
        <v>Otolift met Flexirail® model G</v>
      </c>
      <c r="E1051" s="1" t="s">
        <v>7</v>
      </c>
      <c r="F1051" s="3">
        <v>38485</v>
      </c>
      <c r="G1051" s="3">
        <v>40884</v>
      </c>
      <c r="H1051" s="3">
        <v>43664</v>
      </c>
      <c r="I1051" s="3">
        <v>43580</v>
      </c>
    </row>
    <row r="1052" spans="2:9" x14ac:dyDescent="0.25">
      <c r="B1052" s="2" t="str">
        <f>"83719#"</f>
        <v>83719#</v>
      </c>
      <c r="C1052" s="2" t="str">
        <f>"TWO-81-S"</f>
        <v>TWO-81-S</v>
      </c>
      <c r="D1052" s="1" t="str">
        <f>"Otolift met Flexirail® model G"</f>
        <v>Otolift met Flexirail® model G</v>
      </c>
      <c r="E1052" s="1" t="s">
        <v>7</v>
      </c>
      <c r="F1052" s="3">
        <v>38469</v>
      </c>
      <c r="G1052" s="3">
        <v>38469</v>
      </c>
      <c r="H1052" s="3">
        <v>43797</v>
      </c>
      <c r="I1052" s="3">
        <v>43755</v>
      </c>
    </row>
    <row r="1053" spans="2:9" x14ac:dyDescent="0.25">
      <c r="B1053" s="2" t="str">
        <f>"83908#"</f>
        <v>83908#</v>
      </c>
      <c r="C1053" s="2" t="str">
        <f>"TWO-85"</f>
        <v>TWO-85</v>
      </c>
      <c r="D1053" s="1" t="str">
        <f>"Hergebruik Flexirail® model B"</f>
        <v>Hergebruik Flexirail® model B</v>
      </c>
      <c r="E1053" s="1" t="s">
        <v>9</v>
      </c>
      <c r="F1053" s="3">
        <v>37939</v>
      </c>
      <c r="G1053" s="3">
        <v>41033</v>
      </c>
      <c r="H1053" s="3">
        <v>43497</v>
      </c>
      <c r="I1053" s="3">
        <v>43862</v>
      </c>
    </row>
    <row r="1054" spans="2:9" x14ac:dyDescent="0.25">
      <c r="B1054" s="2" t="str">
        <f>"83910#"</f>
        <v>83910#</v>
      </c>
      <c r="C1054" s="2" t="str">
        <f>"TWO-81"</f>
        <v>TWO-81</v>
      </c>
      <c r="D1054" s="1" t="str">
        <f>"Otolift met Flexirail® model B"</f>
        <v>Otolift met Flexirail® model B</v>
      </c>
      <c r="E1054" s="1" t="s">
        <v>9</v>
      </c>
      <c r="F1054" s="3">
        <v>38495</v>
      </c>
      <c r="G1054" s="3">
        <v>38495</v>
      </c>
      <c r="H1054" s="3">
        <v>43770</v>
      </c>
      <c r="I1054" s="3">
        <v>43487</v>
      </c>
    </row>
    <row r="1055" spans="2:9" x14ac:dyDescent="0.25">
      <c r="B1055" s="2" t="str">
        <f>"84045#"</f>
        <v>84045#</v>
      </c>
      <c r="C1055" s="2" t="str">
        <f>"TWO-81"</f>
        <v>TWO-81</v>
      </c>
      <c r="D1055" s="1" t="str">
        <f>"Otolift met Flexirail® model G"</f>
        <v>Otolift met Flexirail® model G</v>
      </c>
      <c r="E1055" s="1" t="s">
        <v>7</v>
      </c>
      <c r="F1055" s="3">
        <v>38502</v>
      </c>
      <c r="G1055" s="3">
        <v>38502</v>
      </c>
      <c r="H1055" s="3">
        <v>43630</v>
      </c>
      <c r="I1055" s="3">
        <v>43559</v>
      </c>
    </row>
    <row r="1056" spans="2:9" x14ac:dyDescent="0.25">
      <c r="B1056" s="2" t="str">
        <f>"84069#"</f>
        <v>84069#</v>
      </c>
      <c r="C1056" s="2" t="str">
        <f>"TWO-81-S"</f>
        <v>TWO-81-S</v>
      </c>
      <c r="D1056" s="1" t="str">
        <f>"Otolift met Flexirail® model G"</f>
        <v>Otolift met Flexirail® model G</v>
      </c>
      <c r="E1056" s="1" t="s">
        <v>7</v>
      </c>
      <c r="F1056" s="3">
        <v>38503</v>
      </c>
      <c r="G1056" s="3">
        <v>38503</v>
      </c>
      <c r="H1056" s="3">
        <v>43798</v>
      </c>
      <c r="I1056" s="3">
        <v>43959</v>
      </c>
    </row>
    <row r="1057" spans="2:9" x14ac:dyDescent="0.25">
      <c r="B1057" s="2" t="str">
        <f>"84095#"</f>
        <v>84095#</v>
      </c>
      <c r="C1057" s="2" t="str">
        <f>"TWO-81"</f>
        <v>TWO-81</v>
      </c>
      <c r="D1057" s="1" t="str">
        <f>"Otolift met Flexirail® model G"</f>
        <v>Otolift met Flexirail® model G</v>
      </c>
      <c r="E1057" s="1" t="s">
        <v>7</v>
      </c>
      <c r="F1057" s="3">
        <v>38540</v>
      </c>
      <c r="G1057" s="3">
        <v>38540</v>
      </c>
      <c r="H1057" s="3">
        <v>43508</v>
      </c>
      <c r="I1057" s="3">
        <v>43873</v>
      </c>
    </row>
    <row r="1058" spans="2:9" x14ac:dyDescent="0.25">
      <c r="B1058" s="2" t="str">
        <f>"84161#"</f>
        <v>84161#</v>
      </c>
      <c r="C1058" s="2" t="str">
        <f>"TWO-86-S"</f>
        <v>TWO-86-S</v>
      </c>
      <c r="D1058" s="1" t="str">
        <f>"Otolift met Flexirail® model C"</f>
        <v>Otolift met Flexirail® model C</v>
      </c>
      <c r="E1058" s="1" t="s">
        <v>9</v>
      </c>
      <c r="F1058" s="3">
        <v>38506</v>
      </c>
      <c r="G1058" s="3">
        <v>39849</v>
      </c>
      <c r="H1058" s="3">
        <v>43738</v>
      </c>
      <c r="I1058" s="3">
        <v>43711</v>
      </c>
    </row>
    <row r="1059" spans="2:9" x14ac:dyDescent="0.25">
      <c r="B1059" s="2" t="str">
        <f>"84189#"</f>
        <v>84189#</v>
      </c>
      <c r="C1059" s="2" t="str">
        <f>"TWO-81"</f>
        <v>TWO-81</v>
      </c>
      <c r="D1059" s="1" t="str">
        <f>"Otolift met Flexirail® model B"</f>
        <v>Otolift met Flexirail® model B</v>
      </c>
      <c r="E1059" s="1" t="s">
        <v>9</v>
      </c>
      <c r="F1059" s="3">
        <v>38513</v>
      </c>
      <c r="G1059" s="3">
        <v>39028</v>
      </c>
      <c r="H1059" s="3">
        <v>43768</v>
      </c>
      <c r="I1059" s="3">
        <v>43705</v>
      </c>
    </row>
    <row r="1060" spans="2:9" x14ac:dyDescent="0.25">
      <c r="B1060" s="2" t="str">
        <f>"84215B"</f>
        <v>84215B</v>
      </c>
      <c r="C1060" s="2" t="str">
        <f>"TWO-85-S"</f>
        <v>TWO-85-S</v>
      </c>
      <c r="D1060" s="1" t="str">
        <f>"Hergebruik Flexirail® model C"</f>
        <v>Hergebruik Flexirail® model C</v>
      </c>
      <c r="E1060" s="1" t="s">
        <v>9</v>
      </c>
      <c r="F1060" s="3">
        <v>36306</v>
      </c>
      <c r="G1060" s="3">
        <v>39871</v>
      </c>
      <c r="H1060" s="3">
        <v>43663</v>
      </c>
      <c r="I1060" s="3">
        <v>43477</v>
      </c>
    </row>
    <row r="1061" spans="2:9" x14ac:dyDescent="0.25">
      <c r="B1061" s="2" t="str">
        <f>"84233#"</f>
        <v>84233#</v>
      </c>
      <c r="C1061" s="2" t="str">
        <f>"TWO-86"</f>
        <v>TWO-86</v>
      </c>
      <c r="D1061" s="1" t="str">
        <f>"Hergebruik Flexirail® model G"</f>
        <v>Hergebruik Flexirail® model G</v>
      </c>
      <c r="E1061" s="1" t="s">
        <v>7</v>
      </c>
      <c r="F1061" s="3">
        <v>38511</v>
      </c>
      <c r="G1061" s="3">
        <v>40492</v>
      </c>
      <c r="H1061" s="3">
        <v>43343</v>
      </c>
      <c r="I1061" s="3">
        <v>43708</v>
      </c>
    </row>
    <row r="1062" spans="2:9" x14ac:dyDescent="0.25">
      <c r="B1062" s="2" t="str">
        <f>"84274#"</f>
        <v>84274#</v>
      </c>
      <c r="C1062" s="2" t="str">
        <f>"TWO-81"</f>
        <v>TWO-81</v>
      </c>
      <c r="D1062" s="1" t="str">
        <f>"Otolift met Flexirail® model B"</f>
        <v>Otolift met Flexirail® model B</v>
      </c>
      <c r="E1062" s="1" t="s">
        <v>9</v>
      </c>
      <c r="F1062" s="3">
        <v>38511</v>
      </c>
      <c r="G1062" s="3">
        <v>38511</v>
      </c>
      <c r="H1062" s="3">
        <v>43528</v>
      </c>
      <c r="I1062" s="3">
        <v>43894</v>
      </c>
    </row>
    <row r="1063" spans="2:9" x14ac:dyDescent="0.25">
      <c r="B1063" s="2" t="str">
        <f>"NL19-000871"</f>
        <v>NL19-000871</v>
      </c>
      <c r="C1063" s="2" t="str">
        <f>"MOD-B-6050-1"</f>
        <v>MOD-B-6050-1</v>
      </c>
      <c r="D1063" s="1" t="str">
        <f>"Traplift met 1 bocht"</f>
        <v>Traplift met 1 bocht</v>
      </c>
      <c r="E1063" s="1" t="s">
        <v>9</v>
      </c>
      <c r="F1063" s="3">
        <v>43739</v>
      </c>
      <c r="G1063" s="3">
        <v>43739</v>
      </c>
      <c r="H1063" s="3" t="str">
        <f>""</f>
        <v/>
      </c>
      <c r="I1063" s="3" t="str">
        <f>""</f>
        <v/>
      </c>
    </row>
    <row r="1064" spans="2:9" x14ac:dyDescent="0.25">
      <c r="B1064" s="2" t="str">
        <f>"84378#"</f>
        <v>84378#</v>
      </c>
      <c r="C1064" s="2" t="str">
        <f>"TWO-81"</f>
        <v>TWO-81</v>
      </c>
      <c r="D1064" s="1" t="str">
        <f>"Otolift met Flexirail® model B"</f>
        <v>Otolift met Flexirail® model B</v>
      </c>
      <c r="E1064" s="1" t="s">
        <v>9</v>
      </c>
      <c r="F1064" s="3">
        <v>38516</v>
      </c>
      <c r="G1064" s="3">
        <v>41109</v>
      </c>
      <c r="H1064" s="3">
        <v>43550</v>
      </c>
      <c r="I1064" s="3">
        <v>43916</v>
      </c>
    </row>
    <row r="1065" spans="2:9" x14ac:dyDescent="0.25">
      <c r="B1065" s="2" t="str">
        <f>"VOR-19003658"</f>
        <v>VOR-19003658</v>
      </c>
      <c r="C1065" s="2" t="str">
        <f>"TWO-B-87"</f>
        <v>TWO-B-87</v>
      </c>
      <c r="D1065" s="1" t="str">
        <f>"Traplift 1 bocht"</f>
        <v>Traplift 1 bocht</v>
      </c>
      <c r="E1065" s="1" t="s">
        <v>9</v>
      </c>
      <c r="F1065" s="3">
        <v>43739</v>
      </c>
      <c r="G1065" s="3">
        <v>43739</v>
      </c>
      <c r="H1065" s="3" t="str">
        <f>""</f>
        <v/>
      </c>
      <c r="I1065" s="3" t="str">
        <f>""</f>
        <v/>
      </c>
    </row>
    <row r="1066" spans="2:9" x14ac:dyDescent="0.25">
      <c r="B1066" s="2" t="str">
        <f>"84621#"</f>
        <v>84621#</v>
      </c>
      <c r="C1066" s="2" t="str">
        <f>"TWO-81"</f>
        <v>TWO-81</v>
      </c>
      <c r="D1066" s="1" t="str">
        <f>"Hergebruik Flexirail® model A"</f>
        <v>Hergebruik Flexirail® model A</v>
      </c>
      <c r="E1066" s="1" t="s">
        <v>8</v>
      </c>
      <c r="F1066" s="3">
        <v>37694</v>
      </c>
      <c r="G1066" s="3">
        <v>41131</v>
      </c>
      <c r="H1066" s="3">
        <v>43437</v>
      </c>
      <c r="I1066" s="3">
        <v>43802</v>
      </c>
    </row>
    <row r="1067" spans="2:9" x14ac:dyDescent="0.25">
      <c r="B1067" s="2" t="str">
        <f>"84768#"</f>
        <v>84768#</v>
      </c>
      <c r="C1067" s="2" t="str">
        <f>"TWO-85"</f>
        <v>TWO-85</v>
      </c>
      <c r="D1067" s="1" t="str">
        <f>"Otolift met Flexirail® model G"</f>
        <v>Otolift met Flexirail® model G</v>
      </c>
      <c r="E1067" s="1" t="s">
        <v>7</v>
      </c>
      <c r="F1067" s="3">
        <v>38597</v>
      </c>
      <c r="G1067" s="3">
        <v>41508</v>
      </c>
      <c r="H1067" s="3">
        <v>43494</v>
      </c>
      <c r="I1067" s="3">
        <v>43859</v>
      </c>
    </row>
    <row r="1068" spans="2:9" x14ac:dyDescent="0.25">
      <c r="B1068" s="2" t="str">
        <f>"84941#"</f>
        <v>84941#</v>
      </c>
      <c r="C1068" s="2" t="str">
        <f>"TWO-G-87-S"</f>
        <v>TWO-G-87-S</v>
      </c>
      <c r="D1068" s="1" t="str">
        <f>"Hergebruik Flexirail® model G"</f>
        <v>Hergebruik Flexirail® model G</v>
      </c>
      <c r="E1068" s="1" t="s">
        <v>7</v>
      </c>
      <c r="F1068" s="3">
        <v>37228</v>
      </c>
      <c r="G1068" s="3">
        <v>40479</v>
      </c>
      <c r="H1068" s="3">
        <v>43489</v>
      </c>
      <c r="I1068" s="3">
        <v>43854</v>
      </c>
    </row>
    <row r="1069" spans="2:9" x14ac:dyDescent="0.25">
      <c r="B1069" s="2" t="str">
        <f>"NL19-001657"</f>
        <v>NL19-001657</v>
      </c>
      <c r="C1069" s="2" t="str">
        <f>"MOD-G-6050-1"</f>
        <v>MOD-G-6050-1</v>
      </c>
      <c r="D1069" s="1" t="str">
        <f>"Traplift met 2 bochten"</f>
        <v>Traplift met 2 bochten</v>
      </c>
      <c r="E1069" s="1" t="s">
        <v>7</v>
      </c>
      <c r="F1069" s="3">
        <v>43740</v>
      </c>
      <c r="G1069" s="3">
        <v>43740</v>
      </c>
      <c r="H1069" s="3" t="str">
        <f>""</f>
        <v/>
      </c>
      <c r="I1069" s="3" t="str">
        <f>""</f>
        <v/>
      </c>
    </row>
    <row r="1070" spans="2:9" x14ac:dyDescent="0.25">
      <c r="B1070" s="2" t="str">
        <f>"85024#"</f>
        <v>85024#</v>
      </c>
      <c r="C1070" s="2" t="str">
        <f>"TWO-85"</f>
        <v>TWO-85</v>
      </c>
      <c r="D1070" s="1" t="str">
        <f>"Otolift met Flexirail® model B"</f>
        <v>Otolift met Flexirail® model B</v>
      </c>
      <c r="E1070" s="1" t="s">
        <v>9</v>
      </c>
      <c r="F1070" s="3">
        <v>38618</v>
      </c>
      <c r="G1070" s="3">
        <v>41612</v>
      </c>
      <c r="H1070" s="3">
        <v>43447</v>
      </c>
      <c r="I1070" s="3">
        <v>43812</v>
      </c>
    </row>
    <row r="1071" spans="2:9" x14ac:dyDescent="0.25">
      <c r="B1071" s="2" t="str">
        <f>"85070#"</f>
        <v>85070#</v>
      </c>
      <c r="C1071" s="2" t="str">
        <f>"TWO-86"</f>
        <v>TWO-86</v>
      </c>
      <c r="D1071" s="1" t="str">
        <f>"Hergebruik Flexirail® model B"</f>
        <v>Hergebruik Flexirail® model B</v>
      </c>
      <c r="E1071" s="1" t="s">
        <v>9</v>
      </c>
      <c r="F1071" s="3">
        <v>37390</v>
      </c>
      <c r="G1071" s="3">
        <v>40469</v>
      </c>
      <c r="H1071" s="3">
        <v>43784</v>
      </c>
      <c r="I1071" s="3">
        <v>43721</v>
      </c>
    </row>
    <row r="1072" spans="2:9" x14ac:dyDescent="0.25">
      <c r="B1072" s="2" t="str">
        <f>"85071#"</f>
        <v>85071#</v>
      </c>
      <c r="C1072" s="2" t="str">
        <f>"TWO-50"</f>
        <v>TWO-50</v>
      </c>
      <c r="D1072" s="1" t="str">
        <f>"Hergebruik Flexirail® model B"</f>
        <v>Hergebruik Flexirail® model B</v>
      </c>
      <c r="E1072" s="1" t="s">
        <v>9</v>
      </c>
      <c r="F1072" s="3">
        <v>36983</v>
      </c>
      <c r="G1072" s="3">
        <v>38581</v>
      </c>
      <c r="H1072" s="3">
        <v>43685</v>
      </c>
      <c r="I1072" s="3">
        <v>43896</v>
      </c>
    </row>
    <row r="1073" spans="2:9" x14ac:dyDescent="0.25">
      <c r="B1073" s="2" t="str">
        <f>"NL19-001856"</f>
        <v>NL19-001856</v>
      </c>
      <c r="C1073" s="2" t="str">
        <f>"MOD-B-6040-1"</f>
        <v>MOD-B-6040-1</v>
      </c>
      <c r="D1073" s="1" t="str">
        <f>"Traplift met 1 bocht"</f>
        <v>Traplift met 1 bocht</v>
      </c>
      <c r="E1073" s="1" t="s">
        <v>9</v>
      </c>
      <c r="F1073" s="3">
        <v>43741</v>
      </c>
      <c r="G1073" s="3">
        <v>43741</v>
      </c>
      <c r="H1073" s="3" t="str">
        <f>""</f>
        <v/>
      </c>
      <c r="I1073" s="3" t="str">
        <f>""</f>
        <v/>
      </c>
    </row>
    <row r="1074" spans="2:9" x14ac:dyDescent="0.25">
      <c r="B1074" s="2" t="str">
        <f>"85459#"</f>
        <v>85459#</v>
      </c>
      <c r="C1074" s="2" t="str">
        <f>"TWO-85"</f>
        <v>TWO-85</v>
      </c>
      <c r="D1074" s="1" t="str">
        <f>"Otolift met Flexirail® model B"</f>
        <v>Otolift met Flexirail® model B</v>
      </c>
      <c r="E1074" s="1" t="s">
        <v>9</v>
      </c>
      <c r="F1074" s="3">
        <v>38595</v>
      </c>
      <c r="G1074" s="3">
        <v>41369</v>
      </c>
      <c r="H1074" s="3">
        <v>43472</v>
      </c>
      <c r="I1074" s="3">
        <v>43837</v>
      </c>
    </row>
    <row r="1075" spans="2:9" x14ac:dyDescent="0.25">
      <c r="B1075" s="2" t="str">
        <f>"85484#"</f>
        <v>85484#</v>
      </c>
      <c r="C1075" s="2" t="str">
        <f>"TWO-A-87"</f>
        <v>TWO-A-87</v>
      </c>
      <c r="D1075" s="1" t="str">
        <f>"Hergebruik Flexirail® model A"</f>
        <v>Hergebruik Flexirail® model A</v>
      </c>
      <c r="E1075" s="1" t="s">
        <v>8</v>
      </c>
      <c r="F1075" s="3">
        <v>37008</v>
      </c>
      <c r="G1075" s="3">
        <v>40395</v>
      </c>
      <c r="H1075" s="3">
        <v>43502</v>
      </c>
      <c r="I1075" s="3">
        <v>43867</v>
      </c>
    </row>
    <row r="1076" spans="2:9" x14ac:dyDescent="0.25">
      <c r="B1076" s="2" t="str">
        <f>"85509#"</f>
        <v>85509#</v>
      </c>
      <c r="C1076" s="2" t="str">
        <f>"TWO-85-S"</f>
        <v>TWO-85-S</v>
      </c>
      <c r="D1076" s="1" t="str">
        <f>"Otolift met Flexirail® model G"</f>
        <v>Otolift met Flexirail® model G</v>
      </c>
      <c r="E1076" s="1" t="s">
        <v>7</v>
      </c>
      <c r="F1076" s="3">
        <v>38593</v>
      </c>
      <c r="G1076" s="3">
        <v>38593</v>
      </c>
      <c r="H1076" s="3">
        <v>43602</v>
      </c>
      <c r="I1076" s="3">
        <v>43968</v>
      </c>
    </row>
    <row r="1077" spans="2:9" x14ac:dyDescent="0.25">
      <c r="B1077" s="2" t="str">
        <f>"85683#"</f>
        <v>85683#</v>
      </c>
      <c r="C1077" s="2" t="str">
        <f>"TWO-85"</f>
        <v>TWO-85</v>
      </c>
      <c r="D1077" s="1" t="str">
        <f>"Otolift met Flexirail® model G"</f>
        <v>Otolift met Flexirail® model G</v>
      </c>
      <c r="E1077" s="1" t="s">
        <v>7</v>
      </c>
      <c r="F1077" s="3">
        <v>38615</v>
      </c>
      <c r="G1077" s="3">
        <v>38615</v>
      </c>
      <c r="H1077" s="3">
        <v>43745</v>
      </c>
      <c r="I1077" s="3">
        <v>43701</v>
      </c>
    </row>
    <row r="1078" spans="2:9" x14ac:dyDescent="0.25">
      <c r="B1078" s="2" t="str">
        <f>"85684#"</f>
        <v>85684#</v>
      </c>
      <c r="C1078" s="2" t="str">
        <f>"TWO-85-S"</f>
        <v>TWO-85-S</v>
      </c>
      <c r="D1078" s="1" t="str">
        <f>"Otolift met Flexirail® model G"</f>
        <v>Otolift met Flexirail® model G</v>
      </c>
      <c r="E1078" s="1" t="s">
        <v>7</v>
      </c>
      <c r="F1078" s="3">
        <v>38602</v>
      </c>
      <c r="G1078" s="3">
        <v>38602</v>
      </c>
      <c r="H1078" s="3">
        <v>43409</v>
      </c>
      <c r="I1078" s="3">
        <v>43774</v>
      </c>
    </row>
    <row r="1079" spans="2:9" x14ac:dyDescent="0.25">
      <c r="B1079" s="2" t="str">
        <f>"85838#"</f>
        <v>85838#</v>
      </c>
      <c r="C1079" s="2" t="str">
        <f>"TWO-85"</f>
        <v>TWO-85</v>
      </c>
      <c r="D1079" s="1" t="str">
        <f>"Otolift met Flexirail® model B"</f>
        <v>Otolift met Flexirail® model B</v>
      </c>
      <c r="E1079" s="1" t="s">
        <v>9</v>
      </c>
      <c r="F1079" s="3">
        <v>38642</v>
      </c>
      <c r="G1079" s="3">
        <v>41555</v>
      </c>
      <c r="H1079" s="3">
        <v>43109</v>
      </c>
      <c r="I1079" s="3">
        <v>43474</v>
      </c>
    </row>
    <row r="1080" spans="2:9" x14ac:dyDescent="0.25">
      <c r="B1080" s="2" t="str">
        <f>"85853#"</f>
        <v>85853#</v>
      </c>
      <c r="C1080" s="2" t="str">
        <f>"TWO-52"</f>
        <v>TWO-52</v>
      </c>
      <c r="D1080" s="1" t="str">
        <f>"Hergebruik Flexirail® model B"</f>
        <v>Hergebruik Flexirail® model B</v>
      </c>
      <c r="E1080" s="1" t="s">
        <v>9</v>
      </c>
      <c r="F1080" s="3">
        <v>37281</v>
      </c>
      <c r="G1080" s="3">
        <v>38629</v>
      </c>
      <c r="H1080" s="3">
        <v>43630</v>
      </c>
      <c r="I1080" s="3">
        <v>43553</v>
      </c>
    </row>
    <row r="1081" spans="2:9" x14ac:dyDescent="0.25">
      <c r="B1081" s="2" t="str">
        <f>"85921#"</f>
        <v>85921#</v>
      </c>
      <c r="C1081" s="2" t="str">
        <f>"TWO-86"</f>
        <v>TWO-86</v>
      </c>
      <c r="D1081" s="1" t="str">
        <f>"Otolift met Flexirail® model B"</f>
        <v>Otolift met Flexirail® model B</v>
      </c>
      <c r="E1081" s="1" t="s">
        <v>9</v>
      </c>
      <c r="F1081" s="3">
        <v>38600</v>
      </c>
      <c r="G1081" s="3">
        <v>41082</v>
      </c>
      <c r="H1081" s="3">
        <v>43802</v>
      </c>
      <c r="I1081" s="3">
        <v>43803</v>
      </c>
    </row>
    <row r="1082" spans="2:9" x14ac:dyDescent="0.25">
      <c r="B1082" s="2" t="str">
        <f>"85923#"</f>
        <v>85923#</v>
      </c>
      <c r="C1082" s="2" t="str">
        <f>"TWO-85"</f>
        <v>TWO-85</v>
      </c>
      <c r="D1082" s="1" t="str">
        <f>"Hergebruik Flexirail® model C"</f>
        <v>Hergebruik Flexirail® model C</v>
      </c>
      <c r="E1082" s="1" t="s">
        <v>9</v>
      </c>
      <c r="F1082" s="3">
        <v>38601</v>
      </c>
      <c r="G1082" s="3">
        <v>40800</v>
      </c>
      <c r="H1082" s="3">
        <v>43563</v>
      </c>
      <c r="I1082" s="3">
        <v>43852</v>
      </c>
    </row>
    <row r="1083" spans="2:9" x14ac:dyDescent="0.25">
      <c r="B1083" s="2" t="str">
        <f>"86005#"</f>
        <v>86005#</v>
      </c>
      <c r="C1083" s="2" t="str">
        <f>"TWO-85"</f>
        <v>TWO-85</v>
      </c>
      <c r="D1083" s="1" t="str">
        <f>"Otolift met Flexirail® model B"</f>
        <v>Otolift met Flexirail® model B</v>
      </c>
      <c r="E1083" s="1" t="s">
        <v>9</v>
      </c>
      <c r="F1083" s="3">
        <v>38684</v>
      </c>
      <c r="G1083" s="3">
        <v>39358</v>
      </c>
      <c r="H1083" s="3">
        <v>43105</v>
      </c>
      <c r="I1083" s="3">
        <v>43470</v>
      </c>
    </row>
    <row r="1084" spans="2:9" x14ac:dyDescent="0.25">
      <c r="B1084" s="2" t="str">
        <f>"86134#"</f>
        <v>86134#</v>
      </c>
      <c r="C1084" s="2" t="str">
        <f>"TWO-85"</f>
        <v>TWO-85</v>
      </c>
      <c r="D1084" s="1" t="str">
        <f>"Otolift met Flexirail® model B"</f>
        <v>Otolift met Flexirail® model B</v>
      </c>
      <c r="E1084" s="1" t="s">
        <v>9</v>
      </c>
      <c r="F1084" s="3">
        <v>38615</v>
      </c>
      <c r="G1084" s="3">
        <v>41369</v>
      </c>
      <c r="H1084" s="3">
        <v>43490</v>
      </c>
      <c r="I1084" s="3">
        <v>43855</v>
      </c>
    </row>
    <row r="1085" spans="2:9" x14ac:dyDescent="0.25">
      <c r="B1085" s="2" t="str">
        <f>"NL19-001852"</f>
        <v>NL19-001852</v>
      </c>
      <c r="C1085" s="2" t="str">
        <f>"MOD-G-6040-1"</f>
        <v>MOD-G-6040-1</v>
      </c>
      <c r="D1085" s="1" t="str">
        <f>"Traplift met 3 bochten"</f>
        <v>Traplift met 3 bochten</v>
      </c>
      <c r="E1085" s="1" t="s">
        <v>7</v>
      </c>
      <c r="F1085" s="3">
        <v>43748</v>
      </c>
      <c r="G1085" s="3">
        <v>43748</v>
      </c>
      <c r="H1085" s="3" t="str">
        <f>""</f>
        <v/>
      </c>
      <c r="I1085" s="3" t="str">
        <f>""</f>
        <v/>
      </c>
    </row>
    <row r="1086" spans="2:9" x14ac:dyDescent="0.25">
      <c r="B1086" s="2" t="str">
        <f>"86276#"</f>
        <v>86276#</v>
      </c>
      <c r="C1086" s="2" t="str">
        <f>"TWO-85"</f>
        <v>TWO-85</v>
      </c>
      <c r="D1086" s="1" t="str">
        <f>"Otolift met Flexirail® model B"</f>
        <v>Otolift met Flexirail® model B</v>
      </c>
      <c r="E1086" s="1" t="s">
        <v>9</v>
      </c>
      <c r="F1086" s="3">
        <v>38667</v>
      </c>
      <c r="G1086" s="3">
        <v>41376</v>
      </c>
      <c r="H1086" s="3">
        <v>43644</v>
      </c>
      <c r="I1086" s="3">
        <v>43625</v>
      </c>
    </row>
    <row r="1087" spans="2:9" x14ac:dyDescent="0.25">
      <c r="B1087" s="2" t="str">
        <f>"86331#"</f>
        <v>86331#</v>
      </c>
      <c r="C1087" s="2" t="str">
        <f>"TWO-85"</f>
        <v>TWO-85</v>
      </c>
      <c r="D1087" s="1" t="str">
        <f>"Otolift met Flexirail® model C"</f>
        <v>Otolift met Flexirail® model C</v>
      </c>
      <c r="E1087" s="1" t="s">
        <v>9</v>
      </c>
      <c r="F1087" s="3">
        <v>38789</v>
      </c>
      <c r="G1087" s="3">
        <v>38789</v>
      </c>
      <c r="H1087" s="3">
        <v>43770</v>
      </c>
      <c r="I1087" s="3">
        <v>43742</v>
      </c>
    </row>
    <row r="1088" spans="2:9" x14ac:dyDescent="0.25">
      <c r="B1088" s="2" t="str">
        <f>"86332#"</f>
        <v>86332#</v>
      </c>
      <c r="C1088" s="2" t="str">
        <f>"TWO-42-S"</f>
        <v>TWO-42-S</v>
      </c>
      <c r="D1088" s="1" t="str">
        <f>"Hergebruik Flexirail® model G"</f>
        <v>Hergebruik Flexirail® model G</v>
      </c>
      <c r="E1088" s="1" t="s">
        <v>7</v>
      </c>
      <c r="F1088" s="3">
        <v>36342</v>
      </c>
      <c r="G1088" s="3">
        <v>39169</v>
      </c>
      <c r="H1088" s="3">
        <v>43119</v>
      </c>
      <c r="I1088" s="3">
        <v>43484</v>
      </c>
    </row>
    <row r="1089" spans="2:9" x14ac:dyDescent="0.25">
      <c r="B1089" s="2" t="str">
        <f>"86333#"</f>
        <v>86333#</v>
      </c>
      <c r="C1089" s="2" t="str">
        <f>"TWO-85"</f>
        <v>TWO-85</v>
      </c>
      <c r="D1089" s="1" t="str">
        <f>"Otolift met Flexirail® model C"</f>
        <v>Otolift met Flexirail® model C</v>
      </c>
      <c r="E1089" s="1" t="s">
        <v>9</v>
      </c>
      <c r="F1089" s="3">
        <v>38638</v>
      </c>
      <c r="G1089" s="3">
        <v>41341</v>
      </c>
      <c r="H1089" s="3">
        <v>43578</v>
      </c>
      <c r="I1089" s="3">
        <v>43944</v>
      </c>
    </row>
    <row r="1090" spans="2:9" x14ac:dyDescent="0.25">
      <c r="B1090" s="2" t="str">
        <f>"86369#"</f>
        <v>86369#</v>
      </c>
      <c r="C1090" s="2" t="str">
        <f>"TWO-81-S"</f>
        <v>TWO-81-S</v>
      </c>
      <c r="D1090" s="1" t="str">
        <f>"Hergebruik Flexirail® model H"</f>
        <v>Hergebruik Flexirail® model H</v>
      </c>
      <c r="E1090" s="1" t="s">
        <v>7</v>
      </c>
      <c r="F1090" s="3">
        <v>37886</v>
      </c>
      <c r="G1090" s="3">
        <v>38630</v>
      </c>
      <c r="H1090" s="3">
        <v>43633</v>
      </c>
      <c r="I1090" s="3">
        <v>43550</v>
      </c>
    </row>
    <row r="1091" spans="2:9" x14ac:dyDescent="0.25">
      <c r="B1091" s="2" t="str">
        <f>"86372#"</f>
        <v>86372#</v>
      </c>
      <c r="C1091" s="2" t="str">
        <f>"TWO-85"</f>
        <v>TWO-85</v>
      </c>
      <c r="D1091" s="1" t="str">
        <f>"Otolift met Flexirail® model G"</f>
        <v>Otolift met Flexirail® model G</v>
      </c>
      <c r="E1091" s="1" t="s">
        <v>7</v>
      </c>
      <c r="F1091" s="3">
        <v>38628</v>
      </c>
      <c r="G1091" s="3">
        <v>41508</v>
      </c>
      <c r="H1091" s="3">
        <v>43748</v>
      </c>
      <c r="I1091" s="3">
        <v>43746</v>
      </c>
    </row>
    <row r="1092" spans="2:9" x14ac:dyDescent="0.25">
      <c r="B1092" s="2" t="str">
        <f>"NL19-001156"</f>
        <v>NL19-001156</v>
      </c>
      <c r="C1092" s="2" t="str">
        <f>"MOD-G-6040-1"</f>
        <v>MOD-G-6040-1</v>
      </c>
      <c r="D1092" s="1" t="str">
        <f>"Traplift 2 bochten"</f>
        <v>Traplift 2 bochten</v>
      </c>
      <c r="E1092" s="1" t="s">
        <v>7</v>
      </c>
      <c r="F1092" s="3">
        <v>43749</v>
      </c>
      <c r="G1092" s="3">
        <v>43749</v>
      </c>
      <c r="H1092" s="3" t="str">
        <f>""</f>
        <v/>
      </c>
      <c r="I1092" s="3" t="str">
        <f>""</f>
        <v/>
      </c>
    </row>
    <row r="1093" spans="2:9" x14ac:dyDescent="0.25">
      <c r="B1093" s="2" t="str">
        <f>"86464#"</f>
        <v>86464#</v>
      </c>
      <c r="C1093" s="2" t="str">
        <f>"TWO-97"</f>
        <v>TWO-97</v>
      </c>
      <c r="D1093" s="1" t="str">
        <f>"Otolift met Flexirail® model A"</f>
        <v>Otolift met Flexirail® model A</v>
      </c>
      <c r="E1093" s="1" t="s">
        <v>8</v>
      </c>
      <c r="F1093" s="3">
        <v>38637</v>
      </c>
      <c r="G1093" s="3">
        <v>40724</v>
      </c>
      <c r="H1093" s="3">
        <v>43726</v>
      </c>
      <c r="I1093" s="3">
        <v>43694</v>
      </c>
    </row>
    <row r="1094" spans="2:9" x14ac:dyDescent="0.25">
      <c r="B1094" s="2" t="str">
        <f>"NL19-000542"</f>
        <v>NL19-000542</v>
      </c>
      <c r="C1094" s="2" t="str">
        <f>"MOD-A-6040-1"</f>
        <v>MOD-A-6040-1</v>
      </c>
      <c r="D1094" s="1" t="str">
        <f>"Rechte traplift"</f>
        <v>Rechte traplift</v>
      </c>
      <c r="E1094" s="1" t="s">
        <v>8</v>
      </c>
      <c r="F1094" s="3">
        <v>43752</v>
      </c>
      <c r="G1094" s="3">
        <v>43752</v>
      </c>
      <c r="H1094" s="3" t="str">
        <f>""</f>
        <v/>
      </c>
      <c r="I1094" s="3" t="str">
        <f>""</f>
        <v/>
      </c>
    </row>
    <row r="1095" spans="2:9" x14ac:dyDescent="0.25">
      <c r="B1095" s="2" t="str">
        <f>"86578#"</f>
        <v>86578#</v>
      </c>
      <c r="C1095" s="2" t="str">
        <f>"TWO-81"</f>
        <v>TWO-81</v>
      </c>
      <c r="D1095" s="1" t="str">
        <f>"Otolift met Flexirail® model G"</f>
        <v>Otolift met Flexirail® model G</v>
      </c>
      <c r="E1095" s="1" t="s">
        <v>7</v>
      </c>
      <c r="F1095" s="3">
        <v>38642</v>
      </c>
      <c r="G1095" s="3">
        <v>40513</v>
      </c>
      <c r="H1095" s="3">
        <v>43622</v>
      </c>
      <c r="I1095" s="3">
        <v>43665</v>
      </c>
    </row>
    <row r="1096" spans="2:9" x14ac:dyDescent="0.25">
      <c r="B1096" s="2" t="str">
        <f>"86580#"</f>
        <v>86580#</v>
      </c>
      <c r="C1096" s="2" t="str">
        <f>"TWO-85"</f>
        <v>TWO-85</v>
      </c>
      <c r="D1096" s="1" t="str">
        <f>"Otolift met Flexirail® model G"</f>
        <v>Otolift met Flexirail® model G</v>
      </c>
      <c r="E1096" s="1" t="s">
        <v>7</v>
      </c>
      <c r="F1096" s="3">
        <v>38643</v>
      </c>
      <c r="G1096" s="3">
        <v>38643</v>
      </c>
      <c r="H1096" s="3">
        <v>43353</v>
      </c>
      <c r="I1096" s="3">
        <v>43718</v>
      </c>
    </row>
    <row r="1097" spans="2:9" x14ac:dyDescent="0.25">
      <c r="B1097" s="2" t="str">
        <f>"86674#"</f>
        <v>86674#</v>
      </c>
      <c r="C1097" s="2" t="str">
        <f>"TWO-52"</f>
        <v>TWO-52</v>
      </c>
      <c r="D1097" s="1" t="str">
        <f>"Hergebruik Flexirail® model B"</f>
        <v>Hergebruik Flexirail® model B</v>
      </c>
      <c r="E1097" s="1" t="s">
        <v>9</v>
      </c>
      <c r="F1097" s="3">
        <v>38649</v>
      </c>
      <c r="G1097" s="3">
        <v>38649</v>
      </c>
      <c r="H1097" s="3">
        <v>43453</v>
      </c>
      <c r="I1097" s="3">
        <v>43818</v>
      </c>
    </row>
    <row r="1098" spans="2:9" x14ac:dyDescent="0.25">
      <c r="B1098" s="2" t="str">
        <f>"120831#"</f>
        <v>120831#</v>
      </c>
      <c r="C1098" s="2" t="str">
        <f>"TWO-G-87"</f>
        <v>TWO-G-87</v>
      </c>
      <c r="D1098" s="1" t="str">
        <f>"Traplift met 2 bochten"</f>
        <v>Traplift met 2 bochten</v>
      </c>
      <c r="E1098" s="1" t="s">
        <v>7</v>
      </c>
      <c r="F1098" s="3">
        <v>41725</v>
      </c>
      <c r="G1098" s="3">
        <v>41725</v>
      </c>
      <c r="H1098" s="3">
        <v>43668</v>
      </c>
      <c r="I1098" s="3">
        <v>43589</v>
      </c>
    </row>
    <row r="1099" spans="2:9" x14ac:dyDescent="0.25">
      <c r="B1099" s="2" t="str">
        <f>"86864#"</f>
        <v>86864#</v>
      </c>
      <c r="C1099" s="2" t="str">
        <f>"TWO-86"</f>
        <v>TWO-86</v>
      </c>
      <c r="D1099" s="1" t="str">
        <f>"Otolift met Flexirail® model G"</f>
        <v>Otolift met Flexirail® model G</v>
      </c>
      <c r="E1099" s="1" t="s">
        <v>7</v>
      </c>
      <c r="F1099" s="3">
        <v>38656</v>
      </c>
      <c r="G1099" s="3">
        <v>41682</v>
      </c>
      <c r="H1099" s="3">
        <v>43417</v>
      </c>
      <c r="I1099" s="3">
        <v>43782</v>
      </c>
    </row>
    <row r="1100" spans="2:9" x14ac:dyDescent="0.25">
      <c r="B1100" s="2" t="str">
        <f>"86892#"</f>
        <v>86892#</v>
      </c>
      <c r="C1100" s="2" t="str">
        <f>"TWO-50"</f>
        <v>TWO-50</v>
      </c>
      <c r="D1100" s="1" t="str">
        <f>"Hergebruik Flexirail® model B"</f>
        <v>Hergebruik Flexirail® model B</v>
      </c>
      <c r="E1100" s="1" t="s">
        <v>9</v>
      </c>
      <c r="F1100" s="3">
        <v>36980</v>
      </c>
      <c r="G1100" s="3">
        <v>38678</v>
      </c>
      <c r="H1100" s="3">
        <v>43724</v>
      </c>
      <c r="I1100" s="3">
        <v>43546</v>
      </c>
    </row>
    <row r="1101" spans="2:9" x14ac:dyDescent="0.25">
      <c r="B1101" s="2" t="str">
        <f>"NL19-002301"</f>
        <v>NL19-002301</v>
      </c>
      <c r="C1101" s="2" t="str">
        <f>"MOD-B-6050-1"</f>
        <v>MOD-B-6050-1</v>
      </c>
      <c r="D1101" s="1" t="str">
        <f>"Traplift 1 bocht"</f>
        <v>Traplift 1 bocht</v>
      </c>
      <c r="E1101" s="1" t="s">
        <v>9</v>
      </c>
      <c r="F1101" s="3">
        <v>43755</v>
      </c>
      <c r="G1101" s="3">
        <v>43755</v>
      </c>
      <c r="H1101" s="3" t="str">
        <f>""</f>
        <v/>
      </c>
      <c r="I1101" s="3" t="str">
        <f>""</f>
        <v/>
      </c>
    </row>
    <row r="1102" spans="2:9" x14ac:dyDescent="0.25">
      <c r="B1102" s="2" t="str">
        <f>"86967#"</f>
        <v>86967#</v>
      </c>
      <c r="C1102" s="2" t="str">
        <f>"TWO-85"</f>
        <v>TWO-85</v>
      </c>
      <c r="D1102" s="1" t="str">
        <f>"Otolift met Flexirail® model A"</f>
        <v>Otolift met Flexirail® model A</v>
      </c>
      <c r="E1102" s="1" t="s">
        <v>8</v>
      </c>
      <c r="F1102" s="3">
        <v>38692</v>
      </c>
      <c r="G1102" s="3">
        <v>41485</v>
      </c>
      <c r="H1102" s="3">
        <v>43525</v>
      </c>
      <c r="I1102" s="3">
        <v>43891</v>
      </c>
    </row>
    <row r="1103" spans="2:9" x14ac:dyDescent="0.25">
      <c r="B1103" s="2" t="str">
        <f>"87018#"</f>
        <v>87018#</v>
      </c>
      <c r="C1103" s="2" t="str">
        <f>"TWO-85"</f>
        <v>TWO-85</v>
      </c>
      <c r="D1103" s="1" t="str">
        <f>"Otolift met Flexirail® model E"</f>
        <v>Otolift met Flexirail® model E</v>
      </c>
      <c r="E1103" s="1" t="s">
        <v>9</v>
      </c>
      <c r="F1103" s="3">
        <v>38664</v>
      </c>
      <c r="G1103" s="3">
        <v>38664</v>
      </c>
      <c r="H1103" s="3">
        <v>43578</v>
      </c>
      <c r="I1103" s="3">
        <v>43944</v>
      </c>
    </row>
    <row r="1104" spans="2:9" x14ac:dyDescent="0.25">
      <c r="B1104" s="2" t="str">
        <f>"87020#"</f>
        <v>87020#</v>
      </c>
      <c r="C1104" s="2" t="str">
        <f>"TWO-85"</f>
        <v>TWO-85</v>
      </c>
      <c r="D1104" s="1" t="str">
        <f>"Hergebruik Flexirail® model G"</f>
        <v>Hergebruik Flexirail® model G</v>
      </c>
      <c r="E1104" s="1" t="s">
        <v>7</v>
      </c>
      <c r="F1104" s="3">
        <v>38664</v>
      </c>
      <c r="G1104" s="3">
        <v>38664</v>
      </c>
      <c r="H1104" s="3">
        <v>43677</v>
      </c>
      <c r="I1104" s="3">
        <v>43545</v>
      </c>
    </row>
    <row r="1105" spans="2:9" x14ac:dyDescent="0.25">
      <c r="B1105" s="2" t="str">
        <f>"87204#"</f>
        <v>87204#</v>
      </c>
      <c r="C1105" s="2" t="str">
        <f>"TWO-85"</f>
        <v>TWO-85</v>
      </c>
      <c r="D1105" s="1" t="str">
        <f>"Otolift met Flexirail® model A"</f>
        <v>Otolift met Flexirail® model A</v>
      </c>
      <c r="E1105" s="1" t="s">
        <v>8</v>
      </c>
      <c r="F1105" s="3">
        <v>38726</v>
      </c>
      <c r="G1105" s="3">
        <v>41533</v>
      </c>
      <c r="H1105" s="3">
        <v>43122</v>
      </c>
      <c r="I1105" s="3">
        <v>43487</v>
      </c>
    </row>
    <row r="1106" spans="2:9" x14ac:dyDescent="0.25">
      <c r="B1106" s="2" t="str">
        <f>"87237A"</f>
        <v>87237A</v>
      </c>
      <c r="C1106" s="2" t="str">
        <f>"TWO-85"</f>
        <v>TWO-85</v>
      </c>
      <c r="D1106" s="1" t="str">
        <f>"Otolift met Flexirail® model B"</f>
        <v>Otolift met Flexirail® model B</v>
      </c>
      <c r="E1106" s="1" t="s">
        <v>9</v>
      </c>
      <c r="F1106" s="3">
        <v>38678</v>
      </c>
      <c r="G1106" s="3">
        <v>38678</v>
      </c>
      <c r="H1106" s="3">
        <v>43185</v>
      </c>
      <c r="I1106" s="3">
        <v>43550</v>
      </c>
    </row>
    <row r="1107" spans="2:9" x14ac:dyDescent="0.25">
      <c r="B1107" s="2" t="str">
        <f>"126623#"</f>
        <v>126623#</v>
      </c>
      <c r="C1107" s="2" t="str">
        <f>"TWO-G-87"</f>
        <v>TWO-G-87</v>
      </c>
      <c r="D1107" s="1" t="str">
        <f>"Otolift TWO"</f>
        <v>Otolift TWO</v>
      </c>
      <c r="E1107" s="1" t="s">
        <v>7</v>
      </c>
      <c r="F1107" s="3">
        <v>42430</v>
      </c>
      <c r="G1107" s="3">
        <v>42430</v>
      </c>
      <c r="H1107" s="3">
        <v>43559</v>
      </c>
      <c r="I1107" s="3">
        <v>43925</v>
      </c>
    </row>
    <row r="1108" spans="2:9" x14ac:dyDescent="0.25">
      <c r="B1108" s="2" t="str">
        <f>"87426#"</f>
        <v>87426#</v>
      </c>
      <c r="C1108" s="2" t="str">
        <f>"TWO-50"</f>
        <v>TWO-50</v>
      </c>
      <c r="D1108" s="1" t="str">
        <f>"Hergebruik Flexirail® model B"</f>
        <v>Hergebruik Flexirail® model B</v>
      </c>
      <c r="E1108" s="1" t="s">
        <v>9</v>
      </c>
      <c r="F1108" s="3">
        <v>37056</v>
      </c>
      <c r="G1108" s="3">
        <v>38698</v>
      </c>
      <c r="H1108" s="3">
        <v>43788</v>
      </c>
      <c r="I1108" s="3">
        <v>43496</v>
      </c>
    </row>
    <row r="1109" spans="2:9" x14ac:dyDescent="0.25">
      <c r="B1109" s="2" t="str">
        <f>"127224#"</f>
        <v>127224#</v>
      </c>
      <c r="C1109" s="2" t="str">
        <f>"TWO-G-87"</f>
        <v>TWO-G-87</v>
      </c>
      <c r="D1109" s="1" t="str">
        <f>"Otolift TWO"</f>
        <v>Otolift TWO</v>
      </c>
      <c r="E1109" s="1" t="s">
        <v>7</v>
      </c>
      <c r="F1109" s="3">
        <v>42488</v>
      </c>
      <c r="G1109" s="3">
        <v>42488</v>
      </c>
      <c r="H1109" s="3">
        <v>43732</v>
      </c>
      <c r="I1109" s="3">
        <v>43651</v>
      </c>
    </row>
    <row r="1110" spans="2:9" x14ac:dyDescent="0.25">
      <c r="B1110" s="2" t="str">
        <f>"87609#"</f>
        <v>87609#</v>
      </c>
      <c r="C1110" s="2" t="str">
        <f>"TWO-85"</f>
        <v>TWO-85</v>
      </c>
      <c r="D1110" s="1" t="str">
        <f>"Otolift met Flexirail® model G"</f>
        <v>Otolift met Flexirail® model G</v>
      </c>
      <c r="E1110" s="1" t="s">
        <v>7</v>
      </c>
      <c r="F1110" s="3">
        <v>38698</v>
      </c>
      <c r="G1110" s="3">
        <v>38698</v>
      </c>
      <c r="H1110" s="3">
        <v>43483</v>
      </c>
      <c r="I1110" s="3">
        <v>43848</v>
      </c>
    </row>
    <row r="1111" spans="2:9" x14ac:dyDescent="0.25">
      <c r="B1111" s="2" t="str">
        <f>"127741#"</f>
        <v>127741#</v>
      </c>
      <c r="C1111" s="2" t="str">
        <f>"TWO-G-87"</f>
        <v>TWO-G-87</v>
      </c>
      <c r="D1111" s="1" t="str">
        <f>"Otolift TWO"</f>
        <v>Otolift TWO</v>
      </c>
      <c r="E1111" s="1" t="s">
        <v>7</v>
      </c>
      <c r="F1111" s="3">
        <v>42515</v>
      </c>
      <c r="G1111" s="3">
        <v>42515</v>
      </c>
      <c r="H1111" s="3">
        <v>43630</v>
      </c>
      <c r="I1111" s="3">
        <v>43641</v>
      </c>
    </row>
    <row r="1112" spans="2:9" x14ac:dyDescent="0.25">
      <c r="B1112" s="2" t="str">
        <f>"87684#"</f>
        <v>87684#</v>
      </c>
      <c r="C1112" s="2" t="str">
        <f>"TWO-85"</f>
        <v>TWO-85</v>
      </c>
      <c r="D1112" s="1" t="str">
        <f>"Otolift met Flexirail® model G"</f>
        <v>Otolift met Flexirail® model G</v>
      </c>
      <c r="E1112" s="1" t="s">
        <v>7</v>
      </c>
      <c r="F1112" s="3">
        <v>38701</v>
      </c>
      <c r="G1112" s="3">
        <v>38701</v>
      </c>
      <c r="H1112" s="3">
        <v>43432</v>
      </c>
      <c r="I1112" s="3">
        <v>43797</v>
      </c>
    </row>
    <row r="1113" spans="2:9" x14ac:dyDescent="0.25">
      <c r="B1113" s="2" t="str">
        <f>"87722#"</f>
        <v>87722#</v>
      </c>
      <c r="C1113" s="2" t="str">
        <f>"TWO-45"</f>
        <v>TWO-45</v>
      </c>
      <c r="D1113" s="1" t="str">
        <f>"Hergebruik Flexirail® model B"</f>
        <v>Hergebruik Flexirail® model B</v>
      </c>
      <c r="E1113" s="1" t="s">
        <v>9</v>
      </c>
      <c r="F1113" s="3">
        <v>35150</v>
      </c>
      <c r="G1113" s="3">
        <v>38700</v>
      </c>
      <c r="H1113" s="3">
        <v>43705</v>
      </c>
      <c r="I1113" s="3">
        <v>43669</v>
      </c>
    </row>
    <row r="1114" spans="2:9" x14ac:dyDescent="0.25">
      <c r="B1114" s="2" t="str">
        <f>"87790#"</f>
        <v>87790#</v>
      </c>
      <c r="C1114" s="2" t="str">
        <f>"TWO-81"</f>
        <v>TWO-81</v>
      </c>
      <c r="D1114" s="1" t="str">
        <f>"Hergebruik Flexirail® model B"</f>
        <v>Hergebruik Flexirail® model B</v>
      </c>
      <c r="E1114" s="1" t="s">
        <v>9</v>
      </c>
      <c r="F1114" s="3">
        <v>37944</v>
      </c>
      <c r="G1114" s="3">
        <v>38740</v>
      </c>
      <c r="H1114" s="3">
        <v>43663</v>
      </c>
      <c r="I1114" s="3">
        <v>43624</v>
      </c>
    </row>
    <row r="1115" spans="2:9" x14ac:dyDescent="0.25">
      <c r="B1115" s="2" t="str">
        <f>"87911#"</f>
        <v>87911#</v>
      </c>
      <c r="C1115" s="2" t="str">
        <f>"TWO-40"</f>
        <v>TWO-40</v>
      </c>
      <c r="D1115" s="1" t="str">
        <f>"Hergebruik Flexirail® model B"</f>
        <v>Hergebruik Flexirail® model B</v>
      </c>
      <c r="E1115" s="1" t="s">
        <v>9</v>
      </c>
      <c r="F1115" s="3">
        <v>37165</v>
      </c>
      <c r="G1115" s="3">
        <v>38735</v>
      </c>
      <c r="H1115" s="3">
        <v>43655</v>
      </c>
      <c r="I1115" s="3">
        <v>43620</v>
      </c>
    </row>
    <row r="1116" spans="2:9" x14ac:dyDescent="0.25">
      <c r="B1116" s="2" t="str">
        <f>"87912#"</f>
        <v>87912#</v>
      </c>
      <c r="C1116" s="2" t="str">
        <f>"TWO-86-S"</f>
        <v>TWO-86-S</v>
      </c>
      <c r="D1116" s="1" t="str">
        <f>"Hergebruik Flexirail® model G"</f>
        <v>Hergebruik Flexirail® model G</v>
      </c>
      <c r="E1116" s="1" t="s">
        <v>7</v>
      </c>
      <c r="F1116" s="3">
        <v>38063</v>
      </c>
      <c r="G1116" s="3">
        <v>40576</v>
      </c>
      <c r="H1116" s="3">
        <v>43553</v>
      </c>
      <c r="I1116" s="3">
        <v>43919</v>
      </c>
    </row>
    <row r="1117" spans="2:9" x14ac:dyDescent="0.25">
      <c r="B1117" s="2" t="str">
        <f>"87940#"</f>
        <v>87940#</v>
      </c>
      <c r="C1117" s="2" t="str">
        <f>"TWO-86"</f>
        <v>TWO-86</v>
      </c>
      <c r="D1117" s="1" t="str">
        <f>"Otolift met Flexirail® model B"</f>
        <v>Otolift met Flexirail® model B</v>
      </c>
      <c r="E1117" s="1" t="s">
        <v>9</v>
      </c>
      <c r="F1117" s="3">
        <v>38778</v>
      </c>
      <c r="G1117" s="3">
        <v>41282</v>
      </c>
      <c r="H1117" s="3">
        <v>43581</v>
      </c>
      <c r="I1117" s="3">
        <v>43947</v>
      </c>
    </row>
    <row r="1118" spans="2:9" x14ac:dyDescent="0.25">
      <c r="B1118" s="2" t="str">
        <f>"130087#"</f>
        <v>130087#</v>
      </c>
      <c r="C1118" s="2" t="str">
        <f>"TWO-G-87"</f>
        <v>TWO-G-87</v>
      </c>
      <c r="D1118" s="1" t="str">
        <f>"Otolift TWO"</f>
        <v>Otolift TWO</v>
      </c>
      <c r="E1118" s="1" t="s">
        <v>7</v>
      </c>
      <c r="F1118" s="3">
        <v>42695</v>
      </c>
      <c r="G1118" s="3">
        <v>42695</v>
      </c>
      <c r="H1118" s="3">
        <v>43557</v>
      </c>
      <c r="I1118" s="3">
        <v>43923</v>
      </c>
    </row>
    <row r="1119" spans="2:9" x14ac:dyDescent="0.25">
      <c r="B1119" s="2" t="str">
        <f>"132006#"</f>
        <v>132006#</v>
      </c>
      <c r="C1119" s="2" t="str">
        <f>"TWO-G-87"</f>
        <v>TWO-G-87</v>
      </c>
      <c r="D1119" s="1" t="str">
        <f>"Otolift TWO"</f>
        <v>Otolift TWO</v>
      </c>
      <c r="E1119" s="1" t="s">
        <v>7</v>
      </c>
      <c r="F1119" s="3">
        <v>42831</v>
      </c>
      <c r="G1119" s="3">
        <v>42831</v>
      </c>
      <c r="H1119" s="3">
        <v>43790</v>
      </c>
      <c r="I1119" s="3">
        <v>43567</v>
      </c>
    </row>
    <row r="1120" spans="2:9" x14ac:dyDescent="0.25">
      <c r="B1120" s="2" t="str">
        <f>"88189#"</f>
        <v>88189#</v>
      </c>
      <c r="C1120" s="2" t="str">
        <f>"TWO-52"</f>
        <v>TWO-52</v>
      </c>
      <c r="D1120" s="1" t="str">
        <f>"Hergebruik Flexirail® model B"</f>
        <v>Hergebruik Flexirail® model B</v>
      </c>
      <c r="E1120" s="1" t="s">
        <v>9</v>
      </c>
      <c r="F1120" s="3">
        <v>37433</v>
      </c>
      <c r="G1120" s="3">
        <v>38740</v>
      </c>
      <c r="H1120" s="3">
        <v>43668</v>
      </c>
      <c r="I1120" s="3">
        <v>43648</v>
      </c>
    </row>
    <row r="1121" spans="2:9" x14ac:dyDescent="0.25">
      <c r="B1121" s="2" t="str">
        <f>"88349#"</f>
        <v>88349#</v>
      </c>
      <c r="C1121" s="2" t="str">
        <f>"TWO-85"</f>
        <v>TWO-85</v>
      </c>
      <c r="D1121" s="1" t="str">
        <f>"Otolift met Flexirail® model G"</f>
        <v>Otolift met Flexirail® model G</v>
      </c>
      <c r="E1121" s="1" t="s">
        <v>7</v>
      </c>
      <c r="F1121" s="3">
        <v>38783</v>
      </c>
      <c r="G1121" s="3">
        <v>41555</v>
      </c>
      <c r="H1121" s="3">
        <v>43514</v>
      </c>
      <c r="I1121" s="3">
        <v>43474</v>
      </c>
    </row>
    <row r="1122" spans="2:9" x14ac:dyDescent="0.25">
      <c r="B1122" s="2" t="str">
        <f>"133842#"</f>
        <v>133842#</v>
      </c>
      <c r="C1122" s="2" t="str">
        <f>"TWO-G-87"</f>
        <v>TWO-G-87</v>
      </c>
      <c r="D1122" s="1" t="str">
        <f>"Hergebruik Otolift TWO"</f>
        <v>Hergebruik Otolift TWO</v>
      </c>
      <c r="E1122" s="1" t="s">
        <v>7</v>
      </c>
      <c r="F1122" s="3">
        <v>42999</v>
      </c>
      <c r="G1122" s="3">
        <v>43350</v>
      </c>
      <c r="H1122" s="3">
        <v>43782</v>
      </c>
      <c r="I1122" s="3">
        <v>43715</v>
      </c>
    </row>
    <row r="1123" spans="2:9" x14ac:dyDescent="0.25">
      <c r="B1123" s="2" t="str">
        <f>"134268#"</f>
        <v>134268#</v>
      </c>
      <c r="C1123" s="2" t="str">
        <f>"TWO-G-87"</f>
        <v>TWO-G-87</v>
      </c>
      <c r="D1123" s="1" t="str">
        <f>"Otolift TWO"</f>
        <v>Otolift TWO</v>
      </c>
      <c r="E1123" s="1" t="s">
        <v>7</v>
      </c>
      <c r="F1123" s="3">
        <v>43056</v>
      </c>
      <c r="G1123" s="3">
        <v>43056</v>
      </c>
      <c r="H1123" s="3">
        <v>43650</v>
      </c>
      <c r="I1123" s="3">
        <v>43876</v>
      </c>
    </row>
    <row r="1124" spans="2:9" x14ac:dyDescent="0.25">
      <c r="B1124" s="2" t="str">
        <f>"NL19-002190"</f>
        <v>NL19-002190</v>
      </c>
      <c r="C1124" s="2" t="str">
        <f>"MOD-G-6050-1"</f>
        <v>MOD-G-6050-1</v>
      </c>
      <c r="D1124" s="1" t="str">
        <f>"Traplift 2 bochten"</f>
        <v>Traplift 2 bochten</v>
      </c>
      <c r="E1124" s="1" t="s">
        <v>7</v>
      </c>
      <c r="F1124" s="3">
        <v>43755</v>
      </c>
      <c r="G1124" s="3">
        <v>43755</v>
      </c>
      <c r="H1124" s="3" t="str">
        <f>""</f>
        <v/>
      </c>
      <c r="I1124" s="3" t="str">
        <f>""</f>
        <v/>
      </c>
    </row>
    <row r="1125" spans="2:9" x14ac:dyDescent="0.25">
      <c r="B1125" s="2" t="str">
        <f>"NL19-002288"</f>
        <v>NL19-002288</v>
      </c>
      <c r="C1125" s="2" t="str">
        <f>"MOD-G-6040-1"</f>
        <v>MOD-G-6040-1</v>
      </c>
      <c r="D1125" s="1" t="str">
        <f>"Traplift 2 bochten"</f>
        <v>Traplift 2 bochten</v>
      </c>
      <c r="E1125" s="1" t="s">
        <v>7</v>
      </c>
      <c r="F1125" s="3">
        <v>43775</v>
      </c>
      <c r="G1125" s="3">
        <v>43775</v>
      </c>
      <c r="H1125" s="3" t="str">
        <f>""</f>
        <v/>
      </c>
      <c r="I1125" s="3" t="str">
        <f>""</f>
        <v/>
      </c>
    </row>
    <row r="1126" spans="2:9" x14ac:dyDescent="0.25">
      <c r="B1126" s="2" t="str">
        <f>"NL19-001770"</f>
        <v>NL19-001770</v>
      </c>
      <c r="C1126" s="2" t="str">
        <f>"MOD-T-6050-3"</f>
        <v>MOD-T-6050-3</v>
      </c>
      <c r="D1126" s="1" t="str">
        <f>"Otolift Modul-AIR"</f>
        <v>Otolift Modul-AIR</v>
      </c>
      <c r="E1126" s="1" t="s">
        <v>11</v>
      </c>
      <c r="F1126" s="3">
        <v>43781</v>
      </c>
      <c r="G1126" s="3">
        <v>43781</v>
      </c>
      <c r="H1126" s="3" t="str">
        <f>""</f>
        <v/>
      </c>
      <c r="I1126" s="3" t="str">
        <f>""</f>
        <v/>
      </c>
    </row>
    <row r="1127" spans="2:9" x14ac:dyDescent="0.25">
      <c r="B1127" s="2" t="str">
        <f>"137809#"</f>
        <v>137809#</v>
      </c>
      <c r="C1127" s="2" t="str">
        <f>"TWO-G-87"</f>
        <v>TWO-G-87</v>
      </c>
      <c r="D1127" s="1" t="str">
        <f>"Otolift TWO"</f>
        <v>Otolift TWO</v>
      </c>
      <c r="E1127" s="1" t="s">
        <v>7</v>
      </c>
      <c r="F1127" s="3">
        <v>43355</v>
      </c>
      <c r="G1127" s="3">
        <v>43355</v>
      </c>
      <c r="H1127" s="3">
        <v>43728</v>
      </c>
      <c r="I1127" s="3">
        <v>43720</v>
      </c>
    </row>
    <row r="1128" spans="2:9" x14ac:dyDescent="0.25">
      <c r="B1128" s="2" t="str">
        <f>"NL19-002453"</f>
        <v>NL19-002453</v>
      </c>
      <c r="C1128" s="2" t="str">
        <f>"MOD-B-6050-1"</f>
        <v>MOD-B-6050-1</v>
      </c>
      <c r="D1128" s="1" t="str">
        <f>"Traplift met 1 bocht"</f>
        <v>Traplift met 1 bocht</v>
      </c>
      <c r="E1128" s="1" t="s">
        <v>9</v>
      </c>
      <c r="F1128" s="3">
        <v>43783</v>
      </c>
      <c r="G1128" s="3">
        <v>43783</v>
      </c>
      <c r="H1128" s="3" t="str">
        <f>""</f>
        <v/>
      </c>
      <c r="I1128" s="3" t="str">
        <f>""</f>
        <v/>
      </c>
    </row>
    <row r="1129" spans="2:9" x14ac:dyDescent="0.25">
      <c r="B1129" s="2" t="str">
        <f>"NL19-002425"</f>
        <v>NL19-002425</v>
      </c>
      <c r="C1129" s="2" t="str">
        <f>"MEDM120RH"</f>
        <v>MEDM120RH</v>
      </c>
      <c r="D1129" s="1" t="str">
        <f>"Rechte traplift"</f>
        <v>Rechte traplift</v>
      </c>
      <c r="E1129" s="1" t="s">
        <v>8</v>
      </c>
      <c r="F1129" s="3">
        <v>43788</v>
      </c>
      <c r="G1129" s="3">
        <v>43788</v>
      </c>
      <c r="H1129" s="3" t="str">
        <f>""</f>
        <v/>
      </c>
      <c r="I1129" s="3" t="str">
        <f>""</f>
        <v/>
      </c>
    </row>
    <row r="1130" spans="2:9" x14ac:dyDescent="0.25">
      <c r="B1130" s="2" t="str">
        <f>"NL19-002432"</f>
        <v>NL19-002432</v>
      </c>
      <c r="C1130" s="2" t="str">
        <f>"MOD-G-6040-1"</f>
        <v>MOD-G-6040-1</v>
      </c>
      <c r="D1130" s="1" t="str">
        <f>"Traplift met twee bochten"</f>
        <v>Traplift met twee bochten</v>
      </c>
      <c r="E1130" s="1" t="s">
        <v>7</v>
      </c>
      <c r="F1130" s="3">
        <v>43789</v>
      </c>
      <c r="G1130" s="3">
        <v>43789</v>
      </c>
      <c r="H1130" s="3" t="str">
        <f>""</f>
        <v/>
      </c>
      <c r="I1130" s="3" t="str">
        <f>""</f>
        <v/>
      </c>
    </row>
    <row r="1131" spans="2:9" x14ac:dyDescent="0.25">
      <c r="B1131" s="2" t="str">
        <f>"69803A"</f>
        <v>69803A</v>
      </c>
      <c r="C1131" s="2" t="str">
        <f t="shared" ref="C1131:C1136" si="21">"TWO-G-87"</f>
        <v>TWO-G-87</v>
      </c>
      <c r="D1131" s="1" t="str">
        <f>"Hergebruik Otolift TWO buitenbocht trap"</f>
        <v>Hergebruik Otolift TWO buitenbocht trap</v>
      </c>
      <c r="E1131" s="1" t="s">
        <v>7</v>
      </c>
      <c r="F1131" s="3">
        <v>37932</v>
      </c>
      <c r="G1131" s="3">
        <v>41806</v>
      </c>
      <c r="H1131" s="3">
        <v>43336</v>
      </c>
      <c r="I1131" s="3">
        <v>43701</v>
      </c>
    </row>
    <row r="1132" spans="2:9" x14ac:dyDescent="0.25">
      <c r="B1132" s="2" t="str">
        <f>"81377A"</f>
        <v>81377A</v>
      </c>
      <c r="C1132" s="2" t="str">
        <f t="shared" si="21"/>
        <v>TWO-G-87</v>
      </c>
      <c r="D1132" s="1" t="str">
        <f>"Hergebruik Otolift TWO buitenbocht trap"</f>
        <v>Hergebruik Otolift TWO buitenbocht trap</v>
      </c>
      <c r="E1132" s="1" t="s">
        <v>7</v>
      </c>
      <c r="F1132" s="3">
        <v>38505</v>
      </c>
      <c r="G1132" s="3">
        <v>41807</v>
      </c>
      <c r="H1132" s="3">
        <v>43177</v>
      </c>
      <c r="I1132" s="3">
        <v>43467</v>
      </c>
    </row>
    <row r="1133" spans="2:9" x14ac:dyDescent="0.25">
      <c r="B1133" s="2" t="str">
        <f>"81570#"</f>
        <v>81570#</v>
      </c>
      <c r="C1133" s="2" t="str">
        <f t="shared" si="21"/>
        <v>TWO-G-87</v>
      </c>
      <c r="D1133" s="1" t="str">
        <f>"Hergebruik Otolift TWO"</f>
        <v>Hergebruik Otolift TWO</v>
      </c>
      <c r="E1133" s="1" t="s">
        <v>7</v>
      </c>
      <c r="F1133" s="3">
        <v>38363</v>
      </c>
      <c r="G1133" s="3">
        <v>41928</v>
      </c>
      <c r="H1133" s="3">
        <v>43664</v>
      </c>
      <c r="I1133" s="3">
        <v>43615</v>
      </c>
    </row>
    <row r="1134" spans="2:9" x14ac:dyDescent="0.25">
      <c r="B1134" s="2" t="str">
        <f>"86560#"</f>
        <v>86560#</v>
      </c>
      <c r="C1134" s="2" t="str">
        <f t="shared" si="21"/>
        <v>TWO-G-87</v>
      </c>
      <c r="D1134" s="1" t="str">
        <f>"Hergebruik Otolift TWO buitenbocht trap"</f>
        <v>Hergebruik Otolift TWO buitenbocht trap</v>
      </c>
      <c r="E1134" s="1" t="s">
        <v>7</v>
      </c>
      <c r="F1134" s="3">
        <v>38674</v>
      </c>
      <c r="G1134" s="3">
        <v>41892</v>
      </c>
      <c r="H1134" s="3">
        <v>43539</v>
      </c>
      <c r="I1134" s="3">
        <v>43905</v>
      </c>
    </row>
    <row r="1135" spans="2:9" x14ac:dyDescent="0.25">
      <c r="B1135" s="2" t="str">
        <f>"86706#"</f>
        <v>86706#</v>
      </c>
      <c r="C1135" s="2" t="str">
        <f t="shared" si="21"/>
        <v>TWO-G-87</v>
      </c>
      <c r="D1135" s="1" t="str">
        <f>"Hergebruik Otolift TWO buitenbocht trap"</f>
        <v>Hergebruik Otolift TWO buitenbocht trap</v>
      </c>
      <c r="E1135" s="1" t="s">
        <v>7</v>
      </c>
      <c r="F1135" s="3">
        <v>38644</v>
      </c>
      <c r="G1135" s="3">
        <v>41892</v>
      </c>
      <c r="H1135" s="3">
        <v>43479</v>
      </c>
      <c r="I1135" s="3">
        <v>43844</v>
      </c>
    </row>
    <row r="1136" spans="2:9" x14ac:dyDescent="0.25">
      <c r="B1136" s="2" t="str">
        <f>"87626#"</f>
        <v>87626#</v>
      </c>
      <c r="C1136" s="2" t="str">
        <f t="shared" si="21"/>
        <v>TWO-G-87</v>
      </c>
      <c r="D1136" s="1" t="str">
        <f>"Otolift met Flexirail® model M"</f>
        <v>Otolift met Flexirail® model M</v>
      </c>
      <c r="E1136" s="1" t="s">
        <v>7</v>
      </c>
      <c r="F1136" s="3">
        <v>38702</v>
      </c>
      <c r="G1136" s="3">
        <v>41284</v>
      </c>
      <c r="H1136" s="3">
        <v>43224</v>
      </c>
      <c r="I1136" s="3">
        <v>43589</v>
      </c>
    </row>
    <row r="1137" spans="2:9" x14ac:dyDescent="0.25">
      <c r="B1137" s="2" t="str">
        <f>"127045#"</f>
        <v>127045#</v>
      </c>
      <c r="C1137" s="2" t="str">
        <f>"TWO-G-87-KZ"</f>
        <v>TWO-G-87-KZ</v>
      </c>
      <c r="D1137" s="1" t="str">
        <f>"Otolift TWO"</f>
        <v>Otolift TWO</v>
      </c>
      <c r="E1137" s="1" t="s">
        <v>7</v>
      </c>
      <c r="F1137" s="3">
        <v>42459</v>
      </c>
      <c r="G1137" s="3">
        <v>42459</v>
      </c>
      <c r="H1137" s="3">
        <v>43788</v>
      </c>
      <c r="I1137" s="3">
        <v>43725</v>
      </c>
    </row>
    <row r="1138" spans="2:9" x14ac:dyDescent="0.25">
      <c r="B1138" s="2" t="str">
        <f>"091833#"</f>
        <v>091833#</v>
      </c>
      <c r="C1138" s="2" t="str">
        <f t="shared" ref="C1138:C1152" si="22">"TWO-G-87-S"</f>
        <v>TWO-G-87-S</v>
      </c>
      <c r="D1138" s="1" t="str">
        <f>"Hergebruik Otolift TWO buitenbocht trap"</f>
        <v>Hergebruik Otolift TWO buitenbocht trap</v>
      </c>
      <c r="E1138" s="1" t="s">
        <v>7</v>
      </c>
      <c r="F1138" s="3">
        <v>39156</v>
      </c>
      <c r="G1138" s="3">
        <v>41800</v>
      </c>
      <c r="H1138" s="3">
        <v>43738</v>
      </c>
      <c r="I1138" s="3">
        <v>43739</v>
      </c>
    </row>
    <row r="1139" spans="2:9" x14ac:dyDescent="0.25">
      <c r="B1139" s="2" t="str">
        <f>"093301#"</f>
        <v>093301#</v>
      </c>
      <c r="C1139" s="2" t="str">
        <f t="shared" si="22"/>
        <v>TWO-G-87-S</v>
      </c>
      <c r="D1139" s="1" t="str">
        <f t="shared" ref="D1139:D1152" si="23">"Hergebruik Otolift TWO"</f>
        <v>Hergebruik Otolift TWO</v>
      </c>
      <c r="E1139" s="1" t="s">
        <v>7</v>
      </c>
      <c r="F1139" s="3">
        <v>39162</v>
      </c>
      <c r="G1139" s="3">
        <v>42646</v>
      </c>
      <c r="H1139" s="3">
        <v>43784</v>
      </c>
      <c r="I1139" s="3">
        <v>43764</v>
      </c>
    </row>
    <row r="1140" spans="2:9" x14ac:dyDescent="0.25">
      <c r="B1140" s="2" t="str">
        <f>"095116#"</f>
        <v>095116#</v>
      </c>
      <c r="C1140" s="2" t="str">
        <f t="shared" si="22"/>
        <v>TWO-G-87-S</v>
      </c>
      <c r="D1140" s="1" t="str">
        <f t="shared" si="23"/>
        <v>Hergebruik Otolift TWO</v>
      </c>
      <c r="E1140" s="1" t="s">
        <v>7</v>
      </c>
      <c r="F1140" s="3">
        <v>39346</v>
      </c>
      <c r="G1140" s="3">
        <v>42977</v>
      </c>
      <c r="H1140" s="3">
        <v>43769</v>
      </c>
      <c r="I1140" s="3">
        <v>43718</v>
      </c>
    </row>
    <row r="1141" spans="2:9" x14ac:dyDescent="0.25">
      <c r="B1141" s="2" t="str">
        <f>"096542#"</f>
        <v>096542#</v>
      </c>
      <c r="C1141" s="2" t="str">
        <f t="shared" si="22"/>
        <v>TWO-G-87-S</v>
      </c>
      <c r="D1141" s="1" t="str">
        <f t="shared" si="23"/>
        <v>Hergebruik Otolift TWO</v>
      </c>
      <c r="E1141" s="1" t="s">
        <v>7</v>
      </c>
      <c r="F1141" s="3">
        <v>39483</v>
      </c>
      <c r="G1141" s="3">
        <v>42992</v>
      </c>
      <c r="H1141" s="3">
        <v>43796</v>
      </c>
      <c r="I1141" s="3">
        <v>43756</v>
      </c>
    </row>
    <row r="1142" spans="2:9" x14ac:dyDescent="0.25">
      <c r="B1142" s="2" t="str">
        <f>"096710#"</f>
        <v>096710#</v>
      </c>
      <c r="C1142" s="2" t="str">
        <f t="shared" si="22"/>
        <v>TWO-G-87-S</v>
      </c>
      <c r="D1142" s="1" t="str">
        <f t="shared" si="23"/>
        <v>Hergebruik Otolift TWO</v>
      </c>
      <c r="E1142" s="1" t="s">
        <v>7</v>
      </c>
      <c r="F1142" s="3">
        <v>39451</v>
      </c>
      <c r="G1142" s="3">
        <v>42082</v>
      </c>
      <c r="H1142" s="3">
        <v>43584</v>
      </c>
      <c r="I1142" s="3">
        <v>43950</v>
      </c>
    </row>
    <row r="1143" spans="2:9" x14ac:dyDescent="0.25">
      <c r="B1143" s="2" t="str">
        <f>"103900#"</f>
        <v>103900#</v>
      </c>
      <c r="C1143" s="2" t="str">
        <f t="shared" si="22"/>
        <v>TWO-G-87-S</v>
      </c>
      <c r="D1143" s="1" t="str">
        <f t="shared" si="23"/>
        <v>Hergebruik Otolift TWO</v>
      </c>
      <c r="E1143" s="1" t="s">
        <v>7</v>
      </c>
      <c r="F1143" s="3">
        <v>40063</v>
      </c>
      <c r="G1143" s="3">
        <v>42720</v>
      </c>
      <c r="H1143" s="3">
        <v>43157</v>
      </c>
      <c r="I1143" s="3">
        <v>43469</v>
      </c>
    </row>
    <row r="1144" spans="2:9" x14ac:dyDescent="0.25">
      <c r="B1144" s="2" t="str">
        <f>"105198#"</f>
        <v>105198#</v>
      </c>
      <c r="C1144" s="2" t="str">
        <f t="shared" si="22"/>
        <v>TWO-G-87-S</v>
      </c>
      <c r="D1144" s="1" t="str">
        <f t="shared" si="23"/>
        <v>Hergebruik Otolift TWO</v>
      </c>
      <c r="E1144" s="1" t="s">
        <v>7</v>
      </c>
      <c r="F1144" s="3">
        <v>40114</v>
      </c>
      <c r="G1144" s="3">
        <v>43026</v>
      </c>
      <c r="H1144" s="3">
        <v>43517</v>
      </c>
      <c r="I1144" s="3">
        <v>43882</v>
      </c>
    </row>
    <row r="1145" spans="2:9" x14ac:dyDescent="0.25">
      <c r="B1145" s="2" t="str">
        <f>"107663#"</f>
        <v>107663#</v>
      </c>
      <c r="C1145" s="2" t="str">
        <f t="shared" si="22"/>
        <v>TWO-G-87-S</v>
      </c>
      <c r="D1145" s="1" t="str">
        <f t="shared" si="23"/>
        <v>Hergebruik Otolift TWO</v>
      </c>
      <c r="E1145" s="1" t="s">
        <v>7</v>
      </c>
      <c r="F1145" s="3">
        <v>40309</v>
      </c>
      <c r="G1145" s="3">
        <v>43081</v>
      </c>
      <c r="H1145" s="3">
        <v>43630</v>
      </c>
      <c r="I1145" s="3">
        <v>43908</v>
      </c>
    </row>
    <row r="1146" spans="2:9" x14ac:dyDescent="0.25">
      <c r="B1146" s="2" t="str">
        <f>"108166#"</f>
        <v>108166#</v>
      </c>
      <c r="C1146" s="2" t="str">
        <f t="shared" si="22"/>
        <v>TWO-G-87-S</v>
      </c>
      <c r="D1146" s="1" t="str">
        <f t="shared" si="23"/>
        <v>Hergebruik Otolift TWO</v>
      </c>
      <c r="E1146" s="1" t="s">
        <v>7</v>
      </c>
      <c r="F1146" s="3">
        <v>40337</v>
      </c>
      <c r="G1146" s="3">
        <v>42989</v>
      </c>
      <c r="H1146" s="3">
        <v>43781</v>
      </c>
      <c r="I1146" s="3">
        <v>43747</v>
      </c>
    </row>
    <row r="1147" spans="2:9" x14ac:dyDescent="0.25">
      <c r="B1147" s="2" t="str">
        <f>"110576#"</f>
        <v>110576#</v>
      </c>
      <c r="C1147" s="2" t="str">
        <f t="shared" si="22"/>
        <v>TWO-G-87-S</v>
      </c>
      <c r="D1147" s="1" t="str">
        <f t="shared" si="23"/>
        <v>Hergebruik Otolift TWO</v>
      </c>
      <c r="E1147" s="1" t="s">
        <v>7</v>
      </c>
      <c r="F1147" s="3">
        <v>40632</v>
      </c>
      <c r="G1147" s="3">
        <v>42923</v>
      </c>
      <c r="H1147" s="3">
        <v>43774</v>
      </c>
      <c r="I1147" s="3">
        <v>44080</v>
      </c>
    </row>
    <row r="1148" spans="2:9" x14ac:dyDescent="0.25">
      <c r="B1148" s="2" t="str">
        <f>"110664#"</f>
        <v>110664#</v>
      </c>
      <c r="C1148" s="2" t="str">
        <f t="shared" si="22"/>
        <v>TWO-G-87-S</v>
      </c>
      <c r="D1148" s="1" t="str">
        <f t="shared" si="23"/>
        <v>Hergebruik Otolift TWO</v>
      </c>
      <c r="E1148" s="1" t="s">
        <v>7</v>
      </c>
      <c r="F1148" s="3">
        <v>40560</v>
      </c>
      <c r="G1148" s="3">
        <v>42634</v>
      </c>
      <c r="H1148" s="3">
        <v>43791</v>
      </c>
      <c r="I1148" s="3">
        <v>43813</v>
      </c>
    </row>
    <row r="1149" spans="2:9" x14ac:dyDescent="0.25">
      <c r="B1149" s="2" t="str">
        <f>"110994#"</f>
        <v>110994#</v>
      </c>
      <c r="C1149" s="2" t="str">
        <f t="shared" si="22"/>
        <v>TWO-G-87-S</v>
      </c>
      <c r="D1149" s="1" t="str">
        <f t="shared" si="23"/>
        <v>Hergebruik Otolift TWO</v>
      </c>
      <c r="E1149" s="1" t="s">
        <v>7</v>
      </c>
      <c r="F1149" s="3">
        <v>40578</v>
      </c>
      <c r="G1149" s="3">
        <v>42185</v>
      </c>
      <c r="H1149" s="3">
        <v>43494</v>
      </c>
      <c r="I1149" s="3">
        <v>43859</v>
      </c>
    </row>
    <row r="1150" spans="2:9" x14ac:dyDescent="0.25">
      <c r="B1150" s="2" t="str">
        <f>"112941#"</f>
        <v>112941#</v>
      </c>
      <c r="C1150" s="2" t="str">
        <f t="shared" si="22"/>
        <v>TWO-G-87-S</v>
      </c>
      <c r="D1150" s="1" t="str">
        <f t="shared" si="23"/>
        <v>Hergebruik Otolift TWO</v>
      </c>
      <c r="E1150" s="1" t="s">
        <v>7</v>
      </c>
      <c r="F1150" s="3">
        <v>40793</v>
      </c>
      <c r="G1150" s="3">
        <v>41983</v>
      </c>
      <c r="H1150" s="3">
        <v>43658</v>
      </c>
      <c r="I1150" s="3">
        <v>43572</v>
      </c>
    </row>
    <row r="1151" spans="2:9" x14ac:dyDescent="0.25">
      <c r="B1151" s="2" t="str">
        <f>"113707#"</f>
        <v>113707#</v>
      </c>
      <c r="C1151" s="2" t="str">
        <f t="shared" si="22"/>
        <v>TWO-G-87-S</v>
      </c>
      <c r="D1151" s="1" t="str">
        <f t="shared" si="23"/>
        <v>Hergebruik Otolift TWO</v>
      </c>
      <c r="E1151" s="1" t="s">
        <v>7</v>
      </c>
      <c r="F1151" s="3">
        <v>40864</v>
      </c>
      <c r="G1151" s="3">
        <v>42857</v>
      </c>
      <c r="H1151" s="3">
        <v>43663</v>
      </c>
      <c r="I1151" s="3">
        <v>43592</v>
      </c>
    </row>
    <row r="1152" spans="2:9" x14ac:dyDescent="0.25">
      <c r="B1152" s="2" t="str">
        <f>"114106#"</f>
        <v>114106#</v>
      </c>
      <c r="C1152" s="2" t="str">
        <f t="shared" si="22"/>
        <v>TWO-G-87-S</v>
      </c>
      <c r="D1152" s="1" t="str">
        <f t="shared" si="23"/>
        <v>Hergebruik Otolift TWO</v>
      </c>
      <c r="E1152" s="1" t="s">
        <v>7</v>
      </c>
      <c r="F1152" s="3">
        <v>40931</v>
      </c>
      <c r="G1152" s="3">
        <v>42054</v>
      </c>
      <c r="H1152" s="3">
        <v>43539</v>
      </c>
      <c r="I1152" s="3">
        <v>43905</v>
      </c>
    </row>
    <row r="1153" spans="2:9" x14ac:dyDescent="0.25">
      <c r="B1153" s="2" t="str">
        <f>"NL19-002943"</f>
        <v>NL19-002943</v>
      </c>
      <c r="C1153" s="2" t="str">
        <f>"MOD-G-6040-1"</f>
        <v>MOD-G-6040-1</v>
      </c>
      <c r="D1153" s="1" t="str">
        <f>"Traplift 2 bochten"</f>
        <v>Traplift 2 bochten</v>
      </c>
      <c r="E1153" s="1" t="s">
        <v>7</v>
      </c>
      <c r="F1153" s="3">
        <v>43795</v>
      </c>
      <c r="G1153" s="3">
        <v>43795</v>
      </c>
      <c r="H1153" s="3" t="str">
        <f>""</f>
        <v/>
      </c>
      <c r="I1153" s="3" t="str">
        <f>""</f>
        <v/>
      </c>
    </row>
    <row r="1154" spans="2:9" x14ac:dyDescent="0.25">
      <c r="B1154" s="2" t="str">
        <f>"116107#"</f>
        <v>116107#</v>
      </c>
      <c r="C1154" s="2" t="str">
        <f t="shared" ref="C1154:C1163" si="24">"TWO-G-87-S"</f>
        <v>TWO-G-87-S</v>
      </c>
      <c r="D1154" s="1" t="str">
        <f>"Hergebruik Otolift TWO"</f>
        <v>Hergebruik Otolift TWO</v>
      </c>
      <c r="E1154" s="1" t="s">
        <v>7</v>
      </c>
      <c r="F1154" s="3">
        <v>41158</v>
      </c>
      <c r="G1154" s="3">
        <v>42922</v>
      </c>
      <c r="H1154" s="3">
        <v>43663</v>
      </c>
      <c r="I1154" s="3">
        <v>43663</v>
      </c>
    </row>
    <row r="1155" spans="2:9" x14ac:dyDescent="0.25">
      <c r="B1155" s="2" t="str">
        <f>"116897#"</f>
        <v>116897#</v>
      </c>
      <c r="C1155" s="2" t="str">
        <f t="shared" si="24"/>
        <v>TWO-G-87-S</v>
      </c>
      <c r="D1155" s="1" t="str">
        <f>"Hergebruik Otolift TWO"</f>
        <v>Hergebruik Otolift TWO</v>
      </c>
      <c r="E1155" s="1" t="s">
        <v>7</v>
      </c>
      <c r="F1155" s="3">
        <v>41242</v>
      </c>
      <c r="G1155" s="3">
        <v>42915</v>
      </c>
      <c r="H1155" s="3">
        <v>43453</v>
      </c>
      <c r="I1155" s="3">
        <v>43818</v>
      </c>
    </row>
    <row r="1156" spans="2:9" x14ac:dyDescent="0.25">
      <c r="B1156" s="2" t="str">
        <f>"120535#"</f>
        <v>120535#</v>
      </c>
      <c r="C1156" s="2" t="str">
        <f t="shared" si="24"/>
        <v>TWO-G-87-S</v>
      </c>
      <c r="D1156" s="1" t="str">
        <f>"Hergebruik Otolift TWO"</f>
        <v>Hergebruik Otolift TWO</v>
      </c>
      <c r="E1156" s="1" t="s">
        <v>7</v>
      </c>
      <c r="F1156" s="3">
        <v>41683</v>
      </c>
      <c r="G1156" s="3">
        <v>42677</v>
      </c>
      <c r="H1156" s="3">
        <v>43766</v>
      </c>
      <c r="I1156" s="3">
        <v>43783</v>
      </c>
    </row>
    <row r="1157" spans="2:9" x14ac:dyDescent="0.25">
      <c r="B1157" s="2" t="str">
        <f>"124904#"</f>
        <v>124904#</v>
      </c>
      <c r="C1157" s="2" t="str">
        <f t="shared" si="24"/>
        <v>TWO-G-87-S</v>
      </c>
      <c r="D1157" s="1" t="str">
        <f>"Hergebruik Otolift TWO"</f>
        <v>Hergebruik Otolift TWO</v>
      </c>
      <c r="E1157" s="1" t="s">
        <v>7</v>
      </c>
      <c r="F1157" s="3">
        <v>42254</v>
      </c>
      <c r="G1157" s="3">
        <v>42817</v>
      </c>
      <c r="H1157" s="3">
        <v>43801</v>
      </c>
      <c r="I1157" s="3">
        <v>43581</v>
      </c>
    </row>
    <row r="1158" spans="2:9" x14ac:dyDescent="0.25">
      <c r="B1158" s="2" t="str">
        <f>"128302#"</f>
        <v>128302#</v>
      </c>
      <c r="C1158" s="2" t="str">
        <f t="shared" si="24"/>
        <v>TWO-G-87-S</v>
      </c>
      <c r="D1158" s="1" t="str">
        <f>"Otolift TWO"</f>
        <v>Otolift TWO</v>
      </c>
      <c r="E1158" s="1" t="s">
        <v>7</v>
      </c>
      <c r="F1158" s="3">
        <v>42619</v>
      </c>
      <c r="G1158" s="3">
        <v>42619</v>
      </c>
      <c r="H1158" s="3">
        <v>43438</v>
      </c>
      <c r="I1158" s="3">
        <v>43803</v>
      </c>
    </row>
    <row r="1159" spans="2:9" x14ac:dyDescent="0.25">
      <c r="B1159" s="2" t="str">
        <f>"128981#"</f>
        <v>128981#</v>
      </c>
      <c r="C1159" s="2" t="str">
        <f t="shared" si="24"/>
        <v>TWO-G-87-S</v>
      </c>
      <c r="D1159" s="1" t="str">
        <f>"Hergebruik Otolift TWO"</f>
        <v>Hergebruik Otolift TWO</v>
      </c>
      <c r="E1159" s="1" t="s">
        <v>7</v>
      </c>
      <c r="F1159" s="3">
        <v>42621</v>
      </c>
      <c r="G1159" s="3">
        <v>42822</v>
      </c>
      <c r="H1159" s="3">
        <v>43657</v>
      </c>
      <c r="I1159" s="3">
        <v>43568</v>
      </c>
    </row>
    <row r="1160" spans="2:9" x14ac:dyDescent="0.25">
      <c r="B1160" s="2" t="str">
        <f>"129776#"</f>
        <v>129776#</v>
      </c>
      <c r="C1160" s="2" t="str">
        <f t="shared" si="24"/>
        <v>TWO-G-87-S</v>
      </c>
      <c r="D1160" s="1" t="str">
        <f>"Otolift TWO"</f>
        <v>Otolift TWO</v>
      </c>
      <c r="E1160" s="1" t="s">
        <v>7</v>
      </c>
      <c r="F1160" s="3">
        <v>42664</v>
      </c>
      <c r="G1160" s="3">
        <v>42664</v>
      </c>
      <c r="H1160" s="3">
        <v>43731</v>
      </c>
      <c r="I1160" s="3">
        <v>43837</v>
      </c>
    </row>
    <row r="1161" spans="2:9" x14ac:dyDescent="0.25">
      <c r="B1161" s="2" t="str">
        <f>"134324#"</f>
        <v>134324#</v>
      </c>
      <c r="C1161" s="2" t="str">
        <f t="shared" si="24"/>
        <v>TWO-G-87-S</v>
      </c>
      <c r="D1161" s="1" t="str">
        <f>"Hergebruik Otolift TWO"</f>
        <v>Hergebruik Otolift TWO</v>
      </c>
      <c r="E1161" s="1" t="s">
        <v>7</v>
      </c>
      <c r="F1161" s="3">
        <v>43059</v>
      </c>
      <c r="G1161" s="3">
        <v>43059</v>
      </c>
      <c r="H1161" s="3">
        <v>43496</v>
      </c>
      <c r="I1161" s="3">
        <v>43797</v>
      </c>
    </row>
    <row r="1162" spans="2:9" x14ac:dyDescent="0.25">
      <c r="B1162" s="2" t="str">
        <f>"134325#"</f>
        <v>134325#</v>
      </c>
      <c r="C1162" s="2" t="str">
        <f t="shared" si="24"/>
        <v>TWO-G-87-S</v>
      </c>
      <c r="D1162" s="1" t="str">
        <f>"Hergebruik Otolift TWO"</f>
        <v>Hergebruik Otolift TWO</v>
      </c>
      <c r="E1162" s="1" t="s">
        <v>7</v>
      </c>
      <c r="F1162" s="3">
        <v>43052</v>
      </c>
      <c r="G1162" s="3">
        <v>43060</v>
      </c>
      <c r="H1162" s="3">
        <v>43487</v>
      </c>
      <c r="I1162" s="3">
        <v>43852</v>
      </c>
    </row>
    <row r="1163" spans="2:9" x14ac:dyDescent="0.25">
      <c r="B1163" s="2" t="str">
        <f>"134608#"</f>
        <v>134608#</v>
      </c>
      <c r="C1163" s="2" t="str">
        <f t="shared" si="24"/>
        <v>TWO-G-87-S</v>
      </c>
      <c r="D1163" s="1" t="str">
        <f>"Otolift TWO"</f>
        <v>Otolift TWO</v>
      </c>
      <c r="E1163" s="1" t="s">
        <v>7</v>
      </c>
      <c r="F1163" s="3">
        <v>43068</v>
      </c>
      <c r="G1163" s="3">
        <v>43068</v>
      </c>
      <c r="H1163" s="3">
        <v>43781</v>
      </c>
      <c r="I1163" s="3">
        <v>43851</v>
      </c>
    </row>
    <row r="1164" spans="2:9" x14ac:dyDescent="0.25">
      <c r="B1164" s="2" t="str">
        <f>"NL19-003764"</f>
        <v>NL19-003764</v>
      </c>
      <c r="C1164" s="2" t="str">
        <f>"MOD-B-6050-1"</f>
        <v>MOD-B-6050-1</v>
      </c>
      <c r="D1164" s="1" t="str">
        <f>"Traplift met 1 bocht"</f>
        <v>Traplift met 1 bocht</v>
      </c>
      <c r="E1164" s="1" t="s">
        <v>9</v>
      </c>
      <c r="F1164" s="3">
        <v>43802</v>
      </c>
      <c r="G1164" s="3">
        <v>43802</v>
      </c>
      <c r="H1164" s="3" t="str">
        <f>""</f>
        <v/>
      </c>
      <c r="I1164" s="3" t="str">
        <f>""</f>
        <v/>
      </c>
    </row>
    <row r="1165" spans="2:9" x14ac:dyDescent="0.25">
      <c r="B1165" s="2" t="str">
        <f>"109758#"</f>
        <v>109758#</v>
      </c>
      <c r="C1165" s="2" t="str">
        <f>"TWO-G-87-SZ"</f>
        <v>TWO-G-87-SZ</v>
      </c>
      <c r="D1165" s="1" t="str">
        <f>"Hergebruik Otolift TWO"</f>
        <v>Hergebruik Otolift TWO</v>
      </c>
      <c r="E1165" s="1" t="s">
        <v>7</v>
      </c>
      <c r="F1165" s="3">
        <v>40483</v>
      </c>
      <c r="G1165" s="3">
        <v>42481</v>
      </c>
      <c r="H1165" s="3">
        <v>43635</v>
      </c>
      <c r="I1165" s="3">
        <v>43838</v>
      </c>
    </row>
    <row r="1166" spans="2:9" x14ac:dyDescent="0.25">
      <c r="B1166" s="2" t="str">
        <f>"091927#"</f>
        <v>091927#</v>
      </c>
      <c r="C1166" s="2" t="str">
        <f>"TWO-G-87-Z"</f>
        <v>TWO-G-87-Z</v>
      </c>
      <c r="D1166" s="1" t="str">
        <f>"Hergebruik Otolift TWO buitenbocht trap"</f>
        <v>Hergebruik Otolift TWO buitenbocht trap</v>
      </c>
      <c r="E1166" s="1" t="s">
        <v>7</v>
      </c>
      <c r="F1166" s="3">
        <v>39035</v>
      </c>
      <c r="G1166" s="3">
        <v>41905</v>
      </c>
      <c r="H1166" s="3">
        <v>43717</v>
      </c>
      <c r="I1166" s="3">
        <v>43839</v>
      </c>
    </row>
    <row r="1167" spans="2:9" x14ac:dyDescent="0.25">
      <c r="B1167" s="2" t="str">
        <f>"098792#"</f>
        <v>098792#</v>
      </c>
      <c r="C1167" s="2" t="str">
        <f>"TWO-H-87"</f>
        <v>TWO-H-87</v>
      </c>
      <c r="D1167" s="1" t="str">
        <f>"Hergebruik Otolift TWO"</f>
        <v>Hergebruik Otolift TWO</v>
      </c>
      <c r="E1167" s="1" t="s">
        <v>7</v>
      </c>
      <c r="F1167" s="3">
        <v>39659</v>
      </c>
      <c r="G1167" s="3">
        <v>42177</v>
      </c>
      <c r="H1167" s="3">
        <v>43808</v>
      </c>
      <c r="I1167" s="3">
        <v>43496</v>
      </c>
    </row>
    <row r="1168" spans="2:9" x14ac:dyDescent="0.25">
      <c r="B1168" s="2" t="str">
        <f>"VOR-19003147"</f>
        <v>VOR-19003147</v>
      </c>
      <c r="C1168" s="2" t="str">
        <f>"MOD-B-6050-1"</f>
        <v>MOD-B-6050-1</v>
      </c>
      <c r="D1168" s="1" t="str">
        <f>"Otolift Modul-AIR"</f>
        <v>Otolift Modul-AIR</v>
      </c>
      <c r="E1168" s="1" t="s">
        <v>9</v>
      </c>
      <c r="F1168" s="3">
        <v>43636</v>
      </c>
      <c r="G1168" s="3" t="str">
        <f>""</f>
        <v/>
      </c>
      <c r="H1168" s="3" t="str">
        <f>""</f>
        <v/>
      </c>
      <c r="I1168" s="3" t="str">
        <f>""</f>
        <v/>
      </c>
    </row>
    <row r="1169" spans="2:9" x14ac:dyDescent="0.25">
      <c r="B1169" s="2" t="str">
        <f>"88070#"</f>
        <v>88070#</v>
      </c>
      <c r="C1169" s="2" t="str">
        <f>"TWO-H-87"</f>
        <v>TWO-H-87</v>
      </c>
      <c r="D1169" s="1" t="str">
        <f>"Hergebruik Otolift TWO buitenbocht trap"</f>
        <v>Hergebruik Otolift TWO buitenbocht trap</v>
      </c>
      <c r="E1169" s="1" t="s">
        <v>7</v>
      </c>
      <c r="F1169" s="3">
        <v>38783</v>
      </c>
      <c r="G1169" s="3">
        <v>41893</v>
      </c>
      <c r="H1169" s="3">
        <v>43794</v>
      </c>
      <c r="I1169" s="3">
        <v>43739</v>
      </c>
    </row>
    <row r="1170" spans="2:9" x14ac:dyDescent="0.25">
      <c r="B1170" s="2" t="str">
        <f>"113702#"</f>
        <v>113702#</v>
      </c>
      <c r="C1170" s="2" t="str">
        <f>"TWO-K-87-S"</f>
        <v>TWO-K-87-S</v>
      </c>
      <c r="D1170" s="1" t="str">
        <f>"Hergebruik Otolift TWO"</f>
        <v>Hergebruik Otolift TWO</v>
      </c>
      <c r="E1170" s="1" t="s">
        <v>7</v>
      </c>
      <c r="F1170" s="3">
        <v>40875</v>
      </c>
      <c r="G1170" s="3">
        <v>42793</v>
      </c>
      <c r="H1170" s="3">
        <v>43564</v>
      </c>
      <c r="I1170" s="3">
        <v>43930</v>
      </c>
    </row>
    <row r="1171" spans="2:9" x14ac:dyDescent="0.25">
      <c r="B1171" s="2" t="str">
        <f>"089245#"</f>
        <v>089245#</v>
      </c>
      <c r="C1171" s="2" t="str">
        <f>"TWO-N-87"</f>
        <v>TWO-N-87</v>
      </c>
      <c r="D1171" s="1" t="str">
        <f>"Hergebruik Otolift TWO"</f>
        <v>Hergebruik Otolift TWO</v>
      </c>
      <c r="E1171" s="1" t="s">
        <v>11</v>
      </c>
      <c r="F1171" s="3">
        <v>38814</v>
      </c>
      <c r="G1171" s="3">
        <v>42159</v>
      </c>
      <c r="H1171" s="3">
        <v>43634</v>
      </c>
      <c r="I1171" s="3">
        <v>43572</v>
      </c>
    </row>
    <row r="1172" spans="2:9" x14ac:dyDescent="0.25">
      <c r="B1172" s="2" t="str">
        <f>"VOR-19003629"</f>
        <v>VOR-19003629</v>
      </c>
      <c r="C1172" s="2" t="str">
        <f>"MOD-G-6040-1"</f>
        <v>MOD-G-6040-1</v>
      </c>
      <c r="D1172" s="1" t="str">
        <f>"Traplift met twee bochten"</f>
        <v>Traplift met twee bochten</v>
      </c>
      <c r="E1172" s="1" t="s">
        <v>7</v>
      </c>
      <c r="F1172" s="3">
        <v>43679</v>
      </c>
      <c r="G1172" s="3" t="str">
        <f>""</f>
        <v/>
      </c>
      <c r="H1172" s="3" t="str">
        <f>""</f>
        <v/>
      </c>
      <c r="I1172" s="3" t="str">
        <f>""</f>
        <v/>
      </c>
    </row>
    <row r="1173" spans="2:9" x14ac:dyDescent="0.25">
      <c r="B1173" s="2" t="str">
        <f>"NL19-000672"</f>
        <v>NL19-000672</v>
      </c>
      <c r="C1173" s="2" t="str">
        <f>"MOD-G-6050-1"</f>
        <v>MOD-G-6050-1</v>
      </c>
      <c r="D1173" s="1" t="str">
        <f>"Traplift 2 bochten"</f>
        <v>Traplift 2 bochten</v>
      </c>
      <c r="E1173" s="1" t="s">
        <v>7</v>
      </c>
      <c r="F1173" s="3">
        <v>43669</v>
      </c>
      <c r="G1173" s="3" t="str">
        <f>""</f>
        <v/>
      </c>
      <c r="H1173" s="3" t="str">
        <f>""</f>
        <v/>
      </c>
      <c r="I1173" s="3" t="str">
        <f>""</f>
        <v/>
      </c>
    </row>
    <row r="1174" spans="2:9" x14ac:dyDescent="0.25">
      <c r="B1174" s="2" t="str">
        <f>"X0786A"</f>
        <v>X0786A</v>
      </c>
      <c r="C1174" s="2" t="str">
        <f>"TWO-45-S"</f>
        <v>TWO-45-S</v>
      </c>
      <c r="D1174" s="1" t="str">
        <f>"Hergebruik Flexirail® model G"</f>
        <v>Hergebruik Flexirail® model G</v>
      </c>
      <c r="E1174" s="1" t="s">
        <v>7</v>
      </c>
      <c r="F1174" s="3">
        <v>37790</v>
      </c>
      <c r="G1174" s="3">
        <v>37790</v>
      </c>
      <c r="H1174" s="3">
        <v>43726</v>
      </c>
      <c r="I1174" s="3">
        <v>43691</v>
      </c>
    </row>
  </sheetData>
  <sheetProtection password="D507" sheet="1" objects="1" scenarios="1" autoFilter="0"/>
  <autoFilter ref="B3:I1174"/>
  <mergeCells count="1">
    <mergeCell ref="B1:I1"/>
  </mergeCells>
  <pageMargins left="0.7" right="0.7" top="0.75" bottom="0.75" header="0.3" footer="0.3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Bestaande trapliften gemeente Utrecht V0.1</dc:title>
  <dc:subject>Bijlage Bestaande trapliften gemeente Utrecht V0.1</dc:subject>
  <dc:creator>Schwarz, Arne</dc:creator>
  <cp:lastModifiedBy>Schwarz, Arne</cp:lastModifiedBy>
  <dcterms:created xsi:type="dcterms:W3CDTF">2019-12-17T13:22:50Z</dcterms:created>
  <dcterms:modified xsi:type="dcterms:W3CDTF">2020-01-21T09:50:22Z</dcterms:modified>
</cp:coreProperties>
</file>