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llem\Inkada BV\Team site - Documenten\10 Projecten\Gemeente Almelo\Beheer wijkcentra 2019\Nota van Inlichtingen\NVI 4\"/>
    </mc:Choice>
  </mc:AlternateContent>
  <xr:revisionPtr revIDLastSave="0" documentId="13_ncr:1_{4ED51C8C-F8BA-4B30-AF9F-39776EA5855A}" xr6:coauthVersionLast="45" xr6:coauthVersionMax="45" xr10:uidLastSave="{00000000-0000-0000-0000-000000000000}"/>
  <bookViews>
    <workbookView xWindow="-120" yWindow="-120" windowWidth="29040" windowHeight="15840" tabRatio="962" activeTab="14" xr2:uid="{00000000-000D-0000-FFFF-FFFF00000000}"/>
  </bookViews>
  <sheets>
    <sheet name="Eninver" sheetId="7" r:id="rId1"/>
    <sheet name="m2 Eninver" sheetId="16" r:id="rId2"/>
    <sheet name="Schoppe" sheetId="9" r:id="rId3"/>
    <sheet name="m2 Schoppe" sheetId="13" r:id="rId4"/>
    <sheet name="De Schelf" sheetId="4" r:id="rId5"/>
    <sheet name="m2 de Schelf" sheetId="11" r:id="rId6"/>
    <sheet name="Goossenmaat" sheetId="6" r:id="rId7"/>
    <sheet name="m2 Goossenmaat" sheetId="12" r:id="rId8"/>
    <sheet name="Mollnwiek" sheetId="8" r:id="rId9"/>
    <sheet name="m2 Molnnwiek" sheetId="14" r:id="rId10"/>
    <sheet name="De Driehoek" sheetId="5" r:id="rId11"/>
    <sheet name="m2 de Driehoek" sheetId="15" r:id="rId12"/>
    <sheet name="Bezoekersaantallen" sheetId="10" r:id="rId13"/>
    <sheet name="energie" sheetId="18" r:id="rId14"/>
    <sheet name="calculatieblad" sheetId="1" r:id="rId15"/>
    <sheet name="basis data aangepast" sheetId="20" r:id="rId16"/>
    <sheet name="detail nv1 3" sheetId="19" state="hidden" r:id="rId17"/>
  </sheets>
  <definedNames>
    <definedName name="_xlnm._FilterDatabase" localSheetId="1" hidden="1">'m2 Eninver'!$A$1:$I$170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62" i="1" l="1"/>
  <c r="H61" i="1"/>
  <c r="H60" i="1"/>
  <c r="F67" i="1" l="1"/>
  <c r="F55" i="1"/>
  <c r="H55" i="1" s="1"/>
  <c r="F54" i="1"/>
  <c r="H54" i="1" s="1"/>
  <c r="F53" i="1"/>
  <c r="H53" i="1" s="1"/>
  <c r="F52" i="1"/>
  <c r="H52" i="1" s="1"/>
  <c r="F51" i="1"/>
  <c r="H51" i="1" s="1"/>
  <c r="F48" i="1"/>
  <c r="H48" i="1" s="1"/>
  <c r="F47" i="1"/>
  <c r="H47" i="1" s="1"/>
  <c r="F46" i="1"/>
  <c r="H46" i="1" s="1"/>
  <c r="F45" i="1"/>
  <c r="H45" i="1" s="1"/>
  <c r="F43" i="1"/>
  <c r="F40" i="1"/>
  <c r="H40" i="1" s="1"/>
  <c r="F39" i="1"/>
  <c r="H39" i="1" s="1"/>
  <c r="F38" i="1"/>
  <c r="H38" i="1" s="1"/>
  <c r="F32" i="1"/>
  <c r="H32" i="1" s="1"/>
  <c r="F31" i="1"/>
  <c r="H31" i="1" s="1"/>
  <c r="F30" i="1"/>
  <c r="H30" i="1" s="1"/>
  <c r="F29" i="1"/>
  <c r="H29" i="1" s="1"/>
  <c r="F28" i="1"/>
  <c r="H28" i="1" s="1"/>
  <c r="F27" i="1"/>
  <c r="H27" i="1" s="1"/>
  <c r="F24" i="1"/>
  <c r="H24" i="1" s="1"/>
  <c r="F23" i="1"/>
  <c r="H23" i="1" s="1"/>
  <c r="F22" i="1"/>
  <c r="H22" i="1" s="1"/>
  <c r="F34" i="1"/>
  <c r="H34" i="1" s="1"/>
  <c r="F14" i="1"/>
  <c r="H14" i="1" s="1"/>
  <c r="D8" i="1"/>
  <c r="D60" i="1" s="1"/>
  <c r="G165" i="20"/>
  <c r="G157" i="20"/>
  <c r="G154" i="20"/>
  <c r="G153" i="20"/>
  <c r="J147" i="20"/>
  <c r="I147" i="20"/>
  <c r="O44" i="20" l="1"/>
  <c r="O43" i="20"/>
  <c r="O42" i="20"/>
  <c r="O41" i="20"/>
  <c r="O39" i="20"/>
  <c r="H72" i="15"/>
  <c r="H60" i="15"/>
  <c r="H59" i="15"/>
  <c r="H30" i="14"/>
  <c r="H13" i="14"/>
  <c r="H12" i="14"/>
  <c r="H11" i="14"/>
  <c r="H10" i="14"/>
  <c r="H9" i="14"/>
  <c r="H8" i="14"/>
  <c r="H7" i="14"/>
  <c r="H6" i="14"/>
  <c r="H5" i="14"/>
  <c r="H4" i="14"/>
  <c r="H3" i="14"/>
  <c r="H40" i="12" l="1"/>
  <c r="H8" i="12"/>
  <c r="H100" i="11"/>
  <c r="H92" i="11"/>
  <c r="H91" i="11"/>
  <c r="H88" i="11"/>
  <c r="H87" i="11"/>
  <c r="H86" i="11"/>
  <c r="H77" i="11"/>
  <c r="H80" i="11"/>
  <c r="H79" i="11"/>
  <c r="H78" i="11"/>
  <c r="H34" i="11"/>
  <c r="H33" i="11"/>
  <c r="H32" i="11"/>
  <c r="H23" i="11"/>
  <c r="H22" i="11"/>
  <c r="H21" i="11"/>
  <c r="H20" i="11"/>
  <c r="H16" i="11"/>
  <c r="G57" i="13"/>
  <c r="H58" i="13"/>
  <c r="H12" i="13"/>
  <c r="H11" i="13"/>
  <c r="H172" i="16"/>
  <c r="I164" i="16"/>
  <c r="I165" i="16"/>
  <c r="I139" i="16"/>
  <c r="I138" i="16"/>
  <c r="I137" i="16"/>
  <c r="I136" i="16"/>
  <c r="I135" i="16"/>
  <c r="I134" i="16"/>
  <c r="I133" i="16"/>
  <c r="I131" i="16"/>
  <c r="I130" i="16"/>
  <c r="I129" i="16"/>
  <c r="I128" i="16"/>
  <c r="I127" i="16"/>
  <c r="I126" i="16"/>
  <c r="I125" i="16"/>
  <c r="I124" i="16"/>
  <c r="I123" i="16"/>
  <c r="I122" i="16"/>
  <c r="I121" i="16"/>
  <c r="I120" i="16"/>
  <c r="I119" i="16"/>
  <c r="I118" i="16"/>
  <c r="I117" i="16"/>
  <c r="I116" i="16"/>
  <c r="I115" i="16"/>
  <c r="I113" i="16"/>
  <c r="I112" i="16"/>
  <c r="I111" i="16"/>
  <c r="I110" i="16"/>
  <c r="I109" i="16"/>
  <c r="I63" i="16"/>
  <c r="I62" i="16"/>
  <c r="I61" i="16"/>
  <c r="I60" i="16"/>
  <c r="I59" i="16"/>
  <c r="I58" i="16"/>
  <c r="I57" i="16"/>
  <c r="I56" i="16"/>
  <c r="I54" i="16"/>
  <c r="I53" i="16"/>
  <c r="I52" i="16"/>
  <c r="I51" i="16"/>
  <c r="I50" i="16"/>
  <c r="I49" i="16"/>
  <c r="I48" i="16"/>
  <c r="I47" i="16"/>
  <c r="I46" i="16"/>
  <c r="I45" i="16"/>
  <c r="I44" i="16"/>
  <c r="I43" i="16"/>
  <c r="I42" i="16"/>
  <c r="I41" i="16"/>
  <c r="I40" i="16"/>
  <c r="I39" i="16"/>
  <c r="I38" i="16"/>
  <c r="I37" i="16"/>
  <c r="I36" i="16"/>
  <c r="I35" i="16"/>
  <c r="I34" i="16"/>
  <c r="I172" i="16" l="1"/>
  <c r="H173" i="16" s="1"/>
  <c r="O40" i="20" s="1"/>
  <c r="O45" i="20" s="1"/>
  <c r="D44" i="1" s="1"/>
  <c r="H87" i="16"/>
  <c r="H86" i="16"/>
  <c r="H85" i="16"/>
  <c r="H84" i="16"/>
  <c r="H83" i="16"/>
  <c r="H82" i="16"/>
  <c r="H81" i="16"/>
  <c r="H71" i="16"/>
  <c r="H70" i="16"/>
  <c r="H69" i="16"/>
  <c r="H68" i="16"/>
  <c r="H67" i="16"/>
  <c r="H66" i="16"/>
  <c r="H65" i="16"/>
  <c r="H64" i="16"/>
  <c r="H29" i="16"/>
  <c r="H28" i="16"/>
  <c r="H27" i="16"/>
  <c r="H26" i="16"/>
  <c r="H25" i="16"/>
  <c r="H24" i="16"/>
  <c r="H23" i="16"/>
  <c r="H22" i="16"/>
  <c r="H21" i="16"/>
  <c r="P34" i="20"/>
  <c r="P33" i="20"/>
  <c r="P32" i="20"/>
  <c r="P31" i="20"/>
  <c r="P30" i="20"/>
  <c r="P29" i="20"/>
  <c r="R34" i="20"/>
  <c r="R33" i="20"/>
  <c r="R32" i="20"/>
  <c r="R31" i="20"/>
  <c r="R30" i="20"/>
  <c r="R29" i="20"/>
  <c r="X14" i="7"/>
  <c r="X15" i="7"/>
  <c r="F44" i="1" l="1"/>
  <c r="Q35" i="20"/>
  <c r="Q36" i="20" s="1"/>
  <c r="B9" i="1" s="1"/>
  <c r="O35" i="20"/>
  <c r="H44" i="1" l="1"/>
  <c r="H56" i="1" s="1"/>
  <c r="F56" i="1"/>
  <c r="O36" i="20"/>
  <c r="G20" i="20" l="1"/>
  <c r="G12" i="20"/>
  <c r="G8" i="20"/>
  <c r="G9" i="20"/>
  <c r="F168" i="20"/>
  <c r="E168" i="20"/>
  <c r="D168" i="20"/>
  <c r="C168" i="20"/>
  <c r="F150" i="20"/>
  <c r="E150" i="20"/>
  <c r="D150" i="20"/>
  <c r="C150" i="20"/>
  <c r="J122" i="20"/>
  <c r="J98" i="20"/>
  <c r="J74" i="20"/>
  <c r="J50" i="20"/>
  <c r="I26" i="20"/>
  <c r="J26" i="20"/>
  <c r="J2" i="20"/>
  <c r="I2" i="20"/>
  <c r="C144" i="20"/>
  <c r="D126" i="20"/>
  <c r="C126" i="20"/>
  <c r="C120" i="20"/>
  <c r="C102" i="20"/>
  <c r="D102" i="20"/>
  <c r="C96" i="20"/>
  <c r="D96" i="20"/>
  <c r="C78" i="20"/>
  <c r="F78" i="20"/>
  <c r="D72" i="20"/>
  <c r="C72" i="20"/>
  <c r="E72" i="20"/>
  <c r="C54" i="20"/>
  <c r="C48" i="20"/>
  <c r="D30" i="20"/>
  <c r="C30" i="20"/>
  <c r="E30" i="20"/>
  <c r="D22" i="20"/>
  <c r="E22" i="20" s="1"/>
  <c r="F22" i="20" s="1"/>
  <c r="G22" i="20" s="1"/>
  <c r="G167" i="20" s="1"/>
  <c r="D21" i="20"/>
  <c r="E21" i="20" s="1"/>
  <c r="F21" i="20" s="1"/>
  <c r="G21" i="20" s="1"/>
  <c r="H21" i="20" s="1"/>
  <c r="D20" i="20"/>
  <c r="E20" i="20" s="1"/>
  <c r="F20" i="20" s="1"/>
  <c r="D19" i="20"/>
  <c r="E19" i="20" s="1"/>
  <c r="F19" i="20" s="1"/>
  <c r="G19" i="20" s="1"/>
  <c r="D18" i="20"/>
  <c r="E18" i="20" s="1"/>
  <c r="F18" i="20" s="1"/>
  <c r="G18" i="20" s="1"/>
  <c r="D17" i="20"/>
  <c r="E17" i="20" s="1"/>
  <c r="F17" i="20" s="1"/>
  <c r="G17" i="20" s="1"/>
  <c r="H17" i="20" s="1"/>
  <c r="D16" i="20"/>
  <c r="E16" i="20" s="1"/>
  <c r="F16" i="20" s="1"/>
  <c r="G16" i="20" s="1"/>
  <c r="D15" i="20"/>
  <c r="D14" i="20"/>
  <c r="E14" i="20" s="1"/>
  <c r="F14" i="20" s="1"/>
  <c r="G14" i="20" s="1"/>
  <c r="D13" i="20"/>
  <c r="E13" i="20" s="1"/>
  <c r="F13" i="20" s="1"/>
  <c r="G13" i="20" s="1"/>
  <c r="D12" i="20"/>
  <c r="E12" i="20" s="1"/>
  <c r="F12" i="20" s="1"/>
  <c r="D11" i="20"/>
  <c r="E11" i="20" s="1"/>
  <c r="F11" i="20" s="1"/>
  <c r="G11" i="20" s="1"/>
  <c r="D10" i="20"/>
  <c r="E10" i="20" s="1"/>
  <c r="F10" i="20" s="1"/>
  <c r="G10" i="20" s="1"/>
  <c r="D9" i="20"/>
  <c r="D8" i="20"/>
  <c r="E8" i="20" s="1"/>
  <c r="F8" i="20" s="1"/>
  <c r="D7" i="20"/>
  <c r="D4" i="20"/>
  <c r="E4" i="20" s="1"/>
  <c r="F4" i="20" s="1"/>
  <c r="G4" i="20" s="1"/>
  <c r="D3" i="20"/>
  <c r="E3" i="20" s="1"/>
  <c r="F3" i="20" s="1"/>
  <c r="G3" i="20" s="1"/>
  <c r="E15" i="20"/>
  <c r="F15" i="20" s="1"/>
  <c r="G15" i="20" s="1"/>
  <c r="E7" i="20"/>
  <c r="G99" i="11"/>
  <c r="I74" i="20" s="1"/>
  <c r="G172" i="16"/>
  <c r="I122" i="20" s="1"/>
  <c r="G29" i="14"/>
  <c r="G39" i="12"/>
  <c r="I50" i="20" s="1"/>
  <c r="G71" i="15"/>
  <c r="C5" i="20"/>
  <c r="C23" i="20"/>
  <c r="Y23" i="20"/>
  <c r="Y22" i="20"/>
  <c r="Y21" i="20"/>
  <c r="Y20" i="20"/>
  <c r="Y19" i="20"/>
  <c r="Y18" i="20"/>
  <c r="Y17" i="20"/>
  <c r="Y16" i="20"/>
  <c r="Y15" i="20"/>
  <c r="Y14" i="20"/>
  <c r="Y13" i="20"/>
  <c r="Y12" i="20"/>
  <c r="F18" i="1" s="1"/>
  <c r="H18" i="1" s="1"/>
  <c r="Y11" i="20"/>
  <c r="Y10" i="20"/>
  <c r="Y9" i="20"/>
  <c r="Y8" i="20"/>
  <c r="F13" i="1" s="1"/>
  <c r="H13" i="1" s="1"/>
  <c r="Y7" i="20"/>
  <c r="Y6" i="20"/>
  <c r="Y2" i="20"/>
  <c r="E223" i="19"/>
  <c r="E222" i="19"/>
  <c r="E221" i="19"/>
  <c r="E220" i="19"/>
  <c r="E219" i="19"/>
  <c r="E218" i="19"/>
  <c r="E217" i="19"/>
  <c r="E216" i="19"/>
  <c r="E215" i="19"/>
  <c r="E214" i="19"/>
  <c r="E213" i="19"/>
  <c r="E212" i="19"/>
  <c r="E211" i="19"/>
  <c r="E210" i="19"/>
  <c r="E209" i="19"/>
  <c r="E208" i="19"/>
  <c r="E207" i="19"/>
  <c r="E206" i="19"/>
  <c r="E205" i="19"/>
  <c r="E204" i="19"/>
  <c r="E203" i="19"/>
  <c r="E202" i="19"/>
  <c r="E201" i="19"/>
  <c r="E200" i="19"/>
  <c r="E199" i="19"/>
  <c r="E198" i="19"/>
  <c r="E197" i="19"/>
  <c r="E196" i="19"/>
  <c r="E195" i="19"/>
  <c r="E194" i="19"/>
  <c r="E193" i="19"/>
  <c r="E192" i="19"/>
  <c r="E191" i="19"/>
  <c r="F12" i="1" l="1"/>
  <c r="H12" i="1" s="1"/>
  <c r="H20" i="20"/>
  <c r="H12" i="20"/>
  <c r="H9" i="20"/>
  <c r="H8" i="20"/>
  <c r="H13" i="20"/>
  <c r="H4" i="20"/>
  <c r="G53" i="20" s="1"/>
  <c r="H10" i="20"/>
  <c r="G83" i="20" s="1"/>
  <c r="H19" i="20"/>
  <c r="G44" i="20" s="1"/>
  <c r="H16" i="20"/>
  <c r="H3" i="20"/>
  <c r="G76" i="20" s="1"/>
  <c r="H18" i="20"/>
  <c r="G91" i="20" s="1"/>
  <c r="D23" i="20"/>
  <c r="H15" i="20"/>
  <c r="G88" i="20" s="1"/>
  <c r="G125" i="20"/>
  <c r="G29" i="20"/>
  <c r="G77" i="20"/>
  <c r="G134" i="20"/>
  <c r="G38" i="20"/>
  <c r="G62" i="20"/>
  <c r="G133" i="20"/>
  <c r="G37" i="20"/>
  <c r="G137" i="20"/>
  <c r="G41" i="20"/>
  <c r="G141" i="20"/>
  <c r="G45" i="20"/>
  <c r="G94" i="20"/>
  <c r="G138" i="20"/>
  <c r="G42" i="20"/>
  <c r="G66" i="20"/>
  <c r="G142" i="20"/>
  <c r="G46" i="20"/>
  <c r="G70" i="20"/>
  <c r="G52" i="20"/>
  <c r="G124" i="20"/>
  <c r="G28" i="20"/>
  <c r="G100" i="20"/>
  <c r="G69" i="20"/>
  <c r="H14" i="20"/>
  <c r="H11" i="20"/>
  <c r="G84" i="20" s="1"/>
  <c r="G59" i="20"/>
  <c r="G35" i="20"/>
  <c r="G64" i="20"/>
  <c r="G85" i="20"/>
  <c r="G89" i="20"/>
  <c r="G93" i="20"/>
  <c r="G131" i="20"/>
  <c r="G139" i="20"/>
  <c r="E9" i="20"/>
  <c r="F9" i="20" s="1"/>
  <c r="G40" i="20"/>
  <c r="G61" i="20"/>
  <c r="G65" i="20"/>
  <c r="G86" i="20"/>
  <c r="G90" i="20"/>
  <c r="G136" i="20"/>
  <c r="E54" i="20"/>
  <c r="F54" i="20"/>
  <c r="D78" i="20"/>
  <c r="E126" i="20"/>
  <c r="E23" i="20"/>
  <c r="D48" i="20"/>
  <c r="D54" i="20"/>
  <c r="E78" i="20"/>
  <c r="E102" i="20"/>
  <c r="D144" i="20"/>
  <c r="D120" i="20"/>
  <c r="E96" i="20"/>
  <c r="F7" i="20"/>
  <c r="E5" i="20"/>
  <c r="G5" i="20"/>
  <c r="F5" i="20"/>
  <c r="D5" i="20"/>
  <c r="D41" i="1" l="1"/>
  <c r="D57" i="1" s="1"/>
  <c r="G132" i="20"/>
  <c r="G36" i="20"/>
  <c r="G78" i="20"/>
  <c r="G54" i="20"/>
  <c r="G67" i="20"/>
  <c r="G140" i="20"/>
  <c r="G92" i="20"/>
  <c r="G68" i="20"/>
  <c r="G43" i="20"/>
  <c r="G60" i="20"/>
  <c r="G148" i="20"/>
  <c r="G82" i="20"/>
  <c r="G81" i="20"/>
  <c r="G57" i="20"/>
  <c r="G129" i="20"/>
  <c r="G33" i="20"/>
  <c r="G34" i="20"/>
  <c r="G135" i="20"/>
  <c r="G39" i="20"/>
  <c r="G63" i="20"/>
  <c r="G87" i="20"/>
  <c r="E144" i="20"/>
  <c r="F126" i="20"/>
  <c r="G126" i="20"/>
  <c r="E120" i="20"/>
  <c r="F102" i="20"/>
  <c r="F96" i="20"/>
  <c r="F72" i="20"/>
  <c r="E48" i="20"/>
  <c r="F30" i="20"/>
  <c r="G30" i="20"/>
  <c r="G7" i="20"/>
  <c r="F23" i="20"/>
  <c r="H41" i="1" l="1"/>
  <c r="F41" i="1"/>
  <c r="H148" i="20"/>
  <c r="G130" i="20"/>
  <c r="G58" i="20"/>
  <c r="G23" i="20"/>
  <c r="H7" i="20"/>
  <c r="F144" i="20"/>
  <c r="F120" i="20"/>
  <c r="F48" i="20"/>
  <c r="D56" i="1" l="1"/>
  <c r="G128" i="20"/>
  <c r="G144" i="20" s="1"/>
  <c r="G32" i="20"/>
  <c r="G104" i="20"/>
  <c r="G80" i="20"/>
  <c r="G96" i="20" s="1"/>
  <c r="G56" i="20"/>
  <c r="G72" i="20" s="1"/>
  <c r="K126" i="18"/>
  <c r="I126" i="18"/>
  <c r="F125" i="18"/>
  <c r="E125" i="18"/>
  <c r="E126" i="18" s="1"/>
  <c r="C125" i="18"/>
  <c r="B125" i="18"/>
  <c r="B126" i="18" s="1"/>
  <c r="M108" i="18"/>
  <c r="L108" i="18"/>
  <c r="K108" i="18"/>
  <c r="I108" i="18"/>
  <c r="F107" i="18"/>
  <c r="E107" i="18"/>
  <c r="E108" i="18" s="1"/>
  <c r="C107" i="18"/>
  <c r="B107" i="18"/>
  <c r="N90" i="18"/>
  <c r="M90" i="18"/>
  <c r="L90" i="18"/>
  <c r="K90" i="18"/>
  <c r="I90" i="18"/>
  <c r="F89" i="18"/>
  <c r="E89" i="18"/>
  <c r="E90" i="18" s="1"/>
  <c r="C89" i="18"/>
  <c r="B89" i="18"/>
  <c r="F71" i="18"/>
  <c r="E71" i="18"/>
  <c r="E72" i="18" s="1"/>
  <c r="C71" i="18"/>
  <c r="B71" i="18"/>
  <c r="K54" i="18"/>
  <c r="I54" i="18"/>
  <c r="F53" i="18"/>
  <c r="E53" i="18"/>
  <c r="C53" i="18"/>
  <c r="B53" i="18"/>
  <c r="B54" i="18" s="1"/>
  <c r="K36" i="18"/>
  <c r="I36" i="18"/>
  <c r="F35" i="18"/>
  <c r="E35" i="18"/>
  <c r="E36" i="18" s="1"/>
  <c r="C35" i="18"/>
  <c r="B35" i="18"/>
  <c r="K18" i="18"/>
  <c r="I18" i="18"/>
  <c r="F17" i="18"/>
  <c r="E17" i="18"/>
  <c r="C17" i="18"/>
  <c r="B17" i="18"/>
  <c r="B18" i="18" s="1"/>
  <c r="F8" i="1" l="1"/>
  <c r="G48" i="20"/>
  <c r="G152" i="20"/>
  <c r="B108" i="18"/>
  <c r="I129" i="18"/>
  <c r="E18" i="18"/>
  <c r="B36" i="18"/>
  <c r="E54" i="18"/>
  <c r="E129" i="18" s="1"/>
  <c r="B72" i="18"/>
  <c r="B90" i="18"/>
  <c r="B129" i="18" s="1"/>
  <c r="K129" i="18"/>
  <c r="D61" i="1" l="1"/>
  <c r="F57" i="1"/>
  <c r="D7" i="9"/>
  <c r="E4" i="9" s="1"/>
  <c r="D7" i="4"/>
  <c r="G5" i="4" s="1"/>
  <c r="G4" i="4"/>
  <c r="N7" i="4"/>
  <c r="L7" i="4"/>
  <c r="J7" i="4"/>
  <c r="G3" i="4"/>
  <c r="D7" i="8"/>
  <c r="E4" i="8" s="1"/>
  <c r="D7" i="6"/>
  <c r="E4" i="6" s="1"/>
  <c r="D7" i="7"/>
  <c r="E4" i="7" s="1"/>
  <c r="E6" i="5"/>
  <c r="F4" i="5" s="1"/>
  <c r="H8" i="1" l="1"/>
  <c r="E5" i="9"/>
  <c r="E3" i="9"/>
  <c r="E5" i="8"/>
  <c r="E3" i="8"/>
  <c r="E5" i="6"/>
  <c r="E3" i="6"/>
  <c r="E5" i="7"/>
  <c r="E3" i="7"/>
  <c r="F5" i="5"/>
  <c r="F3" i="5"/>
  <c r="H57" i="1" l="1"/>
  <c r="G35" i="10"/>
  <c r="F35" i="10"/>
  <c r="E35" i="10"/>
  <c r="D35" i="10"/>
  <c r="C35" i="10"/>
  <c r="H34" i="10"/>
  <c r="G34" i="10"/>
  <c r="F34" i="10"/>
  <c r="E34" i="10"/>
  <c r="D34" i="10"/>
  <c r="C34" i="10"/>
  <c r="H33" i="10"/>
  <c r="G33" i="10"/>
  <c r="F33" i="10"/>
  <c r="E33" i="10"/>
  <c r="D33" i="10"/>
  <c r="C33" i="10"/>
  <c r="H5" i="10"/>
  <c r="H35" i="10" s="1"/>
  <c r="V28" i="9" l="1"/>
  <c r="U28" i="9"/>
  <c r="T28" i="9"/>
  <c r="S28" i="9"/>
  <c r="R28" i="9"/>
  <c r="Q28" i="9"/>
  <c r="P28" i="9"/>
  <c r="O28" i="9"/>
  <c r="N28" i="9"/>
  <c r="M28" i="9"/>
  <c r="L28" i="9"/>
  <c r="K28" i="9"/>
  <c r="J28" i="9"/>
  <c r="I28" i="9"/>
  <c r="H28" i="9"/>
  <c r="G28" i="9"/>
  <c r="F28" i="9"/>
  <c r="E28" i="9"/>
  <c r="D28" i="9"/>
  <c r="C28" i="9"/>
  <c r="B28" i="9"/>
  <c r="B30" i="9" s="1"/>
  <c r="W27" i="9"/>
  <c r="W26" i="9"/>
  <c r="W25" i="9"/>
  <c r="W24" i="9"/>
  <c r="W23" i="9"/>
  <c r="W22" i="9"/>
  <c r="W21" i="9"/>
  <c r="W20" i="9"/>
  <c r="W19" i="9"/>
  <c r="W18" i="9"/>
  <c r="W17" i="9"/>
  <c r="W16" i="9"/>
  <c r="W15" i="9"/>
  <c r="B31" i="9" s="1"/>
  <c r="V17" i="8" l="1"/>
  <c r="U17" i="8"/>
  <c r="T17" i="8"/>
  <c r="S17" i="8"/>
  <c r="R17" i="8"/>
  <c r="Q17" i="8"/>
  <c r="P17" i="8"/>
  <c r="O17" i="8"/>
  <c r="N17" i="8"/>
  <c r="M17" i="8"/>
  <c r="L17" i="8"/>
  <c r="K17" i="8"/>
  <c r="J17" i="8"/>
  <c r="I17" i="8"/>
  <c r="H17" i="8"/>
  <c r="G17" i="8"/>
  <c r="F17" i="8"/>
  <c r="E17" i="8"/>
  <c r="D17" i="8"/>
  <c r="C17" i="8"/>
  <c r="B17" i="8"/>
  <c r="B19" i="8" s="1"/>
  <c r="W16" i="8"/>
  <c r="W15" i="8"/>
  <c r="W14" i="8"/>
  <c r="W13" i="8"/>
  <c r="B20" i="8" s="1"/>
  <c r="V46" i="7" l="1"/>
  <c r="U46" i="7"/>
  <c r="T46" i="7"/>
  <c r="S46" i="7"/>
  <c r="R46" i="7"/>
  <c r="Q46" i="7"/>
  <c r="P46" i="7"/>
  <c r="O46" i="7"/>
  <c r="N46" i="7"/>
  <c r="M46" i="7"/>
  <c r="L46" i="7"/>
  <c r="K46" i="7"/>
  <c r="J46" i="7"/>
  <c r="I46" i="7"/>
  <c r="H46" i="7"/>
  <c r="G46" i="7"/>
  <c r="F46" i="7"/>
  <c r="E46" i="7"/>
  <c r="D46" i="7"/>
  <c r="C46" i="7"/>
  <c r="B46" i="7"/>
  <c r="X45" i="7"/>
  <c r="X44" i="7"/>
  <c r="X43" i="7"/>
  <c r="X42" i="7"/>
  <c r="X41" i="7"/>
  <c r="X40" i="7"/>
  <c r="X39" i="7"/>
  <c r="X38" i="7"/>
  <c r="X37" i="7"/>
  <c r="X36" i="7"/>
  <c r="X35" i="7"/>
  <c r="X34" i="7"/>
  <c r="X33" i="7"/>
  <c r="X32" i="7"/>
  <c r="X31" i="7"/>
  <c r="X30" i="7"/>
  <c r="X29" i="7"/>
  <c r="X28" i="7"/>
  <c r="X27" i="7"/>
  <c r="X26" i="7"/>
  <c r="X25" i="7"/>
  <c r="X24" i="7"/>
  <c r="X23" i="7"/>
  <c r="X22" i="7"/>
  <c r="X21" i="7"/>
  <c r="X20" i="7"/>
  <c r="X19" i="7"/>
  <c r="X18" i="7"/>
  <c r="X17" i="7"/>
  <c r="X16" i="7"/>
  <c r="B49" i="7" l="1"/>
  <c r="B48" i="7"/>
  <c r="V26" i="6"/>
  <c r="U26" i="6"/>
  <c r="T26" i="6"/>
  <c r="S26" i="6"/>
  <c r="R26" i="6"/>
  <c r="Q26" i="6"/>
  <c r="P26" i="6"/>
  <c r="O26" i="6"/>
  <c r="N26" i="6"/>
  <c r="M26" i="6"/>
  <c r="L26" i="6"/>
  <c r="K26" i="6"/>
  <c r="J26" i="6"/>
  <c r="I26" i="6"/>
  <c r="H26" i="6"/>
  <c r="G26" i="6"/>
  <c r="F26" i="6"/>
  <c r="E26" i="6"/>
  <c r="D26" i="6"/>
  <c r="C26" i="6"/>
  <c r="B26" i="6"/>
  <c r="B28" i="6" s="1"/>
  <c r="W25" i="6"/>
  <c r="W24" i="6"/>
  <c r="W23" i="6"/>
  <c r="W22" i="6"/>
  <c r="W21" i="6"/>
  <c r="W20" i="6"/>
  <c r="W19" i="6"/>
  <c r="W18" i="6"/>
  <c r="W17" i="6"/>
  <c r="W16" i="6"/>
  <c r="W15" i="6"/>
  <c r="B29" i="6" s="1"/>
  <c r="W26" i="5" l="1"/>
  <c r="V26" i="5"/>
  <c r="U26" i="5"/>
  <c r="T26" i="5"/>
  <c r="S26" i="5"/>
  <c r="R26" i="5"/>
  <c r="Q26" i="5"/>
  <c r="P26" i="5"/>
  <c r="O26" i="5"/>
  <c r="N26" i="5"/>
  <c r="M26" i="5"/>
  <c r="L26" i="5"/>
  <c r="K26" i="5"/>
  <c r="J26" i="5"/>
  <c r="I26" i="5"/>
  <c r="H26" i="5"/>
  <c r="G26" i="5"/>
  <c r="F26" i="5"/>
  <c r="E26" i="5"/>
  <c r="D26" i="5"/>
  <c r="C26" i="5"/>
  <c r="C28" i="5" s="1"/>
  <c r="X25" i="5"/>
  <c r="X24" i="5"/>
  <c r="X23" i="5"/>
  <c r="X22" i="5"/>
  <c r="X21" i="5"/>
  <c r="X20" i="5"/>
  <c r="X19" i="5"/>
  <c r="X18" i="5"/>
  <c r="X17" i="5"/>
  <c r="X16" i="5"/>
  <c r="X15" i="5"/>
  <c r="X14" i="5"/>
  <c r="X13" i="5"/>
  <c r="C29" i="5" s="1"/>
  <c r="AC38" i="4" l="1"/>
  <c r="AB38" i="4"/>
  <c r="AA38" i="4"/>
  <c r="Y38" i="4"/>
  <c r="X38" i="4"/>
  <c r="W38" i="4"/>
  <c r="U38" i="4"/>
  <c r="T38" i="4"/>
  <c r="S38" i="4"/>
  <c r="Q38" i="4"/>
  <c r="P38" i="4"/>
  <c r="O38" i="4"/>
  <c r="M38" i="4"/>
  <c r="L38" i="4"/>
  <c r="K38" i="4"/>
  <c r="I38" i="4"/>
  <c r="H38" i="4"/>
  <c r="G38" i="4"/>
  <c r="E38" i="4"/>
  <c r="D38" i="4"/>
  <c r="C38" i="4"/>
  <c r="C40" i="4" s="1"/>
  <c r="AD36" i="4"/>
  <c r="AD35" i="4"/>
  <c r="AD34" i="4"/>
  <c r="AD33" i="4"/>
  <c r="AD32" i="4"/>
  <c r="AD31" i="4"/>
  <c r="AD30" i="4"/>
  <c r="AD29" i="4"/>
  <c r="AD28" i="4"/>
  <c r="AD27" i="4"/>
  <c r="AD26" i="4"/>
  <c r="AD25" i="4"/>
  <c r="AD24" i="4"/>
  <c r="AD23" i="4"/>
  <c r="AD22" i="4"/>
  <c r="AD21" i="4"/>
  <c r="AD20" i="4"/>
  <c r="AD19" i="4"/>
  <c r="AD18" i="4"/>
  <c r="AD17" i="4"/>
  <c r="AD16" i="4"/>
  <c r="AD15" i="4"/>
  <c r="AD14" i="4"/>
  <c r="AD13" i="4"/>
  <c r="AD12" i="4"/>
  <c r="C41" i="4" s="1"/>
  <c r="B62" i="1" l="1"/>
  <c r="B61" i="1"/>
  <c r="B60" i="1"/>
  <c r="B64" i="1" l="1"/>
  <c r="F60" i="1" l="1"/>
  <c r="G60" i="1" s="1"/>
  <c r="D62" i="1" l="1"/>
  <c r="F61" i="1"/>
  <c r="G61" i="1" s="1"/>
  <c r="F62" i="1" l="1"/>
  <c r="G62" i="1" s="1"/>
  <c r="D64" i="1"/>
  <c r="F64" i="1" s="1"/>
  <c r="I98" i="20"/>
  <c r="G105" i="20" s="1"/>
  <c r="G64" i="1" l="1"/>
  <c r="G106" i="20"/>
  <c r="G117" i="20"/>
  <c r="G115" i="20"/>
  <c r="G163" i="20" s="1"/>
  <c r="G108" i="20"/>
  <c r="G156" i="20" s="1"/>
  <c r="H156" i="20" s="1"/>
  <c r="G101" i="20"/>
  <c r="G110" i="20"/>
  <c r="G158" i="20" s="1"/>
  <c r="G113" i="20"/>
  <c r="G161" i="20" s="1"/>
  <c r="G114" i="20"/>
  <c r="G162" i="20" s="1"/>
  <c r="G111" i="20"/>
  <c r="G159" i="20" s="1"/>
  <c r="H159" i="20" s="1"/>
  <c r="G118" i="20"/>
  <c r="G166" i="20" s="1"/>
  <c r="G107" i="20"/>
  <c r="G155" i="20" s="1"/>
  <c r="H155" i="20" s="1"/>
  <c r="G109" i="20"/>
  <c r="G116" i="20"/>
  <c r="G164" i="20" s="1"/>
  <c r="G112" i="20"/>
  <c r="G160" i="20" s="1"/>
  <c r="G102" i="20" l="1"/>
  <c r="G149" i="20"/>
  <c r="G150" i="20" s="1"/>
  <c r="G120" i="20"/>
  <c r="G168" i="20"/>
</calcChain>
</file>

<file path=xl/sharedStrings.xml><?xml version="1.0" encoding="utf-8"?>
<sst xmlns="http://schemas.openxmlformats.org/spreadsheetml/2006/main" count="5220" uniqueCount="1033">
  <si>
    <t>Wijkcentrum Eninver</t>
  </si>
  <si>
    <t>Wijkcentrum Schoppe</t>
  </si>
  <si>
    <t>Wijkcentrum De Schelf</t>
  </si>
  <si>
    <t>Wijkcentrum Mollnwiek</t>
  </si>
  <si>
    <t>in te vullen door Inschrijver</t>
  </si>
  <si>
    <t>Onderdeel Exploitatie 6 wijkcentra</t>
  </si>
  <si>
    <t>647511 wijkaccom stb personeel inhuur soweco</t>
  </si>
  <si>
    <t>647512 wijkaccom stb personeel personeel studie</t>
  </si>
  <si>
    <t>647513 wijkaccom stb personeel overige kosten</t>
  </si>
  <si>
    <t>647514 wijkaccom stb personeel doorberekening</t>
  </si>
  <si>
    <t>647521 wijkaccom stb huisv. ozb gebruikers</t>
  </si>
  <si>
    <t>647522 wijkaccom stb huisv. riool-zuiveringsl.</t>
  </si>
  <si>
    <t>647523 wijkaccom stb huisv. beveiliging</t>
  </si>
  <si>
    <t>647524 wijkaccom stb huisv. verzek. inventaris</t>
  </si>
  <si>
    <t>647525 wijkaccom stb huisv. onderhoud binnen</t>
  </si>
  <si>
    <t xml:space="preserve">647531 wijkaccom stb energie gas  </t>
  </si>
  <si>
    <t>647532 wijkaccom stb energie electra</t>
  </si>
  <si>
    <t>647533 wijkaccom stb energie water</t>
  </si>
  <si>
    <t>647541 wijkaccom stb schoonmaak inhuur derden</t>
  </si>
  <si>
    <t>647542 wijkaccom stb schoonmaak matariaal</t>
  </si>
  <si>
    <t>647543 wijkaccom stb schoonmaak afvoer huisvuil</t>
  </si>
  <si>
    <t>647551 wijkaccom stb kantoor/org. telefoon/ict</t>
  </si>
  <si>
    <t>647552 wijkaccom stb kantoor/org. buma/stemra/s</t>
  </si>
  <si>
    <t>647553 wijkaccom stb kantoor/org. cai</t>
  </si>
  <si>
    <t>647554 wijkaccom stb kantoor/org. kantoorkosten</t>
  </si>
  <si>
    <t>647555 wijkaccom stb kantoor/org. organisatie</t>
  </si>
  <si>
    <t>647561 wijkaccom stb horeca btw laag</t>
  </si>
  <si>
    <t>647562 wijkaccom stb horeca btw hoog</t>
  </si>
  <si>
    <t>647580 wijkaccom stb baten verhuur structureel</t>
  </si>
  <si>
    <t>647581 wijkaccom stb baten verhuur incidenteel</t>
  </si>
  <si>
    <t>647585 wijkaccom stb baten horeca btw laag</t>
  </si>
  <si>
    <t>647586 wijkaccom stb baten horeca btw hoog</t>
  </si>
  <si>
    <t>647526 wijkaccom stb huisv. wsp wijkservicepunt</t>
  </si>
  <si>
    <t>647584 wijkaccom stb baten doorbel. energieverb</t>
  </si>
  <si>
    <t>647589 wijkaccom stb baten overige</t>
  </si>
  <si>
    <t>647583 wijkaccom stb baten bijdragen derden</t>
  </si>
  <si>
    <t>647563 wijkaccom stb horeca buurtrestaurant</t>
  </si>
  <si>
    <t>647588 wijkaccom stb baten buurtrest. btw laag</t>
  </si>
  <si>
    <t>647582 wijkaccom stb baten verhuur sportzaal</t>
  </si>
  <si>
    <t>Kansendossier</t>
  </si>
  <si>
    <t>Totaal reductie</t>
  </si>
  <si>
    <t>Exploitatiebijdrage gemeente Almelo</t>
  </si>
  <si>
    <t xml:space="preserve">Voor het onderdeel kansendossier dient de inschrijver minimaal het volgende te beschrijven: </t>
  </si>
  <si>
    <t>•              Welke kansen heeft inschrijver geïdentificeerd om tot efficiëntere processen en kostenreductie te komen;</t>
  </si>
  <si>
    <t xml:space="preserve">•              Welke maatregelen garandeert inschrijver om de kansen te realiseren; </t>
  </si>
  <si>
    <t>maatregel</t>
  </si>
  <si>
    <t>verifieerbaar</t>
  </si>
  <si>
    <t>omschrijving kostenreductie</t>
  </si>
  <si>
    <t xml:space="preserve"> Er dienen alleen kansen opgenomen te worden, die onderdeel uitmaken van het standaard aanbod.</t>
  </si>
  <si>
    <t>jaar 1</t>
  </si>
  <si>
    <t>jaar 2</t>
  </si>
  <si>
    <t>jaar 3</t>
  </si>
  <si>
    <t>Totaal REDUCTIE</t>
  </si>
  <si>
    <t>opbr - kost</t>
  </si>
  <si>
    <t>tov 1e jaar</t>
  </si>
  <si>
    <t>tov 2e jaar</t>
  </si>
  <si>
    <t>let op*</t>
  </si>
  <si>
    <t>kosten</t>
  </si>
  <si>
    <t>opbrengst</t>
  </si>
  <si>
    <t>Bijkomende opbrengsten in te vullen door Inschrijver</t>
  </si>
  <si>
    <t>bijdrage gemeente</t>
  </si>
  <si>
    <t>zonder korting</t>
  </si>
  <si>
    <t>invloed kansen</t>
  </si>
  <si>
    <t xml:space="preserve">jaar 2 </t>
  </si>
  <si>
    <t>kansendossier</t>
  </si>
  <si>
    <t>•              Hoe dragen deze maatregelen extra bij aan de financieledoelstelling (onderbouwd met verifieerbare prestatie-informatie).</t>
  </si>
  <si>
    <t>reductie over de periode</t>
  </si>
  <si>
    <t>handtekening inschrijver</t>
  </si>
  <si>
    <t>datum</t>
  </si>
  <si>
    <t>naam:</t>
  </si>
  <si>
    <t>naam inschrijver</t>
  </si>
  <si>
    <t>functie</t>
  </si>
  <si>
    <t xml:space="preserve">Budgetbewaking pand(en) totaaloverzicht </t>
  </si>
  <si>
    <t xml:space="preserve">  </t>
  </si>
  <si>
    <t>Deelobject</t>
  </si>
  <si>
    <t>Project</t>
  </si>
  <si>
    <t>Kostenplaats</t>
  </si>
  <si>
    <t>32200ST welzijnsac. algemeen</t>
  </si>
  <si>
    <t>X32200 Goossenmaat</t>
  </si>
  <si>
    <t>32217ST welzijnsac. Goossenmaat platanenstraat 38-40</t>
  </si>
  <si>
    <t>X32217 welzijnsac. De Schelf</t>
  </si>
  <si>
    <t>32218ST welzijnsac. binnenhof 51</t>
  </si>
  <si>
    <t>32218ST welzijnsac. De Schelf binnenhof 51</t>
  </si>
  <si>
    <t>Mollnwiek</t>
  </si>
  <si>
    <t>32223ST welzijnsac. leemhorst 9</t>
  </si>
  <si>
    <t>32223ST welzijnsac. Mollnwiek leemhorst 9</t>
  </si>
  <si>
    <t>Schoppe</t>
  </si>
  <si>
    <t>32224ST welzijnsac. clematisstraat schoppe</t>
  </si>
  <si>
    <t>32224ST welzijnsac. Mollnwiek clematisstraat</t>
  </si>
  <si>
    <t>Eninver</t>
  </si>
  <si>
    <t>32232ST welzijnsac. mfa eninver apollolaan 1</t>
  </si>
  <si>
    <t>X32232 welzijnsac. mfa eninver apollolaan 1</t>
  </si>
  <si>
    <t>Wijkcentrum Goossenmaat</t>
  </si>
  <si>
    <t>De Driehoek</t>
  </si>
  <si>
    <t>32227 welzijnsac. De Driehoek, Jan Tooropstraat 27</t>
  </si>
  <si>
    <t xml:space="preserve"> €                      -  </t>
  </si>
  <si>
    <t>Ruimte</t>
  </si>
  <si>
    <t>Maandag</t>
  </si>
  <si>
    <t>Dinsdag</t>
  </si>
  <si>
    <t>Woensdag</t>
  </si>
  <si>
    <t>Donderdag</t>
  </si>
  <si>
    <t>Vrijdag</t>
  </si>
  <si>
    <t>Zaterdag</t>
  </si>
  <si>
    <t>Zondag</t>
  </si>
  <si>
    <t>bezettings % per ruimte</t>
  </si>
  <si>
    <t>Mo</t>
  </si>
  <si>
    <t>Mi</t>
  </si>
  <si>
    <t>Av</t>
  </si>
  <si>
    <t>Zaal 1 kerk monofunctioneel. Gebruik naar behoefte. In de praktijk dagelijks meerdere keren</t>
  </si>
  <si>
    <t>8.00-22.00</t>
  </si>
  <si>
    <t>Zaal 2</t>
  </si>
  <si>
    <t>seniorweb 13.00-16.00</t>
  </si>
  <si>
    <t>Wolvilten 19.00-22.00</t>
  </si>
  <si>
    <t>peuterspeelzaal 9.00-12.00</t>
  </si>
  <si>
    <t>diverse overleggen 9.00-12.00</t>
  </si>
  <si>
    <t>RIBW 13.00-16.00</t>
  </si>
  <si>
    <t>div. overleggen 9.00-12.00</t>
  </si>
  <si>
    <t>schaken 18.00-23.00</t>
  </si>
  <si>
    <t>Zaal 3</t>
  </si>
  <si>
    <t>noachkerk 19.00-22.00</t>
  </si>
  <si>
    <t>wwo 14.00-16.00</t>
  </si>
  <si>
    <t>Zaal 4</t>
  </si>
  <si>
    <t>WWO soos 14.00-16.00</t>
  </si>
  <si>
    <t>klaverjassen wijk 19.00-22.30</t>
  </si>
  <si>
    <t>div. overleggen 9.00-12.02</t>
  </si>
  <si>
    <t>schaken 18.00-23.01</t>
  </si>
  <si>
    <t>Zaal6</t>
  </si>
  <si>
    <t>trombosedienst bldprikken  9.00-12.00</t>
  </si>
  <si>
    <t>Zaal 6a homoepathie monofunctioneel. Gebruik naar behoefte. In de praktijk dagelijks meerdere keren</t>
  </si>
  <si>
    <t>Bewegingszaal</t>
  </si>
  <si>
    <t>Yoga wijk 9.00-11.30</t>
  </si>
  <si>
    <t>x</t>
  </si>
  <si>
    <t>Streetdance 19.15-21.15</t>
  </si>
  <si>
    <t>Tai Chi wijk 9.30-11.30</t>
  </si>
  <si>
    <t>Damesgym 13.30-17.00</t>
  </si>
  <si>
    <t>Ballet 19.00-20.00</t>
  </si>
  <si>
    <t>Tai chi wijk 19.00-21.00</t>
  </si>
  <si>
    <t>Kuil/Bar ontmoeting wijk</t>
  </si>
  <si>
    <t>volksdansen18.30-21.00</t>
  </si>
  <si>
    <t>Bieb laag</t>
  </si>
  <si>
    <t>Bieb hoog</t>
  </si>
  <si>
    <t>Kerkzaal noachkerk monofunctioneel</t>
  </si>
  <si>
    <t>Atelier</t>
  </si>
  <si>
    <t>Creatief</t>
  </si>
  <si>
    <t>Pottenbakken 19.30-22.30</t>
  </si>
  <si>
    <t>Pottenbakken 9.00-12.00</t>
  </si>
  <si>
    <t>houtberwerken 9.00-12.00</t>
  </si>
  <si>
    <t>keuken divers gebruik en eigen horeca</t>
  </si>
  <si>
    <t>AB hulp koken wijkbewoners 16.30-19.30</t>
  </si>
  <si>
    <t>Tienersoos monofunctioneel scoop</t>
  </si>
  <si>
    <t>Bieb kantoor</t>
  </si>
  <si>
    <t>x biljartclub 13.00-17.00</t>
  </si>
  <si>
    <t>biljartclub13.00-17.00</t>
  </si>
  <si>
    <t>biljartclub 13.00-17.00</t>
  </si>
  <si>
    <t xml:space="preserve"> biljartclub13.00-17.00</t>
  </si>
  <si>
    <t>biljartclub 19.00-22.00</t>
  </si>
  <si>
    <t>Bezettingspercentage per dagdeel</t>
  </si>
  <si>
    <t>Gem. bezet% per dagdeel</t>
  </si>
  <si>
    <t>%</t>
  </si>
  <si>
    <t>Gem bezet% van de ruimtes</t>
  </si>
  <si>
    <t>Bezet% per ruimte</t>
  </si>
  <si>
    <t>Dag</t>
  </si>
  <si>
    <t>maandag</t>
  </si>
  <si>
    <t>dinsdag</t>
  </si>
  <si>
    <t>woensdag</t>
  </si>
  <si>
    <t>donderdag</t>
  </si>
  <si>
    <t>vrijdag</t>
  </si>
  <si>
    <t>zaterdag</t>
  </si>
  <si>
    <t>zondag</t>
  </si>
  <si>
    <t>mo</t>
  </si>
  <si>
    <t>mi</t>
  </si>
  <si>
    <t>av</t>
  </si>
  <si>
    <t>Bar, centrale hal Algemeen gebruik</t>
  </si>
  <si>
    <t>Handvaardigheidlokaal, monofunctioneel</t>
  </si>
  <si>
    <t xml:space="preserve">spreekkamer 1. gebruik naar behoefte. In de dagelijkse praktijk meerder keren per dag. </t>
  </si>
  <si>
    <t>spreekkamer 2 gebruik naar behoefte. In de dagelijkse praktijk meerder keren per dag</t>
  </si>
  <si>
    <t xml:space="preserve">vergaderlok 1. gebruik naar behoefte. In de dagelijkse praktijk meerder keren per dag. </t>
  </si>
  <si>
    <t xml:space="preserve">vergaderlok 3. gebruik naar behoefte. In de dagelijkse praktijk meerder keren per dag. </t>
  </si>
  <si>
    <t>Vergader-comp.lokaal</t>
  </si>
  <si>
    <t>sportzaal'</t>
  </si>
  <si>
    <t>mannenkoor. 19.00-23.00</t>
  </si>
  <si>
    <t>seniorengym. 9.00-11.00</t>
  </si>
  <si>
    <t>country dance 19.00-23.00</t>
  </si>
  <si>
    <t>biljart (In de sportzaal)</t>
  </si>
  <si>
    <t>x 19.00-22.00</t>
  </si>
  <si>
    <t>keuken eigen horeca e.a.</t>
  </si>
  <si>
    <t>Kleurrijk koken 16.00-20.00</t>
  </si>
  <si>
    <t>x + AB hulp koken 16.00-19.15</t>
  </si>
  <si>
    <t>bezet% per dagdeel</t>
  </si>
  <si>
    <t>Gem. bezet% van de ruimtes</t>
  </si>
  <si>
    <t xml:space="preserve">Ruimtegebruik De Goossenmaat </t>
  </si>
  <si>
    <t>bezet% per ruimte</t>
  </si>
  <si>
    <t>ontmoetingsruimte 1, vrije inloop wijkbewoners en div. act</t>
  </si>
  <si>
    <t>de eethoek 10.00-13.00</t>
  </si>
  <si>
    <t>Abhulp 19.00-21.30</t>
  </si>
  <si>
    <t>de keuken, div. activiteiten en eigen horeca</t>
  </si>
  <si>
    <t>de eethoek 16.00-19.30</t>
  </si>
  <si>
    <t>x 8.00-22.00</t>
  </si>
  <si>
    <t>x 9.00-12.00</t>
  </si>
  <si>
    <t>x 12.00-17.00</t>
  </si>
  <si>
    <t>x 14.00-16.00</t>
  </si>
  <si>
    <t>ontmoetingsruimte 2</t>
  </si>
  <si>
    <t>Podium/vergaderruimte</t>
  </si>
  <si>
    <t>handvaardighheidslokaal</t>
  </si>
  <si>
    <t>band oefenen 10.00-14.00</t>
  </si>
  <si>
    <t>wijk frobelavond 19.00-22.30</t>
  </si>
  <si>
    <t>kantoorruimte 4, beheerder</t>
  </si>
  <si>
    <t>gem bezet% per dagdeel</t>
  </si>
  <si>
    <t>bezet% gemiddeld van de ruimtes</t>
  </si>
  <si>
    <t>Ruimtegebruik MFA Eninver</t>
  </si>
  <si>
    <t>Zegge, monofunctionele ruimtes, 949m²</t>
  </si>
  <si>
    <t>Palet, monofunctionele ruimtes, 502m²</t>
  </si>
  <si>
    <t>Scholen Speellokaal A.BG.20 permanent ingericht met speeltoestellen</t>
  </si>
  <si>
    <t>Keuken-spoelkeuken A.BG.22 en 23</t>
  </si>
  <si>
    <t>eigen horeca en kooklessen</t>
  </si>
  <si>
    <t>Foyer A.BG.18</t>
  </si>
  <si>
    <t>ontmoeting en biljart</t>
  </si>
  <si>
    <t>Gele zaal A.1E.26</t>
  </si>
  <si>
    <t>Verlengde schooldag 14.30-16.30</t>
  </si>
  <si>
    <t>chinese school 10.00-13.00</t>
  </si>
  <si>
    <t>Lokaal-speellokaal A.BG.08</t>
  </si>
  <si>
    <t>Verlengde schooldag 14.30-16.31</t>
  </si>
  <si>
    <t>wijkact. koersbal  9.00-11.30</t>
  </si>
  <si>
    <t>GGD 19.00-22.00</t>
  </si>
  <si>
    <t>wijkact. naaiclub 9.00-12.00</t>
  </si>
  <si>
    <t>GGD 19.00-21.00</t>
  </si>
  <si>
    <t>Triangel 18.00-21.00</t>
  </si>
  <si>
    <t>chinese school 10.00-13.01</t>
  </si>
  <si>
    <t xml:space="preserve">Lokaal-speellokaal A.BG.010. Overdag speellok. voor onderbouw. "s avonds wijkact. </t>
  </si>
  <si>
    <t>Scholen</t>
  </si>
  <si>
    <t>Verlengde schooldag 14.30-16.32</t>
  </si>
  <si>
    <t>scholen</t>
  </si>
  <si>
    <t>Triangel 18.00-21.01</t>
  </si>
  <si>
    <t>Triangel  12.00-16.00</t>
  </si>
  <si>
    <t>chinese school 10.00-13.02</t>
  </si>
  <si>
    <t>Handvaardigheidlokaal A.1E.15</t>
  </si>
  <si>
    <t>Verlengde schooldag 14.30-16.33</t>
  </si>
  <si>
    <t>schilderen. 9.00-12.00</t>
  </si>
  <si>
    <t>modelbouwclub 18.00-22.00</t>
  </si>
  <si>
    <t>Handvaardigheid/leslokaal A.1E.16</t>
  </si>
  <si>
    <t>Verlengde schooldag 14.30-16.34</t>
  </si>
  <si>
    <t>lokaal-podium A.BG.30</t>
  </si>
  <si>
    <t>Fastfoodopleidingen 9.00-14.00</t>
  </si>
  <si>
    <t>Verlengde schooldag 14.30-16.35</t>
  </si>
  <si>
    <t>weight watch 18.00-21.00</t>
  </si>
  <si>
    <t>chinese school 10.00-13.05</t>
  </si>
  <si>
    <t xml:space="preserve">Buurtkamer A.BG.04. gebruik naar behoefte. In de dagelijkse praktijk meerdere keren per dag. </t>
  </si>
  <si>
    <t>div overleg</t>
  </si>
  <si>
    <t>Logopedie 9.00-16.00</t>
  </si>
  <si>
    <t>Logopedie 9.00-16.01</t>
  </si>
  <si>
    <t>Rijbewijskeuring</t>
  </si>
  <si>
    <t>Verlengde schooldag 14.30-16.36</t>
  </si>
  <si>
    <t>chinese school 10.00-13.06</t>
  </si>
  <si>
    <t>RIBW per 1-2-2016</t>
  </si>
  <si>
    <t>RIBW per 1-2-2017</t>
  </si>
  <si>
    <t>RIBW per 1-2-2018</t>
  </si>
  <si>
    <t>RIBW per 1-2-2019</t>
  </si>
  <si>
    <t>RIBW per 1-2-2020</t>
  </si>
  <si>
    <t>RIBW per 1-2-2021</t>
  </si>
  <si>
    <t>RIBW per 1-2-2022</t>
  </si>
  <si>
    <t>RIBW per 1-2-2023</t>
  </si>
  <si>
    <t>RIBW per 1-2-2024</t>
  </si>
  <si>
    <t>RIBW per 1-2-2025</t>
  </si>
  <si>
    <t>RIBW per 1-2-2026</t>
  </si>
  <si>
    <t>bezetting% per dagdeel</t>
  </si>
  <si>
    <t>bezet% gemiddeld per dagdeel</t>
  </si>
  <si>
    <t>Ruimtegebruik Mollnwiek</t>
  </si>
  <si>
    <t>bezettings% per ruimte</t>
  </si>
  <si>
    <t>Crearuimte/BSO, monofunctioneel kantoor beheerder en scoop en gebruik als vergaderruimte</t>
  </si>
  <si>
    <t>fotogroep 19.30-22.00</t>
  </si>
  <si>
    <t>Grote zaal incl/excl. Podium</t>
  </si>
  <si>
    <t>orkest 18.00-22.00</t>
  </si>
  <si>
    <t>Kelder monofunctioneel tienerruimte</t>
  </si>
  <si>
    <t>bandje 19.00-23.00</t>
  </si>
  <si>
    <t>bezettings% per dagdeel</t>
  </si>
  <si>
    <t>Ruimtegebruik de Schöppe</t>
  </si>
  <si>
    <t>Grote zaal</t>
  </si>
  <si>
    <t>Serop 8.00-12.00</t>
  </si>
  <si>
    <t>Serop 12.00-18.00</t>
  </si>
  <si>
    <t>stg. Wij… kaarten 19.00-22.30</t>
  </si>
  <si>
    <t>kaarten 18.00-22.00</t>
  </si>
  <si>
    <t xml:space="preserve">ontmoetingsruimte/bar monofunctioneel </t>
  </si>
  <si>
    <t xml:space="preserve">kelder monofunctioneel tienersoos. Ruimte ingericht als soos. </t>
  </si>
  <si>
    <t>x  19.00-21.00</t>
  </si>
  <si>
    <t>x 14.00-17.00</t>
  </si>
  <si>
    <t xml:space="preserve">x </t>
  </si>
  <si>
    <t xml:space="preserve">lokaal 6 monofunctioneel Buitenschoolse opvang Ruimte ingericht als BSO. </t>
  </si>
  <si>
    <t>lokaal 7</t>
  </si>
  <si>
    <t>logopedie 8.00-12.00</t>
  </si>
  <si>
    <t>logopedie 12.00-17.00</t>
  </si>
  <si>
    <t>wetswinkel twente per januari 19.00-21.00</t>
  </si>
  <si>
    <t>lokaal 8</t>
  </si>
  <si>
    <t>wetswinkel twente per januari 19.00-21.01</t>
  </si>
  <si>
    <t>lokaal 11</t>
  </si>
  <si>
    <t>Buurtrestaurant 11.00-12.00</t>
  </si>
  <si>
    <t>Buurtrestaurant 12.00-18.00</t>
  </si>
  <si>
    <t>Buurtrestaurant 18.00-19.30</t>
  </si>
  <si>
    <t>Rijbewijskeuring 10.00-16.00</t>
  </si>
  <si>
    <t>RIBW 16.00-18.00</t>
  </si>
  <si>
    <t>Lokalen gang monofunctioneel RIBW. Gebruik naar behoefte. In de praktij dagelijks meerdere keren.</t>
  </si>
  <si>
    <t>kantoor beheer</t>
  </si>
  <si>
    <t>Keuken, eigen horecagebruik</t>
  </si>
  <si>
    <t>x     en buurtrest. 11.00-18.00</t>
  </si>
  <si>
    <t xml:space="preserve">x     en buurtrest. 18.00-19.30  </t>
  </si>
  <si>
    <t>bezettings%  per dagdeel</t>
  </si>
  <si>
    <t>gem. bezet% per dagdeel</t>
  </si>
  <si>
    <t>gem bezet% van de ruimtes</t>
  </si>
  <si>
    <t>Ruimten De Schelf</t>
  </si>
  <si>
    <t xml:space="preserve">647511 wijkaccom stb personeel </t>
  </si>
  <si>
    <t>647511 wijkaccom inhuur soweco</t>
  </si>
  <si>
    <t>Bezoekersaantallen totaal</t>
  </si>
  <si>
    <t>Goossenmaat</t>
  </si>
  <si>
    <t>Totaal bezoekers</t>
  </si>
  <si>
    <t>Commercieel %</t>
  </si>
  <si>
    <t>Niet-commercieel en gratis %</t>
  </si>
  <si>
    <t>Möll'nwiek</t>
  </si>
  <si>
    <t>Schelf</t>
  </si>
  <si>
    <t>Schöppe</t>
  </si>
  <si>
    <t>Driehoek</t>
  </si>
  <si>
    <t>Totaal</t>
  </si>
  <si>
    <t>Bezoekers</t>
  </si>
  <si>
    <t>Niet commercieel en gratis %</t>
  </si>
  <si>
    <t>De Schelf</t>
  </si>
  <si>
    <t>Ruimtenummer</t>
  </si>
  <si>
    <t>Ruimtesoort</t>
  </si>
  <si>
    <t>Vloerafwerking</t>
  </si>
  <si>
    <t>Verhuurd</t>
  </si>
  <si>
    <t>Bedrijf</t>
  </si>
  <si>
    <t>m2</t>
  </si>
  <si>
    <t>Begane grond</t>
  </si>
  <si>
    <t>0.1</t>
  </si>
  <si>
    <t>Verkeersruimte</t>
  </si>
  <si>
    <t>Grindvloer</t>
  </si>
  <si>
    <t>0.67</t>
  </si>
  <si>
    <t>Kantoor</t>
  </si>
  <si>
    <t>Linoleum onderhoudsarm</t>
  </si>
  <si>
    <t>Ja</t>
  </si>
  <si>
    <t>Avedan</t>
  </si>
  <si>
    <t>0.69</t>
  </si>
  <si>
    <t>Nee</t>
  </si>
  <si>
    <t>0.68</t>
  </si>
  <si>
    <t>Berging</t>
  </si>
  <si>
    <t>Beton</t>
  </si>
  <si>
    <t>0.65</t>
  </si>
  <si>
    <t>Ontmoetingsruimte</t>
  </si>
  <si>
    <t>0.66</t>
  </si>
  <si>
    <t>PVC</t>
  </si>
  <si>
    <t>0.63</t>
  </si>
  <si>
    <t>Kast</t>
  </si>
  <si>
    <t xml:space="preserve">Linoleum  </t>
  </si>
  <si>
    <t>0.64</t>
  </si>
  <si>
    <t>Toilet</t>
  </si>
  <si>
    <t>Tegels</t>
  </si>
  <si>
    <t>0.60</t>
  </si>
  <si>
    <t>Peuterspeelzaal</t>
  </si>
  <si>
    <t xml:space="preserve">Linoleum </t>
  </si>
  <si>
    <t>0.62</t>
  </si>
  <si>
    <t>Linoleum</t>
  </si>
  <si>
    <t>0.61</t>
  </si>
  <si>
    <t>Gietvloer</t>
  </si>
  <si>
    <t>0.59</t>
  </si>
  <si>
    <t>0.58</t>
  </si>
  <si>
    <t>Humanitas</t>
  </si>
  <si>
    <t>0.57</t>
  </si>
  <si>
    <t>Zaal 5</t>
  </si>
  <si>
    <t>Tapijt</t>
  </si>
  <si>
    <t>0.70</t>
  </si>
  <si>
    <t>0.55</t>
  </si>
  <si>
    <t>Activiteitenruimte</t>
  </si>
  <si>
    <t>0.46a</t>
  </si>
  <si>
    <t>0.44</t>
  </si>
  <si>
    <t>Zeil</t>
  </si>
  <si>
    <t>Medlon</t>
  </si>
  <si>
    <t>0.45</t>
  </si>
  <si>
    <t>0.47</t>
  </si>
  <si>
    <t>0.48</t>
  </si>
  <si>
    <t>0.49</t>
  </si>
  <si>
    <t>Pantry</t>
  </si>
  <si>
    <t>0.52</t>
  </si>
  <si>
    <t>0.53</t>
  </si>
  <si>
    <t>0.54</t>
  </si>
  <si>
    <t>0.50</t>
  </si>
  <si>
    <t>0.43</t>
  </si>
  <si>
    <t>Zaal 8</t>
  </si>
  <si>
    <t>0.42</t>
  </si>
  <si>
    <t>0.46</t>
  </si>
  <si>
    <t>0.41</t>
  </si>
  <si>
    <t>0.39</t>
  </si>
  <si>
    <t>0.38</t>
  </si>
  <si>
    <t>0.40</t>
  </si>
  <si>
    <t>`Linoleum</t>
  </si>
  <si>
    <t>0.38b</t>
  </si>
  <si>
    <t>0.38a</t>
  </si>
  <si>
    <t>0.37</t>
  </si>
  <si>
    <t>0.36</t>
  </si>
  <si>
    <t>0.32</t>
  </si>
  <si>
    <t>Sportzaal</t>
  </si>
  <si>
    <t>Sportvloer</t>
  </si>
  <si>
    <t>0.33</t>
  </si>
  <si>
    <t>Kleedkamer</t>
  </si>
  <si>
    <t>0.35</t>
  </si>
  <si>
    <t>0.34</t>
  </si>
  <si>
    <t>0.29</t>
  </si>
  <si>
    <t>0.30</t>
  </si>
  <si>
    <t>CV ruimte</t>
  </si>
  <si>
    <t>0.31</t>
  </si>
  <si>
    <t>0.28</t>
  </si>
  <si>
    <t>0.27</t>
  </si>
  <si>
    <t>0.56</t>
  </si>
  <si>
    <t>0.25</t>
  </si>
  <si>
    <t>Gas</t>
  </si>
  <si>
    <t>0.26</t>
  </si>
  <si>
    <t>Koeling</t>
  </si>
  <si>
    <t>0.24</t>
  </si>
  <si>
    <t>Bar</t>
  </si>
  <si>
    <t>0.23</t>
  </si>
  <si>
    <t>Keuken</t>
  </si>
  <si>
    <t>0.19</t>
  </si>
  <si>
    <t>0.18</t>
  </si>
  <si>
    <t>0.14</t>
  </si>
  <si>
    <t>0.16</t>
  </si>
  <si>
    <t>Garderobe</t>
  </si>
  <si>
    <t>0.17</t>
  </si>
  <si>
    <t>0.12</t>
  </si>
  <si>
    <t>0.12a</t>
  </si>
  <si>
    <t>Kerk</t>
  </si>
  <si>
    <t>0.22</t>
  </si>
  <si>
    <t>Nvt</t>
  </si>
  <si>
    <t>eigen beheer kerk</t>
  </si>
  <si>
    <t>0.21</t>
  </si>
  <si>
    <t>0.20</t>
  </si>
  <si>
    <t>0.15</t>
  </si>
  <si>
    <t>0.13</t>
  </si>
  <si>
    <t>Kerkzaal</t>
  </si>
  <si>
    <t>0.13a</t>
  </si>
  <si>
    <t>Podium</t>
  </si>
  <si>
    <t>0.2</t>
  </si>
  <si>
    <t>0.3</t>
  </si>
  <si>
    <t>0.4</t>
  </si>
  <si>
    <t>0.5</t>
  </si>
  <si>
    <t>n.b.</t>
  </si>
  <si>
    <t>0.6</t>
  </si>
  <si>
    <t>Washok</t>
  </si>
  <si>
    <t>0.7</t>
  </si>
  <si>
    <t>Werkkast</t>
  </si>
  <si>
    <t>0.8</t>
  </si>
  <si>
    <t>0.9</t>
  </si>
  <si>
    <t>0.10</t>
  </si>
  <si>
    <t>0.11</t>
  </si>
  <si>
    <t>Souterrain</t>
  </si>
  <si>
    <t>-1.6</t>
  </si>
  <si>
    <t>-1.5</t>
  </si>
  <si>
    <t>Zeil/ Grindvloer</t>
  </si>
  <si>
    <t>-1.7</t>
  </si>
  <si>
    <t>-1.8</t>
  </si>
  <si>
    <t>-1.17</t>
  </si>
  <si>
    <t>-1.18</t>
  </si>
  <si>
    <t>-1.19</t>
  </si>
  <si>
    <t>-1.20</t>
  </si>
  <si>
    <t>-1.1</t>
  </si>
  <si>
    <t>-1.2</t>
  </si>
  <si>
    <t>Gecoat beton</t>
  </si>
  <si>
    <t>-1.3</t>
  </si>
  <si>
    <t>-1.4</t>
  </si>
  <si>
    <t>-1.16</t>
  </si>
  <si>
    <t>-1,15</t>
  </si>
  <si>
    <t>Soos</t>
  </si>
  <si>
    <t>-1.14</t>
  </si>
  <si>
    <t>Werkplaats</t>
  </si>
  <si>
    <t>-1.13</t>
  </si>
  <si>
    <t>-1.12</t>
  </si>
  <si>
    <t>Berging 1</t>
  </si>
  <si>
    <t>-1.11</t>
  </si>
  <si>
    <t>Berging 2</t>
  </si>
  <si>
    <t>-1.10</t>
  </si>
  <si>
    <t>Berging 3</t>
  </si>
  <si>
    <t>-1.10a</t>
  </si>
  <si>
    <t>Berging 3a</t>
  </si>
  <si>
    <t>-1.09</t>
  </si>
  <si>
    <t>Berging 4</t>
  </si>
  <si>
    <t>M2</t>
  </si>
  <si>
    <t>0.01</t>
  </si>
  <si>
    <t>Entree</t>
  </si>
  <si>
    <t>0.02</t>
  </si>
  <si>
    <t>0.03</t>
  </si>
  <si>
    <t>Meterkast</t>
  </si>
  <si>
    <t>0.04</t>
  </si>
  <si>
    <t>0.05</t>
  </si>
  <si>
    <t>0.06</t>
  </si>
  <si>
    <t>ja</t>
  </si>
  <si>
    <t>0.07</t>
  </si>
  <si>
    <t>0.08</t>
  </si>
  <si>
    <t>Zorggroep Manna</t>
  </si>
  <si>
    <t>0.09</t>
  </si>
  <si>
    <t>Bergruimte</t>
  </si>
  <si>
    <t>0.10a</t>
  </si>
  <si>
    <t>0.10b</t>
  </si>
  <si>
    <t>0.10c</t>
  </si>
  <si>
    <t>0.10d</t>
  </si>
  <si>
    <t>0.11a</t>
  </si>
  <si>
    <t>0.11b</t>
  </si>
  <si>
    <t>0.11c</t>
  </si>
  <si>
    <t>0.11d</t>
  </si>
  <si>
    <t>Miva Toilet</t>
  </si>
  <si>
    <t>Buiten tegels</t>
  </si>
  <si>
    <t>Eerste verdieping</t>
  </si>
  <si>
    <t>1.01</t>
  </si>
  <si>
    <t>1.06</t>
  </si>
  <si>
    <t>1.02</t>
  </si>
  <si>
    <t>1.03</t>
  </si>
  <si>
    <t>1.04</t>
  </si>
  <si>
    <t>1.05</t>
  </si>
  <si>
    <t>De Schöppe</t>
  </si>
  <si>
    <t>1.11</t>
  </si>
  <si>
    <t>1.12</t>
  </si>
  <si>
    <t>1.13</t>
  </si>
  <si>
    <t>1.14</t>
  </si>
  <si>
    <t>1.19</t>
  </si>
  <si>
    <t>1.17</t>
  </si>
  <si>
    <t>1.16</t>
  </si>
  <si>
    <t>1.22</t>
  </si>
  <si>
    <t>1.20</t>
  </si>
  <si>
    <t>Lokaal</t>
  </si>
  <si>
    <t>1.21</t>
  </si>
  <si>
    <t>1.23</t>
  </si>
  <si>
    <t>1.04a</t>
  </si>
  <si>
    <t>Bijeenkomstruimte</t>
  </si>
  <si>
    <t>1.04b</t>
  </si>
  <si>
    <t>Vergaderruimte</t>
  </si>
  <si>
    <t>1.24</t>
  </si>
  <si>
    <t>1.08</t>
  </si>
  <si>
    <t>1.09</t>
  </si>
  <si>
    <t>Bijkeuken</t>
  </si>
  <si>
    <t>1.07</t>
  </si>
  <si>
    <t>CV Ruimte</t>
  </si>
  <si>
    <t>Douche</t>
  </si>
  <si>
    <t>Kelder</t>
  </si>
  <si>
    <t>Jeugdsoos</t>
  </si>
  <si>
    <t>Möllnwiek</t>
  </si>
  <si>
    <t>Kentalis</t>
  </si>
  <si>
    <t>Wasruimte</t>
  </si>
  <si>
    <t>-1.44</t>
  </si>
  <si>
    <t>-1.45</t>
  </si>
  <si>
    <t>-1.46</t>
  </si>
  <si>
    <t>-1.48</t>
  </si>
  <si>
    <t>-1.47</t>
  </si>
  <si>
    <t>-1.49</t>
  </si>
  <si>
    <t>Centrale hal</t>
  </si>
  <si>
    <t>0.09a</t>
  </si>
  <si>
    <t>0.09b</t>
  </si>
  <si>
    <t>0.26a</t>
  </si>
  <si>
    <t>Technische ruimte</t>
  </si>
  <si>
    <t>0.12b</t>
  </si>
  <si>
    <t>Containerruimte</t>
  </si>
  <si>
    <t>0.08a</t>
  </si>
  <si>
    <t>0.08b</t>
  </si>
  <si>
    <t>0.08c</t>
  </si>
  <si>
    <t>0.08d</t>
  </si>
  <si>
    <t>Gemeente Almelo</t>
  </si>
  <si>
    <t>0.51</t>
  </si>
  <si>
    <t>TSN Thuiszorg</t>
  </si>
  <si>
    <t>a.bg.17</t>
  </si>
  <si>
    <t>a.bg.18</t>
  </si>
  <si>
    <t>Leescafe</t>
  </si>
  <si>
    <t>a.bg.16</t>
  </si>
  <si>
    <t>Tarkett/ linoleum</t>
  </si>
  <si>
    <t>a.bg.01</t>
  </si>
  <si>
    <t>a.bg.02</t>
  </si>
  <si>
    <t>Repro</t>
  </si>
  <si>
    <t>a.bg.03</t>
  </si>
  <si>
    <t>Magazijn</t>
  </si>
  <si>
    <t>a.bg.05</t>
  </si>
  <si>
    <t>a.bg.31</t>
  </si>
  <si>
    <t>a.bg.04</t>
  </si>
  <si>
    <t>a.bg.06</t>
  </si>
  <si>
    <t>a.bg.07</t>
  </si>
  <si>
    <t>a.bg.30</t>
  </si>
  <si>
    <t>Gemeenschappelijke ruimte</t>
  </si>
  <si>
    <t>a.bg.09</t>
  </si>
  <si>
    <t>a.bg.08</t>
  </si>
  <si>
    <t>a.bg.10</t>
  </si>
  <si>
    <t>a.bg.11</t>
  </si>
  <si>
    <t>b.bg.02</t>
  </si>
  <si>
    <t>b.bg.01</t>
  </si>
  <si>
    <t>Speellokaal</t>
  </si>
  <si>
    <t>b.bg.03</t>
  </si>
  <si>
    <t>Groepsruimte</t>
  </si>
  <si>
    <t>b.bg.04</t>
  </si>
  <si>
    <t>b.bg.05</t>
  </si>
  <si>
    <t>b.bg.06</t>
  </si>
  <si>
    <t>b.bg.07</t>
  </si>
  <si>
    <t>nee</t>
  </si>
  <si>
    <t>b.bg.11</t>
  </si>
  <si>
    <t>b.bg.08</t>
  </si>
  <si>
    <t>b.bg.09</t>
  </si>
  <si>
    <t>b.bg.10</t>
  </si>
  <si>
    <t>a.bg.13</t>
  </si>
  <si>
    <t>a.bg.12</t>
  </si>
  <si>
    <t>a.bg.14</t>
  </si>
  <si>
    <t>a.bg.15</t>
  </si>
  <si>
    <t>s.bg.28</t>
  </si>
  <si>
    <t>Het Palet</t>
  </si>
  <si>
    <t>s.bg.27</t>
  </si>
  <si>
    <t>s.bg.26</t>
  </si>
  <si>
    <t>s.bg.24</t>
  </si>
  <si>
    <t>s.bg.20</t>
  </si>
  <si>
    <t>s.bg.23</t>
  </si>
  <si>
    <t>s.bg.22</t>
  </si>
  <si>
    <t>s.bg.21</t>
  </si>
  <si>
    <t>s.bg.25</t>
  </si>
  <si>
    <t>s.bg.19</t>
  </si>
  <si>
    <t>s.bg.18</t>
  </si>
  <si>
    <t>s.bg.17</t>
  </si>
  <si>
    <t>s.bg.15</t>
  </si>
  <si>
    <t>De Zegge</t>
  </si>
  <si>
    <t>s.bg.16</t>
  </si>
  <si>
    <t>Pantry/ lerarenkamer</t>
  </si>
  <si>
    <t>s.bg.11</t>
  </si>
  <si>
    <t>Linoleum/ tapijt</t>
  </si>
  <si>
    <t>s.bg.14</t>
  </si>
  <si>
    <t>s.bg.13</t>
  </si>
  <si>
    <t>s.bg.12</t>
  </si>
  <si>
    <t>s.bg.10</t>
  </si>
  <si>
    <t>a.bg.20</t>
  </si>
  <si>
    <t>a.bg.21</t>
  </si>
  <si>
    <t>a.bg.19</t>
  </si>
  <si>
    <t>s.bg.04</t>
  </si>
  <si>
    <t>s.bg.06</t>
  </si>
  <si>
    <t>s.bg.08</t>
  </si>
  <si>
    <t>s.bg.07</t>
  </si>
  <si>
    <t>s.bg.03</t>
  </si>
  <si>
    <t>s.bg.05</t>
  </si>
  <si>
    <t>s.bg.02</t>
  </si>
  <si>
    <t>s.bg.01</t>
  </si>
  <si>
    <t>Lerarenkamer</t>
  </si>
  <si>
    <t>k.bg.01</t>
  </si>
  <si>
    <t>GGD Twente</t>
  </si>
  <si>
    <t>k.bg.06</t>
  </si>
  <si>
    <t>k.bg.05</t>
  </si>
  <si>
    <t>k.bg.02</t>
  </si>
  <si>
    <t>k.bg.03</t>
  </si>
  <si>
    <t>k.bg.04</t>
  </si>
  <si>
    <t>a.bg.33</t>
  </si>
  <si>
    <t>a.bg.32</t>
  </si>
  <si>
    <t>a.bg.26</t>
  </si>
  <si>
    <t>Container</t>
  </si>
  <si>
    <t>a.bg.27</t>
  </si>
  <si>
    <t>Trafo</t>
  </si>
  <si>
    <t>a.bg.28</t>
  </si>
  <si>
    <t>Laagspanning</t>
  </si>
  <si>
    <t>K.bg.07</t>
  </si>
  <si>
    <t>a.bg.25</t>
  </si>
  <si>
    <t>a.bg.29</t>
  </si>
  <si>
    <t>a.bg.22</t>
  </si>
  <si>
    <t>Keuken/bar</t>
  </si>
  <si>
    <t>a.bg.23</t>
  </si>
  <si>
    <t>a.bg.24</t>
  </si>
  <si>
    <t>Trappenhal</t>
  </si>
  <si>
    <t>PVC/ tapijt</t>
  </si>
  <si>
    <t>eerste verdieping</t>
  </si>
  <si>
    <t>a.1e.06</t>
  </si>
  <si>
    <t>a.1e.01</t>
  </si>
  <si>
    <t>a.1e.02</t>
  </si>
  <si>
    <t>a.1e.03</t>
  </si>
  <si>
    <t>a.1e.05</t>
  </si>
  <si>
    <t>a.1e.10</t>
  </si>
  <si>
    <t>a.1e.04</t>
  </si>
  <si>
    <t xml:space="preserve">Pantry </t>
  </si>
  <si>
    <t>a.1e.07</t>
  </si>
  <si>
    <t>a.1e.08</t>
  </si>
  <si>
    <t>a.1e.11</t>
  </si>
  <si>
    <t>Gymzaal</t>
  </si>
  <si>
    <t>g.1e.05</t>
  </si>
  <si>
    <t>g.1e.01</t>
  </si>
  <si>
    <t>Sportbedrijf Almelo</t>
  </si>
  <si>
    <t>g.1e.02</t>
  </si>
  <si>
    <t>Douches</t>
  </si>
  <si>
    <t>g.1e.03</t>
  </si>
  <si>
    <t>g.1e.04</t>
  </si>
  <si>
    <t>g.1e.08</t>
  </si>
  <si>
    <t>Trappenhuis</t>
  </si>
  <si>
    <t>g.1e.16</t>
  </si>
  <si>
    <t>g.1e.11</t>
  </si>
  <si>
    <t>g.1e.12</t>
  </si>
  <si>
    <t>g.1e.13</t>
  </si>
  <si>
    <t>g.1e.14</t>
  </si>
  <si>
    <t>g.1e.15</t>
  </si>
  <si>
    <t>g.1e.06</t>
  </si>
  <si>
    <t>g.1e.07</t>
  </si>
  <si>
    <t>g.1e.09</t>
  </si>
  <si>
    <t>g.1e.10</t>
  </si>
  <si>
    <t>docentenruimte</t>
  </si>
  <si>
    <t>a.1e.09</t>
  </si>
  <si>
    <t xml:space="preserve">Tarkett </t>
  </si>
  <si>
    <t>a.1e.26</t>
  </si>
  <si>
    <t>s.1e.27</t>
  </si>
  <si>
    <t>s.1e.26</t>
  </si>
  <si>
    <t>s.1e.25</t>
  </si>
  <si>
    <t>s.1e.24</t>
  </si>
  <si>
    <t>s.1e.23</t>
  </si>
  <si>
    <t>s.1e.28</t>
  </si>
  <si>
    <t>s.1e.22</t>
  </si>
  <si>
    <t>Ruimte RT\ IB</t>
  </si>
  <si>
    <t>s.1e.21</t>
  </si>
  <si>
    <t>s.1e.20</t>
  </si>
  <si>
    <t>s.1e.19</t>
  </si>
  <si>
    <t>s.1e.18</t>
  </si>
  <si>
    <t>s.1e.17</t>
  </si>
  <si>
    <t>s.1e.11</t>
  </si>
  <si>
    <t>s.1e.15</t>
  </si>
  <si>
    <t>s.1e.14</t>
  </si>
  <si>
    <t>s.1e.13</t>
  </si>
  <si>
    <t>s.1e.12</t>
  </si>
  <si>
    <t>s.1e.10</t>
  </si>
  <si>
    <t>Ruimte RT/IB</t>
  </si>
  <si>
    <t>s.1e.09</t>
  </si>
  <si>
    <t>a.1e.15</t>
  </si>
  <si>
    <t>s.1e.16</t>
  </si>
  <si>
    <t>a.1e.16</t>
  </si>
  <si>
    <t>s.1e.07</t>
  </si>
  <si>
    <t>a.1e.17</t>
  </si>
  <si>
    <t>s.1e.04</t>
  </si>
  <si>
    <t>s.1e.05</t>
  </si>
  <si>
    <t>s.1e.03</t>
  </si>
  <si>
    <t>s.1e.02</t>
  </si>
  <si>
    <t>s.1e.01</t>
  </si>
  <si>
    <t>s.1e.06</t>
  </si>
  <si>
    <t>s.1e.08</t>
  </si>
  <si>
    <t>a.1e.14</t>
  </si>
  <si>
    <t>k.1e.01</t>
  </si>
  <si>
    <t>k.1e.02</t>
  </si>
  <si>
    <t>k.1e.03</t>
  </si>
  <si>
    <t>k.1e.04</t>
  </si>
  <si>
    <t>k.1e.04a</t>
  </si>
  <si>
    <t>k.1e.05</t>
  </si>
  <si>
    <t>k.1e.06</t>
  </si>
  <si>
    <t>a.1e.27</t>
  </si>
  <si>
    <t>a.1e.18</t>
  </si>
  <si>
    <t>k.1e.07</t>
  </si>
  <si>
    <t>a.1e.19</t>
  </si>
  <si>
    <t>a.1e.20</t>
  </si>
  <si>
    <t>Soosruimte</t>
  </si>
  <si>
    <t>a.1e.21</t>
  </si>
  <si>
    <t>Bar/opslag</t>
  </si>
  <si>
    <t>a.1e.23</t>
  </si>
  <si>
    <t>a.1e.25</t>
  </si>
  <si>
    <t>a.1e.24</t>
  </si>
  <si>
    <t>a.1e.13</t>
  </si>
  <si>
    <t>a.1e.12</t>
  </si>
  <si>
    <t>Tweede verdieping</t>
  </si>
  <si>
    <t>a.2e.02</t>
  </si>
  <si>
    <t>a.2e.03</t>
  </si>
  <si>
    <t>Stookruimte</t>
  </si>
  <si>
    <t>a.2e.01</t>
  </si>
  <si>
    <t>s.2e.09</t>
  </si>
  <si>
    <t>s.2e.08</t>
  </si>
  <si>
    <t>s.2e.02</t>
  </si>
  <si>
    <t>s.2e.01</t>
  </si>
  <si>
    <t>s.2e.07</t>
  </si>
  <si>
    <t>s.2e.06</t>
  </si>
  <si>
    <t>s.2e.05</t>
  </si>
  <si>
    <t>s.2e.04</t>
  </si>
  <si>
    <t>s.2e.03</t>
  </si>
  <si>
    <t>Totalen</t>
  </si>
  <si>
    <t>Percentage</t>
  </si>
  <si>
    <t>Maatschappelijk</t>
  </si>
  <si>
    <t>Gratis</t>
  </si>
  <si>
    <t>Commercieel</t>
  </si>
  <si>
    <t>Bezoekers aantallen de Driehoek</t>
  </si>
  <si>
    <t>Bezoekersaantallen MFA Eninver</t>
  </si>
  <si>
    <t xml:space="preserve">Bezoekersaantallen De Goossenmaat </t>
  </si>
  <si>
    <t>Bezoekersaantallen Mollnwiek</t>
  </si>
  <si>
    <t>Per tremester</t>
  </si>
  <si>
    <t>Niet commercieel</t>
  </si>
  <si>
    <t>1ste</t>
  </si>
  <si>
    <t>2de</t>
  </si>
  <si>
    <t>3de</t>
  </si>
  <si>
    <t>Bezoekersaantallen De Schelf</t>
  </si>
  <si>
    <t>Bezoekersaantallen de Schöppe</t>
  </si>
  <si>
    <t>Elektra (kWh)</t>
  </si>
  <si>
    <t>Gas (m3)</t>
  </si>
  <si>
    <t>De Schelf Binnenhof 51</t>
  </si>
  <si>
    <t>normaal</t>
  </si>
  <si>
    <t>laag</t>
  </si>
  <si>
    <t>jan</t>
  </si>
  <si>
    <t>feb</t>
  </si>
  <si>
    <t>mrt</t>
  </si>
  <si>
    <t>apr</t>
  </si>
  <si>
    <t>mei</t>
  </si>
  <si>
    <t>jun</t>
  </si>
  <si>
    <t>jul</t>
  </si>
  <si>
    <t>aug</t>
  </si>
  <si>
    <t>sep</t>
  </si>
  <si>
    <t>okt</t>
  </si>
  <si>
    <t>nov</t>
  </si>
  <si>
    <t>dec</t>
  </si>
  <si>
    <t>De Schöppe Clematisstraat 2  (EAN 28336)</t>
  </si>
  <si>
    <t>De Schöppe Clematisstraat 2 (EAN 66750)</t>
  </si>
  <si>
    <t>De Driehoek Jan Tooropstraat 25-27</t>
  </si>
  <si>
    <t>Eninver Apollolaan 1</t>
  </si>
  <si>
    <t>Goossenmaat Platanenstraat 38</t>
  </si>
  <si>
    <t>Möll’nwiek Leemhorst 9</t>
  </si>
  <si>
    <t>Omzet Horeca</t>
  </si>
  <si>
    <t>Overige opbrengsten</t>
  </si>
  <si>
    <t>Totaal opbrengsten</t>
  </si>
  <si>
    <t>Inkoopwaarde</t>
  </si>
  <si>
    <t>Lonen-soc. lasten</t>
  </si>
  <si>
    <t>Div. pers. kosten</t>
  </si>
  <si>
    <t>Huurlasten</t>
  </si>
  <si>
    <t>Energie</t>
  </si>
  <si>
    <t>Publ.rechtelijk heffing</t>
  </si>
  <si>
    <t>Onderhoud gebouwen</t>
  </si>
  <si>
    <t>Schoonmaakkosten</t>
  </si>
  <si>
    <t>Over. Huisvest.kosten</t>
  </si>
  <si>
    <t>Kantoorkosten</t>
  </si>
  <si>
    <t>Gereedscha-machines</t>
  </si>
  <si>
    <t>Promo kosten</t>
  </si>
  <si>
    <t>Verkoopkosten</t>
  </si>
  <si>
    <t>Alg. kosten org.</t>
  </si>
  <si>
    <t>Kosten alg. locatie</t>
  </si>
  <si>
    <t>Rentelasten</t>
  </si>
  <si>
    <t>Totaal Kosten</t>
  </si>
  <si>
    <t>Inkoopwaarde Horeca</t>
  </si>
  <si>
    <t>Inhuur Soweco/ derden</t>
  </si>
  <si>
    <t>Overige kosten verdeeld naar:</t>
  </si>
  <si>
    <t>Energie G/W/L.</t>
  </si>
  <si>
    <t>Ozb, riool, afval e.d.</t>
  </si>
  <si>
    <t>Verzekeringen</t>
  </si>
  <si>
    <t>Gereedschap-machines</t>
  </si>
  <si>
    <t>Kosten alg. locatie waaronder telefoon, ict, buma stemra, cai e.d.</t>
  </si>
  <si>
    <t>Molln wiek</t>
  </si>
  <si>
    <t>totaal gegevens</t>
  </si>
  <si>
    <t>jaar</t>
  </si>
  <si>
    <t>commercieel</t>
  </si>
  <si>
    <t>maatschappelijk</t>
  </si>
  <si>
    <t>totaal m2</t>
  </si>
  <si>
    <t>Molnn wiek</t>
  </si>
  <si>
    <t>de Schelf</t>
  </si>
  <si>
    <t>de Schoppe</t>
  </si>
  <si>
    <t>bezoekers</t>
  </si>
  <si>
    <t>prijs per/basis</t>
  </si>
  <si>
    <t>TOTAAL GENERAAL OVER  DE LOCATIES</t>
  </si>
  <si>
    <t>extrapolatie van de Driehoek</t>
  </si>
  <si>
    <t>kosten als - post opnemen</t>
  </si>
  <si>
    <t>beheervergoeding</t>
  </si>
  <si>
    <t>huurvergoeding</t>
  </si>
  <si>
    <t>Driehoek, nieje veurbrook</t>
  </si>
  <si>
    <t>vergoedingen</t>
  </si>
  <si>
    <t>per jaar</t>
  </si>
  <si>
    <t>Ruimtegebruik de Driehoek (t, neije Veurbrook)</t>
  </si>
  <si>
    <t>Wijkcentrum Driehoek (t neije Veurbrook)</t>
  </si>
  <si>
    <t>totaal maand</t>
  </si>
  <si>
    <t>Huisvesting/huur, baten en lasten</t>
  </si>
  <si>
    <t>Multifuncioneel</t>
  </si>
  <si>
    <t>Trap</t>
  </si>
  <si>
    <t>om niet</t>
  </si>
  <si>
    <t>Wijkteam</t>
  </si>
  <si>
    <t>Hoort er niet bij</t>
  </si>
  <si>
    <t>Beheerder</t>
  </si>
  <si>
    <t>Wijkteam gemeente Almelo</t>
  </si>
  <si>
    <t>Kantoor/kantoor</t>
  </si>
  <si>
    <t>multifuntioneel</t>
  </si>
  <si>
    <t>Consultatiebureau</t>
  </si>
  <si>
    <t>Potten en boten</t>
  </si>
  <si>
    <t>mutifunctioneel</t>
  </si>
  <si>
    <t>hoort er niet bij</t>
  </si>
  <si>
    <t>Multifunctioneel</t>
  </si>
  <si>
    <t>Server</t>
  </si>
  <si>
    <t>Zorgbureau</t>
  </si>
  <si>
    <t>Avedan                                                         Digitrapveld</t>
  </si>
  <si>
    <t>Avedan                                        Digitrapveld berging</t>
  </si>
  <si>
    <t>Avedan                                                                Soos bar</t>
  </si>
  <si>
    <t>Avedan                                               Soos trap/entree</t>
  </si>
  <si>
    <t>Avedan                                                       Soos berging</t>
  </si>
  <si>
    <t>monofunctionele ruimtes, 722m²</t>
  </si>
  <si>
    <t>monofunctionele ruimtes, 675m²</t>
  </si>
  <si>
    <t>londo</t>
  </si>
  <si>
    <t>vaste jaar huuropbrengst</t>
  </si>
  <si>
    <t>huuropbrengst</t>
  </si>
  <si>
    <t>gebouwonderh</t>
  </si>
  <si>
    <t>totalen</t>
  </si>
  <si>
    <t>Personele lasten</t>
  </si>
  <si>
    <t>meer reductie/kosten</t>
  </si>
  <si>
    <t>totaal opbrengst</t>
  </si>
  <si>
    <t>totaal kosten</t>
  </si>
  <si>
    <t>zie m2 overzichten</t>
  </si>
  <si>
    <t>gemiddelde brijdrage per jaar</t>
  </si>
  <si>
    <t>index pl</t>
  </si>
  <si>
    <t>gegarandeerde % reductie voor gemeente</t>
  </si>
  <si>
    <t>personeel personeel studie</t>
  </si>
  <si>
    <t>wijkaccom stb personeel doorberekening</t>
  </si>
  <si>
    <t>Overzicht</t>
  </si>
  <si>
    <t>nihil</t>
  </si>
  <si>
    <t>Kantoorkosten waaronder</t>
  </si>
  <si>
    <t>Publiekrechtelijke heffingen waaronder</t>
  </si>
  <si>
    <t>Bijdrage gemeente gebouwen onderhoud</t>
  </si>
  <si>
    <t>Opbrengsten/ Baten</t>
  </si>
  <si>
    <t>647563 horeca buurtrestaurant</t>
  </si>
  <si>
    <t>647580 baten verhuur structureel</t>
  </si>
  <si>
    <t>647581 baten verhuur incidenteel</t>
  </si>
  <si>
    <t xml:space="preserve">647586 baten horeca </t>
  </si>
  <si>
    <t>Personeel overige kosten waaronder</t>
  </si>
  <si>
    <t>Inhuur diensten</t>
  </si>
  <si>
    <t xml:space="preserve">energie gas  </t>
  </si>
  <si>
    <t>energie electra</t>
  </si>
  <si>
    <t xml:space="preserve"> energie water</t>
  </si>
  <si>
    <t>Bijkomende kosten in te vullen door Inschrijver</t>
  </si>
  <si>
    <t>647582 baten verhuur sportzalen</t>
  </si>
  <si>
    <t xml:space="preserve">jaarlijkse index  </t>
  </si>
  <si>
    <t>huisv. ozb gebruikers, riool-zuiveringsl.</t>
  </si>
  <si>
    <t>kantoor/org. telefoon/ict/cai/buma/stemra</t>
  </si>
  <si>
    <t>Basis bedragen</t>
  </si>
  <si>
    <t>Peuterspeelzaal, monofunctioneel B.BG.03, 04, 05, 06, 07, 08, 09, 10, 11</t>
  </si>
  <si>
    <t xml:space="preserve">Ouderkamer, opvoedondersteuning. </t>
  </si>
  <si>
    <t>kinderwerk, tienersoos, meidenwerk                    Soos</t>
  </si>
  <si>
    <t>Jong. Werk kantoor</t>
  </si>
  <si>
    <t>Jong. Werk berging</t>
  </si>
  <si>
    <t>Spr.kamer/kopieerruimte</t>
  </si>
  <si>
    <t>Gang + gang K.1E.01</t>
  </si>
  <si>
    <t>Kantoor-actruimte</t>
  </si>
  <si>
    <t>Kantoor-act ruimte</t>
  </si>
  <si>
    <t>consultatiebureau K.BG01 t/m B.BG.06</t>
  </si>
  <si>
    <t>kantoren-spreekk A.1E.02 t/m A.1E. 04</t>
  </si>
  <si>
    <t>Vergaderruimte 2 A.1E.01. Gebruik naar behoefte. In de praktijk dagelijks meerdere keren</t>
  </si>
  <si>
    <t>kinderclub 14.00-16.00</t>
  </si>
  <si>
    <t>seniorengym 9.30-11.30</t>
  </si>
  <si>
    <t>kinderclub 14.00-16.01</t>
  </si>
  <si>
    <t>kinderclub 14.00-16.02</t>
  </si>
  <si>
    <t>kinderclub 14.00-16.03</t>
  </si>
  <si>
    <t>niet voor exploitatie</t>
  </si>
  <si>
    <t>NB aan de door Opdrachtgever opgegeven kosten en opbrengsten kunnen geen rechten worden ontleend.</t>
  </si>
  <si>
    <t>* let op de besparing van het 1e jaar geldt ook voor jaar 2 en 3 en telt dus door. Inschrijver jkan dit corrigeren met een index %</t>
  </si>
  <si>
    <t xml:space="preserve">Kantoor wijkondersteuning. Gebruik naar behoefte. In de praktij dagelijks meerdere keren. </t>
  </si>
  <si>
    <t>VVE  8.00-11.00</t>
  </si>
  <si>
    <t>Taalpunt  + meideninloop 11.00-16.00</t>
  </si>
  <si>
    <t>xx 14.00-17.00</t>
  </si>
  <si>
    <t>kinder club . 13.00-16.30</t>
  </si>
  <si>
    <t>xx 19.00-23.00</t>
  </si>
  <si>
    <t>xx 8.00-12.00</t>
  </si>
  <si>
    <t>xx12.00-18.00</t>
  </si>
  <si>
    <t>Bingo of xx 19.00-23.00</t>
  </si>
  <si>
    <t>jongereninloop of xx 19.00-23.00</t>
  </si>
  <si>
    <t>lokaal 5 monofunctioneel xx. Gebruik naar behoefte. In de praktij dagelijks meerdere keren.</t>
  </si>
  <si>
    <t>xx  8.00-10.00</t>
  </si>
  <si>
    <t>xx 10.00-13.00</t>
  </si>
  <si>
    <t>xx 18.00-21.00</t>
  </si>
  <si>
    <t>yy</t>
  </si>
  <si>
    <t>xx 8.00-10.00</t>
  </si>
  <si>
    <t>zz 8.00-10.00</t>
  </si>
  <si>
    <t>Kantoor monofunctioneel xx. Gebruik naar behoefte. In de praktij dagelijks meerdere keren.</t>
  </si>
  <si>
    <t>x en xx 9.00-11.00</t>
  </si>
  <si>
    <t>x     en xx 19.00-23.00</t>
  </si>
  <si>
    <t>x    en xx 9.00-12.00</t>
  </si>
  <si>
    <t>x    en xx 12.00-18.00</t>
  </si>
  <si>
    <t>xx vergadering 19.00-22.00</t>
  </si>
  <si>
    <t>mantelzg 19.00-12.00</t>
  </si>
  <si>
    <t>xx  19.00-22.30</t>
  </si>
  <si>
    <t>xx siz 9.00-12.00</t>
  </si>
  <si>
    <t>yy  elke 2 weken 19.00-22.00</t>
  </si>
  <si>
    <t>schilderen 9.00-12.00</t>
  </si>
  <si>
    <t>xx 19.00-22.31</t>
  </si>
  <si>
    <t>xx  9.00-12.00</t>
  </si>
  <si>
    <t>koor 19.30-22.30</t>
  </si>
  <si>
    <t>xx 9.30-11.30</t>
  </si>
  <si>
    <t>jeugd 14.00-17.00</t>
  </si>
  <si>
    <t>koor 19.00-23.00</t>
  </si>
  <si>
    <t>Zaal 5 monofunctioneel begeleid wonen wijgericht Gebruik naar behoefte. In de praktijk dagelijks meerdere keren</t>
  </si>
  <si>
    <t>Zaal 5a monofunctioneel xx. Gebruik naar behoefte. In de praktijk dagelijks meerder keren</t>
  </si>
  <si>
    <t>huiskamerproject 9.00-12.30</t>
  </si>
  <si>
    <t>xx 15.00-18.00</t>
  </si>
  <si>
    <t>Zaal 6  monofunctioneel. Gebruik naar behoefte. In de praktijk dagelijks meerdere keren</t>
  </si>
  <si>
    <t>stepps  + Yoga 9.00-11.15</t>
  </si>
  <si>
    <t>stepps  + taichi wijk 13.30-16.00</t>
  </si>
  <si>
    <t>yy  1x maand 11.00-19.00</t>
  </si>
  <si>
    <t>yy 1x maand 11.00-19.00</t>
  </si>
  <si>
    <t>zaal 8 monofunctioneel begeleid wonen wijkgericht. Gebruik naar behoefte. In de praktijk dagelijks meerdere keren</t>
  </si>
  <si>
    <t>xx 20.00-22.00</t>
  </si>
  <si>
    <t>schildercursus 9.30-12.00</t>
  </si>
  <si>
    <t>aquareleren 20.00-22.00</t>
  </si>
  <si>
    <t>aquareleren 9.30-12.00</t>
  </si>
  <si>
    <t>tekenen jeugd 19.00-21.00</t>
  </si>
  <si>
    <t>xx 19.00-22.00</t>
  </si>
  <si>
    <t>zaal 7 cc monofunctioneel</t>
  </si>
  <si>
    <t>cc monofunctioneel</t>
  </si>
  <si>
    <t>cc speellokaal monofunctioneel</t>
  </si>
  <si>
    <t>xx monofunctioneel consultatiebureau. Gebruik naar behoefte. In de praktijk dagelijks meerdere keren</t>
  </si>
  <si>
    <t>Biljart centrale ruimte dagelijks, met op ma-di-do-vrijmiddag en vrijdagavond club</t>
  </si>
  <si>
    <t>xx wijkinloop 9.00-12.00</t>
  </si>
  <si>
    <t>xx jongeren-tienerinloop 14-16.15</t>
  </si>
  <si>
    <t>xx ouderenwerk, kaarten 19.00-22.30</t>
  </si>
  <si>
    <t>xx kinderwerk13.00-17.00</t>
  </si>
  <si>
    <t>vergaderruimte 1, monofunctioneel . Gebruik naar behoefte. In de praktijk dagelijks merdere keren.</t>
  </si>
  <si>
    <t xml:space="preserve">meidenruimte, monofunctioneel xx </t>
  </si>
  <si>
    <t>kantoor 3 (boven), monofunctioneel. Gebruik naar behoefte. In de praktijk dagelijks merdere keren.</t>
  </si>
  <si>
    <t>ouderenwerk, gym 10.00-12.00</t>
  </si>
  <si>
    <t>ouderenwerk 12.00-18.00</t>
  </si>
  <si>
    <t>kinderwerk 13.00-17.00</t>
  </si>
  <si>
    <t>ouderenwerk12.00-18.00</t>
  </si>
  <si>
    <t>kantoorruimte 2, monofunctioneel groep. Gebruik naar behoefte. In de praktijk dagelijks merdere keren.</t>
  </si>
  <si>
    <t xml:space="preserve">kantoorruimte 1, cc,wijkondersteuning.Gebruik naar behoefte. In de praktijk dagelijks merdere keren.  </t>
  </si>
  <si>
    <t xml:space="preserve">peuterspeelzalen, behandelruimtes, spreekkamers, incl speelplein voor kinderen met beperking. Monofunctioneel ingericht, dagelijks gebruik. </t>
  </si>
  <si>
    <t>cc</t>
  </si>
  <si>
    <t>meiden 13.00-17.00</t>
  </si>
  <si>
    <t xml:space="preserve"> schilderclub 19.00-22.00</t>
  </si>
  <si>
    <t>kinderwerk. 12.00-18.00</t>
  </si>
  <si>
    <t xml:space="preserve"> kunstschool 14.00-17.00</t>
  </si>
  <si>
    <t>keep fit seniorengym 13.00-15.30</t>
  </si>
  <si>
    <t>buikdansen en cc meiden 19.30-21.30</t>
  </si>
  <si>
    <t>schilderclub 9.00-12.00</t>
  </si>
  <si>
    <t>kinderwerk. 12.00-18.01</t>
  </si>
  <si>
    <t xml:space="preserve">cc 11.00-15.00 </t>
  </si>
  <si>
    <t>tieners 19.00-21.00</t>
  </si>
  <si>
    <t>jongeren 15.00-17.01</t>
  </si>
  <si>
    <t>kinderclub 14.00-17.00</t>
  </si>
  <si>
    <t>xx</t>
  </si>
  <si>
    <t xml:space="preserve">xx  </t>
  </si>
  <si>
    <t>zz</t>
  </si>
  <si>
    <t>vergaderlok 2. cc. Wijkondersteuning etc. gebruik naar behoefte. In de dagelijkse praktijk meerder keren per dag</t>
  </si>
  <si>
    <t xml:space="preserve">tienersoos monofunctioneel en divers overleg kinderclub, tienerinloop, meidenclub. Gebruik naar behoefte. In de dagelijkse praktijk dagelijks </t>
  </si>
  <si>
    <t>containerruimte Permanent opslag vv</t>
  </si>
  <si>
    <t>aa</t>
  </si>
  <si>
    <t>\zang. 20.00-23.00</t>
  </si>
  <si>
    <t>taalcoach 13.00-17.00</t>
  </si>
  <si>
    <t>taalcoach  9.00-12.00</t>
  </si>
  <si>
    <t>xx 9.00-12.00</t>
  </si>
  <si>
    <t>xx 13.00-17.00</t>
  </si>
  <si>
    <t>xx 10.45-12.00</t>
  </si>
  <si>
    <t>xx 12.00-14.45</t>
  </si>
  <si>
    <t>xx 18.15-21.00</t>
  </si>
  <si>
    <t>Koken 16.00-20.00</t>
  </si>
  <si>
    <t>vv</t>
  </si>
  <si>
    <t xml:space="preserve"> reductie voor gemeente</t>
  </si>
  <si>
    <t>totaal reductie voor gemeente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</si>
</sst>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 &quot;€&quot;\ * #,##0_ ;_ &quot;€&quot;\ * \-#,##0_ ;_ &quot;€&quot;\ * &quot;-&quot;_ ;_ @_ "/>
    <numFmt numFmtId="44" formatCode="_ &quot;€&quot;\ * #,##0.00_ ;_ &quot;€&quot;\ * \-#,##0.00_ ;_ &quot;€&quot;\ * &quot;-&quot;??_ ;_ @_ "/>
    <numFmt numFmtId="164" formatCode="[$€-2]\ #,##0.00"/>
    <numFmt numFmtId="165" formatCode="[$€-2]\ #,##0.00;[Red][$€-2]\ \-#,##0.00"/>
    <numFmt numFmtId="166" formatCode="_ [$€-413]\ * #,##0_ ;_ [$€-413]\ * \-#,##0_ ;_ [$€-413]\ * &quot;-&quot;??_ ;_ @_ "/>
    <numFmt numFmtId="167" formatCode="0.0"/>
    <numFmt numFmtId="168" formatCode="0_ ;\-0\ "/>
  </numFmts>
  <fonts count="33" x14ac:knownFonts="1">
    <font>
      <sz val="1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u/>
      <sz val="11"/>
      <name val="Arial"/>
      <family val="2"/>
    </font>
    <font>
      <sz val="9"/>
      <name val="Verdana"/>
      <family val="2"/>
    </font>
    <font>
      <b/>
      <u/>
      <sz val="12"/>
      <name val="Verdana"/>
      <family val="2"/>
    </font>
    <font>
      <b/>
      <sz val="11"/>
      <color rgb="FFFF0000"/>
      <name val="Arial"/>
      <family val="2"/>
    </font>
    <font>
      <sz val="11"/>
      <color rgb="FFFF0000"/>
      <name val="Arial"/>
      <family val="2"/>
    </font>
    <font>
      <sz val="9"/>
      <name val="Arial"/>
      <family val="2"/>
    </font>
    <font>
      <b/>
      <sz val="8"/>
      <color indexed="8"/>
      <name val="Tahoma"/>
      <family val="2"/>
    </font>
    <font>
      <u/>
      <sz val="8"/>
      <color indexed="12"/>
      <name val="Tahoma"/>
      <family val="2"/>
    </font>
    <font>
      <b/>
      <sz val="14"/>
      <color indexed="8"/>
      <name val="Tahoma"/>
      <family val="2"/>
    </font>
    <font>
      <sz val="8"/>
      <color indexed="8"/>
      <name val="Tahoma"/>
      <family val="2"/>
    </font>
    <font>
      <sz val="11"/>
      <name val="Arial"/>
      <family val="2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name val="Arial"/>
      <family val="2"/>
    </font>
    <font>
      <sz val="9"/>
      <color theme="1"/>
      <name val="Calibri"/>
      <family val="2"/>
      <scheme val="minor"/>
    </font>
    <font>
      <b/>
      <u/>
      <sz val="9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36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name val="Calibri"/>
      <family val="2"/>
    </font>
    <font>
      <b/>
      <sz val="9"/>
      <color rgb="FF000000"/>
      <name val="Calibri"/>
      <family val="2"/>
    </font>
    <font>
      <b/>
      <sz val="9"/>
      <name val="Calibri"/>
      <family val="2"/>
    </font>
    <font>
      <sz val="9"/>
      <color rgb="FFFF0000"/>
      <name val="Calibri"/>
      <family val="2"/>
    </font>
    <font>
      <sz val="11"/>
      <color theme="0"/>
      <name val="Arial"/>
      <family val="2"/>
    </font>
    <font>
      <sz val="9"/>
      <color theme="0"/>
      <name val="Calibri"/>
      <family val="2"/>
    </font>
    <font>
      <i/>
      <sz val="11"/>
      <name val="Arial"/>
      <family val="2"/>
    </font>
    <font>
      <sz val="8"/>
      <name val="Arial"/>
      <family val="2"/>
    </font>
    <font>
      <b/>
      <u/>
      <sz val="11"/>
      <color rgb="FFFF0000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1"/>
    <xf numFmtId="44" fontId="14" fillId="0" borderId="0" applyFont="0" applyFill="0" applyBorder="0" applyAlignment="0" applyProtection="0"/>
    <xf numFmtId="0" fontId="17" fillId="0" borderId="0"/>
    <xf numFmtId="0" fontId="17" fillId="0" borderId="0"/>
  </cellStyleXfs>
  <cellXfs count="257">
    <xf numFmtId="0" fontId="0" fillId="0" borderId="0" xfId="0" applyBorder="1"/>
    <xf numFmtId="0" fontId="0" fillId="0" borderId="0" xfId="0" applyBorder="1" applyProtection="1">
      <protection locked="0"/>
    </xf>
    <xf numFmtId="0" fontId="0" fillId="0" borderId="1" xfId="0" applyAlignment="1">
      <alignment vertical="top"/>
    </xf>
    <xf numFmtId="164" fontId="0" fillId="0" borderId="1" xfId="0" applyNumberFormat="1" applyAlignment="1">
      <alignment vertical="top"/>
    </xf>
    <xf numFmtId="0" fontId="3" fillId="2" borderId="1" xfId="0" applyFont="1" applyFill="1" applyAlignment="1">
      <alignment vertical="top"/>
    </xf>
    <xf numFmtId="164" fontId="0" fillId="3" borderId="1" xfId="0" applyNumberFormat="1" applyFill="1" applyAlignment="1">
      <alignment vertical="top"/>
    </xf>
    <xf numFmtId="164" fontId="0" fillId="4" borderId="1" xfId="0" applyNumberFormat="1" applyFill="1" applyAlignment="1">
      <alignment vertical="top"/>
    </xf>
    <xf numFmtId="0" fontId="0" fillId="4" borderId="0" xfId="0" applyFill="1" applyBorder="1" applyProtection="1">
      <protection locked="0"/>
    </xf>
    <xf numFmtId="164" fontId="0" fillId="5" borderId="1" xfId="0" applyNumberFormat="1" applyFill="1" applyAlignment="1">
      <alignment vertical="top"/>
    </xf>
    <xf numFmtId="0" fontId="4" fillId="0" borderId="1" xfId="0" applyFont="1" applyAlignment="1">
      <alignment vertical="top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 indent="3"/>
    </xf>
    <xf numFmtId="0" fontId="0" fillId="4" borderId="2" xfId="0" applyFill="1" applyBorder="1" applyAlignment="1">
      <alignment horizontal="center" vertical="top"/>
    </xf>
    <xf numFmtId="0" fontId="0" fillId="4" borderId="3" xfId="0" applyFill="1" applyBorder="1" applyAlignment="1">
      <alignment horizontal="center" vertical="top"/>
    </xf>
    <xf numFmtId="0" fontId="6" fillId="0" borderId="0" xfId="0" applyFont="1" applyBorder="1" applyAlignment="1">
      <alignment vertical="center"/>
    </xf>
    <xf numFmtId="164" fontId="0" fillId="6" borderId="1" xfId="0" applyNumberFormat="1" applyFill="1" applyAlignment="1">
      <alignment vertical="top"/>
    </xf>
    <xf numFmtId="0" fontId="5" fillId="2" borderId="0" xfId="0" applyFont="1" applyFill="1" applyBorder="1" applyAlignment="1">
      <alignment vertical="center"/>
    </xf>
    <xf numFmtId="0" fontId="0" fillId="2" borderId="0" xfId="0" applyFill="1" applyBorder="1"/>
    <xf numFmtId="165" fontId="3" fillId="5" borderId="1" xfId="0" applyNumberFormat="1" applyFont="1" applyFill="1" applyAlignment="1">
      <alignment vertical="top"/>
    </xf>
    <xf numFmtId="0" fontId="0" fillId="6" borderId="1" xfId="0" applyFill="1" applyAlignment="1">
      <alignment vertical="top"/>
    </xf>
    <xf numFmtId="164" fontId="0" fillId="6" borderId="1" xfId="0" applyNumberFormat="1" applyFill="1" applyAlignment="1">
      <alignment horizontal="center" vertical="top"/>
    </xf>
    <xf numFmtId="0" fontId="3" fillId="3" borderId="7" xfId="0" applyFont="1" applyFill="1" applyBorder="1" applyAlignment="1">
      <alignment vertical="top"/>
    </xf>
    <xf numFmtId="0" fontId="3" fillId="3" borderId="0" xfId="0" applyFont="1" applyFill="1" applyBorder="1" applyAlignment="1">
      <alignment vertical="top"/>
    </xf>
    <xf numFmtId="0" fontId="3" fillId="3" borderId="8" xfId="0" applyFont="1" applyFill="1" applyBorder="1" applyAlignment="1">
      <alignment vertical="top"/>
    </xf>
    <xf numFmtId="0" fontId="3" fillId="3" borderId="9" xfId="0" applyFont="1" applyFill="1" applyBorder="1" applyAlignment="1">
      <alignment vertical="top"/>
    </xf>
    <xf numFmtId="0" fontId="3" fillId="3" borderId="10" xfId="0" applyFont="1" applyFill="1" applyBorder="1" applyAlignment="1">
      <alignment vertical="top"/>
    </xf>
    <xf numFmtId="0" fontId="3" fillId="3" borderId="11" xfId="0" applyFont="1" applyFill="1" applyBorder="1" applyAlignment="1">
      <alignment vertical="top"/>
    </xf>
    <xf numFmtId="0" fontId="7" fillId="3" borderId="5" xfId="0" applyFont="1" applyFill="1" applyBorder="1" applyAlignment="1">
      <alignment vertical="top"/>
    </xf>
    <xf numFmtId="0" fontId="7" fillId="3" borderId="6" xfId="0" applyFont="1" applyFill="1" applyBorder="1" applyAlignment="1">
      <alignment vertical="top"/>
    </xf>
    <xf numFmtId="164" fontId="8" fillId="0" borderId="1" xfId="0" applyNumberFormat="1" applyFont="1" applyAlignment="1">
      <alignment vertical="top"/>
    </xf>
    <xf numFmtId="0" fontId="0" fillId="7" borderId="1" xfId="0" applyFont="1" applyFill="1" applyAlignment="1">
      <alignment vertical="top"/>
    </xf>
    <xf numFmtId="0" fontId="0" fillId="2" borderId="1" xfId="0" applyFont="1" applyFill="1" applyAlignment="1">
      <alignment vertical="top"/>
    </xf>
    <xf numFmtId="0" fontId="0" fillId="2" borderId="1" xfId="0" applyFont="1" applyFill="1" applyAlignment="1">
      <alignment vertical="top" wrapText="1"/>
    </xf>
    <xf numFmtId="165" fontId="0" fillId="0" borderId="0" xfId="0" applyNumberFormat="1" applyBorder="1" applyProtection="1">
      <protection locked="0"/>
    </xf>
    <xf numFmtId="0" fontId="0" fillId="0" borderId="16" xfId="0" applyBorder="1" applyProtection="1">
      <protection locked="0"/>
    </xf>
    <xf numFmtId="0" fontId="0" fillId="0" borderId="17" xfId="0" applyBorder="1" applyProtection="1">
      <protection locked="0"/>
    </xf>
    <xf numFmtId="0" fontId="4" fillId="0" borderId="17" xfId="0" applyFont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0" borderId="19" xfId="0" applyBorder="1" applyProtection="1">
      <protection locked="0"/>
    </xf>
    <xf numFmtId="0" fontId="0" fillId="0" borderId="20" xfId="0" applyBorder="1"/>
    <xf numFmtId="0" fontId="0" fillId="0" borderId="21" xfId="0" applyBorder="1" applyProtection="1">
      <protection locked="0"/>
    </xf>
    <xf numFmtId="0" fontId="0" fillId="0" borderId="22" xfId="0" applyBorder="1" applyProtection="1">
      <protection locked="0"/>
    </xf>
    <xf numFmtId="0" fontId="0" fillId="0" borderId="22" xfId="0" applyBorder="1"/>
    <xf numFmtId="0" fontId="0" fillId="0" borderId="23" xfId="0" applyBorder="1"/>
    <xf numFmtId="165" fontId="4" fillId="0" borderId="17" xfId="0" applyNumberFormat="1" applyFont="1" applyBorder="1" applyProtection="1">
      <protection locked="0"/>
    </xf>
    <xf numFmtId="0" fontId="3" fillId="2" borderId="0" xfId="0" applyFont="1" applyFill="1" applyBorder="1" applyAlignment="1">
      <alignment horizontal="center" vertical="top"/>
    </xf>
    <xf numFmtId="0" fontId="7" fillId="3" borderId="0" xfId="0" applyFont="1" applyFill="1" applyBorder="1" applyAlignment="1">
      <alignment vertical="top"/>
    </xf>
    <xf numFmtId="10" fontId="0" fillId="0" borderId="0" xfId="0" applyNumberFormat="1" applyBorder="1" applyProtection="1">
      <protection locked="0"/>
    </xf>
    <xf numFmtId="164" fontId="0" fillId="5" borderId="1" xfId="0" applyNumberFormat="1" applyFill="1" applyBorder="1" applyAlignment="1">
      <alignment vertical="top"/>
    </xf>
    <xf numFmtId="10" fontId="0" fillId="9" borderId="1" xfId="0" applyNumberFormat="1" applyFill="1" applyBorder="1" applyAlignment="1">
      <alignment vertical="top"/>
    </xf>
    <xf numFmtId="0" fontId="12" fillId="0" borderId="0" xfId="0" applyFont="1" applyBorder="1" applyAlignment="1">
      <alignment vertical="top"/>
    </xf>
    <xf numFmtId="0" fontId="0" fillId="0" borderId="0" xfId="0" applyBorder="1" applyAlignment="1">
      <alignment vertical="top"/>
    </xf>
    <xf numFmtId="0" fontId="0" fillId="8" borderId="0" xfId="0" applyFill="1" applyBorder="1" applyAlignment="1">
      <alignment vertical="top"/>
    </xf>
    <xf numFmtId="49" fontId="10" fillId="10" borderId="0" xfId="0" applyNumberFormat="1" applyFont="1" applyFill="1" applyBorder="1" applyAlignment="1">
      <alignment horizontal="center" vertical="top" wrapText="1"/>
    </xf>
    <xf numFmtId="9" fontId="0" fillId="0" borderId="0" xfId="0" applyNumberFormat="1" applyBorder="1" applyAlignment="1">
      <alignment vertical="top"/>
    </xf>
    <xf numFmtId="166" fontId="9" fillId="0" borderId="0" xfId="0" applyNumberFormat="1" applyFont="1" applyBorder="1" applyAlignment="1">
      <alignment vertical="top"/>
    </xf>
    <xf numFmtId="49" fontId="10" fillId="11" borderId="0" xfId="0" applyNumberFormat="1" applyFont="1" applyFill="1" applyBorder="1" applyAlignment="1">
      <alignment vertical="top" wrapText="1"/>
    </xf>
    <xf numFmtId="49" fontId="10" fillId="12" borderId="0" xfId="0" applyNumberFormat="1" applyFont="1" applyFill="1" applyBorder="1" applyAlignment="1">
      <alignment vertical="top" wrapText="1"/>
    </xf>
    <xf numFmtId="49" fontId="10" fillId="2" borderId="0" xfId="0" applyNumberFormat="1" applyFont="1" applyFill="1" applyBorder="1" applyAlignment="1">
      <alignment vertical="top" wrapText="1"/>
    </xf>
    <xf numFmtId="49" fontId="10" fillId="8" borderId="0" xfId="0" applyNumberFormat="1" applyFont="1" applyFill="1" applyBorder="1" applyAlignment="1">
      <alignment vertical="top" wrapText="1"/>
    </xf>
    <xf numFmtId="49" fontId="10" fillId="13" borderId="0" xfId="0" applyNumberFormat="1" applyFont="1" applyFill="1" applyBorder="1" applyAlignment="1">
      <alignment vertical="top" wrapText="1"/>
    </xf>
    <xf numFmtId="49" fontId="10" fillId="14" borderId="0" xfId="0" applyNumberFormat="1" applyFont="1" applyFill="1" applyBorder="1" applyAlignment="1">
      <alignment vertical="top" wrapText="1"/>
    </xf>
    <xf numFmtId="49" fontId="13" fillId="15" borderId="0" xfId="0" applyNumberFormat="1" applyFont="1" applyFill="1" applyBorder="1" applyAlignment="1">
      <alignment vertical="top" wrapText="1"/>
    </xf>
    <xf numFmtId="49" fontId="11" fillId="15" borderId="0" xfId="0" applyNumberFormat="1" applyFont="1" applyFill="1" applyBorder="1" applyAlignment="1">
      <alignment vertical="top" wrapText="1"/>
    </xf>
    <xf numFmtId="49" fontId="10" fillId="15" borderId="0" xfId="0" applyNumberFormat="1" applyFont="1" applyFill="1" applyBorder="1" applyAlignment="1">
      <alignment vertical="top" wrapText="1"/>
    </xf>
    <xf numFmtId="166" fontId="0" fillId="0" borderId="0" xfId="0" applyNumberFormat="1" applyBorder="1"/>
    <xf numFmtId="166" fontId="9" fillId="5" borderId="0" xfId="0" applyNumberFormat="1" applyFont="1" applyFill="1" applyBorder="1" applyAlignment="1">
      <alignment vertical="top"/>
    </xf>
    <xf numFmtId="44" fontId="0" fillId="0" borderId="0" xfId="1" applyFont="1" applyBorder="1"/>
    <xf numFmtId="0" fontId="0" fillId="7" borderId="1" xfId="0" applyFill="1" applyAlignment="1">
      <alignment vertical="top"/>
    </xf>
    <xf numFmtId="0" fontId="0" fillId="0" borderId="1" xfId="0"/>
    <xf numFmtId="0" fontId="0" fillId="0" borderId="1" xfId="0" applyAlignment="1">
      <alignment horizontal="center"/>
    </xf>
    <xf numFmtId="0" fontId="0" fillId="0" borderId="0" xfId="0" applyBorder="1" applyAlignment="1">
      <alignment horizontal="right"/>
    </xf>
    <xf numFmtId="0" fontId="0" fillId="0" borderId="0" xfId="0" applyBorder="1" applyAlignment="1">
      <alignment horizontal="right" wrapText="1"/>
    </xf>
    <xf numFmtId="0" fontId="0" fillId="0" borderId="1" xfId="0" applyAlignment="1">
      <alignment horizontal="right"/>
    </xf>
    <xf numFmtId="0" fontId="0" fillId="0" borderId="0" xfId="0" applyBorder="1" applyAlignment="1">
      <alignment wrapText="1"/>
    </xf>
    <xf numFmtId="0" fontId="0" fillId="0" borderId="0" xfId="0" applyBorder="1" applyAlignment="1">
      <alignment horizontal="center"/>
    </xf>
    <xf numFmtId="2" fontId="0" fillId="12" borderId="1" xfId="0" applyNumberFormat="1" applyFill="1"/>
    <xf numFmtId="2" fontId="0" fillId="11" borderId="1" xfId="0" applyNumberFormat="1" applyFill="1"/>
    <xf numFmtId="2" fontId="0" fillId="17" borderId="1" xfId="0" applyNumberFormat="1" applyFill="1"/>
    <xf numFmtId="0" fontId="0" fillId="0" borderId="0" xfId="0" applyBorder="1" applyAlignment="1">
      <alignment horizontal="center" wrapText="1"/>
    </xf>
    <xf numFmtId="167" fontId="0" fillId="0" borderId="0" xfId="0" applyNumberFormat="1" applyBorder="1"/>
    <xf numFmtId="0" fontId="16" fillId="0" borderId="0" xfId="0" applyFont="1" applyBorder="1" applyAlignment="1">
      <alignment wrapText="1"/>
    </xf>
    <xf numFmtId="0" fontId="16" fillId="0" borderId="0" xfId="0" applyFont="1" applyBorder="1"/>
    <xf numFmtId="0" fontId="0" fillId="0" borderId="1" xfId="0" applyBorder="1"/>
    <xf numFmtId="0" fontId="0" fillId="0" borderId="1" xfId="0" applyBorder="1" applyAlignment="1">
      <alignment horizontal="right" wrapText="1"/>
    </xf>
    <xf numFmtId="0" fontId="0" fillId="0" borderId="1" xfId="0" applyBorder="1" applyAlignment="1">
      <alignment horizontal="center" wrapText="1"/>
    </xf>
    <xf numFmtId="167" fontId="0" fillId="0" borderId="1" xfId="0" applyNumberFormat="1" applyBorder="1"/>
    <xf numFmtId="0" fontId="0" fillId="0" borderId="1" xfId="0" applyBorder="1" applyAlignment="1">
      <alignment horizontal="right" vertical="top" wrapText="1"/>
    </xf>
    <xf numFmtId="0" fontId="0" fillId="0" borderId="1" xfId="0" applyBorder="1" applyAlignment="1">
      <alignment horizontal="right"/>
    </xf>
    <xf numFmtId="0" fontId="0" fillId="0" borderId="1" xfId="0" quotePrefix="1" applyBorder="1" applyAlignment="1">
      <alignment horizontal="right"/>
    </xf>
    <xf numFmtId="0" fontId="0" fillId="0" borderId="1" xfId="0" applyBorder="1" applyAlignment="1">
      <alignment horizontal="center"/>
    </xf>
    <xf numFmtId="0" fontId="7" fillId="6" borderId="0" xfId="0" applyFont="1" applyFill="1" applyBorder="1"/>
    <xf numFmtId="3" fontId="0" fillId="0" borderId="1" xfId="0" applyNumberFormat="1"/>
    <xf numFmtId="0" fontId="0" fillId="0" borderId="1" xfId="0" applyBorder="1" applyAlignment="1">
      <alignment wrapText="1"/>
    </xf>
    <xf numFmtId="0" fontId="16" fillId="0" borderId="1" xfId="0" applyFont="1" applyBorder="1" applyAlignment="1">
      <alignment wrapText="1"/>
    </xf>
    <xf numFmtId="0" fontId="8" fillId="6" borderId="0" xfId="0" applyFont="1" applyFill="1" applyBorder="1"/>
    <xf numFmtId="0" fontId="8" fillId="6" borderId="0" xfId="0" applyFont="1" applyFill="1" applyBorder="1" applyAlignment="1">
      <alignment horizontal="right"/>
    </xf>
    <xf numFmtId="167" fontId="0" fillId="0" borderId="1" xfId="0" applyNumberFormat="1" applyBorder="1" applyAlignment="1">
      <alignment wrapText="1"/>
    </xf>
    <xf numFmtId="0" fontId="0" fillId="0" borderId="0" xfId="0" quotePrefix="1" applyBorder="1" applyAlignment="1">
      <alignment horizontal="center"/>
    </xf>
    <xf numFmtId="167" fontId="0" fillId="0" borderId="0" xfId="0" applyNumberFormat="1" applyBorder="1" applyAlignment="1">
      <alignment horizontal="right" wrapText="1"/>
    </xf>
    <xf numFmtId="0" fontId="0" fillId="0" borderId="0" xfId="0" applyBorder="1" applyAlignment="1">
      <alignment horizontal="left" wrapText="1"/>
    </xf>
    <xf numFmtId="0" fontId="15" fillId="16" borderId="0" xfId="0" applyFont="1" applyFill="1" applyBorder="1" applyAlignment="1">
      <alignment textRotation="255"/>
    </xf>
    <xf numFmtId="0" fontId="0" fillId="0" borderId="0" xfId="0" applyBorder="1" applyAlignment="1">
      <alignment textRotation="255"/>
    </xf>
    <xf numFmtId="0" fontId="15" fillId="17" borderId="0" xfId="0" applyFont="1" applyFill="1" applyBorder="1" applyAlignment="1">
      <alignment textRotation="255"/>
    </xf>
    <xf numFmtId="0" fontId="15" fillId="0" borderId="0" xfId="0" applyFont="1" applyBorder="1" applyAlignment="1">
      <alignment horizontal="center"/>
    </xf>
    <xf numFmtId="0" fontId="15" fillId="0" borderId="0" xfId="0" applyFont="1" applyBorder="1"/>
    <xf numFmtId="167" fontId="15" fillId="0" borderId="0" xfId="0" applyNumberFormat="1" applyFont="1" applyBorder="1"/>
    <xf numFmtId="0" fontId="2" fillId="0" borderId="0" xfId="0" applyFont="1" applyBorder="1" applyAlignment="1">
      <alignment wrapText="1"/>
    </xf>
    <xf numFmtId="0" fontId="16" fillId="0" borderId="1" xfId="0" applyFont="1" applyBorder="1" applyAlignment="1">
      <alignment horizontal="center" wrapText="1"/>
    </xf>
    <xf numFmtId="0" fontId="15" fillId="0" borderId="1" xfId="0" applyFont="1" applyBorder="1" applyAlignment="1">
      <alignment horizontal="center"/>
    </xf>
    <xf numFmtId="0" fontId="0" fillId="12" borderId="1" xfId="0" applyFill="1"/>
    <xf numFmtId="0" fontId="0" fillId="11" borderId="1" xfId="0" applyFill="1"/>
    <xf numFmtId="0" fontId="0" fillId="17" borderId="1" xfId="0" applyFill="1"/>
    <xf numFmtId="3" fontId="0" fillId="0" borderId="0" xfId="0" applyNumberFormat="1" applyBorder="1"/>
    <xf numFmtId="3" fontId="0" fillId="0" borderId="0" xfId="0" applyNumberFormat="1" applyBorder="1" applyAlignment="1">
      <alignment horizontal="center" vertical="center"/>
    </xf>
    <xf numFmtId="0" fontId="21" fillId="0" borderId="0" xfId="0" applyFont="1" applyBorder="1"/>
    <xf numFmtId="0" fontId="22" fillId="0" borderId="0" xfId="0" applyFont="1" applyBorder="1" applyAlignment="1">
      <alignment horizontal="left"/>
    </xf>
    <xf numFmtId="3" fontId="21" fillId="0" borderId="0" xfId="0" applyNumberFormat="1" applyFont="1" applyBorder="1"/>
    <xf numFmtId="0" fontId="21" fillId="9" borderId="0" xfId="0" applyFont="1" applyFill="1" applyBorder="1"/>
    <xf numFmtId="0" fontId="22" fillId="0" borderId="0" xfId="0" applyFont="1" applyBorder="1"/>
    <xf numFmtId="0" fontId="0" fillId="9" borderId="0" xfId="0" applyFill="1" applyBorder="1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17" fillId="0" borderId="0" xfId="2" applyBorder="1"/>
    <xf numFmtId="3" fontId="17" fillId="0" borderId="0" xfId="2" applyNumberFormat="1" applyBorder="1"/>
    <xf numFmtId="17" fontId="17" fillId="0" borderId="0" xfId="2" applyNumberFormat="1" applyBorder="1" applyAlignment="1">
      <alignment horizontal="right"/>
    </xf>
    <xf numFmtId="1" fontId="17" fillId="0" borderId="0" xfId="3" applyNumberFormat="1" applyBorder="1"/>
    <xf numFmtId="1" fontId="17" fillId="0" borderId="0" xfId="2" applyNumberFormat="1" applyBorder="1"/>
    <xf numFmtId="3" fontId="23" fillId="0" borderId="0" xfId="0" applyNumberFormat="1" applyFont="1" applyBorder="1" applyAlignment="1">
      <alignment vertical="center"/>
    </xf>
    <xf numFmtId="3" fontId="23" fillId="0" borderId="0" xfId="0" applyNumberFormat="1" applyFont="1" applyBorder="1" applyAlignment="1">
      <alignment horizontal="center" vertical="center"/>
    </xf>
    <xf numFmtId="3" fontId="17" fillId="0" borderId="0" xfId="3" applyNumberFormat="1" applyBorder="1"/>
    <xf numFmtId="3" fontId="0" fillId="9" borderId="0" xfId="0" applyNumberFormat="1" applyFill="1" applyBorder="1"/>
    <xf numFmtId="3" fontId="17" fillId="0" borderId="0" xfId="2" applyNumberFormat="1" applyBorder="1" applyAlignment="1">
      <alignment horizontal="right"/>
    </xf>
    <xf numFmtId="0" fontId="17" fillId="0" borderId="0" xfId="3" applyBorder="1"/>
    <xf numFmtId="3" fontId="0" fillId="0" borderId="0" xfId="0" applyNumberFormat="1" applyBorder="1" applyAlignment="1">
      <alignment vertical="center"/>
    </xf>
    <xf numFmtId="0" fontId="15" fillId="6" borderId="0" xfId="0" applyFont="1" applyFill="1" applyBorder="1"/>
    <xf numFmtId="3" fontId="0" fillId="6" borderId="0" xfId="0" applyNumberFormat="1" applyFill="1" applyBorder="1"/>
    <xf numFmtId="0" fontId="15" fillId="0" borderId="1" xfId="0" applyFont="1" applyBorder="1"/>
    <xf numFmtId="0" fontId="0" fillId="0" borderId="1" xfId="0" quotePrefix="1" applyBorder="1"/>
    <xf numFmtId="49" fontId="13" fillId="13" borderId="0" xfId="0" applyNumberFormat="1" applyFont="1" applyFill="1" applyBorder="1" applyAlignment="1">
      <alignment vertical="top" wrapText="1"/>
    </xf>
    <xf numFmtId="49" fontId="13" fillId="14" borderId="0" xfId="0" applyNumberFormat="1" applyFont="1" applyFill="1" applyBorder="1" applyAlignment="1">
      <alignment vertical="top" wrapText="1"/>
    </xf>
    <xf numFmtId="49" fontId="13" fillId="8" borderId="0" xfId="0" applyNumberFormat="1" applyFont="1" applyFill="1" applyBorder="1" applyAlignment="1">
      <alignment vertical="top" wrapText="1"/>
    </xf>
    <xf numFmtId="49" fontId="13" fillId="11" borderId="0" xfId="0" applyNumberFormat="1" applyFont="1" applyFill="1" applyBorder="1" applyAlignment="1">
      <alignment vertical="top" wrapText="1"/>
    </xf>
    <xf numFmtId="49" fontId="13" fillId="12" borderId="0" xfId="0" applyNumberFormat="1" applyFont="1" applyFill="1" applyBorder="1" applyAlignment="1">
      <alignment vertical="top" wrapText="1"/>
    </xf>
    <xf numFmtId="49" fontId="13" fillId="2" borderId="0" xfId="0" applyNumberFormat="1" applyFont="1" applyFill="1" applyBorder="1" applyAlignment="1">
      <alignment vertical="top" wrapText="1"/>
    </xf>
    <xf numFmtId="0" fontId="20" fillId="0" borderId="1" xfId="0" applyFont="1" applyBorder="1"/>
    <xf numFmtId="0" fontId="0" fillId="7" borderId="0" xfId="0" applyFill="1" applyBorder="1"/>
    <xf numFmtId="0" fontId="15" fillId="7" borderId="0" xfId="0" applyFont="1" applyFill="1" applyBorder="1"/>
    <xf numFmtId="0" fontId="0" fillId="7" borderId="1" xfId="0" applyFill="1" applyBorder="1"/>
    <xf numFmtId="0" fontId="18" fillId="0" borderId="0" xfId="0" applyFont="1" applyBorder="1"/>
    <xf numFmtId="0" fontId="9" fillId="0" borderId="0" xfId="0" applyFont="1" applyBorder="1"/>
    <xf numFmtId="10" fontId="18" fillId="0" borderId="0" xfId="0" applyNumberFormat="1" applyFont="1" applyBorder="1"/>
    <xf numFmtId="2" fontId="18" fillId="0" borderId="0" xfId="0" applyNumberFormat="1" applyFont="1" applyBorder="1"/>
    <xf numFmtId="0" fontId="18" fillId="8" borderId="0" xfId="0" applyFont="1" applyFill="1" applyBorder="1"/>
    <xf numFmtId="0" fontId="19" fillId="8" borderId="0" xfId="0" applyFont="1" applyFill="1" applyBorder="1"/>
    <xf numFmtId="0" fontId="24" fillId="0" borderId="0" xfId="0" applyFont="1" applyBorder="1" applyAlignment="1">
      <alignment vertical="center" wrapText="1"/>
    </xf>
    <xf numFmtId="3" fontId="24" fillId="0" borderId="0" xfId="0" applyNumberFormat="1" applyFont="1" applyBorder="1" applyAlignment="1">
      <alignment horizontal="right" vertical="center" wrapText="1"/>
    </xf>
    <xf numFmtId="0" fontId="24" fillId="0" borderId="0" xfId="0" applyFont="1" applyBorder="1" applyAlignment="1">
      <alignment horizontal="right" vertical="center" wrapText="1"/>
    </xf>
    <xf numFmtId="44" fontId="0" fillId="0" borderId="0" xfId="0" applyNumberFormat="1" applyBorder="1"/>
    <xf numFmtId="44" fontId="24" fillId="0" borderId="0" xfId="0" applyNumberFormat="1" applyFont="1" applyBorder="1" applyAlignment="1">
      <alignment horizontal="right" vertical="center" wrapText="1"/>
    </xf>
    <xf numFmtId="0" fontId="25" fillId="18" borderId="0" xfId="0" applyFont="1" applyFill="1" applyBorder="1" applyAlignment="1">
      <alignment vertical="center" wrapText="1"/>
    </xf>
    <xf numFmtId="0" fontId="26" fillId="18" borderId="0" xfId="0" applyFont="1" applyFill="1" applyBorder="1" applyAlignment="1">
      <alignment horizontal="right" vertical="center" wrapText="1"/>
    </xf>
    <xf numFmtId="168" fontId="0" fillId="0" borderId="0" xfId="0" applyNumberFormat="1" applyBorder="1"/>
    <xf numFmtId="0" fontId="0" fillId="6" borderId="0" xfId="0" applyFill="1" applyBorder="1"/>
    <xf numFmtId="44" fontId="24" fillId="0" borderId="0" xfId="1" applyFont="1" applyBorder="1" applyAlignment="1">
      <alignment horizontal="right" vertical="center" wrapText="1"/>
    </xf>
    <xf numFmtId="44" fontId="26" fillId="18" borderId="0" xfId="1" applyFont="1" applyFill="1" applyBorder="1" applyAlignment="1">
      <alignment horizontal="right" vertical="center" wrapText="1"/>
    </xf>
    <xf numFmtId="9" fontId="0" fillId="0" borderId="0" xfId="0" applyNumberFormat="1" applyBorder="1"/>
    <xf numFmtId="10" fontId="24" fillId="0" borderId="0" xfId="0" applyNumberFormat="1" applyFont="1" applyBorder="1" applyAlignment="1">
      <alignment horizontal="right" vertical="center" wrapText="1"/>
    </xf>
    <xf numFmtId="44" fontId="24" fillId="6" borderId="0" xfId="0" applyNumberFormat="1" applyFont="1" applyFill="1" applyBorder="1" applyAlignment="1">
      <alignment horizontal="right" vertical="center" wrapText="1"/>
    </xf>
    <xf numFmtId="0" fontId="4" fillId="0" borderId="0" xfId="0" applyFont="1" applyBorder="1" applyProtection="1">
      <protection locked="0"/>
    </xf>
    <xf numFmtId="44" fontId="27" fillId="0" borderId="0" xfId="0" applyNumberFormat="1" applyFont="1" applyBorder="1" applyAlignment="1">
      <alignment horizontal="right" vertical="center" wrapText="1"/>
    </xf>
    <xf numFmtId="44" fontId="24" fillId="19" borderId="0" xfId="0" applyNumberFormat="1" applyFont="1" applyFill="1" applyBorder="1" applyAlignment="1">
      <alignment horizontal="right" vertical="center" wrapText="1"/>
    </xf>
    <xf numFmtId="42" fontId="24" fillId="0" borderId="0" xfId="0" applyNumberFormat="1" applyFont="1" applyBorder="1" applyAlignment="1">
      <alignment horizontal="right" vertical="center" wrapText="1"/>
    </xf>
    <xf numFmtId="42" fontId="24" fillId="6" borderId="0" xfId="0" applyNumberFormat="1" applyFont="1" applyFill="1" applyBorder="1" applyAlignment="1">
      <alignment horizontal="right" vertical="center" wrapText="1"/>
    </xf>
    <xf numFmtId="44" fontId="0" fillId="19" borderId="0" xfId="0" applyNumberFormat="1" applyFill="1" applyBorder="1"/>
    <xf numFmtId="10" fontId="24" fillId="19" borderId="0" xfId="0" applyNumberFormat="1" applyFont="1" applyFill="1" applyBorder="1" applyAlignment="1">
      <alignment horizontal="right" vertical="center" wrapText="1"/>
    </xf>
    <xf numFmtId="0" fontId="0" fillId="20" borderId="0" xfId="0" applyFill="1" applyBorder="1"/>
    <xf numFmtId="0" fontId="28" fillId="20" borderId="0" xfId="0" applyFont="1" applyFill="1" applyBorder="1"/>
    <xf numFmtId="44" fontId="28" fillId="20" borderId="0" xfId="0" applyNumberFormat="1" applyFont="1" applyFill="1" applyBorder="1"/>
    <xf numFmtId="0" fontId="29" fillId="20" borderId="0" xfId="0" applyFont="1" applyFill="1" applyBorder="1" applyAlignment="1">
      <alignment vertical="center" wrapText="1"/>
    </xf>
    <xf numFmtId="3" fontId="29" fillId="20" borderId="0" xfId="0" applyNumberFormat="1" applyFont="1" applyFill="1" applyBorder="1" applyAlignment="1">
      <alignment horizontal="right" vertical="center" wrapText="1"/>
    </xf>
    <xf numFmtId="42" fontId="27" fillId="0" borderId="0" xfId="0" applyNumberFormat="1" applyFont="1" applyBorder="1" applyAlignment="1">
      <alignment horizontal="right" vertical="center" wrapText="1"/>
    </xf>
    <xf numFmtId="44" fontId="27" fillId="8" borderId="0" xfId="0" applyNumberFormat="1" applyFont="1" applyFill="1" applyBorder="1" applyAlignment="1">
      <alignment horizontal="right" vertical="center" wrapText="1"/>
    </xf>
    <xf numFmtId="0" fontId="3" fillId="8" borderId="4" xfId="0" applyFont="1" applyFill="1" applyBorder="1" applyAlignment="1">
      <alignment vertical="top"/>
    </xf>
    <xf numFmtId="0" fontId="3" fillId="8" borderId="5" xfId="0" applyFont="1" applyFill="1" applyBorder="1" applyAlignment="1">
      <alignment vertical="top"/>
    </xf>
    <xf numFmtId="164" fontId="0" fillId="8" borderId="1" xfId="0" applyNumberFormat="1" applyFill="1" applyAlignment="1">
      <alignment horizontal="center" vertical="top"/>
    </xf>
    <xf numFmtId="0" fontId="0" fillId="21" borderId="0" xfId="0" applyFill="1" applyBorder="1"/>
    <xf numFmtId="0" fontId="0" fillId="21" borderId="0" xfId="0" applyFont="1" applyFill="1" applyBorder="1"/>
    <xf numFmtId="0" fontId="0" fillId="7" borderId="1" xfId="0" applyFont="1" applyFill="1" applyAlignment="1">
      <alignment vertical="top" wrapText="1"/>
    </xf>
    <xf numFmtId="165" fontId="0" fillId="5" borderId="1" xfId="0" applyNumberFormat="1" applyFont="1" applyFill="1" applyAlignment="1">
      <alignment vertical="top"/>
    </xf>
    <xf numFmtId="0" fontId="30" fillId="0" borderId="1" xfId="0" applyFont="1" applyBorder="1"/>
    <xf numFmtId="44" fontId="31" fillId="0" borderId="0" xfId="0" applyNumberFormat="1" applyFont="1" applyBorder="1"/>
    <xf numFmtId="44" fontId="15" fillId="7" borderId="0" xfId="1" applyFont="1" applyFill="1" applyBorder="1"/>
    <xf numFmtId="44" fontId="0" fillId="0" borderId="1" xfId="0" applyNumberFormat="1" applyBorder="1"/>
    <xf numFmtId="44" fontId="1" fillId="7" borderId="0" xfId="1" applyFont="1" applyFill="1" applyBorder="1"/>
    <xf numFmtId="44" fontId="8" fillId="8" borderId="0" xfId="0" applyNumberFormat="1" applyFont="1" applyFill="1" applyBorder="1"/>
    <xf numFmtId="0" fontId="0" fillId="8" borderId="0" xfId="0" applyFill="1" applyBorder="1"/>
    <xf numFmtId="164" fontId="0" fillId="8" borderId="1" xfId="0" applyNumberFormat="1" applyFill="1" applyAlignment="1">
      <alignment vertical="top"/>
    </xf>
    <xf numFmtId="164" fontId="0" fillId="22" borderId="1" xfId="0" applyNumberFormat="1" applyFill="1" applyAlignment="1">
      <alignment vertical="top"/>
    </xf>
    <xf numFmtId="164" fontId="0" fillId="22" borderId="1" xfId="0" applyNumberFormat="1" applyFill="1" applyAlignment="1">
      <alignment horizontal="center" vertical="top"/>
    </xf>
    <xf numFmtId="164" fontId="0" fillId="15" borderId="1" xfId="0" applyNumberFormat="1" applyFill="1" applyAlignment="1">
      <alignment vertical="top"/>
    </xf>
    <xf numFmtId="10" fontId="0" fillId="4" borderId="0" xfId="0" applyNumberFormat="1" applyFill="1" applyBorder="1" applyProtection="1">
      <protection locked="0"/>
    </xf>
    <xf numFmtId="165" fontId="3" fillId="8" borderId="1" xfId="0" applyNumberFormat="1" applyFont="1" applyFill="1" applyAlignment="1">
      <alignment horizontal="right" vertical="top"/>
    </xf>
    <xf numFmtId="164" fontId="3" fillId="22" borderId="1" xfId="0" applyNumberFormat="1" applyFont="1" applyFill="1" applyAlignment="1">
      <alignment horizontal="right" vertical="top"/>
    </xf>
    <xf numFmtId="164" fontId="0" fillId="22" borderId="1" xfId="0" applyNumberFormat="1" applyFont="1" applyFill="1" applyAlignment="1">
      <alignment horizontal="right" vertical="top"/>
    </xf>
    <xf numFmtId="0" fontId="0" fillId="7" borderId="1" xfId="0" applyFill="1" applyAlignment="1">
      <alignment horizontal="left" vertical="top"/>
    </xf>
    <xf numFmtId="0" fontId="3" fillId="23" borderId="1" xfId="0" applyFont="1" applyFill="1" applyAlignment="1">
      <alignment vertical="top"/>
    </xf>
    <xf numFmtId="0" fontId="32" fillId="23" borderId="1" xfId="0" applyFont="1" applyFill="1" applyAlignment="1">
      <alignment vertical="top"/>
    </xf>
    <xf numFmtId="10" fontId="0" fillId="15" borderId="0" xfId="0" applyNumberFormat="1" applyFill="1" applyBorder="1" applyProtection="1">
      <protection locked="0"/>
    </xf>
    <xf numFmtId="164" fontId="0" fillId="5" borderId="1" xfId="0" applyNumberFormat="1" applyFill="1" applyAlignment="1">
      <alignment vertical="top" wrapText="1"/>
    </xf>
    <xf numFmtId="164" fontId="0" fillId="21" borderId="1" xfId="0" applyNumberFormat="1" applyFill="1" applyAlignment="1">
      <alignment vertical="top"/>
    </xf>
    <xf numFmtId="165" fontId="0" fillId="15" borderId="1" xfId="0" applyNumberFormat="1" applyFont="1" applyFill="1" applyAlignment="1">
      <alignment vertical="top"/>
    </xf>
    <xf numFmtId="10" fontId="3" fillId="4" borderId="0" xfId="0" applyNumberFormat="1" applyFont="1" applyFill="1" applyBorder="1" applyAlignment="1" applyProtection="1">
      <alignment wrapText="1"/>
      <protection locked="0"/>
    </xf>
    <xf numFmtId="0" fontId="0" fillId="12" borderId="1" xfId="0" applyFill="1" applyAlignment="1">
      <alignment horizontal="center"/>
    </xf>
    <xf numFmtId="0" fontId="0" fillId="11" borderId="1" xfId="0" applyFill="1" applyAlignment="1">
      <alignment horizontal="center"/>
    </xf>
    <xf numFmtId="0" fontId="0" fillId="17" borderId="1" xfId="0" applyFill="1" applyAlignment="1">
      <alignment horizontal="center"/>
    </xf>
    <xf numFmtId="0" fontId="0" fillId="0" borderId="1" xfId="0" applyAlignment="1">
      <alignment horizontal="center"/>
    </xf>
    <xf numFmtId="0" fontId="0" fillId="0" borderId="0" xfId="0" applyBorder="1" applyAlignment="1">
      <alignment horizontal="center" vertical="center"/>
    </xf>
    <xf numFmtId="3" fontId="23" fillId="0" borderId="0" xfId="0" applyNumberFormat="1" applyFont="1" applyBorder="1" applyAlignment="1">
      <alignment horizontal="center" vertical="center"/>
    </xf>
    <xf numFmtId="3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4" borderId="2" xfId="0" applyFill="1" applyBorder="1" applyAlignment="1">
      <alignment horizontal="center" vertical="top"/>
    </xf>
    <xf numFmtId="0" fontId="0" fillId="4" borderId="3" xfId="0" applyFill="1" applyBorder="1" applyAlignment="1">
      <alignment horizontal="center" vertical="top"/>
    </xf>
    <xf numFmtId="0" fontId="3" fillId="2" borderId="2" xfId="0" applyFont="1" applyFill="1" applyBorder="1" applyAlignment="1">
      <alignment horizontal="center" vertical="top"/>
    </xf>
    <xf numFmtId="0" fontId="3" fillId="2" borderId="12" xfId="0" applyFont="1" applyFill="1" applyBorder="1" applyAlignment="1">
      <alignment horizontal="center" vertical="top"/>
    </xf>
    <xf numFmtId="0" fontId="3" fillId="2" borderId="3" xfId="0" applyFont="1" applyFill="1" applyBorder="1" applyAlignment="1">
      <alignment horizontal="center" vertical="top"/>
    </xf>
    <xf numFmtId="49" fontId="10" fillId="15" borderId="0" xfId="0" applyNumberFormat="1" applyFont="1" applyFill="1" applyBorder="1" applyAlignment="1">
      <alignment horizontal="center" vertical="top" wrapText="1"/>
    </xf>
    <xf numFmtId="49" fontId="13" fillId="8" borderId="0" xfId="0" applyNumberFormat="1" applyFont="1" applyFill="1" applyBorder="1" applyAlignment="1">
      <alignment vertical="top" wrapText="1"/>
    </xf>
    <xf numFmtId="49" fontId="11" fillId="8" borderId="0" xfId="0" applyNumberFormat="1" applyFont="1" applyFill="1" applyBorder="1" applyAlignment="1">
      <alignment vertical="top" wrapText="1"/>
    </xf>
    <xf numFmtId="49" fontId="13" fillId="13" borderId="0" xfId="0" applyNumberFormat="1" applyFont="1" applyFill="1" applyBorder="1" applyAlignment="1">
      <alignment vertical="top" wrapText="1"/>
    </xf>
    <xf numFmtId="49" fontId="11" fillId="13" borderId="0" xfId="0" applyNumberFormat="1" applyFont="1" applyFill="1" applyBorder="1" applyAlignment="1">
      <alignment vertical="top" wrapText="1"/>
    </xf>
    <xf numFmtId="49" fontId="13" fillId="14" borderId="0" xfId="0" applyNumberFormat="1" applyFont="1" applyFill="1" applyBorder="1" applyAlignment="1">
      <alignment vertical="top" wrapText="1"/>
    </xf>
    <xf numFmtId="49" fontId="11" fillId="14" borderId="0" xfId="0" applyNumberFormat="1" applyFont="1" applyFill="1" applyBorder="1" applyAlignment="1">
      <alignment vertical="top" wrapText="1"/>
    </xf>
    <xf numFmtId="49" fontId="13" fillId="11" borderId="0" xfId="0" applyNumberFormat="1" applyFont="1" applyFill="1" applyBorder="1" applyAlignment="1">
      <alignment vertical="top" wrapText="1"/>
    </xf>
    <xf numFmtId="49" fontId="11" fillId="11" borderId="0" xfId="0" applyNumberFormat="1" applyFont="1" applyFill="1" applyBorder="1" applyAlignment="1">
      <alignment vertical="top" wrapText="1"/>
    </xf>
    <xf numFmtId="49" fontId="13" fillId="12" borderId="0" xfId="0" applyNumberFormat="1" applyFont="1" applyFill="1" applyBorder="1" applyAlignment="1">
      <alignment vertical="top" wrapText="1"/>
    </xf>
    <xf numFmtId="49" fontId="11" fillId="12" borderId="0" xfId="0" applyNumberFormat="1" applyFont="1" applyFill="1" applyBorder="1" applyAlignment="1">
      <alignment vertical="top" wrapText="1"/>
    </xf>
    <xf numFmtId="49" fontId="13" fillId="2" borderId="0" xfId="0" applyNumberFormat="1" applyFont="1" applyFill="1" applyBorder="1" applyAlignment="1">
      <alignment vertical="top" wrapText="1"/>
    </xf>
    <xf numFmtId="49" fontId="11" fillId="2" borderId="0" xfId="0" applyNumberFormat="1" applyFont="1" applyFill="1" applyBorder="1" applyAlignment="1">
      <alignment vertical="top" wrapText="1"/>
    </xf>
    <xf numFmtId="165" fontId="3" fillId="0" borderId="1" xfId="0" applyNumberFormat="1" applyFont="1" applyAlignment="1">
      <alignment vertical="top"/>
    </xf>
    <xf numFmtId="165" fontId="4" fillId="7" borderId="0" xfId="0" applyNumberFormat="1" applyFont="1" applyFill="1" applyBorder="1" applyProtection="1">
      <protection locked="0"/>
    </xf>
    <xf numFmtId="10" fontId="3" fillId="7" borderId="0" xfId="0" applyNumberFormat="1" applyFont="1" applyFill="1" applyBorder="1" applyProtection="1">
      <protection locked="0"/>
    </xf>
    <xf numFmtId="0" fontId="0" fillId="7" borderId="0" xfId="0" applyFill="1" applyBorder="1" applyProtection="1">
      <protection locked="0"/>
    </xf>
    <xf numFmtId="165" fontId="4" fillId="23" borderId="13" xfId="0" applyNumberFormat="1" applyFont="1" applyFill="1" applyBorder="1" applyAlignment="1" applyProtection="1">
      <alignment horizontal="center"/>
      <protection locked="0"/>
    </xf>
    <xf numFmtId="165" fontId="4" fillId="23" borderId="14" xfId="0" applyNumberFormat="1" applyFont="1" applyFill="1" applyBorder="1" applyAlignment="1" applyProtection="1">
      <alignment horizontal="center"/>
      <protection locked="0"/>
    </xf>
    <xf numFmtId="165" fontId="4" fillId="23" borderId="15" xfId="0" applyNumberFormat="1" applyFont="1" applyFill="1" applyBorder="1" applyAlignment="1" applyProtection="1">
      <alignment horizontal="center"/>
      <protection locked="0"/>
    </xf>
    <xf numFmtId="10" fontId="0" fillId="4" borderId="1" xfId="0" applyNumberFormat="1" applyFill="1" applyBorder="1" applyProtection="1">
      <protection locked="0"/>
    </xf>
    <xf numFmtId="165" fontId="0" fillId="0" borderId="1" xfId="0" applyNumberFormat="1" applyBorder="1" applyProtection="1">
      <protection locked="0"/>
    </xf>
    <xf numFmtId="0" fontId="0" fillId="23" borderId="13" xfId="0" applyFill="1" applyBorder="1" applyAlignment="1" applyProtection="1">
      <alignment horizontal="center"/>
      <protection locked="0"/>
    </xf>
    <xf numFmtId="0" fontId="0" fillId="23" borderId="14" xfId="0" applyFill="1" applyBorder="1" applyAlignment="1" applyProtection="1">
      <alignment horizontal="center"/>
      <protection locked="0"/>
    </xf>
    <xf numFmtId="0" fontId="0" fillId="23" borderId="15" xfId="0" applyFill="1" applyBorder="1" applyAlignment="1" applyProtection="1">
      <alignment horizontal="center"/>
      <protection locked="0"/>
    </xf>
    <xf numFmtId="0" fontId="0" fillId="23" borderId="25" xfId="0" applyFill="1" applyBorder="1" applyProtection="1">
      <protection locked="0"/>
    </xf>
    <xf numFmtId="164" fontId="4" fillId="4" borderId="24" xfId="0" applyNumberFormat="1" applyFont="1" applyFill="1" applyBorder="1" applyAlignment="1">
      <alignment vertical="top" wrapText="1"/>
    </xf>
    <xf numFmtId="0" fontId="0" fillId="0" borderId="16" xfId="0" applyBorder="1"/>
    <xf numFmtId="0" fontId="0" fillId="0" borderId="19" xfId="0" applyBorder="1"/>
    <xf numFmtId="0" fontId="0" fillId="0" borderId="21" xfId="0" applyBorder="1"/>
  </cellXfs>
  <cellStyles count="4">
    <cellStyle name="Standaard" xfId="0" builtinId="0"/>
    <cellStyle name="Standaard 2" xfId="2" xr:uid="{F706B6E6-0F9D-4CF6-BC41-672DBD8153CB}"/>
    <cellStyle name="Standaard 3" xfId="3" xr:uid="{8CCD19F5-FF00-470A-BD6E-7AF55359127A}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/>
              <a:t>Bezoekersaantallen</a:t>
            </a:r>
            <a:r>
              <a:rPr lang="nl-NL" baseline="0"/>
              <a:t> vanaf 2013</a:t>
            </a:r>
            <a:endParaRPr lang="nl-NL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2013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6"/>
              <c:pt idx="0">
                <c:v>276787</c:v>
              </c:pt>
              <c:pt idx="1">
                <c:v>285162</c:v>
              </c:pt>
              <c:pt idx="2">
                <c:v>330711</c:v>
              </c:pt>
              <c:pt idx="3">
                <c:v>376684</c:v>
              </c:pt>
              <c:pt idx="4">
                <c:v>369942</c:v>
              </c:pt>
              <c:pt idx="5">
                <c:v>377129</c:v>
              </c:pt>
            </c:numLit>
          </c:val>
          <c:extLst>
            <c:ext xmlns:c16="http://schemas.microsoft.com/office/drawing/2014/chart" uri="{C3380CC4-5D6E-409C-BE32-E72D297353CC}">
              <c16:uniqueId val="{00000000-8F30-42F2-AEC7-2B8A4379AF84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214527000"/>
        <c:axId val="214528568"/>
      </c:barChart>
      <c:catAx>
        <c:axId val="21452700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214528568"/>
        <c:crosses val="autoZero"/>
        <c:auto val="1"/>
        <c:lblAlgn val="ctr"/>
        <c:lblOffset val="100"/>
        <c:noMultiLvlLbl val="0"/>
      </c:catAx>
      <c:valAx>
        <c:axId val="2145285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2145270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497681</xdr:colOff>
      <xdr:row>37</xdr:row>
      <xdr:rowOff>42861</xdr:rowOff>
    </xdr:from>
    <xdr:to>
      <xdr:col>7</xdr:col>
      <xdr:colOff>140492</xdr:colOff>
      <xdr:row>52</xdr:row>
      <xdr:rowOff>73818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8ACA09A4-6EDB-49E1-B8A5-09D064FB58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05E418-6C3A-4374-872F-CAF230156F52}">
  <sheetPr>
    <tabColor rgb="FF92D050"/>
  </sheetPr>
  <dimension ref="A1:X49"/>
  <sheetViews>
    <sheetView zoomScale="90" zoomScaleNormal="90" workbookViewId="0"/>
  </sheetViews>
  <sheetFormatPr defaultRowHeight="14.25" x14ac:dyDescent="0.2"/>
  <cols>
    <col min="1" max="1" width="35.125" style="72" customWidth="1"/>
    <col min="2" max="2" width="9.125" customWidth="1"/>
    <col min="24" max="24" width="15.625" customWidth="1"/>
  </cols>
  <sheetData>
    <row r="1" spans="1:24" x14ac:dyDescent="0.2">
      <c r="A1" s="97" t="s">
        <v>769</v>
      </c>
      <c r="B1" s="70"/>
      <c r="C1" s="70"/>
      <c r="D1" s="70" t="s">
        <v>763</v>
      </c>
      <c r="E1" s="70" t="s">
        <v>764</v>
      </c>
      <c r="F1" s="70"/>
    </row>
    <row r="2" spans="1:24" x14ac:dyDescent="0.2">
      <c r="A2" s="74"/>
      <c r="B2" s="70"/>
      <c r="C2" s="70"/>
      <c r="D2" s="70"/>
      <c r="E2" s="70"/>
      <c r="F2" s="70"/>
    </row>
    <row r="3" spans="1:24" x14ac:dyDescent="0.2">
      <c r="A3" s="214" t="s">
        <v>765</v>
      </c>
      <c r="B3" s="214"/>
      <c r="C3" s="70"/>
      <c r="D3" s="93">
        <v>142351</v>
      </c>
      <c r="E3" s="77">
        <f>D3/D7*100</f>
        <v>77.652070980094805</v>
      </c>
      <c r="F3" s="70" t="s">
        <v>158</v>
      </c>
    </row>
    <row r="4" spans="1:24" x14ac:dyDescent="0.2">
      <c r="A4" s="215" t="s">
        <v>766</v>
      </c>
      <c r="B4" s="215"/>
      <c r="C4" s="70"/>
      <c r="D4" s="93">
        <v>37623</v>
      </c>
      <c r="E4" s="78">
        <f>D4/D7*100</f>
        <v>20.523240907925526</v>
      </c>
      <c r="F4" s="70" t="s">
        <v>158</v>
      </c>
    </row>
    <row r="5" spans="1:24" x14ac:dyDescent="0.2">
      <c r="A5" s="216" t="s">
        <v>767</v>
      </c>
      <c r="B5" s="216"/>
      <c r="C5" s="70"/>
      <c r="D5" s="93">
        <v>3345</v>
      </c>
      <c r="E5" s="79">
        <f>D5/D7*100</f>
        <v>1.8246881119796639</v>
      </c>
      <c r="F5" s="70" t="s">
        <v>158</v>
      </c>
    </row>
    <row r="6" spans="1:24" x14ac:dyDescent="0.2">
      <c r="A6" s="74"/>
      <c r="B6" s="70"/>
      <c r="C6" s="70"/>
      <c r="D6" s="93"/>
      <c r="E6" s="70"/>
      <c r="F6" s="70"/>
    </row>
    <row r="7" spans="1:24" x14ac:dyDescent="0.2">
      <c r="A7" s="217" t="s">
        <v>312</v>
      </c>
      <c r="B7" s="217"/>
      <c r="C7" s="70"/>
      <c r="D7" s="93">
        <f>+D3+D4+D5</f>
        <v>183319</v>
      </c>
      <c r="E7" s="70"/>
      <c r="F7" s="70"/>
    </row>
    <row r="10" spans="1:24" x14ac:dyDescent="0.2">
      <c r="A10" s="97" t="s">
        <v>209</v>
      </c>
    </row>
    <row r="12" spans="1:24" x14ac:dyDescent="0.2">
      <c r="A12" s="89" t="s">
        <v>161</v>
      </c>
      <c r="B12" s="84" t="s">
        <v>162</v>
      </c>
      <c r="C12" s="84"/>
      <c r="D12" s="84"/>
      <c r="E12" s="84" t="s">
        <v>163</v>
      </c>
      <c r="F12" s="84"/>
      <c r="G12" s="84"/>
      <c r="H12" s="84" t="s">
        <v>164</v>
      </c>
      <c r="I12" s="84"/>
      <c r="J12" s="84"/>
      <c r="K12" s="84" t="s">
        <v>165</v>
      </c>
      <c r="L12" s="84"/>
      <c r="M12" s="84"/>
      <c r="N12" s="84" t="s">
        <v>166</v>
      </c>
      <c r="O12" s="84"/>
      <c r="P12" s="84"/>
      <c r="Q12" s="84" t="s">
        <v>167</v>
      </c>
      <c r="R12" s="84"/>
      <c r="S12" s="84"/>
      <c r="T12" s="84" t="s">
        <v>168</v>
      </c>
      <c r="U12" s="84"/>
      <c r="V12" s="84"/>
      <c r="W12" s="84"/>
      <c r="X12" s="84"/>
    </row>
    <row r="13" spans="1:24" x14ac:dyDescent="0.2">
      <c r="A13" s="89" t="s">
        <v>96</v>
      </c>
      <c r="B13" s="84" t="s">
        <v>169</v>
      </c>
      <c r="C13" s="84" t="s">
        <v>170</v>
      </c>
      <c r="D13" s="84" t="s">
        <v>171</v>
      </c>
      <c r="E13" s="84" t="s">
        <v>169</v>
      </c>
      <c r="F13" s="84" t="s">
        <v>170</v>
      </c>
      <c r="G13" s="84" t="s">
        <v>171</v>
      </c>
      <c r="H13" s="84" t="s">
        <v>169</v>
      </c>
      <c r="I13" s="84" t="s">
        <v>170</v>
      </c>
      <c r="J13" s="84" t="s">
        <v>171</v>
      </c>
      <c r="K13" s="84" t="s">
        <v>169</v>
      </c>
      <c r="L13" s="84" t="s">
        <v>170</v>
      </c>
      <c r="M13" s="84" t="s">
        <v>171</v>
      </c>
      <c r="N13" s="84" t="s">
        <v>169</v>
      </c>
      <c r="O13" s="84" t="s">
        <v>170</v>
      </c>
      <c r="P13" s="84" t="s">
        <v>171</v>
      </c>
      <c r="Q13" s="84" t="s">
        <v>169</v>
      </c>
      <c r="R13" s="84" t="s">
        <v>170</v>
      </c>
      <c r="S13" s="84" t="s">
        <v>171</v>
      </c>
      <c r="T13" s="84" t="s">
        <v>169</v>
      </c>
      <c r="U13" s="84" t="s">
        <v>170</v>
      </c>
      <c r="V13" s="84" t="s">
        <v>171</v>
      </c>
      <c r="W13" s="84"/>
      <c r="X13" s="84" t="s">
        <v>191</v>
      </c>
    </row>
    <row r="14" spans="1:24" x14ac:dyDescent="0.2">
      <c r="A14" s="89" t="s">
        <v>874</v>
      </c>
      <c r="B14" s="84" t="s">
        <v>131</v>
      </c>
      <c r="C14" s="84" t="s">
        <v>131</v>
      </c>
      <c r="D14" s="84" t="s">
        <v>131</v>
      </c>
      <c r="E14" s="84" t="s">
        <v>131</v>
      </c>
      <c r="F14" s="84" t="s">
        <v>131</v>
      </c>
      <c r="G14" s="84" t="s">
        <v>131</v>
      </c>
      <c r="H14" s="84" t="s">
        <v>131</v>
      </c>
      <c r="I14" s="84" t="s">
        <v>131</v>
      </c>
      <c r="J14" s="84" t="s">
        <v>131</v>
      </c>
      <c r="K14" s="84" t="s">
        <v>131</v>
      </c>
      <c r="L14" s="84" t="s">
        <v>131</v>
      </c>
      <c r="M14" s="84" t="s">
        <v>131</v>
      </c>
      <c r="N14" s="84" t="s">
        <v>131</v>
      </c>
      <c r="O14" s="84" t="s">
        <v>131</v>
      </c>
      <c r="P14" s="84" t="s">
        <v>131</v>
      </c>
      <c r="Q14" s="84" t="s">
        <v>131</v>
      </c>
      <c r="R14" s="84" t="s">
        <v>131</v>
      </c>
      <c r="S14" s="84" t="s">
        <v>131</v>
      </c>
      <c r="T14" s="84" t="s">
        <v>131</v>
      </c>
      <c r="U14" s="84" t="s">
        <v>131</v>
      </c>
      <c r="V14" s="84" t="s">
        <v>131</v>
      </c>
      <c r="W14" s="84"/>
      <c r="X14" s="87">
        <f>(21/21)*100</f>
        <v>100</v>
      </c>
    </row>
    <row r="15" spans="1:24" x14ac:dyDescent="0.2">
      <c r="A15" s="89" t="s">
        <v>875</v>
      </c>
      <c r="B15" s="84" t="s">
        <v>131</v>
      </c>
      <c r="C15" s="84" t="s">
        <v>131</v>
      </c>
      <c r="D15" s="84" t="s">
        <v>131</v>
      </c>
      <c r="E15" s="84" t="s">
        <v>131</v>
      </c>
      <c r="F15" s="84" t="s">
        <v>131</v>
      </c>
      <c r="G15" s="84" t="s">
        <v>131</v>
      </c>
      <c r="H15" s="84" t="s">
        <v>131</v>
      </c>
      <c r="I15" s="84" t="s">
        <v>131</v>
      </c>
      <c r="J15" s="84" t="s">
        <v>131</v>
      </c>
      <c r="K15" s="84" t="s">
        <v>131</v>
      </c>
      <c r="L15" s="84" t="s">
        <v>131</v>
      </c>
      <c r="M15" s="84" t="s">
        <v>131</v>
      </c>
      <c r="N15" s="84" t="s">
        <v>131</v>
      </c>
      <c r="O15" s="84" t="s">
        <v>131</v>
      </c>
      <c r="P15" s="84" t="s">
        <v>131</v>
      </c>
      <c r="Q15" s="84" t="s">
        <v>131</v>
      </c>
      <c r="R15" s="84" t="s">
        <v>131</v>
      </c>
      <c r="S15" s="84" t="s">
        <v>131</v>
      </c>
      <c r="T15" s="84" t="s">
        <v>131</v>
      </c>
      <c r="U15" s="84" t="s">
        <v>131</v>
      </c>
      <c r="V15" s="84" t="s">
        <v>131</v>
      </c>
      <c r="W15" s="84"/>
      <c r="X15" s="87">
        <f t="shared" ref="X15:X37" si="0">(21/21)*100</f>
        <v>100</v>
      </c>
    </row>
    <row r="16" spans="1:24" x14ac:dyDescent="0.2">
      <c r="A16" s="89" t="s">
        <v>210</v>
      </c>
      <c r="B16" s="84" t="s">
        <v>131</v>
      </c>
      <c r="C16" s="84" t="s">
        <v>131</v>
      </c>
      <c r="D16" s="84" t="s">
        <v>131</v>
      </c>
      <c r="E16" s="84" t="s">
        <v>131</v>
      </c>
      <c r="F16" s="84" t="s">
        <v>131</v>
      </c>
      <c r="G16" s="84" t="s">
        <v>131</v>
      </c>
      <c r="H16" s="84" t="s">
        <v>131</v>
      </c>
      <c r="I16" s="84" t="s">
        <v>131</v>
      </c>
      <c r="J16" s="84" t="s">
        <v>131</v>
      </c>
      <c r="K16" s="84" t="s">
        <v>131</v>
      </c>
      <c r="L16" s="84" t="s">
        <v>131</v>
      </c>
      <c r="M16" s="84" t="s">
        <v>131</v>
      </c>
      <c r="N16" s="84" t="s">
        <v>131</v>
      </c>
      <c r="O16" s="84" t="s">
        <v>131</v>
      </c>
      <c r="P16" s="84" t="s">
        <v>131</v>
      </c>
      <c r="Q16" s="84" t="s">
        <v>131</v>
      </c>
      <c r="R16" s="84" t="s">
        <v>131</v>
      </c>
      <c r="S16" s="84" t="s">
        <v>131</v>
      </c>
      <c r="T16" s="84" t="s">
        <v>131</v>
      </c>
      <c r="U16" s="84" t="s">
        <v>131</v>
      </c>
      <c r="V16" s="84" t="s">
        <v>131</v>
      </c>
      <c r="W16" s="84"/>
      <c r="X16" s="87">
        <f t="shared" si="0"/>
        <v>100</v>
      </c>
    </row>
    <row r="17" spans="1:24" x14ac:dyDescent="0.2">
      <c r="A17" s="89" t="s">
        <v>211</v>
      </c>
      <c r="B17" s="84" t="s">
        <v>131</v>
      </c>
      <c r="C17" s="84" t="s">
        <v>131</v>
      </c>
      <c r="D17" s="84" t="s">
        <v>131</v>
      </c>
      <c r="E17" s="84" t="s">
        <v>131</v>
      </c>
      <c r="F17" s="84" t="s">
        <v>131</v>
      </c>
      <c r="G17" s="84" t="s">
        <v>131</v>
      </c>
      <c r="H17" s="84" t="s">
        <v>131</v>
      </c>
      <c r="I17" s="84" t="s">
        <v>131</v>
      </c>
      <c r="J17" s="84" t="s">
        <v>131</v>
      </c>
      <c r="K17" s="84" t="s">
        <v>131</v>
      </c>
      <c r="L17" s="84" t="s">
        <v>131</v>
      </c>
      <c r="M17" s="84" t="s">
        <v>131</v>
      </c>
      <c r="N17" s="84" t="s">
        <v>131</v>
      </c>
      <c r="O17" s="84" t="s">
        <v>131</v>
      </c>
      <c r="P17" s="84" t="s">
        <v>131</v>
      </c>
      <c r="Q17" s="84" t="s">
        <v>131</v>
      </c>
      <c r="R17" s="84" t="s">
        <v>131</v>
      </c>
      <c r="S17" s="84" t="s">
        <v>131</v>
      </c>
      <c r="T17" s="84" t="s">
        <v>131</v>
      </c>
      <c r="U17" s="84" t="s">
        <v>131</v>
      </c>
      <c r="V17" s="84" t="s">
        <v>131</v>
      </c>
      <c r="W17" s="84"/>
      <c r="X17" s="87">
        <f t="shared" si="0"/>
        <v>100</v>
      </c>
    </row>
    <row r="18" spans="1:24" ht="28.5" x14ac:dyDescent="0.2">
      <c r="A18" s="85" t="s">
        <v>912</v>
      </c>
      <c r="B18" s="84" t="s">
        <v>131</v>
      </c>
      <c r="C18" s="84" t="s">
        <v>131</v>
      </c>
      <c r="D18" s="84" t="s">
        <v>131</v>
      </c>
      <c r="E18" s="84" t="s">
        <v>131</v>
      </c>
      <c r="F18" s="84" t="s">
        <v>131</v>
      </c>
      <c r="G18" s="84" t="s">
        <v>131</v>
      </c>
      <c r="H18" s="84" t="s">
        <v>131</v>
      </c>
      <c r="I18" s="84" t="s">
        <v>131</v>
      </c>
      <c r="J18" s="84" t="s">
        <v>131</v>
      </c>
      <c r="K18" s="84" t="s">
        <v>131</v>
      </c>
      <c r="L18" s="84" t="s">
        <v>131</v>
      </c>
      <c r="M18" s="84" t="s">
        <v>131</v>
      </c>
      <c r="N18" s="84" t="s">
        <v>131</v>
      </c>
      <c r="O18" s="84" t="s">
        <v>131</v>
      </c>
      <c r="P18" s="84" t="s">
        <v>131</v>
      </c>
      <c r="Q18" s="84" t="s">
        <v>131</v>
      </c>
      <c r="R18" s="84" t="s">
        <v>131</v>
      </c>
      <c r="S18" s="84" t="s">
        <v>131</v>
      </c>
      <c r="T18" s="84" t="s">
        <v>131</v>
      </c>
      <c r="U18" s="84" t="s">
        <v>131</v>
      </c>
      <c r="V18" s="84" t="s">
        <v>131</v>
      </c>
      <c r="W18" s="84"/>
      <c r="X18" s="87">
        <f t="shared" si="0"/>
        <v>100</v>
      </c>
    </row>
    <row r="19" spans="1:24" x14ac:dyDescent="0.2">
      <c r="A19" s="88" t="s">
        <v>913</v>
      </c>
      <c r="B19" s="84" t="s">
        <v>131</v>
      </c>
      <c r="C19" s="84" t="s">
        <v>131</v>
      </c>
      <c r="D19" s="84" t="s">
        <v>131</v>
      </c>
      <c r="E19" s="84" t="s">
        <v>131</v>
      </c>
      <c r="F19" s="84" t="s">
        <v>131</v>
      </c>
      <c r="G19" s="84" t="s">
        <v>131</v>
      </c>
      <c r="H19" s="84" t="s">
        <v>131</v>
      </c>
      <c r="I19" s="84" t="s">
        <v>131</v>
      </c>
      <c r="J19" s="84" t="s">
        <v>131</v>
      </c>
      <c r="K19" s="84" t="s">
        <v>131</v>
      </c>
      <c r="L19" s="84" t="s">
        <v>131</v>
      </c>
      <c r="M19" s="84" t="s">
        <v>131</v>
      </c>
      <c r="N19" s="84" t="s">
        <v>131</v>
      </c>
      <c r="O19" s="84" t="s">
        <v>131</v>
      </c>
      <c r="P19" s="84" t="s">
        <v>131</v>
      </c>
      <c r="Q19" s="84" t="s">
        <v>131</v>
      </c>
      <c r="R19" s="84" t="s">
        <v>131</v>
      </c>
      <c r="S19" s="84" t="s">
        <v>131</v>
      </c>
      <c r="T19" s="84" t="s">
        <v>131</v>
      </c>
      <c r="U19" s="84" t="s">
        <v>131</v>
      </c>
      <c r="V19" s="84" t="s">
        <v>131</v>
      </c>
      <c r="W19" s="84"/>
      <c r="X19" s="87">
        <f t="shared" si="0"/>
        <v>100</v>
      </c>
    </row>
    <row r="20" spans="1:24" x14ac:dyDescent="0.2">
      <c r="A20" s="89" t="s">
        <v>869</v>
      </c>
      <c r="B20" s="84" t="s">
        <v>131</v>
      </c>
      <c r="C20" s="84" t="s">
        <v>131</v>
      </c>
      <c r="D20" s="84" t="s">
        <v>131</v>
      </c>
      <c r="E20" s="84" t="s">
        <v>131</v>
      </c>
      <c r="F20" s="84" t="s">
        <v>131</v>
      </c>
      <c r="G20" s="84" t="s">
        <v>131</v>
      </c>
      <c r="H20" s="84" t="s">
        <v>131</v>
      </c>
      <c r="I20" s="84" t="s">
        <v>131</v>
      </c>
      <c r="J20" s="84" t="s">
        <v>131</v>
      </c>
      <c r="K20" s="84" t="s">
        <v>131</v>
      </c>
      <c r="L20" s="84" t="s">
        <v>131</v>
      </c>
      <c r="M20" s="84" t="s">
        <v>131</v>
      </c>
      <c r="N20" s="84" t="s">
        <v>131</v>
      </c>
      <c r="O20" s="84" t="s">
        <v>131</v>
      </c>
      <c r="P20" s="84" t="s">
        <v>131</v>
      </c>
      <c r="Q20" s="84" t="s">
        <v>131</v>
      </c>
      <c r="R20" s="84" t="s">
        <v>131</v>
      </c>
      <c r="S20" s="84" t="s">
        <v>131</v>
      </c>
      <c r="T20" s="84" t="s">
        <v>131</v>
      </c>
      <c r="U20" s="84" t="s">
        <v>131</v>
      </c>
      <c r="V20" s="84" t="s">
        <v>131</v>
      </c>
      <c r="W20" s="84"/>
      <c r="X20" s="87">
        <f t="shared" si="0"/>
        <v>100</v>
      </c>
    </row>
    <row r="21" spans="1:24" x14ac:dyDescent="0.2">
      <c r="A21" s="89" t="s">
        <v>870</v>
      </c>
      <c r="B21" s="84" t="s">
        <v>131</v>
      </c>
      <c r="C21" s="84" t="s">
        <v>131</v>
      </c>
      <c r="D21" s="84" t="s">
        <v>131</v>
      </c>
      <c r="E21" s="84" t="s">
        <v>131</v>
      </c>
      <c r="F21" s="84" t="s">
        <v>131</v>
      </c>
      <c r="G21" s="84" t="s">
        <v>131</v>
      </c>
      <c r="H21" s="84" t="s">
        <v>131</v>
      </c>
      <c r="I21" s="84" t="s">
        <v>131</v>
      </c>
      <c r="J21" s="84" t="s">
        <v>131</v>
      </c>
      <c r="K21" s="84" t="s">
        <v>131</v>
      </c>
      <c r="L21" s="84" t="s">
        <v>131</v>
      </c>
      <c r="M21" s="84" t="s">
        <v>131</v>
      </c>
      <c r="N21" s="84" t="s">
        <v>131</v>
      </c>
      <c r="O21" s="84" t="s">
        <v>131</v>
      </c>
      <c r="P21" s="84" t="s">
        <v>131</v>
      </c>
      <c r="Q21" s="84" t="s">
        <v>131</v>
      </c>
      <c r="R21" s="84" t="s">
        <v>131</v>
      </c>
      <c r="S21" s="84" t="s">
        <v>131</v>
      </c>
      <c r="T21" s="84" t="s">
        <v>131</v>
      </c>
      <c r="U21" s="84" t="s">
        <v>131</v>
      </c>
      <c r="V21" s="84" t="s">
        <v>131</v>
      </c>
      <c r="W21" s="84"/>
      <c r="X21" s="87">
        <f t="shared" si="0"/>
        <v>100</v>
      </c>
    </row>
    <row r="22" spans="1:24" ht="28.5" x14ac:dyDescent="0.2">
      <c r="A22" s="85" t="s">
        <v>914</v>
      </c>
      <c r="B22" s="84" t="s">
        <v>131</v>
      </c>
      <c r="C22" s="84" t="s">
        <v>131</v>
      </c>
      <c r="D22" s="84" t="s">
        <v>131</v>
      </c>
      <c r="E22" s="84" t="s">
        <v>131</v>
      </c>
      <c r="F22" s="84" t="s">
        <v>131</v>
      </c>
      <c r="G22" s="84" t="s">
        <v>131</v>
      </c>
      <c r="H22" s="84" t="s">
        <v>131</v>
      </c>
      <c r="I22" s="84" t="s">
        <v>131</v>
      </c>
      <c r="J22" s="84" t="s">
        <v>131</v>
      </c>
      <c r="K22" s="84" t="s">
        <v>131</v>
      </c>
      <c r="L22" s="84" t="s">
        <v>131</v>
      </c>
      <c r="M22" s="84" t="s">
        <v>131</v>
      </c>
      <c r="N22" s="84" t="s">
        <v>131</v>
      </c>
      <c r="O22" s="84" t="s">
        <v>131</v>
      </c>
      <c r="P22" s="84" t="s">
        <v>131</v>
      </c>
      <c r="Q22" s="84" t="s">
        <v>131</v>
      </c>
      <c r="R22" s="84" t="s">
        <v>131</v>
      </c>
      <c r="S22" s="84" t="s">
        <v>131</v>
      </c>
      <c r="T22" s="84" t="s">
        <v>131</v>
      </c>
      <c r="U22" s="84" t="s">
        <v>131</v>
      </c>
      <c r="V22" s="84" t="s">
        <v>131</v>
      </c>
      <c r="W22" s="84"/>
      <c r="X22" s="87">
        <f t="shared" si="0"/>
        <v>100</v>
      </c>
    </row>
    <row r="23" spans="1:24" x14ac:dyDescent="0.2">
      <c r="A23" s="89" t="s">
        <v>871</v>
      </c>
      <c r="B23" s="84" t="s">
        <v>131</v>
      </c>
      <c r="C23" s="84" t="s">
        <v>131</v>
      </c>
      <c r="D23" s="84" t="s">
        <v>131</v>
      </c>
      <c r="E23" s="84" t="s">
        <v>131</v>
      </c>
      <c r="F23" s="84" t="s">
        <v>131</v>
      </c>
      <c r="G23" s="84" t="s">
        <v>131</v>
      </c>
      <c r="H23" s="84" t="s">
        <v>131</v>
      </c>
      <c r="I23" s="84" t="s">
        <v>131</v>
      </c>
      <c r="J23" s="84" t="s">
        <v>131</v>
      </c>
      <c r="K23" s="84" t="s">
        <v>131</v>
      </c>
      <c r="L23" s="84" t="s">
        <v>131</v>
      </c>
      <c r="M23" s="84" t="s">
        <v>131</v>
      </c>
      <c r="N23" s="84" t="s">
        <v>131</v>
      </c>
      <c r="O23" s="84" t="s">
        <v>131</v>
      </c>
      <c r="P23" s="84" t="s">
        <v>131</v>
      </c>
      <c r="Q23" s="84" t="s">
        <v>131</v>
      </c>
      <c r="R23" s="84" t="s">
        <v>131</v>
      </c>
      <c r="S23" s="84" t="s">
        <v>131</v>
      </c>
      <c r="T23" s="84" t="s">
        <v>131</v>
      </c>
      <c r="U23" s="84" t="s">
        <v>131</v>
      </c>
      <c r="V23" s="84" t="s">
        <v>131</v>
      </c>
      <c r="W23" s="84"/>
      <c r="X23" s="87">
        <f t="shared" si="0"/>
        <v>100</v>
      </c>
    </row>
    <row r="24" spans="1:24" x14ac:dyDescent="0.2">
      <c r="A24" s="89" t="s">
        <v>872</v>
      </c>
      <c r="B24" s="84" t="s">
        <v>131</v>
      </c>
      <c r="C24" s="84" t="s">
        <v>131</v>
      </c>
      <c r="D24" s="84" t="s">
        <v>131</v>
      </c>
      <c r="E24" s="84" t="s">
        <v>131</v>
      </c>
      <c r="F24" s="84" t="s">
        <v>131</v>
      </c>
      <c r="G24" s="84" t="s">
        <v>131</v>
      </c>
      <c r="H24" s="84" t="s">
        <v>131</v>
      </c>
      <c r="I24" s="84" t="s">
        <v>131</v>
      </c>
      <c r="J24" s="84" t="s">
        <v>131</v>
      </c>
      <c r="K24" s="84" t="s">
        <v>131</v>
      </c>
      <c r="L24" s="84" t="s">
        <v>131</v>
      </c>
      <c r="M24" s="84" t="s">
        <v>131</v>
      </c>
      <c r="N24" s="84" t="s">
        <v>131</v>
      </c>
      <c r="O24" s="84" t="s">
        <v>131</v>
      </c>
      <c r="P24" s="84" t="s">
        <v>131</v>
      </c>
      <c r="Q24" s="84" t="s">
        <v>131</v>
      </c>
      <c r="R24" s="84" t="s">
        <v>131</v>
      </c>
      <c r="S24" s="84" t="s">
        <v>131</v>
      </c>
      <c r="T24" s="84" t="s">
        <v>131</v>
      </c>
      <c r="U24" s="84" t="s">
        <v>131</v>
      </c>
      <c r="V24" s="84" t="s">
        <v>131</v>
      </c>
      <c r="W24" s="84"/>
      <c r="X24" s="87">
        <f t="shared" si="0"/>
        <v>100</v>
      </c>
    </row>
    <row r="25" spans="1:24" x14ac:dyDescent="0.2">
      <c r="A25" s="89" t="s">
        <v>873</v>
      </c>
      <c r="B25" s="84" t="s">
        <v>131</v>
      </c>
      <c r="C25" s="84" t="s">
        <v>131</v>
      </c>
      <c r="D25" s="84" t="s">
        <v>131</v>
      </c>
      <c r="E25" s="84" t="s">
        <v>131</v>
      </c>
      <c r="F25" s="84" t="s">
        <v>131</v>
      </c>
      <c r="G25" s="84" t="s">
        <v>131</v>
      </c>
      <c r="H25" s="84" t="s">
        <v>131</v>
      </c>
      <c r="I25" s="84" t="s">
        <v>131</v>
      </c>
      <c r="J25" s="84" t="s">
        <v>131</v>
      </c>
      <c r="K25" s="84" t="s">
        <v>131</v>
      </c>
      <c r="L25" s="84" t="s">
        <v>131</v>
      </c>
      <c r="M25" s="84" t="s">
        <v>131</v>
      </c>
      <c r="N25" s="84" t="s">
        <v>131</v>
      </c>
      <c r="O25" s="84" t="s">
        <v>131</v>
      </c>
      <c r="P25" s="84" t="s">
        <v>131</v>
      </c>
      <c r="Q25" s="84" t="s">
        <v>131</v>
      </c>
      <c r="R25" s="84" t="s">
        <v>131</v>
      </c>
      <c r="S25" s="84" t="s">
        <v>131</v>
      </c>
      <c r="T25" s="84" t="s">
        <v>131</v>
      </c>
      <c r="U25" s="84" t="s">
        <v>131</v>
      </c>
      <c r="V25" s="84" t="s">
        <v>131</v>
      </c>
      <c r="W25" s="84"/>
      <c r="X25" s="87">
        <f t="shared" si="0"/>
        <v>100</v>
      </c>
    </row>
    <row r="26" spans="1:24" x14ac:dyDescent="0.2">
      <c r="A26" s="89" t="s">
        <v>915</v>
      </c>
      <c r="B26" s="84" t="s">
        <v>131</v>
      </c>
      <c r="C26" s="84" t="s">
        <v>131</v>
      </c>
      <c r="D26" s="84" t="s">
        <v>131</v>
      </c>
      <c r="E26" s="84" t="s">
        <v>131</v>
      </c>
      <c r="F26" s="84" t="s">
        <v>131</v>
      </c>
      <c r="G26" s="84" t="s">
        <v>131</v>
      </c>
      <c r="H26" s="84" t="s">
        <v>131</v>
      </c>
      <c r="I26" s="84" t="s">
        <v>131</v>
      </c>
      <c r="J26" s="84" t="s">
        <v>131</v>
      </c>
      <c r="K26" s="84" t="s">
        <v>131</v>
      </c>
      <c r="L26" s="84" t="s">
        <v>131</v>
      </c>
      <c r="M26" s="84" t="s">
        <v>131</v>
      </c>
      <c r="N26" s="84" t="s">
        <v>131</v>
      </c>
      <c r="O26" s="84" t="s">
        <v>131</v>
      </c>
      <c r="P26" s="84" t="s">
        <v>131</v>
      </c>
      <c r="Q26" s="84" t="s">
        <v>131</v>
      </c>
      <c r="R26" s="84" t="s">
        <v>131</v>
      </c>
      <c r="S26" s="84" t="s">
        <v>131</v>
      </c>
      <c r="T26" s="84" t="s">
        <v>131</v>
      </c>
      <c r="U26" s="84" t="s">
        <v>131</v>
      </c>
      <c r="V26" s="84" t="s">
        <v>131</v>
      </c>
      <c r="W26" s="84"/>
      <c r="X26" s="87">
        <f t="shared" si="0"/>
        <v>100</v>
      </c>
    </row>
    <row r="27" spans="1:24" x14ac:dyDescent="0.2">
      <c r="A27" s="89" t="s">
        <v>916</v>
      </c>
      <c r="B27" s="84" t="s">
        <v>131</v>
      </c>
      <c r="C27" s="84" t="s">
        <v>131</v>
      </c>
      <c r="D27" s="84" t="s">
        <v>131</v>
      </c>
      <c r="E27" s="84" t="s">
        <v>131</v>
      </c>
      <c r="F27" s="84" t="s">
        <v>131</v>
      </c>
      <c r="G27" s="84" t="s">
        <v>131</v>
      </c>
      <c r="H27" s="84" t="s">
        <v>131</v>
      </c>
      <c r="I27" s="84" t="s">
        <v>131</v>
      </c>
      <c r="J27" s="84" t="s">
        <v>131</v>
      </c>
      <c r="K27" s="84" t="s">
        <v>131</v>
      </c>
      <c r="L27" s="84" t="s">
        <v>131</v>
      </c>
      <c r="M27" s="84" t="s">
        <v>131</v>
      </c>
      <c r="N27" s="84" t="s">
        <v>131</v>
      </c>
      <c r="O27" s="84" t="s">
        <v>131</v>
      </c>
      <c r="P27" s="84" t="s">
        <v>131</v>
      </c>
      <c r="Q27" s="84" t="s">
        <v>131</v>
      </c>
      <c r="R27" s="84" t="s">
        <v>131</v>
      </c>
      <c r="S27" s="84" t="s">
        <v>131</v>
      </c>
      <c r="T27" s="84" t="s">
        <v>131</v>
      </c>
      <c r="U27" s="84" t="s">
        <v>131</v>
      </c>
      <c r="V27" s="84" t="s">
        <v>131</v>
      </c>
      <c r="W27" s="84"/>
      <c r="X27" s="87">
        <f t="shared" si="0"/>
        <v>100</v>
      </c>
    </row>
    <row r="28" spans="1:24" x14ac:dyDescent="0.2">
      <c r="A28" s="89" t="s">
        <v>917</v>
      </c>
      <c r="B28" s="84" t="s">
        <v>131</v>
      </c>
      <c r="C28" s="84" t="s">
        <v>131</v>
      </c>
      <c r="D28" s="84" t="s">
        <v>131</v>
      </c>
      <c r="E28" s="84" t="s">
        <v>131</v>
      </c>
      <c r="F28" s="84" t="s">
        <v>131</v>
      </c>
      <c r="G28" s="84" t="s">
        <v>131</v>
      </c>
      <c r="H28" s="84" t="s">
        <v>131</v>
      </c>
      <c r="I28" s="84" t="s">
        <v>131</v>
      </c>
      <c r="J28" s="84" t="s">
        <v>131</v>
      </c>
      <c r="K28" s="84" t="s">
        <v>131</v>
      </c>
      <c r="L28" s="84" t="s">
        <v>131</v>
      </c>
      <c r="M28" s="84" t="s">
        <v>131</v>
      </c>
      <c r="N28" s="84" t="s">
        <v>131</v>
      </c>
      <c r="O28" s="84" t="s">
        <v>131</v>
      </c>
      <c r="P28" s="84" t="s">
        <v>131</v>
      </c>
      <c r="Q28" s="84" t="s">
        <v>131</v>
      </c>
      <c r="R28" s="84" t="s">
        <v>131</v>
      </c>
      <c r="S28" s="84" t="s">
        <v>131</v>
      </c>
      <c r="T28" s="84" t="s">
        <v>131</v>
      </c>
      <c r="U28" s="84" t="s">
        <v>131</v>
      </c>
      <c r="V28" s="84" t="s">
        <v>131</v>
      </c>
      <c r="W28" s="84"/>
      <c r="X28" s="87">
        <f t="shared" si="0"/>
        <v>100</v>
      </c>
    </row>
    <row r="29" spans="1:24" x14ac:dyDescent="0.2">
      <c r="A29" s="89" t="s">
        <v>918</v>
      </c>
      <c r="B29" s="84" t="s">
        <v>131</v>
      </c>
      <c r="C29" s="84" t="s">
        <v>131</v>
      </c>
      <c r="D29" s="84" t="s">
        <v>131</v>
      </c>
      <c r="E29" s="84" t="s">
        <v>131</v>
      </c>
      <c r="F29" s="84" t="s">
        <v>131</v>
      </c>
      <c r="G29" s="84" t="s">
        <v>131</v>
      </c>
      <c r="H29" s="84" t="s">
        <v>131</v>
      </c>
      <c r="I29" s="84" t="s">
        <v>131</v>
      </c>
      <c r="J29" s="84" t="s">
        <v>131</v>
      </c>
      <c r="K29" s="84" t="s">
        <v>131</v>
      </c>
      <c r="L29" s="84" t="s">
        <v>131</v>
      </c>
      <c r="M29" s="84" t="s">
        <v>131</v>
      </c>
      <c r="N29" s="84" t="s">
        <v>131</v>
      </c>
      <c r="O29" s="84" t="s">
        <v>131</v>
      </c>
      <c r="P29" s="84" t="s">
        <v>131</v>
      </c>
      <c r="Q29" s="84" t="s">
        <v>131</v>
      </c>
      <c r="R29" s="84" t="s">
        <v>131</v>
      </c>
      <c r="S29" s="84" t="s">
        <v>131</v>
      </c>
      <c r="T29" s="84" t="s">
        <v>131</v>
      </c>
      <c r="U29" s="84" t="s">
        <v>131</v>
      </c>
      <c r="V29" s="84" t="s">
        <v>131</v>
      </c>
      <c r="W29" s="84"/>
      <c r="X29" s="87">
        <f t="shared" si="0"/>
        <v>100</v>
      </c>
    </row>
    <row r="30" spans="1:24" x14ac:dyDescent="0.2">
      <c r="A30" s="89" t="s">
        <v>919</v>
      </c>
      <c r="B30" s="84" t="s">
        <v>131</v>
      </c>
      <c r="C30" s="84" t="s">
        <v>131</v>
      </c>
      <c r="D30" s="84" t="s">
        <v>131</v>
      </c>
      <c r="E30" s="84" t="s">
        <v>131</v>
      </c>
      <c r="F30" s="84" t="s">
        <v>131</v>
      </c>
      <c r="G30" s="84" t="s">
        <v>131</v>
      </c>
      <c r="H30" s="84" t="s">
        <v>131</v>
      </c>
      <c r="I30" s="84" t="s">
        <v>131</v>
      </c>
      <c r="J30" s="84" t="s">
        <v>131</v>
      </c>
      <c r="K30" s="84" t="s">
        <v>131</v>
      </c>
      <c r="L30" s="84" t="s">
        <v>131</v>
      </c>
      <c r="M30" s="84" t="s">
        <v>131</v>
      </c>
      <c r="N30" s="84" t="s">
        <v>131</v>
      </c>
      <c r="O30" s="84" t="s">
        <v>131</v>
      </c>
      <c r="P30" s="84" t="s">
        <v>131</v>
      </c>
      <c r="Q30" s="84" t="s">
        <v>131</v>
      </c>
      <c r="R30" s="84" t="s">
        <v>131</v>
      </c>
      <c r="S30" s="84" t="s">
        <v>131</v>
      </c>
      <c r="T30" s="84" t="s">
        <v>131</v>
      </c>
      <c r="U30" s="84" t="s">
        <v>131</v>
      </c>
      <c r="V30" s="84" t="s">
        <v>131</v>
      </c>
      <c r="W30" s="84"/>
      <c r="X30" s="87">
        <f t="shared" si="0"/>
        <v>100</v>
      </c>
    </row>
    <row r="31" spans="1:24" x14ac:dyDescent="0.2">
      <c r="A31" s="89" t="s">
        <v>920</v>
      </c>
      <c r="B31" s="84" t="s">
        <v>131</v>
      </c>
      <c r="C31" s="84" t="s">
        <v>131</v>
      </c>
      <c r="D31" s="84" t="s">
        <v>131</v>
      </c>
      <c r="E31" s="84" t="s">
        <v>131</v>
      </c>
      <c r="F31" s="84" t="s">
        <v>131</v>
      </c>
      <c r="G31" s="84" t="s">
        <v>131</v>
      </c>
      <c r="H31" s="84" t="s">
        <v>131</v>
      </c>
      <c r="I31" s="84" t="s">
        <v>131</v>
      </c>
      <c r="J31" s="84" t="s">
        <v>131</v>
      </c>
      <c r="K31" s="84" t="s">
        <v>131</v>
      </c>
      <c r="L31" s="84" t="s">
        <v>131</v>
      </c>
      <c r="M31" s="84" t="s">
        <v>131</v>
      </c>
      <c r="N31" s="84" t="s">
        <v>131</v>
      </c>
      <c r="O31" s="84" t="s">
        <v>131</v>
      </c>
      <c r="P31" s="84" t="s">
        <v>131</v>
      </c>
      <c r="Q31" s="84" t="s">
        <v>131</v>
      </c>
      <c r="R31" s="84" t="s">
        <v>131</v>
      </c>
      <c r="S31" s="84" t="s">
        <v>131</v>
      </c>
      <c r="T31" s="84" t="s">
        <v>131</v>
      </c>
      <c r="U31" s="84" t="s">
        <v>131</v>
      </c>
      <c r="V31" s="84" t="s">
        <v>131</v>
      </c>
      <c r="W31" s="84"/>
      <c r="X31" s="87">
        <f t="shared" si="0"/>
        <v>100</v>
      </c>
    </row>
    <row r="32" spans="1:24" x14ac:dyDescent="0.2">
      <c r="A32" s="89" t="s">
        <v>920</v>
      </c>
      <c r="B32" s="84" t="s">
        <v>131</v>
      </c>
      <c r="C32" s="84" t="s">
        <v>131</v>
      </c>
      <c r="D32" s="84" t="s">
        <v>131</v>
      </c>
      <c r="E32" s="84" t="s">
        <v>131</v>
      </c>
      <c r="F32" s="84" t="s">
        <v>131</v>
      </c>
      <c r="G32" s="84" t="s">
        <v>131</v>
      </c>
      <c r="H32" s="84" t="s">
        <v>131</v>
      </c>
      <c r="I32" s="84" t="s">
        <v>131</v>
      </c>
      <c r="J32" s="84" t="s">
        <v>131</v>
      </c>
      <c r="K32" s="84" t="s">
        <v>131</v>
      </c>
      <c r="L32" s="84" t="s">
        <v>131</v>
      </c>
      <c r="M32" s="84" t="s">
        <v>131</v>
      </c>
      <c r="N32" s="84" t="s">
        <v>131</v>
      </c>
      <c r="O32" s="84" t="s">
        <v>131</v>
      </c>
      <c r="P32" s="84" t="s">
        <v>131</v>
      </c>
      <c r="Q32" s="84" t="s">
        <v>131</v>
      </c>
      <c r="R32" s="84" t="s">
        <v>131</v>
      </c>
      <c r="S32" s="84" t="s">
        <v>131</v>
      </c>
      <c r="T32" s="84" t="s">
        <v>131</v>
      </c>
      <c r="U32" s="84" t="s">
        <v>131</v>
      </c>
      <c r="V32" s="84" t="s">
        <v>131</v>
      </c>
      <c r="W32" s="84"/>
      <c r="X32" s="87">
        <f t="shared" si="0"/>
        <v>100</v>
      </c>
    </row>
    <row r="33" spans="1:24" x14ac:dyDescent="0.2">
      <c r="A33" s="89" t="s">
        <v>921</v>
      </c>
      <c r="B33" s="84" t="s">
        <v>131</v>
      </c>
      <c r="C33" s="84" t="s">
        <v>131</v>
      </c>
      <c r="D33" s="84" t="s">
        <v>131</v>
      </c>
      <c r="E33" s="84" t="s">
        <v>131</v>
      </c>
      <c r="F33" s="84" t="s">
        <v>131</v>
      </c>
      <c r="G33" s="84" t="s">
        <v>131</v>
      </c>
      <c r="H33" s="84" t="s">
        <v>131</v>
      </c>
      <c r="I33" s="84" t="s">
        <v>131</v>
      </c>
      <c r="J33" s="84" t="s">
        <v>131</v>
      </c>
      <c r="K33" s="84" t="s">
        <v>131</v>
      </c>
      <c r="L33" s="84" t="s">
        <v>131</v>
      </c>
      <c r="M33" s="84" t="s">
        <v>131</v>
      </c>
      <c r="N33" s="84" t="s">
        <v>131</v>
      </c>
      <c r="O33" s="84" t="s">
        <v>131</v>
      </c>
      <c r="P33" s="84" t="s">
        <v>131</v>
      </c>
      <c r="Q33" s="84" t="s">
        <v>131</v>
      </c>
      <c r="R33" s="84" t="s">
        <v>131</v>
      </c>
      <c r="S33" s="84" t="s">
        <v>131</v>
      </c>
      <c r="T33" s="84" t="s">
        <v>131</v>
      </c>
      <c r="U33" s="84" t="s">
        <v>131</v>
      </c>
      <c r="V33" s="84" t="s">
        <v>131</v>
      </c>
      <c r="W33" s="84"/>
      <c r="X33" s="87">
        <f t="shared" si="0"/>
        <v>100</v>
      </c>
    </row>
    <row r="34" spans="1:24" x14ac:dyDescent="0.2">
      <c r="A34" s="89" t="s">
        <v>922</v>
      </c>
      <c r="B34" s="84" t="s">
        <v>131</v>
      </c>
      <c r="C34" s="84" t="s">
        <v>131</v>
      </c>
      <c r="D34" s="84" t="s">
        <v>131</v>
      </c>
      <c r="E34" s="84" t="s">
        <v>131</v>
      </c>
      <c r="F34" s="84" t="s">
        <v>131</v>
      </c>
      <c r="G34" s="84" t="s">
        <v>131</v>
      </c>
      <c r="H34" s="84" t="s">
        <v>131</v>
      </c>
      <c r="I34" s="84" t="s">
        <v>131</v>
      </c>
      <c r="J34" s="84" t="s">
        <v>131</v>
      </c>
      <c r="K34" s="84" t="s">
        <v>131</v>
      </c>
      <c r="L34" s="84" t="s">
        <v>131</v>
      </c>
      <c r="M34" s="84" t="s">
        <v>131</v>
      </c>
      <c r="N34" s="84" t="s">
        <v>131</v>
      </c>
      <c r="O34" s="84" t="s">
        <v>131</v>
      </c>
      <c r="P34" s="84" t="s">
        <v>131</v>
      </c>
      <c r="Q34" s="84" t="s">
        <v>131</v>
      </c>
      <c r="R34" s="84" t="s">
        <v>131</v>
      </c>
      <c r="S34" s="84" t="s">
        <v>131</v>
      </c>
      <c r="T34" s="84" t="s">
        <v>131</v>
      </c>
      <c r="U34" s="84" t="s">
        <v>131</v>
      </c>
      <c r="V34" s="84" t="s">
        <v>131</v>
      </c>
      <c r="W34" s="84"/>
      <c r="X34" s="87">
        <f t="shared" si="0"/>
        <v>100</v>
      </c>
    </row>
    <row r="35" spans="1:24" ht="28.5" x14ac:dyDescent="0.2">
      <c r="A35" s="85" t="s">
        <v>212</v>
      </c>
      <c r="B35" s="84" t="s">
        <v>131</v>
      </c>
      <c r="C35" s="84" t="s">
        <v>131</v>
      </c>
      <c r="D35" s="84" t="s">
        <v>131</v>
      </c>
      <c r="E35" s="84" t="s">
        <v>131</v>
      </c>
      <c r="F35" s="84" t="s">
        <v>131</v>
      </c>
      <c r="G35" s="84" t="s">
        <v>131</v>
      </c>
      <c r="H35" s="84" t="s">
        <v>131</v>
      </c>
      <c r="I35" s="84" t="s">
        <v>131</v>
      </c>
      <c r="J35" s="84" t="s">
        <v>131</v>
      </c>
      <c r="K35" s="84" t="s">
        <v>131</v>
      </c>
      <c r="L35" s="84" t="s">
        <v>131</v>
      </c>
      <c r="M35" s="84" t="s">
        <v>131</v>
      </c>
      <c r="N35" s="84" t="s">
        <v>131</v>
      </c>
      <c r="O35" s="84" t="s">
        <v>131</v>
      </c>
      <c r="P35" s="84" t="s">
        <v>131</v>
      </c>
      <c r="Q35" s="84" t="s">
        <v>131</v>
      </c>
      <c r="R35" s="84" t="s">
        <v>131</v>
      </c>
      <c r="S35" s="84" t="s">
        <v>131</v>
      </c>
      <c r="T35" s="84" t="s">
        <v>131</v>
      </c>
      <c r="U35" s="84" t="s">
        <v>131</v>
      </c>
      <c r="V35" s="84" t="s">
        <v>131</v>
      </c>
      <c r="W35" s="84"/>
      <c r="X35" s="87">
        <f t="shared" si="0"/>
        <v>100</v>
      </c>
    </row>
    <row r="36" spans="1:24" ht="33.75" x14ac:dyDescent="0.2">
      <c r="A36" s="89" t="s">
        <v>213</v>
      </c>
      <c r="B36" s="95" t="s">
        <v>214</v>
      </c>
      <c r="C36" s="95" t="s">
        <v>214</v>
      </c>
      <c r="D36" s="95" t="s">
        <v>214</v>
      </c>
      <c r="E36" s="95" t="s">
        <v>214</v>
      </c>
      <c r="F36" s="95" t="s">
        <v>214</v>
      </c>
      <c r="G36" s="95" t="s">
        <v>214</v>
      </c>
      <c r="H36" s="95" t="s">
        <v>214</v>
      </c>
      <c r="I36" s="95" t="s">
        <v>214</v>
      </c>
      <c r="J36" s="95" t="s">
        <v>214</v>
      </c>
      <c r="K36" s="95" t="s">
        <v>214</v>
      </c>
      <c r="L36" s="95" t="s">
        <v>214</v>
      </c>
      <c r="M36" s="95" t="s">
        <v>214</v>
      </c>
      <c r="N36" s="95" t="s">
        <v>214</v>
      </c>
      <c r="O36" s="95" t="s">
        <v>214</v>
      </c>
      <c r="P36" s="95" t="s">
        <v>214</v>
      </c>
      <c r="Q36" s="95" t="s">
        <v>214</v>
      </c>
      <c r="R36" s="95" t="s">
        <v>214</v>
      </c>
      <c r="S36" s="95" t="s">
        <v>214</v>
      </c>
      <c r="T36" s="95" t="s">
        <v>214</v>
      </c>
      <c r="U36" s="95" t="s">
        <v>214</v>
      </c>
      <c r="V36" s="95" t="s">
        <v>214</v>
      </c>
      <c r="W36" s="84"/>
      <c r="X36" s="87">
        <f t="shared" si="0"/>
        <v>100</v>
      </c>
    </row>
    <row r="37" spans="1:24" ht="22.5" x14ac:dyDescent="0.2">
      <c r="A37" s="89" t="s">
        <v>215</v>
      </c>
      <c r="B37" s="95" t="s">
        <v>216</v>
      </c>
      <c r="C37" s="95" t="s">
        <v>216</v>
      </c>
      <c r="D37" s="95" t="s">
        <v>216</v>
      </c>
      <c r="E37" s="95" t="s">
        <v>216</v>
      </c>
      <c r="F37" s="95" t="s">
        <v>216</v>
      </c>
      <c r="G37" s="95" t="s">
        <v>216</v>
      </c>
      <c r="H37" s="95" t="s">
        <v>216</v>
      </c>
      <c r="I37" s="95" t="s">
        <v>216</v>
      </c>
      <c r="J37" s="95" t="s">
        <v>216</v>
      </c>
      <c r="K37" s="95" t="s">
        <v>216</v>
      </c>
      <c r="L37" s="95" t="s">
        <v>216</v>
      </c>
      <c r="M37" s="95" t="s">
        <v>216</v>
      </c>
      <c r="N37" s="95" t="s">
        <v>216</v>
      </c>
      <c r="O37" s="95" t="s">
        <v>216</v>
      </c>
      <c r="P37" s="95" t="s">
        <v>216</v>
      </c>
      <c r="Q37" s="95" t="s">
        <v>216</v>
      </c>
      <c r="R37" s="95" t="s">
        <v>216</v>
      </c>
      <c r="S37" s="95" t="s">
        <v>216</v>
      </c>
      <c r="T37" s="95" t="s">
        <v>216</v>
      </c>
      <c r="U37" s="95" t="s">
        <v>216</v>
      </c>
      <c r="V37" s="95" t="s">
        <v>216</v>
      </c>
      <c r="W37" s="84"/>
      <c r="X37" s="87">
        <f t="shared" si="0"/>
        <v>100</v>
      </c>
    </row>
    <row r="38" spans="1:24" ht="33.75" x14ac:dyDescent="0.2">
      <c r="A38" s="89" t="s">
        <v>217</v>
      </c>
      <c r="B38" s="95"/>
      <c r="C38" s="95" t="s">
        <v>218</v>
      </c>
      <c r="D38" s="95"/>
      <c r="E38" s="95"/>
      <c r="F38" s="95" t="s">
        <v>218</v>
      </c>
      <c r="G38" s="95"/>
      <c r="H38" s="94"/>
      <c r="I38" s="95" t="s">
        <v>924</v>
      </c>
      <c r="J38" s="95"/>
      <c r="K38" s="95"/>
      <c r="L38" s="95" t="s">
        <v>218</v>
      </c>
      <c r="M38" s="95"/>
      <c r="N38" s="95"/>
      <c r="O38" s="95"/>
      <c r="P38" s="95"/>
      <c r="Q38" s="95" t="s">
        <v>219</v>
      </c>
      <c r="R38" s="95"/>
      <c r="S38" s="95"/>
      <c r="T38" s="95"/>
      <c r="U38" s="95"/>
      <c r="V38" s="95"/>
      <c r="W38" s="94"/>
      <c r="X38" s="87">
        <f>(5/21)*100</f>
        <v>23.809523809523807</v>
      </c>
    </row>
    <row r="39" spans="1:24" ht="33.75" x14ac:dyDescent="0.2">
      <c r="A39" s="89" t="s">
        <v>220</v>
      </c>
      <c r="B39" s="95" t="s">
        <v>925</v>
      </c>
      <c r="C39" s="95" t="s">
        <v>221</v>
      </c>
      <c r="D39" s="94"/>
      <c r="E39" s="95" t="s">
        <v>222</v>
      </c>
      <c r="F39" s="95" t="s">
        <v>221</v>
      </c>
      <c r="G39" s="95" t="s">
        <v>223</v>
      </c>
      <c r="H39" s="95" t="s">
        <v>224</v>
      </c>
      <c r="I39" s="95" t="s">
        <v>926</v>
      </c>
      <c r="J39" s="95" t="s">
        <v>225</v>
      </c>
      <c r="K39" s="95"/>
      <c r="L39" s="95" t="s">
        <v>221</v>
      </c>
      <c r="M39" s="95" t="s">
        <v>226</v>
      </c>
      <c r="N39" s="95"/>
      <c r="O39" s="95"/>
      <c r="P39" s="95"/>
      <c r="Q39" s="95" t="s">
        <v>227</v>
      </c>
      <c r="R39" s="95"/>
      <c r="S39" s="95"/>
      <c r="T39" s="95"/>
      <c r="U39" s="95"/>
      <c r="V39" s="95"/>
      <c r="W39" s="94"/>
      <c r="X39" s="87">
        <f>(11/21)*100</f>
        <v>52.380952380952387</v>
      </c>
    </row>
    <row r="40" spans="1:24" ht="42.75" x14ac:dyDescent="0.2">
      <c r="A40" s="85" t="s">
        <v>228</v>
      </c>
      <c r="B40" s="95" t="s">
        <v>229</v>
      </c>
      <c r="C40" s="95" t="s">
        <v>230</v>
      </c>
      <c r="D40" s="95"/>
      <c r="E40" s="95" t="s">
        <v>229</v>
      </c>
      <c r="F40" s="95" t="s">
        <v>230</v>
      </c>
      <c r="G40" s="94"/>
      <c r="H40" s="95" t="s">
        <v>229</v>
      </c>
      <c r="I40" s="95" t="s">
        <v>927</v>
      </c>
      <c r="J40" s="95"/>
      <c r="K40" s="95" t="s">
        <v>231</v>
      </c>
      <c r="L40" s="95" t="s">
        <v>230</v>
      </c>
      <c r="M40" s="95" t="s">
        <v>232</v>
      </c>
      <c r="N40" s="95" t="s">
        <v>231</v>
      </c>
      <c r="O40" s="95" t="s">
        <v>233</v>
      </c>
      <c r="P40" s="95"/>
      <c r="Q40" s="95" t="s">
        <v>234</v>
      </c>
      <c r="R40" s="95"/>
      <c r="S40" s="95"/>
      <c r="T40" s="95"/>
      <c r="U40" s="95"/>
      <c r="V40" s="95"/>
      <c r="W40" s="94"/>
      <c r="X40" s="87">
        <f>(12/21)*100</f>
        <v>57.142857142857139</v>
      </c>
    </row>
    <row r="41" spans="1:24" s="75" customFormat="1" ht="33.75" x14ac:dyDescent="0.2">
      <c r="A41" s="85" t="s">
        <v>235</v>
      </c>
      <c r="B41" s="95"/>
      <c r="C41" s="95" t="s">
        <v>236</v>
      </c>
      <c r="D41" s="95" t="s">
        <v>237</v>
      </c>
      <c r="E41" s="95"/>
      <c r="F41" s="95" t="s">
        <v>236</v>
      </c>
      <c r="G41" s="95"/>
      <c r="H41" s="94"/>
      <c r="I41" s="95" t="s">
        <v>928</v>
      </c>
      <c r="J41" s="95"/>
      <c r="K41" s="95"/>
      <c r="L41" s="95" t="s">
        <v>236</v>
      </c>
      <c r="M41" s="95" t="s">
        <v>238</v>
      </c>
      <c r="N41" s="95"/>
      <c r="O41" s="95"/>
      <c r="P41" s="95"/>
      <c r="Q41" s="95"/>
      <c r="R41" s="95"/>
      <c r="S41" s="95"/>
      <c r="T41" s="95"/>
      <c r="U41" s="95"/>
      <c r="V41" s="95"/>
      <c r="W41" s="94"/>
      <c r="X41" s="87">
        <f>(6/21)*100</f>
        <v>28.571428571428569</v>
      </c>
    </row>
    <row r="42" spans="1:24" ht="33.75" x14ac:dyDescent="0.2">
      <c r="A42" s="89" t="s">
        <v>239</v>
      </c>
      <c r="B42" s="95"/>
      <c r="C42" s="95" t="s">
        <v>240</v>
      </c>
      <c r="D42" s="95"/>
      <c r="E42" s="95"/>
      <c r="F42" s="95" t="s">
        <v>240</v>
      </c>
      <c r="G42" s="95"/>
      <c r="H42" s="95"/>
      <c r="I42" s="95"/>
      <c r="J42" s="95"/>
      <c r="K42" s="95"/>
      <c r="L42" s="95" t="s">
        <v>240</v>
      </c>
      <c r="M42" s="95"/>
      <c r="N42" s="95"/>
      <c r="O42" s="95"/>
      <c r="P42" s="95"/>
      <c r="Q42" s="95"/>
      <c r="R42" s="95"/>
      <c r="S42" s="95"/>
      <c r="T42" s="95"/>
      <c r="U42" s="95"/>
      <c r="V42" s="95"/>
      <c r="W42" s="94"/>
      <c r="X42" s="87">
        <f>(3/21)*100</f>
        <v>14.285714285714285</v>
      </c>
    </row>
    <row r="43" spans="1:24" ht="33.75" x14ac:dyDescent="0.2">
      <c r="A43" s="89" t="s">
        <v>241</v>
      </c>
      <c r="B43" s="95" t="s">
        <v>242</v>
      </c>
      <c r="C43" s="95" t="s">
        <v>243</v>
      </c>
      <c r="D43" s="94"/>
      <c r="E43" s="84"/>
      <c r="F43" s="95" t="s">
        <v>243</v>
      </c>
      <c r="G43" s="95" t="s">
        <v>244</v>
      </c>
      <c r="H43" s="94"/>
      <c r="I43" s="94"/>
      <c r="J43" s="94"/>
      <c r="K43" s="94"/>
      <c r="L43" s="95" t="s">
        <v>243</v>
      </c>
      <c r="M43" s="95" t="s">
        <v>226</v>
      </c>
      <c r="N43" s="94"/>
      <c r="O43" s="95"/>
      <c r="P43" s="94"/>
      <c r="Q43" s="95" t="s">
        <v>245</v>
      </c>
      <c r="R43" s="94"/>
      <c r="S43" s="94"/>
      <c r="T43" s="94"/>
      <c r="U43" s="94"/>
      <c r="V43" s="94"/>
      <c r="W43" s="94"/>
      <c r="X43" s="87">
        <f>(7/21)*100</f>
        <v>33.333333333333329</v>
      </c>
    </row>
    <row r="44" spans="1:24" ht="42.75" x14ac:dyDescent="0.2">
      <c r="A44" s="85" t="s">
        <v>246</v>
      </c>
      <c r="B44" s="95" t="s">
        <v>247</v>
      </c>
      <c r="C44" s="95" t="s">
        <v>247</v>
      </c>
      <c r="D44" s="95" t="s">
        <v>247</v>
      </c>
      <c r="E44" s="95" t="s">
        <v>248</v>
      </c>
      <c r="F44" s="95" t="s">
        <v>249</v>
      </c>
      <c r="G44" s="95" t="s">
        <v>247</v>
      </c>
      <c r="H44" s="95" t="s">
        <v>248</v>
      </c>
      <c r="I44" s="95" t="s">
        <v>249</v>
      </c>
      <c r="J44" s="95" t="s">
        <v>247</v>
      </c>
      <c r="K44" s="95" t="s">
        <v>250</v>
      </c>
      <c r="L44" s="95" t="s">
        <v>251</v>
      </c>
      <c r="M44" s="95" t="s">
        <v>232</v>
      </c>
      <c r="N44" s="95" t="s">
        <v>247</v>
      </c>
      <c r="O44" s="95" t="s">
        <v>247</v>
      </c>
      <c r="P44" s="94"/>
      <c r="Q44" s="95" t="s">
        <v>252</v>
      </c>
      <c r="R44" s="94"/>
      <c r="S44" s="94"/>
      <c r="T44" s="94"/>
      <c r="U44" s="94"/>
      <c r="V44" s="94"/>
      <c r="W44" s="94"/>
      <c r="X44" s="87">
        <f>(15/21)*100</f>
        <v>71.428571428571431</v>
      </c>
    </row>
    <row r="45" spans="1:24" ht="42.75" x14ac:dyDescent="0.2">
      <c r="A45" s="85" t="s">
        <v>923</v>
      </c>
      <c r="B45" s="84" t="s">
        <v>253</v>
      </c>
      <c r="C45" s="84"/>
      <c r="D45" s="84" t="s">
        <v>254</v>
      </c>
      <c r="E45" s="84"/>
      <c r="F45" s="84" t="s">
        <v>255</v>
      </c>
      <c r="G45" s="84"/>
      <c r="H45" s="84" t="s">
        <v>256</v>
      </c>
      <c r="I45" s="84"/>
      <c r="J45" s="84" t="s">
        <v>257</v>
      </c>
      <c r="K45" s="84"/>
      <c r="L45" s="84" t="s">
        <v>258</v>
      </c>
      <c r="M45" s="84"/>
      <c r="N45" s="84" t="s">
        <v>259</v>
      </c>
      <c r="O45" s="84"/>
      <c r="P45" s="84" t="s">
        <v>260</v>
      </c>
      <c r="Q45" s="84"/>
      <c r="R45" s="84" t="s">
        <v>261</v>
      </c>
      <c r="S45" s="84"/>
      <c r="T45" s="84" t="s">
        <v>262</v>
      </c>
      <c r="U45" s="84"/>
      <c r="V45" s="84" t="s">
        <v>263</v>
      </c>
      <c r="W45" s="84"/>
      <c r="X45" s="87">
        <f>(21/21)*100</f>
        <v>100</v>
      </c>
    </row>
    <row r="46" spans="1:24" x14ac:dyDescent="0.2">
      <c r="A46" s="89" t="s">
        <v>264</v>
      </c>
      <c r="B46" s="87">
        <f>(29/32)*100</f>
        <v>90.625</v>
      </c>
      <c r="C46" s="87">
        <f>(32/32)*100</f>
        <v>100</v>
      </c>
      <c r="D46" s="87">
        <f>(27/32)*100</f>
        <v>84.375</v>
      </c>
      <c r="E46" s="87">
        <f>(28/32)*100</f>
        <v>87.5</v>
      </c>
      <c r="F46" s="87">
        <f>(32/32)*100</f>
        <v>100</v>
      </c>
      <c r="G46" s="87">
        <f>(28/32)*100</f>
        <v>87.5</v>
      </c>
      <c r="H46" s="87">
        <f>(28/32)*100</f>
        <v>87.5</v>
      </c>
      <c r="I46" s="87">
        <f>(30/32)*100</f>
        <v>93.75</v>
      </c>
      <c r="J46" s="87">
        <f>(27/32)*100</f>
        <v>84.375</v>
      </c>
      <c r="K46" s="87">
        <f>(27/32)*100</f>
        <v>84.375</v>
      </c>
      <c r="L46" s="87">
        <f>(32/32)*100</f>
        <v>100</v>
      </c>
      <c r="M46" s="87">
        <f>(30/32)*100</f>
        <v>93.75</v>
      </c>
      <c r="N46" s="87">
        <f>(27/32)*100</f>
        <v>84.375</v>
      </c>
      <c r="O46" s="87">
        <f>(27/32)*100</f>
        <v>84.375</v>
      </c>
      <c r="P46" s="87">
        <f>(25/32)*100</f>
        <v>78.125</v>
      </c>
      <c r="Q46" s="87">
        <f>(30/32)*100</f>
        <v>93.75</v>
      </c>
      <c r="R46" s="87">
        <f>(25/32)*100</f>
        <v>78.125</v>
      </c>
      <c r="S46" s="87">
        <f>(25/32)*100</f>
        <v>78.125</v>
      </c>
      <c r="T46" s="87">
        <f>(25/32)*100</f>
        <v>78.125</v>
      </c>
      <c r="U46" s="87">
        <f>(25/32)*100</f>
        <v>78.125</v>
      </c>
      <c r="V46" s="87">
        <f>(25/32)*100</f>
        <v>78.125</v>
      </c>
      <c r="W46" s="87"/>
      <c r="X46" s="84"/>
    </row>
    <row r="48" spans="1:24" x14ac:dyDescent="0.2">
      <c r="A48" s="72" t="s">
        <v>265</v>
      </c>
      <c r="B48" s="81">
        <f>(B46+C46+D46+E46+F46+G46+H46+I46+J46+K46+L46+M46+N46+O46+P46+Q46+R46+S46+T46+U46+V46)/21</f>
        <v>86.904761904761898</v>
      </c>
      <c r="C48" t="s">
        <v>158</v>
      </c>
    </row>
    <row r="49" spans="1:3" x14ac:dyDescent="0.2">
      <c r="A49" s="72" t="s">
        <v>208</v>
      </c>
      <c r="B49" s="81">
        <f>(X14+X15+X16+X17+X18+X19+X20+X21+X22+X23+X24+X25+X26+X27+X28+X29+X30+X31+X32+X33+X34+X35+X36+X37+X38+X39+X40+X41+X42+X43+X44+X45)/32</f>
        <v>86.904761904761912</v>
      </c>
      <c r="C49" t="s">
        <v>158</v>
      </c>
    </row>
  </sheetData>
  <mergeCells count="4">
    <mergeCell ref="A3:B3"/>
    <mergeCell ref="A4:B4"/>
    <mergeCell ref="A5:B5"/>
    <mergeCell ref="A7:B7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B3F901-8AB6-4FB9-AFF0-B9CB36D79EA6}">
  <dimension ref="A1:I30"/>
  <sheetViews>
    <sheetView workbookViewId="0">
      <selection activeCell="F30" sqref="F30"/>
    </sheetView>
  </sheetViews>
  <sheetFormatPr defaultRowHeight="14.25" x14ac:dyDescent="0.2"/>
  <cols>
    <col min="1" max="1" width="11.625" bestFit="1" customWidth="1"/>
    <col min="2" max="2" width="13.25" bestFit="1" customWidth="1"/>
    <col min="3" max="3" width="16.5" bestFit="1" customWidth="1"/>
    <col min="4" max="4" width="13" bestFit="1" customWidth="1"/>
    <col min="5" max="5" width="8.25" bestFit="1" customWidth="1"/>
    <col min="6" max="6" width="13.25" bestFit="1" customWidth="1"/>
    <col min="8" max="8" width="13.625" bestFit="1" customWidth="1"/>
    <col min="9" max="9" width="11" bestFit="1" customWidth="1"/>
  </cols>
  <sheetData>
    <row r="1" spans="1:9" ht="15" x14ac:dyDescent="0.25">
      <c r="A1" s="84" t="s">
        <v>538</v>
      </c>
      <c r="B1" s="138" t="s">
        <v>323</v>
      </c>
      <c r="C1" s="138" t="s">
        <v>324</v>
      </c>
      <c r="D1" s="138" t="s">
        <v>325</v>
      </c>
      <c r="E1" s="138" t="s">
        <v>326</v>
      </c>
      <c r="F1" s="138" t="s">
        <v>327</v>
      </c>
      <c r="G1" s="138" t="s">
        <v>328</v>
      </c>
      <c r="H1" s="148" t="s">
        <v>834</v>
      </c>
      <c r="I1" s="148" t="s">
        <v>833</v>
      </c>
    </row>
    <row r="2" spans="1:9" ht="15" x14ac:dyDescent="0.25">
      <c r="A2" s="84"/>
      <c r="B2" s="138"/>
      <c r="C2" s="138"/>
      <c r="D2" s="138"/>
      <c r="E2" s="138"/>
      <c r="F2" s="138"/>
      <c r="G2" s="138"/>
      <c r="H2" s="193">
        <v>55</v>
      </c>
      <c r="I2" s="148"/>
    </row>
    <row r="3" spans="1:9" x14ac:dyDescent="0.2">
      <c r="A3" s="84" t="s">
        <v>329</v>
      </c>
      <c r="B3" s="84" t="s">
        <v>488</v>
      </c>
      <c r="C3" s="84" t="s">
        <v>331</v>
      </c>
      <c r="D3" s="84" t="s">
        <v>357</v>
      </c>
      <c r="E3" s="84" t="s">
        <v>336</v>
      </c>
      <c r="F3" s="84" t="s">
        <v>539</v>
      </c>
      <c r="G3" s="84">
        <v>24</v>
      </c>
      <c r="H3" s="194">
        <f>G3*$H$2</f>
        <v>1320</v>
      </c>
      <c r="I3" s="84"/>
    </row>
    <row r="4" spans="1:9" x14ac:dyDescent="0.2">
      <c r="A4" s="84"/>
      <c r="B4" s="84" t="s">
        <v>429</v>
      </c>
      <c r="C4" s="84" t="s">
        <v>334</v>
      </c>
      <c r="D4" s="84" t="s">
        <v>365</v>
      </c>
      <c r="E4" s="84" t="s">
        <v>336</v>
      </c>
      <c r="F4" s="84" t="s">
        <v>539</v>
      </c>
      <c r="G4" s="84">
        <v>23</v>
      </c>
      <c r="H4" s="194">
        <f t="shared" ref="H4:H13" si="0">G4*$H$2</f>
        <v>1265</v>
      </c>
      <c r="I4" s="84"/>
    </row>
    <row r="5" spans="1:9" x14ac:dyDescent="0.2">
      <c r="A5" s="84"/>
      <c r="B5" s="84" t="s">
        <v>430</v>
      </c>
      <c r="C5" s="84" t="s">
        <v>540</v>
      </c>
      <c r="D5" s="84" t="s">
        <v>352</v>
      </c>
      <c r="E5" s="84" t="s">
        <v>336</v>
      </c>
      <c r="F5" s="84" t="s">
        <v>539</v>
      </c>
      <c r="G5" s="84">
        <v>3</v>
      </c>
      <c r="H5" s="194">
        <f t="shared" si="0"/>
        <v>165</v>
      </c>
      <c r="I5" s="84"/>
    </row>
    <row r="6" spans="1:9" x14ac:dyDescent="0.2">
      <c r="A6" s="84"/>
      <c r="B6" s="84" t="s">
        <v>417</v>
      </c>
      <c r="C6" s="84" t="s">
        <v>334</v>
      </c>
      <c r="D6" s="84" t="s">
        <v>357</v>
      </c>
      <c r="E6" s="84" t="s">
        <v>336</v>
      </c>
      <c r="F6" s="84" t="s">
        <v>539</v>
      </c>
      <c r="G6" s="84">
        <v>38</v>
      </c>
      <c r="H6" s="194">
        <f t="shared" si="0"/>
        <v>2090</v>
      </c>
      <c r="I6" s="84"/>
    </row>
    <row r="7" spans="1:9" x14ac:dyDescent="0.2">
      <c r="A7" s="84"/>
      <c r="B7" s="84" t="s">
        <v>418</v>
      </c>
      <c r="C7" s="84" t="s">
        <v>354</v>
      </c>
      <c r="D7" s="84" t="s">
        <v>357</v>
      </c>
      <c r="E7" s="84" t="s">
        <v>336</v>
      </c>
      <c r="F7" s="84" t="s">
        <v>539</v>
      </c>
      <c r="G7" s="84">
        <v>23</v>
      </c>
      <c r="H7" s="194">
        <f t="shared" si="0"/>
        <v>1265</v>
      </c>
      <c r="I7" s="84"/>
    </row>
    <row r="8" spans="1:9" x14ac:dyDescent="0.2">
      <c r="A8" s="84"/>
      <c r="B8" s="84" t="s">
        <v>422</v>
      </c>
      <c r="C8" s="84" t="s">
        <v>354</v>
      </c>
      <c r="D8" s="84" t="s">
        <v>357</v>
      </c>
      <c r="E8" s="84" t="s">
        <v>336</v>
      </c>
      <c r="F8" s="84" t="s">
        <v>539</v>
      </c>
      <c r="G8" s="84">
        <v>68</v>
      </c>
      <c r="H8" s="194">
        <f t="shared" si="0"/>
        <v>3740</v>
      </c>
      <c r="I8" s="84"/>
    </row>
    <row r="9" spans="1:9" x14ac:dyDescent="0.2">
      <c r="A9" s="84"/>
      <c r="B9" s="84" t="s">
        <v>432</v>
      </c>
      <c r="C9" s="84" t="s">
        <v>351</v>
      </c>
      <c r="D9" s="84" t="s">
        <v>352</v>
      </c>
      <c r="E9" s="84" t="s">
        <v>336</v>
      </c>
      <c r="F9" s="84" t="s">
        <v>539</v>
      </c>
      <c r="G9" s="84">
        <v>3</v>
      </c>
      <c r="H9" s="194">
        <f t="shared" si="0"/>
        <v>165</v>
      </c>
      <c r="I9" s="84"/>
    </row>
    <row r="10" spans="1:9" x14ac:dyDescent="0.2">
      <c r="A10" s="84"/>
      <c r="B10" s="84" t="s">
        <v>419</v>
      </c>
      <c r="C10" s="84" t="s">
        <v>351</v>
      </c>
      <c r="D10" s="84" t="s">
        <v>352</v>
      </c>
      <c r="E10" s="84" t="s">
        <v>336</v>
      </c>
      <c r="F10" s="84" t="s">
        <v>539</v>
      </c>
      <c r="G10" s="84">
        <v>10</v>
      </c>
      <c r="H10" s="194">
        <f t="shared" si="0"/>
        <v>550</v>
      </c>
      <c r="I10" s="84"/>
    </row>
    <row r="11" spans="1:9" x14ac:dyDescent="0.2">
      <c r="A11" s="84"/>
      <c r="B11" s="84" t="s">
        <v>431</v>
      </c>
      <c r="C11" s="84" t="s">
        <v>341</v>
      </c>
      <c r="D11" s="84" t="s">
        <v>342</v>
      </c>
      <c r="E11" s="84" t="s">
        <v>336</v>
      </c>
      <c r="F11" s="84" t="s">
        <v>539</v>
      </c>
      <c r="G11" s="84">
        <v>7</v>
      </c>
      <c r="H11" s="194">
        <f t="shared" si="0"/>
        <v>385</v>
      </c>
      <c r="I11" s="84"/>
    </row>
    <row r="12" spans="1:9" x14ac:dyDescent="0.2">
      <c r="A12" s="84"/>
      <c r="B12" s="84" t="s">
        <v>420</v>
      </c>
      <c r="C12" s="84" t="s">
        <v>341</v>
      </c>
      <c r="D12" s="84" t="s">
        <v>342</v>
      </c>
      <c r="E12" s="84" t="s">
        <v>336</v>
      </c>
      <c r="F12" s="84" t="s">
        <v>539</v>
      </c>
      <c r="G12" s="84">
        <v>5</v>
      </c>
      <c r="H12" s="194">
        <f t="shared" si="0"/>
        <v>275</v>
      </c>
      <c r="I12" s="84"/>
    </row>
    <row r="13" spans="1:9" x14ac:dyDescent="0.2">
      <c r="A13" s="84"/>
      <c r="B13" s="84" t="s">
        <v>423</v>
      </c>
      <c r="C13" s="84" t="s">
        <v>354</v>
      </c>
      <c r="D13" s="84" t="s">
        <v>357</v>
      </c>
      <c r="E13" s="84" t="s">
        <v>336</v>
      </c>
      <c r="F13" s="84" t="s">
        <v>539</v>
      </c>
      <c r="G13" s="84">
        <v>64</v>
      </c>
      <c r="H13" s="194">
        <f t="shared" si="0"/>
        <v>3520</v>
      </c>
      <c r="I13" s="84"/>
    </row>
    <row r="14" spans="1:9" x14ac:dyDescent="0.2">
      <c r="A14" s="84"/>
      <c r="B14" s="84" t="s">
        <v>448</v>
      </c>
      <c r="C14" s="84" t="s">
        <v>341</v>
      </c>
      <c r="D14" s="84" t="s">
        <v>357</v>
      </c>
      <c r="E14" s="84" t="s">
        <v>339</v>
      </c>
      <c r="F14" s="84"/>
      <c r="G14" s="84">
        <v>6</v>
      </c>
      <c r="H14" s="84"/>
      <c r="I14" s="84"/>
    </row>
    <row r="15" spans="1:9" x14ac:dyDescent="0.2">
      <c r="A15" s="84"/>
      <c r="B15" s="84" t="s">
        <v>447</v>
      </c>
      <c r="C15" s="84" t="s">
        <v>416</v>
      </c>
      <c r="D15" s="84" t="s">
        <v>352</v>
      </c>
      <c r="E15" s="84" t="s">
        <v>339</v>
      </c>
      <c r="F15" s="84" t="s">
        <v>864</v>
      </c>
      <c r="G15" s="84">
        <v>6</v>
      </c>
      <c r="H15" s="84"/>
      <c r="I15" s="84"/>
    </row>
    <row r="16" spans="1:9" x14ac:dyDescent="0.2">
      <c r="A16" s="84"/>
      <c r="B16" s="84" t="s">
        <v>418</v>
      </c>
      <c r="C16" s="84" t="s">
        <v>414</v>
      </c>
      <c r="D16" s="84" t="s">
        <v>357</v>
      </c>
      <c r="E16" s="84" t="s">
        <v>339</v>
      </c>
      <c r="F16" s="84" t="s">
        <v>864</v>
      </c>
      <c r="G16" s="84" t="s">
        <v>440</v>
      </c>
      <c r="H16" s="84"/>
      <c r="I16" s="84"/>
    </row>
    <row r="17" spans="1:9" x14ac:dyDescent="0.2">
      <c r="A17" s="84"/>
      <c r="B17" s="84" t="s">
        <v>493</v>
      </c>
      <c r="C17" s="84" t="s">
        <v>344</v>
      </c>
      <c r="D17" s="84" t="s">
        <v>357</v>
      </c>
      <c r="E17" s="84" t="s">
        <v>339</v>
      </c>
      <c r="F17" s="84" t="s">
        <v>864</v>
      </c>
      <c r="G17" s="84">
        <v>182</v>
      </c>
      <c r="H17" s="84"/>
      <c r="I17" s="84"/>
    </row>
    <row r="18" spans="1:9" x14ac:dyDescent="0.2">
      <c r="A18" s="84"/>
      <c r="B18" s="84" t="s">
        <v>491</v>
      </c>
      <c r="C18" s="84" t="s">
        <v>435</v>
      </c>
      <c r="D18" s="84" t="s">
        <v>357</v>
      </c>
      <c r="E18" s="84" t="s">
        <v>339</v>
      </c>
      <c r="F18" s="84" t="s">
        <v>864</v>
      </c>
      <c r="G18" s="84">
        <v>46</v>
      </c>
      <c r="H18" s="84"/>
      <c r="I18" s="84"/>
    </row>
    <row r="19" spans="1:9" x14ac:dyDescent="0.2">
      <c r="A19" s="84"/>
      <c r="B19" s="84" t="s">
        <v>388</v>
      </c>
      <c r="C19" s="84" t="s">
        <v>331</v>
      </c>
      <c r="D19" s="84" t="s">
        <v>357</v>
      </c>
      <c r="E19" s="84" t="s">
        <v>339</v>
      </c>
      <c r="F19" s="84"/>
      <c r="G19" s="84">
        <v>61</v>
      </c>
      <c r="H19" s="84"/>
      <c r="I19" s="84"/>
    </row>
    <row r="20" spans="1:9" x14ac:dyDescent="0.2">
      <c r="A20" s="84"/>
      <c r="B20" s="84" t="s">
        <v>490</v>
      </c>
      <c r="C20" s="84" t="s">
        <v>368</v>
      </c>
      <c r="D20" s="84" t="s">
        <v>357</v>
      </c>
      <c r="E20" s="84" t="s">
        <v>339</v>
      </c>
      <c r="F20" s="84" t="s">
        <v>864</v>
      </c>
      <c r="G20" s="84">
        <v>86</v>
      </c>
      <c r="H20" s="84"/>
      <c r="I20" s="84"/>
    </row>
    <row r="21" spans="1:9" x14ac:dyDescent="0.2">
      <c r="A21" s="84" t="s">
        <v>536</v>
      </c>
      <c r="B21" s="139" t="s">
        <v>541</v>
      </c>
      <c r="C21" s="84" t="s">
        <v>331</v>
      </c>
      <c r="D21" s="84" t="s">
        <v>357</v>
      </c>
      <c r="E21" s="84" t="s">
        <v>336</v>
      </c>
      <c r="F21" s="84" t="s">
        <v>337</v>
      </c>
      <c r="G21" s="84">
        <v>1</v>
      </c>
      <c r="H21" s="84" t="s">
        <v>855</v>
      </c>
      <c r="I21" s="84"/>
    </row>
    <row r="22" spans="1:9" x14ac:dyDescent="0.2">
      <c r="A22" s="84"/>
      <c r="B22" s="139" t="s">
        <v>542</v>
      </c>
      <c r="C22" s="84" t="s">
        <v>341</v>
      </c>
      <c r="D22" s="84" t="s">
        <v>461</v>
      </c>
      <c r="E22" s="84" t="s">
        <v>336</v>
      </c>
      <c r="F22" s="84" t="s">
        <v>337</v>
      </c>
      <c r="G22" s="84">
        <v>13</v>
      </c>
      <c r="H22" s="84" t="s">
        <v>855</v>
      </c>
      <c r="I22" s="84"/>
    </row>
    <row r="23" spans="1:9" x14ac:dyDescent="0.2">
      <c r="A23" s="84"/>
      <c r="B23" s="139" t="s">
        <v>543</v>
      </c>
      <c r="C23" s="84" t="s">
        <v>351</v>
      </c>
      <c r="D23" s="84" t="s">
        <v>352</v>
      </c>
      <c r="E23" s="84" t="s">
        <v>336</v>
      </c>
      <c r="F23" s="84" t="s">
        <v>337</v>
      </c>
      <c r="G23" s="84">
        <v>3</v>
      </c>
      <c r="H23" s="84" t="s">
        <v>855</v>
      </c>
      <c r="I23" s="84"/>
    </row>
    <row r="24" spans="1:9" x14ac:dyDescent="0.2">
      <c r="A24" s="84"/>
      <c r="B24" s="139" t="s">
        <v>544</v>
      </c>
      <c r="C24" s="84" t="s">
        <v>351</v>
      </c>
      <c r="D24" s="84" t="s">
        <v>352</v>
      </c>
      <c r="E24" s="84" t="s">
        <v>336</v>
      </c>
      <c r="F24" s="84" t="s">
        <v>337</v>
      </c>
      <c r="G24" s="84">
        <v>3</v>
      </c>
      <c r="H24" s="84" t="s">
        <v>855</v>
      </c>
      <c r="I24" s="84"/>
    </row>
    <row r="25" spans="1:9" x14ac:dyDescent="0.2">
      <c r="A25" s="84"/>
      <c r="B25" s="139" t="s">
        <v>545</v>
      </c>
      <c r="C25" s="84" t="s">
        <v>331</v>
      </c>
      <c r="D25" s="84" t="s">
        <v>357</v>
      </c>
      <c r="E25" s="84" t="s">
        <v>336</v>
      </c>
      <c r="F25" s="84" t="s">
        <v>337</v>
      </c>
      <c r="G25" s="84">
        <v>3</v>
      </c>
      <c r="H25" s="84" t="s">
        <v>855</v>
      </c>
      <c r="I25" s="84"/>
    </row>
    <row r="26" spans="1:9" x14ac:dyDescent="0.2">
      <c r="A26" s="84"/>
      <c r="B26" s="139" t="s">
        <v>546</v>
      </c>
      <c r="C26" s="84" t="s">
        <v>537</v>
      </c>
      <c r="D26" s="84" t="s">
        <v>359</v>
      </c>
      <c r="E26" s="84" t="s">
        <v>336</v>
      </c>
      <c r="F26" s="84" t="s">
        <v>337</v>
      </c>
      <c r="G26" s="84">
        <v>70</v>
      </c>
      <c r="H26" s="84" t="s">
        <v>855</v>
      </c>
      <c r="I26" s="84"/>
    </row>
    <row r="27" spans="1:9" x14ac:dyDescent="0.2">
      <c r="A27" s="84" t="s">
        <v>329</v>
      </c>
      <c r="B27" s="84" t="s">
        <v>483</v>
      </c>
      <c r="C27" s="84" t="s">
        <v>351</v>
      </c>
      <c r="D27" s="84" t="s">
        <v>352</v>
      </c>
      <c r="E27" s="84" t="s">
        <v>339</v>
      </c>
      <c r="F27" s="84"/>
      <c r="G27" s="84">
        <v>9</v>
      </c>
      <c r="H27" s="84"/>
      <c r="I27" s="84"/>
    </row>
    <row r="29" spans="1:9" x14ac:dyDescent="0.2">
      <c r="F29" t="s">
        <v>835</v>
      </c>
      <c r="G29">
        <f>SUM(G3:G28)</f>
        <v>757</v>
      </c>
    </row>
    <row r="30" spans="1:9" x14ac:dyDescent="0.2">
      <c r="F30" s="147" t="s">
        <v>877</v>
      </c>
      <c r="H30" s="159">
        <f>SUM(H3:H29)</f>
        <v>14740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BD2791-FCFE-4EC7-9B9C-5C07CEFA3D80}">
  <sheetPr>
    <tabColor rgb="FF92D050"/>
  </sheetPr>
  <dimension ref="A1:X40"/>
  <sheetViews>
    <sheetView zoomScale="90" zoomScaleNormal="90" workbookViewId="0"/>
  </sheetViews>
  <sheetFormatPr defaultRowHeight="14.25" x14ac:dyDescent="0.2"/>
  <cols>
    <col min="1" max="1" width="2.875" bestFit="1" customWidth="1"/>
    <col min="2" max="2" width="35.875" customWidth="1"/>
    <col min="3" max="3" width="9.125" customWidth="1"/>
    <col min="5" max="5" width="10" customWidth="1"/>
    <col min="13" max="13" width="11.25" customWidth="1"/>
    <col min="24" max="24" width="14.75" customWidth="1"/>
  </cols>
  <sheetData>
    <row r="1" spans="1:24" ht="15" x14ac:dyDescent="0.25">
      <c r="B1" s="92" t="s">
        <v>768</v>
      </c>
      <c r="C1" s="70"/>
      <c r="D1" s="70"/>
      <c r="E1" s="70" t="s">
        <v>763</v>
      </c>
      <c r="F1" s="70" t="s">
        <v>764</v>
      </c>
      <c r="G1" s="70"/>
    </row>
    <row r="2" spans="1:24" x14ac:dyDescent="0.2">
      <c r="B2" s="70"/>
      <c r="C2" s="70"/>
      <c r="D2" s="70"/>
      <c r="E2" s="70"/>
      <c r="F2" s="70"/>
      <c r="G2" s="70"/>
    </row>
    <row r="3" spans="1:24" x14ac:dyDescent="0.2">
      <c r="B3" s="214" t="s">
        <v>765</v>
      </c>
      <c r="C3" s="214"/>
      <c r="D3" s="70"/>
      <c r="E3" s="93">
        <v>21982</v>
      </c>
      <c r="F3" s="77">
        <f>E3/E6*100</f>
        <v>74.336343038788002</v>
      </c>
      <c r="G3" s="70" t="s">
        <v>158</v>
      </c>
    </row>
    <row r="4" spans="1:24" x14ac:dyDescent="0.2">
      <c r="B4" s="215" t="s">
        <v>766</v>
      </c>
      <c r="C4" s="215"/>
      <c r="D4" s="70"/>
      <c r="E4" s="93">
        <v>7589</v>
      </c>
      <c r="F4" s="78">
        <f>E4/E6*100</f>
        <v>25.663656961211998</v>
      </c>
      <c r="G4" s="70" t="s">
        <v>158</v>
      </c>
    </row>
    <row r="5" spans="1:24" x14ac:dyDescent="0.2">
      <c r="B5" s="216" t="s">
        <v>767</v>
      </c>
      <c r="C5" s="216"/>
      <c r="D5" s="70"/>
      <c r="E5" s="93">
        <v>0</v>
      </c>
      <c r="F5" s="79">
        <f>E5/E6*100</f>
        <v>0</v>
      </c>
      <c r="G5" s="70" t="s">
        <v>158</v>
      </c>
    </row>
    <row r="6" spans="1:24" x14ac:dyDescent="0.2">
      <c r="B6" s="217" t="s">
        <v>312</v>
      </c>
      <c r="C6" s="217"/>
      <c r="D6" s="70"/>
      <c r="E6" s="93">
        <f>+E3+E4+E5</f>
        <v>29571</v>
      </c>
      <c r="F6" s="70"/>
      <c r="G6" s="70"/>
    </row>
    <row r="9" spans="1:24" ht="29.25" x14ac:dyDescent="0.25">
      <c r="B9" s="92" t="s">
        <v>849</v>
      </c>
      <c r="C9" s="92"/>
      <c r="X9" s="75" t="s">
        <v>160</v>
      </c>
    </row>
    <row r="10" spans="1:24" x14ac:dyDescent="0.2">
      <c r="A10" s="84"/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</row>
    <row r="11" spans="1:24" x14ac:dyDescent="0.2">
      <c r="A11" s="84"/>
      <c r="B11" s="84" t="s">
        <v>161</v>
      </c>
      <c r="C11" s="84" t="s">
        <v>162</v>
      </c>
      <c r="D11" s="84"/>
      <c r="E11" s="84"/>
      <c r="F11" s="84" t="s">
        <v>163</v>
      </c>
      <c r="G11" s="84"/>
      <c r="H11" s="84"/>
      <c r="I11" s="84" t="s">
        <v>164</v>
      </c>
      <c r="J11" s="84"/>
      <c r="K11" s="84"/>
      <c r="L11" s="84" t="s">
        <v>165</v>
      </c>
      <c r="M11" s="84"/>
      <c r="N11" s="84"/>
      <c r="O11" s="84" t="s">
        <v>166</v>
      </c>
      <c r="P11" s="84"/>
      <c r="Q11" s="84"/>
      <c r="R11" s="84" t="s">
        <v>167</v>
      </c>
      <c r="S11" s="84"/>
      <c r="T11" s="84"/>
      <c r="U11" s="84" t="s">
        <v>168</v>
      </c>
      <c r="V11" s="84"/>
      <c r="W11" s="84"/>
      <c r="X11" s="84"/>
    </row>
    <row r="12" spans="1:24" x14ac:dyDescent="0.2">
      <c r="A12" s="84"/>
      <c r="B12" s="84" t="s">
        <v>96</v>
      </c>
      <c r="C12" s="84" t="s">
        <v>169</v>
      </c>
      <c r="D12" s="84" t="s">
        <v>170</v>
      </c>
      <c r="E12" s="84" t="s">
        <v>171</v>
      </c>
      <c r="F12" s="84" t="s">
        <v>169</v>
      </c>
      <c r="G12" s="84" t="s">
        <v>170</v>
      </c>
      <c r="H12" s="84" t="s">
        <v>171</v>
      </c>
      <c r="I12" s="84" t="s">
        <v>169</v>
      </c>
      <c r="J12" s="84" t="s">
        <v>170</v>
      </c>
      <c r="K12" s="84" t="s">
        <v>171</v>
      </c>
      <c r="L12" s="84" t="s">
        <v>169</v>
      </c>
      <c r="M12" s="84" t="s">
        <v>170</v>
      </c>
      <c r="N12" s="84" t="s">
        <v>171</v>
      </c>
      <c r="O12" s="84" t="s">
        <v>169</v>
      </c>
      <c r="P12" s="84" t="s">
        <v>170</v>
      </c>
      <c r="Q12" s="84" t="s">
        <v>171</v>
      </c>
      <c r="R12" s="84" t="s">
        <v>169</v>
      </c>
      <c r="S12" s="84" t="s">
        <v>170</v>
      </c>
      <c r="T12" s="84" t="s">
        <v>171</v>
      </c>
      <c r="U12" s="84" t="s">
        <v>169</v>
      </c>
      <c r="V12" s="84" t="s">
        <v>170</v>
      </c>
      <c r="W12" s="84" t="s">
        <v>171</v>
      </c>
      <c r="X12" s="84"/>
    </row>
    <row r="13" spans="1:24" x14ac:dyDescent="0.2">
      <c r="A13" s="84">
        <v>1</v>
      </c>
      <c r="B13" s="85" t="s">
        <v>172</v>
      </c>
      <c r="C13" s="86" t="s">
        <v>131</v>
      </c>
      <c r="D13" s="86" t="s">
        <v>131</v>
      </c>
      <c r="E13" s="86" t="s">
        <v>131</v>
      </c>
      <c r="F13" s="86" t="s">
        <v>131</v>
      </c>
      <c r="G13" s="86" t="s">
        <v>131</v>
      </c>
      <c r="H13" s="86" t="s">
        <v>131</v>
      </c>
      <c r="I13" s="86" t="s">
        <v>131</v>
      </c>
      <c r="J13" s="86" t="s">
        <v>131</v>
      </c>
      <c r="K13" s="86" t="s">
        <v>131</v>
      </c>
      <c r="L13" s="86" t="s">
        <v>131</v>
      </c>
      <c r="M13" s="86" t="s">
        <v>131</v>
      </c>
      <c r="N13" s="86" t="s">
        <v>131</v>
      </c>
      <c r="O13" s="86" t="s">
        <v>131</v>
      </c>
      <c r="P13" s="86" t="s">
        <v>131</v>
      </c>
      <c r="Q13" s="86" t="s">
        <v>131</v>
      </c>
      <c r="R13" s="86" t="s">
        <v>131</v>
      </c>
      <c r="S13" s="86" t="s">
        <v>131</v>
      </c>
      <c r="T13" s="86" t="s">
        <v>131</v>
      </c>
      <c r="U13" s="86" t="s">
        <v>131</v>
      </c>
      <c r="V13" s="86" t="s">
        <v>131</v>
      </c>
      <c r="W13" s="86" t="s">
        <v>131</v>
      </c>
      <c r="X13" s="87">
        <f>(21/21)*100</f>
        <v>100</v>
      </c>
    </row>
    <row r="14" spans="1:24" ht="42.75" x14ac:dyDescent="0.2">
      <c r="A14" s="84">
        <v>2</v>
      </c>
      <c r="B14" s="85" t="s">
        <v>173</v>
      </c>
      <c r="C14" s="86"/>
      <c r="D14" s="86"/>
      <c r="E14" s="86" t="s">
        <v>945</v>
      </c>
      <c r="F14" s="86"/>
      <c r="G14" s="86"/>
      <c r="H14" s="84"/>
      <c r="I14" s="86"/>
      <c r="J14" s="86" t="s">
        <v>1013</v>
      </c>
      <c r="K14" s="86"/>
      <c r="L14" s="86"/>
      <c r="M14" s="86"/>
      <c r="N14" s="86"/>
      <c r="O14" s="86"/>
      <c r="P14" s="86"/>
      <c r="Q14" s="86"/>
      <c r="R14" s="86"/>
      <c r="S14" s="86"/>
      <c r="T14" s="86"/>
      <c r="U14" s="86"/>
      <c r="V14" s="86"/>
      <c r="W14" s="86"/>
      <c r="X14" s="87">
        <f>(3/21)*100</f>
        <v>14.285714285714285</v>
      </c>
    </row>
    <row r="15" spans="1:24" ht="42.75" x14ac:dyDescent="0.2">
      <c r="A15" s="84">
        <v>3</v>
      </c>
      <c r="B15" s="85" t="s">
        <v>174</v>
      </c>
      <c r="C15" s="86" t="s">
        <v>1001</v>
      </c>
      <c r="D15" s="86" t="s">
        <v>1001</v>
      </c>
      <c r="E15" s="86" t="s">
        <v>1001</v>
      </c>
      <c r="F15" s="86" t="s">
        <v>1001</v>
      </c>
      <c r="G15" s="86" t="s">
        <v>1001</v>
      </c>
      <c r="H15" s="86" t="s">
        <v>1001</v>
      </c>
      <c r="I15" s="86" t="s">
        <v>1001</v>
      </c>
      <c r="J15" s="86" t="s">
        <v>1001</v>
      </c>
      <c r="K15" s="86" t="s">
        <v>1001</v>
      </c>
      <c r="L15" s="86" t="s">
        <v>1001</v>
      </c>
      <c r="M15" s="86" t="s">
        <v>1001</v>
      </c>
      <c r="N15" s="86" t="s">
        <v>1001</v>
      </c>
      <c r="O15" s="86" t="s">
        <v>1001</v>
      </c>
      <c r="P15" s="86" t="s">
        <v>1001</v>
      </c>
      <c r="Q15" s="86" t="s">
        <v>1001</v>
      </c>
      <c r="R15" s="86" t="s">
        <v>1001</v>
      </c>
      <c r="S15" s="86" t="s">
        <v>1001</v>
      </c>
      <c r="T15" s="86" t="s">
        <v>1001</v>
      </c>
      <c r="U15" s="86" t="s">
        <v>1001</v>
      </c>
      <c r="V15" s="86" t="s">
        <v>1001</v>
      </c>
      <c r="W15" s="86" t="s">
        <v>1001</v>
      </c>
      <c r="X15" s="87">
        <f t="shared" ref="X15:X25" si="0">(21/21)*100</f>
        <v>100</v>
      </c>
    </row>
    <row r="16" spans="1:24" ht="42.75" x14ac:dyDescent="0.2">
      <c r="A16" s="84">
        <v>4</v>
      </c>
      <c r="B16" s="85" t="s">
        <v>175</v>
      </c>
      <c r="C16" s="86" t="s">
        <v>1014</v>
      </c>
      <c r="D16" s="86" t="s">
        <v>1014</v>
      </c>
      <c r="E16" s="86" t="s">
        <v>1015</v>
      </c>
      <c r="F16" s="86" t="s">
        <v>1014</v>
      </c>
      <c r="G16" s="86" t="s">
        <v>1014</v>
      </c>
      <c r="H16" s="86" t="s">
        <v>1014</v>
      </c>
      <c r="I16" s="86" t="s">
        <v>1014</v>
      </c>
      <c r="J16" s="86" t="s">
        <v>1014</v>
      </c>
      <c r="K16" s="86" t="s">
        <v>1014</v>
      </c>
      <c r="L16" s="86" t="s">
        <v>1014</v>
      </c>
      <c r="M16" s="86" t="s">
        <v>1014</v>
      </c>
      <c r="N16" s="86" t="s">
        <v>1014</v>
      </c>
      <c r="O16" s="86" t="s">
        <v>1014</v>
      </c>
      <c r="P16" s="86" t="s">
        <v>1014</v>
      </c>
      <c r="Q16" s="86" t="s">
        <v>1014</v>
      </c>
      <c r="R16" s="86" t="s">
        <v>1014</v>
      </c>
      <c r="S16" s="86" t="s">
        <v>1014</v>
      </c>
      <c r="T16" s="86" t="s">
        <v>1014</v>
      </c>
      <c r="U16" s="86" t="s">
        <v>1014</v>
      </c>
      <c r="V16" s="86" t="s">
        <v>1014</v>
      </c>
      <c r="W16" s="86" t="s">
        <v>1014</v>
      </c>
      <c r="X16" s="87">
        <f t="shared" si="0"/>
        <v>100</v>
      </c>
    </row>
    <row r="17" spans="1:24" ht="28.5" x14ac:dyDescent="0.2">
      <c r="A17" s="84">
        <v>5</v>
      </c>
      <c r="B17" s="85" t="s">
        <v>176</v>
      </c>
      <c r="C17" s="86" t="s">
        <v>946</v>
      </c>
      <c r="D17" s="86" t="s">
        <v>946</v>
      </c>
      <c r="E17" s="86" t="s">
        <v>946</v>
      </c>
      <c r="F17" s="86" t="s">
        <v>946</v>
      </c>
      <c r="G17" s="86" t="s">
        <v>946</v>
      </c>
      <c r="H17" s="86" t="s">
        <v>946</v>
      </c>
      <c r="I17" s="86" t="s">
        <v>946</v>
      </c>
      <c r="J17" s="86" t="s">
        <v>946</v>
      </c>
      <c r="K17" s="86" t="s">
        <v>946</v>
      </c>
      <c r="L17" s="86" t="s">
        <v>946</v>
      </c>
      <c r="M17" s="86" t="s">
        <v>946</v>
      </c>
      <c r="N17" s="86" t="s">
        <v>946</v>
      </c>
      <c r="O17" s="86" t="s">
        <v>946</v>
      </c>
      <c r="P17" s="86" t="s">
        <v>946</v>
      </c>
      <c r="Q17" s="86" t="s">
        <v>946</v>
      </c>
      <c r="R17" s="86" t="s">
        <v>946</v>
      </c>
      <c r="S17" s="86" t="s">
        <v>946</v>
      </c>
      <c r="T17" s="86" t="s">
        <v>946</v>
      </c>
      <c r="U17" s="86" t="s">
        <v>946</v>
      </c>
      <c r="V17" s="86" t="s">
        <v>946</v>
      </c>
      <c r="W17" s="86" t="s">
        <v>946</v>
      </c>
      <c r="X17" s="87">
        <f t="shared" si="0"/>
        <v>100</v>
      </c>
    </row>
    <row r="18" spans="1:24" ht="42.75" x14ac:dyDescent="0.2">
      <c r="A18" s="84">
        <v>6</v>
      </c>
      <c r="B18" s="88" t="s">
        <v>1017</v>
      </c>
      <c r="C18" s="86" t="s">
        <v>1016</v>
      </c>
      <c r="D18" s="86" t="s">
        <v>1016</v>
      </c>
      <c r="E18" s="86" t="s">
        <v>1016</v>
      </c>
      <c r="F18" s="86" t="s">
        <v>1016</v>
      </c>
      <c r="G18" s="86" t="s">
        <v>1016</v>
      </c>
      <c r="H18" s="86" t="s">
        <v>1016</v>
      </c>
      <c r="I18" s="86" t="s">
        <v>1016</v>
      </c>
      <c r="J18" s="86" t="s">
        <v>1016</v>
      </c>
      <c r="K18" s="86" t="s">
        <v>1016</v>
      </c>
      <c r="L18" s="86" t="s">
        <v>1016</v>
      </c>
      <c r="M18" s="86" t="s">
        <v>1016</v>
      </c>
      <c r="N18" s="86" t="s">
        <v>1016</v>
      </c>
      <c r="O18" s="86" t="s">
        <v>1016</v>
      </c>
      <c r="P18" s="86" t="s">
        <v>1016</v>
      </c>
      <c r="Q18" s="86" t="s">
        <v>1016</v>
      </c>
      <c r="R18" s="86" t="s">
        <v>1016</v>
      </c>
      <c r="S18" s="86" t="s">
        <v>1016</v>
      </c>
      <c r="T18" s="86" t="s">
        <v>1016</v>
      </c>
      <c r="U18" s="86" t="s">
        <v>1016</v>
      </c>
      <c r="V18" s="86" t="s">
        <v>1016</v>
      </c>
      <c r="W18" s="86" t="s">
        <v>1016</v>
      </c>
      <c r="X18" s="87">
        <f t="shared" si="0"/>
        <v>100</v>
      </c>
    </row>
    <row r="19" spans="1:24" ht="28.5" x14ac:dyDescent="0.2">
      <c r="A19" s="84">
        <v>7</v>
      </c>
      <c r="B19" s="85" t="s">
        <v>177</v>
      </c>
      <c r="C19" s="86" t="s">
        <v>1020</v>
      </c>
      <c r="D19" s="86" t="s">
        <v>1020</v>
      </c>
      <c r="E19" s="86" t="s">
        <v>1020</v>
      </c>
      <c r="F19" s="86" t="s">
        <v>1020</v>
      </c>
      <c r="G19" s="86" t="s">
        <v>1020</v>
      </c>
      <c r="H19" s="86" t="s">
        <v>1020</v>
      </c>
      <c r="I19" s="86" t="s">
        <v>1020</v>
      </c>
      <c r="J19" s="86" t="s">
        <v>1020</v>
      </c>
      <c r="K19" s="86" t="s">
        <v>1020</v>
      </c>
      <c r="L19" s="86" t="s">
        <v>1020</v>
      </c>
      <c r="M19" s="86" t="s">
        <v>1020</v>
      </c>
      <c r="N19" s="86" t="s">
        <v>1020</v>
      </c>
      <c r="O19" s="86" t="s">
        <v>1020</v>
      </c>
      <c r="P19" s="86" t="s">
        <v>1020</v>
      </c>
      <c r="Q19" s="86" t="s">
        <v>1020</v>
      </c>
      <c r="R19" s="86" t="s">
        <v>1020</v>
      </c>
      <c r="S19" s="86" t="s">
        <v>1020</v>
      </c>
      <c r="T19" s="86" t="s">
        <v>1020</v>
      </c>
      <c r="U19" s="86" t="s">
        <v>1020</v>
      </c>
      <c r="V19" s="86" t="s">
        <v>1020</v>
      </c>
      <c r="W19" s="86" t="s">
        <v>1020</v>
      </c>
      <c r="X19" s="87">
        <f t="shared" si="0"/>
        <v>100</v>
      </c>
    </row>
    <row r="20" spans="1:24" ht="42.75" x14ac:dyDescent="0.2">
      <c r="A20" s="84">
        <v>8</v>
      </c>
      <c r="B20" s="89" t="s">
        <v>178</v>
      </c>
      <c r="C20" s="86"/>
      <c r="D20" s="86"/>
      <c r="E20" s="86" t="s">
        <v>1021</v>
      </c>
      <c r="F20" s="84"/>
      <c r="G20" s="86" t="s">
        <v>1022</v>
      </c>
      <c r="H20" s="86"/>
      <c r="I20" s="86"/>
      <c r="J20" s="86"/>
      <c r="K20" s="86"/>
      <c r="L20" s="86" t="s">
        <v>1023</v>
      </c>
      <c r="M20" s="86"/>
      <c r="N20" s="86"/>
      <c r="O20" s="86" t="s">
        <v>1024</v>
      </c>
      <c r="P20" s="86"/>
      <c r="Q20" s="86"/>
      <c r="R20" s="86"/>
      <c r="S20" s="86"/>
      <c r="T20" s="86"/>
      <c r="U20" s="86"/>
      <c r="V20" s="86"/>
      <c r="W20" s="86"/>
      <c r="X20" s="87">
        <f>(4/21)*100</f>
        <v>19.047619047619047</v>
      </c>
    </row>
    <row r="21" spans="1:24" ht="57" x14ac:dyDescent="0.2">
      <c r="A21" s="84">
        <v>9</v>
      </c>
      <c r="B21" s="90" t="s">
        <v>179</v>
      </c>
      <c r="C21" s="86"/>
      <c r="D21" s="86"/>
      <c r="E21" s="86"/>
      <c r="F21" s="86"/>
      <c r="G21" s="86" t="s">
        <v>1025</v>
      </c>
      <c r="H21" s="86" t="s">
        <v>180</v>
      </c>
      <c r="I21" s="86" t="s">
        <v>181</v>
      </c>
      <c r="J21" s="86"/>
      <c r="K21" s="86" t="s">
        <v>182</v>
      </c>
      <c r="L21" s="86" t="s">
        <v>1026</v>
      </c>
      <c r="M21" s="86" t="s">
        <v>1027</v>
      </c>
      <c r="N21" s="86" t="s">
        <v>1028</v>
      </c>
      <c r="O21" s="86"/>
      <c r="P21" s="86"/>
      <c r="Q21" s="86"/>
      <c r="R21" s="86"/>
      <c r="S21" s="86"/>
      <c r="T21" s="86"/>
      <c r="U21" s="86"/>
      <c r="V21" s="86"/>
      <c r="W21" s="86"/>
      <c r="X21" s="87">
        <f>(6/21)*100</f>
        <v>28.571428571428569</v>
      </c>
    </row>
    <row r="22" spans="1:24" ht="28.5" x14ac:dyDescent="0.2">
      <c r="A22" s="84">
        <v>10</v>
      </c>
      <c r="B22" s="85" t="s">
        <v>183</v>
      </c>
      <c r="C22" s="86"/>
      <c r="D22" s="86"/>
      <c r="E22" s="86"/>
      <c r="F22" s="86"/>
      <c r="G22" s="86"/>
      <c r="H22" s="86" t="s">
        <v>184</v>
      </c>
      <c r="I22" s="86"/>
      <c r="J22" s="86"/>
      <c r="K22" s="86"/>
      <c r="L22" s="86"/>
      <c r="M22" s="86"/>
      <c r="N22" s="86"/>
      <c r="O22" s="86"/>
      <c r="P22" s="86"/>
      <c r="Q22" s="86"/>
      <c r="R22" s="86"/>
      <c r="S22" s="86"/>
      <c r="T22" s="86"/>
      <c r="U22" s="86"/>
      <c r="V22" s="86"/>
      <c r="W22" s="86"/>
      <c r="X22" s="87">
        <f>(1/21)*100</f>
        <v>4.7619047619047619</v>
      </c>
    </row>
    <row r="23" spans="1:24" ht="57" x14ac:dyDescent="0.2">
      <c r="A23" s="84">
        <v>11</v>
      </c>
      <c r="B23" s="85" t="s">
        <v>1018</v>
      </c>
      <c r="C23" s="86" t="s">
        <v>131</v>
      </c>
      <c r="D23" s="86" t="s">
        <v>131</v>
      </c>
      <c r="E23" s="86" t="s">
        <v>131</v>
      </c>
      <c r="F23" s="86" t="s">
        <v>131</v>
      </c>
      <c r="G23" s="86" t="s">
        <v>131</v>
      </c>
      <c r="H23" s="86" t="s">
        <v>131</v>
      </c>
      <c r="I23" s="86" t="s">
        <v>131</v>
      </c>
      <c r="J23" s="86" t="s">
        <v>131</v>
      </c>
      <c r="K23" s="86" t="s">
        <v>131</v>
      </c>
      <c r="L23" s="86" t="s">
        <v>131</v>
      </c>
      <c r="M23" s="86" t="s">
        <v>131</v>
      </c>
      <c r="N23" s="86" t="s">
        <v>131</v>
      </c>
      <c r="O23" s="86" t="s">
        <v>131</v>
      </c>
      <c r="P23" s="86" t="s">
        <v>131</v>
      </c>
      <c r="Q23" s="86" t="s">
        <v>131</v>
      </c>
      <c r="R23" s="86" t="s">
        <v>131</v>
      </c>
      <c r="S23" s="86" t="s">
        <v>131</v>
      </c>
      <c r="T23" s="86" t="s">
        <v>131</v>
      </c>
      <c r="U23" s="86" t="s">
        <v>131</v>
      </c>
      <c r="V23" s="86" t="s">
        <v>131</v>
      </c>
      <c r="W23" s="86" t="s">
        <v>131</v>
      </c>
      <c r="X23" s="87">
        <f t="shared" si="0"/>
        <v>100</v>
      </c>
    </row>
    <row r="24" spans="1:24" ht="57" x14ac:dyDescent="0.2">
      <c r="A24" s="84">
        <v>12</v>
      </c>
      <c r="B24" s="89" t="s">
        <v>185</v>
      </c>
      <c r="C24" s="91" t="s">
        <v>131</v>
      </c>
      <c r="D24" s="91" t="s">
        <v>131</v>
      </c>
      <c r="E24" s="86" t="s">
        <v>1029</v>
      </c>
      <c r="F24" s="91" t="s">
        <v>131</v>
      </c>
      <c r="G24" s="91" t="s">
        <v>131</v>
      </c>
      <c r="H24" s="91" t="s">
        <v>131</v>
      </c>
      <c r="I24" s="91" t="s">
        <v>131</v>
      </c>
      <c r="J24" s="86" t="s">
        <v>186</v>
      </c>
      <c r="K24" s="91" t="s">
        <v>131</v>
      </c>
      <c r="L24" s="91" t="s">
        <v>131</v>
      </c>
      <c r="M24" s="86" t="s">
        <v>187</v>
      </c>
      <c r="N24" s="91" t="s">
        <v>131</v>
      </c>
      <c r="O24" s="91" t="s">
        <v>131</v>
      </c>
      <c r="P24" s="91" t="s">
        <v>131</v>
      </c>
      <c r="Q24" s="91" t="s">
        <v>131</v>
      </c>
      <c r="R24" s="91" t="s">
        <v>131</v>
      </c>
      <c r="S24" s="91" t="s">
        <v>131</v>
      </c>
      <c r="T24" s="91" t="s">
        <v>131</v>
      </c>
      <c r="U24" s="91" t="s">
        <v>131</v>
      </c>
      <c r="V24" s="91" t="s">
        <v>131</v>
      </c>
      <c r="W24" s="91" t="s">
        <v>131</v>
      </c>
      <c r="X24" s="87">
        <f t="shared" si="0"/>
        <v>100</v>
      </c>
    </row>
    <row r="25" spans="1:24" x14ac:dyDescent="0.2">
      <c r="A25" s="84">
        <v>13</v>
      </c>
      <c r="B25" s="85" t="s">
        <v>1019</v>
      </c>
      <c r="C25" s="86" t="s">
        <v>1030</v>
      </c>
      <c r="D25" s="86" t="s">
        <v>1030</v>
      </c>
      <c r="E25" s="86" t="s">
        <v>1030</v>
      </c>
      <c r="F25" s="86" t="s">
        <v>1030</v>
      </c>
      <c r="G25" s="86" t="s">
        <v>1030</v>
      </c>
      <c r="H25" s="86" t="s">
        <v>1030</v>
      </c>
      <c r="I25" s="86" t="s">
        <v>1030</v>
      </c>
      <c r="J25" s="86" t="s">
        <v>1030</v>
      </c>
      <c r="K25" s="86" t="s">
        <v>1030</v>
      </c>
      <c r="L25" s="86" t="s">
        <v>1030</v>
      </c>
      <c r="M25" s="86" t="s">
        <v>1030</v>
      </c>
      <c r="N25" s="86" t="s">
        <v>1030</v>
      </c>
      <c r="O25" s="86" t="s">
        <v>1030</v>
      </c>
      <c r="P25" s="86" t="s">
        <v>1030</v>
      </c>
      <c r="Q25" s="86" t="s">
        <v>1030</v>
      </c>
      <c r="R25" s="86" t="s">
        <v>1030</v>
      </c>
      <c r="S25" s="86" t="s">
        <v>1030</v>
      </c>
      <c r="T25" s="86" t="s">
        <v>1030</v>
      </c>
      <c r="U25" s="86" t="s">
        <v>1030</v>
      </c>
      <c r="V25" s="86" t="s">
        <v>1030</v>
      </c>
      <c r="W25" s="86" t="s">
        <v>1030</v>
      </c>
      <c r="X25" s="87">
        <f t="shared" si="0"/>
        <v>100</v>
      </c>
    </row>
    <row r="26" spans="1:24" x14ac:dyDescent="0.2">
      <c r="A26" s="84"/>
      <c r="B26" s="89" t="s">
        <v>188</v>
      </c>
      <c r="C26" s="87">
        <f>(9/13)*100</f>
        <v>69.230769230769226</v>
      </c>
      <c r="D26" s="87">
        <f>(9/13)*100</f>
        <v>69.230769230769226</v>
      </c>
      <c r="E26" s="87">
        <f>(11/13)*100</f>
        <v>84.615384615384613</v>
      </c>
      <c r="F26" s="87">
        <f>(9/13)*100</f>
        <v>69.230769230769226</v>
      </c>
      <c r="G26" s="87">
        <f>(11/13)*100</f>
        <v>84.615384615384613</v>
      </c>
      <c r="H26" s="87">
        <f>(11/13)*100</f>
        <v>84.615384615384613</v>
      </c>
      <c r="I26" s="87">
        <f>(10/13)*100</f>
        <v>76.923076923076934</v>
      </c>
      <c r="J26" s="87">
        <f>(10/13)*100</f>
        <v>76.923076923076934</v>
      </c>
      <c r="K26" s="87">
        <f>(10/13)*100</f>
        <v>76.923076923076934</v>
      </c>
      <c r="L26" s="87">
        <f>(11/13)*100</f>
        <v>84.615384615384613</v>
      </c>
      <c r="M26" s="87">
        <f>(9/13)*100</f>
        <v>69.230769230769226</v>
      </c>
      <c r="N26" s="87">
        <f>(10/13)*100</f>
        <v>76.923076923076934</v>
      </c>
      <c r="O26" s="87">
        <f t="shared" ref="O26:S26" si="1">(10/13)*100</f>
        <v>76.923076923076934</v>
      </c>
      <c r="P26" s="87">
        <f>(9/13)*100</f>
        <v>69.230769230769226</v>
      </c>
      <c r="Q26" s="87">
        <f>(9/13)*100</f>
        <v>69.230769230769226</v>
      </c>
      <c r="R26" s="87">
        <f>(9/13)*100</f>
        <v>69.230769230769226</v>
      </c>
      <c r="S26" s="87">
        <f t="shared" si="1"/>
        <v>76.923076923076934</v>
      </c>
      <c r="T26" s="87">
        <f>(9/13)*100</f>
        <v>69.230769230769226</v>
      </c>
      <c r="U26" s="87">
        <f>(9/13)*100</f>
        <v>69.230769230769226</v>
      </c>
      <c r="V26" s="87">
        <f>(9/13)*100</f>
        <v>69.230769230769226</v>
      </c>
      <c r="W26" s="87">
        <f>(9/13)*100</f>
        <v>69.230769230769226</v>
      </c>
      <c r="X26" s="84"/>
    </row>
    <row r="27" spans="1:24" x14ac:dyDescent="0.2">
      <c r="A27" s="84"/>
      <c r="B27" s="89"/>
      <c r="C27" s="84"/>
      <c r="D27" s="84"/>
      <c r="E27" s="84"/>
      <c r="F27" s="84"/>
      <c r="G27" s="84"/>
      <c r="H27" s="84"/>
      <c r="I27" s="84"/>
      <c r="J27" s="84"/>
      <c r="K27" s="84"/>
      <c r="L27" s="84"/>
      <c r="M27" s="84"/>
      <c r="N27" s="84"/>
      <c r="O27" s="84"/>
      <c r="P27" s="84"/>
      <c r="Q27" s="84"/>
      <c r="R27" s="84"/>
      <c r="S27" s="84"/>
      <c r="T27" s="84"/>
      <c r="U27" s="84"/>
      <c r="V27" s="84"/>
      <c r="W27" s="84"/>
      <c r="X27" s="84"/>
    </row>
    <row r="28" spans="1:24" x14ac:dyDescent="0.2">
      <c r="A28" s="84"/>
      <c r="B28" s="89" t="s">
        <v>157</v>
      </c>
      <c r="C28" s="87">
        <f>(C26+D26+E26+F26+G26+H26+I26+J26+K26+L26+M26+N26+O26+P26+Q26+R26+S26+T26+U26+V26+W26)/21</f>
        <v>74.358974358974379</v>
      </c>
      <c r="D28" s="84"/>
      <c r="E28" s="84"/>
      <c r="F28" s="84"/>
      <c r="G28" s="84"/>
      <c r="H28" s="84"/>
      <c r="I28" s="84"/>
      <c r="J28" s="84"/>
      <c r="K28" s="84"/>
      <c r="L28" s="84"/>
      <c r="M28" s="84"/>
      <c r="N28" s="84"/>
      <c r="O28" s="84"/>
      <c r="P28" s="84"/>
      <c r="Q28" s="84"/>
      <c r="R28" s="84"/>
      <c r="S28" s="84"/>
      <c r="T28" s="84"/>
      <c r="U28" s="84"/>
      <c r="V28" s="84"/>
      <c r="W28" s="84"/>
      <c r="X28" s="84"/>
    </row>
    <row r="29" spans="1:24" x14ac:dyDescent="0.2">
      <c r="A29" s="84"/>
      <c r="B29" s="89" t="s">
        <v>189</v>
      </c>
      <c r="C29" s="87">
        <f>(X13+X14+X15+X16+X17+X18+X19+X20+X21+X22+X23+X24+X25)/13</f>
        <v>74.358974358974351</v>
      </c>
      <c r="D29" s="84"/>
      <c r="E29" s="84"/>
      <c r="F29" s="84"/>
      <c r="G29" s="84"/>
      <c r="H29" s="84"/>
      <c r="I29" s="84"/>
      <c r="J29" s="84"/>
      <c r="K29" s="84"/>
      <c r="L29" s="84"/>
      <c r="M29" s="84"/>
      <c r="N29" s="84"/>
      <c r="O29" s="84"/>
      <c r="P29" s="84"/>
      <c r="Q29" s="84"/>
      <c r="R29" s="84"/>
      <c r="S29" s="84"/>
      <c r="T29" s="84"/>
      <c r="U29" s="84"/>
      <c r="V29" s="84"/>
      <c r="W29" s="84"/>
      <c r="X29" s="84"/>
    </row>
    <row r="30" spans="1:24" x14ac:dyDescent="0.2">
      <c r="A30" s="84"/>
      <c r="B30" s="89"/>
      <c r="C30" s="84"/>
      <c r="D30" s="84"/>
      <c r="E30" s="84"/>
      <c r="F30" s="84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4"/>
      <c r="S30" s="84"/>
      <c r="T30" s="84"/>
      <c r="U30" s="84"/>
      <c r="V30" s="84"/>
      <c r="W30" s="84"/>
      <c r="X30" s="84"/>
    </row>
    <row r="31" spans="1:24" x14ac:dyDescent="0.2">
      <c r="B31" s="72"/>
      <c r="C31" s="82"/>
      <c r="D31" s="82"/>
      <c r="E31" s="82"/>
      <c r="F31" s="82"/>
      <c r="G31" s="82"/>
      <c r="H31" s="82"/>
      <c r="I31" s="82"/>
      <c r="J31" s="82"/>
      <c r="K31" s="82"/>
      <c r="L31" s="82"/>
      <c r="M31" s="82"/>
      <c r="N31" s="82"/>
      <c r="O31" s="82"/>
      <c r="P31" s="82"/>
      <c r="Q31" s="82"/>
      <c r="R31" s="82"/>
      <c r="S31" s="82"/>
      <c r="T31" s="82"/>
      <c r="U31" s="82"/>
      <c r="V31" s="82"/>
      <c r="W31" s="82"/>
    </row>
    <row r="32" spans="1:24" x14ac:dyDescent="0.2">
      <c r="B32" s="72"/>
      <c r="C32" s="82"/>
      <c r="D32" s="82"/>
      <c r="E32" s="82"/>
      <c r="F32" s="82"/>
      <c r="G32" s="82"/>
      <c r="H32" s="82"/>
      <c r="I32" s="82"/>
      <c r="J32" s="82"/>
      <c r="K32" s="82"/>
      <c r="L32" s="82"/>
      <c r="M32" s="82"/>
      <c r="N32" s="82"/>
      <c r="O32" s="82"/>
      <c r="P32" s="82"/>
      <c r="Q32" s="82"/>
      <c r="R32" s="82"/>
      <c r="S32" s="82"/>
      <c r="T32" s="82"/>
      <c r="U32" s="82"/>
      <c r="V32" s="82"/>
      <c r="W32" s="82"/>
    </row>
    <row r="33" spans="2:23" x14ac:dyDescent="0.2">
      <c r="B33" s="72"/>
      <c r="C33" s="83"/>
      <c r="D33" s="82"/>
      <c r="E33" s="83"/>
      <c r="F33" s="83"/>
      <c r="G33" s="82"/>
      <c r="H33" s="83"/>
      <c r="J33" s="82"/>
      <c r="K33" s="83"/>
      <c r="L33" s="83"/>
      <c r="M33" s="82"/>
      <c r="N33" s="83"/>
      <c r="O33" s="83"/>
      <c r="P33" s="82"/>
      <c r="Q33" s="83"/>
      <c r="R33" s="83"/>
      <c r="S33" s="82"/>
      <c r="T33" s="83"/>
      <c r="U33" s="83"/>
      <c r="V33" s="83"/>
      <c r="W33" s="83"/>
    </row>
    <row r="34" spans="2:23" x14ac:dyDescent="0.2">
      <c r="B34" s="72"/>
      <c r="C34" s="82"/>
      <c r="D34" s="82"/>
      <c r="F34" s="82"/>
      <c r="G34" s="82"/>
      <c r="H34" s="83"/>
      <c r="I34" s="82"/>
      <c r="J34" s="82"/>
      <c r="K34" s="83"/>
      <c r="L34" s="83"/>
      <c r="M34" s="82"/>
      <c r="N34" s="83"/>
      <c r="O34" s="83"/>
      <c r="P34" s="82"/>
      <c r="Q34" s="83"/>
      <c r="R34" s="83"/>
      <c r="S34" s="83"/>
      <c r="T34" s="83"/>
      <c r="U34" s="83"/>
      <c r="V34" s="83"/>
      <c r="W34" s="83"/>
    </row>
    <row r="35" spans="2:23" x14ac:dyDescent="0.2">
      <c r="B35" s="72"/>
      <c r="C35" s="83"/>
      <c r="D35" s="82"/>
      <c r="E35" s="83"/>
      <c r="F35" s="83"/>
      <c r="G35" s="82"/>
      <c r="I35" s="83"/>
      <c r="J35" s="82"/>
      <c r="K35" s="83"/>
      <c r="L35" s="83"/>
      <c r="M35" s="82"/>
      <c r="N35" s="83"/>
      <c r="O35" s="83"/>
      <c r="P35" s="82"/>
      <c r="Q35" s="83"/>
      <c r="R35" s="83"/>
      <c r="S35" s="83"/>
      <c r="T35" s="83"/>
      <c r="U35" s="83"/>
      <c r="V35" s="83"/>
      <c r="W35" s="83"/>
    </row>
    <row r="36" spans="2:23" s="75" customFormat="1" x14ac:dyDescent="0.2">
      <c r="B36" s="73"/>
      <c r="C36" s="82"/>
      <c r="D36" s="82"/>
      <c r="E36" s="82"/>
      <c r="F36" s="82"/>
      <c r="G36" s="82"/>
      <c r="H36" s="82"/>
      <c r="J36" s="82"/>
      <c r="K36" s="82"/>
      <c r="L36" s="82"/>
      <c r="M36" s="82"/>
      <c r="N36" s="82"/>
      <c r="O36" s="82"/>
      <c r="P36" s="82"/>
      <c r="Q36" s="82"/>
      <c r="R36" s="82"/>
      <c r="S36" s="82"/>
      <c r="T36" s="82"/>
      <c r="U36" s="82"/>
      <c r="V36" s="82"/>
      <c r="W36" s="82"/>
    </row>
    <row r="37" spans="2:23" x14ac:dyDescent="0.2">
      <c r="B37" s="72"/>
      <c r="C37" s="83"/>
      <c r="D37" s="82"/>
      <c r="E37" s="83"/>
      <c r="F37" s="83"/>
      <c r="G37" s="82"/>
      <c r="H37" s="83"/>
      <c r="I37" s="83"/>
      <c r="J37" s="83"/>
      <c r="K37" s="83"/>
      <c r="L37" s="83"/>
      <c r="M37" s="82"/>
      <c r="N37" s="83"/>
      <c r="O37" s="83"/>
      <c r="P37" s="82"/>
      <c r="Q37" s="83"/>
      <c r="R37" s="83"/>
      <c r="S37" s="83"/>
      <c r="T37" s="83"/>
      <c r="U37" s="83"/>
      <c r="V37" s="83"/>
      <c r="W37" s="83"/>
    </row>
    <row r="38" spans="2:23" x14ac:dyDescent="0.2">
      <c r="B38" s="72"/>
      <c r="D38" s="82"/>
      <c r="F38" s="82"/>
      <c r="G38" s="82"/>
      <c r="M38" s="82"/>
      <c r="P38" s="82"/>
    </row>
    <row r="39" spans="2:23" x14ac:dyDescent="0.2">
      <c r="B39" s="72"/>
      <c r="F39" s="83"/>
      <c r="G39" s="83"/>
      <c r="H39" s="83"/>
      <c r="I39" s="83"/>
      <c r="J39" s="83"/>
      <c r="L39" s="83"/>
    </row>
    <row r="40" spans="2:23" x14ac:dyDescent="0.2">
      <c r="B40" s="72"/>
    </row>
  </sheetData>
  <mergeCells count="4">
    <mergeCell ref="B3:C3"/>
    <mergeCell ref="B4:C4"/>
    <mergeCell ref="B5:C5"/>
    <mergeCell ref="B6:C6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860DF0-D533-4352-ADEC-88EB0FAC6C31}">
  <dimension ref="A1:I72"/>
  <sheetViews>
    <sheetView workbookViewId="0"/>
  </sheetViews>
  <sheetFormatPr defaultRowHeight="14.25" x14ac:dyDescent="0.2"/>
  <cols>
    <col min="1" max="1" width="13.625" customWidth="1"/>
    <col min="2" max="2" width="13.25" bestFit="1" customWidth="1"/>
    <col min="3" max="3" width="23.5" bestFit="1" customWidth="1"/>
    <col min="4" max="4" width="13" bestFit="1" customWidth="1"/>
    <col min="5" max="5" width="8.25" bestFit="1" customWidth="1"/>
    <col min="6" max="6" width="15.375" bestFit="1" customWidth="1"/>
    <col min="8" max="8" width="13.625" bestFit="1" customWidth="1"/>
    <col min="9" max="9" width="11" bestFit="1" customWidth="1"/>
  </cols>
  <sheetData>
    <row r="1" spans="1:9" ht="15" x14ac:dyDescent="0.25">
      <c r="A1" t="s">
        <v>93</v>
      </c>
      <c r="B1" s="106" t="s">
        <v>323</v>
      </c>
      <c r="C1" s="106" t="s">
        <v>324</v>
      </c>
      <c r="D1" s="106" t="s">
        <v>325</v>
      </c>
      <c r="E1" s="106" t="s">
        <v>326</v>
      </c>
      <c r="F1" s="106" t="s">
        <v>327</v>
      </c>
      <c r="G1" s="106" t="s">
        <v>328</v>
      </c>
      <c r="H1" s="148" t="s">
        <v>834</v>
      </c>
      <c r="I1" s="148" t="s">
        <v>833</v>
      </c>
    </row>
    <row r="2" spans="1:9" ht="15" x14ac:dyDescent="0.25">
      <c r="B2" s="106"/>
      <c r="C2" s="106"/>
      <c r="D2" s="106"/>
      <c r="E2" s="106"/>
      <c r="F2" s="106"/>
      <c r="G2" s="106"/>
      <c r="H2" s="193">
        <v>55</v>
      </c>
      <c r="I2" s="148"/>
    </row>
    <row r="3" spans="1:9" x14ac:dyDescent="0.2">
      <c r="A3" s="84" t="s">
        <v>329</v>
      </c>
      <c r="B3" s="84" t="s">
        <v>481</v>
      </c>
      <c r="C3" s="84" t="s">
        <v>331</v>
      </c>
      <c r="D3" s="84" t="s">
        <v>365</v>
      </c>
      <c r="E3" s="84" t="s">
        <v>339</v>
      </c>
      <c r="F3" s="84"/>
      <c r="G3" s="84">
        <v>7.1</v>
      </c>
      <c r="H3" s="84"/>
      <c r="I3" s="84"/>
    </row>
    <row r="4" spans="1:9" x14ac:dyDescent="0.2">
      <c r="A4" s="84"/>
      <c r="B4" s="84" t="s">
        <v>483</v>
      </c>
      <c r="C4" s="84" t="s">
        <v>547</v>
      </c>
      <c r="D4" s="84" t="s">
        <v>346</v>
      </c>
      <c r="E4" s="84" t="s">
        <v>339</v>
      </c>
      <c r="F4" s="84"/>
      <c r="G4" s="84">
        <v>65.2</v>
      </c>
      <c r="H4" s="84"/>
      <c r="I4" s="84"/>
    </row>
    <row r="5" spans="1:9" x14ac:dyDescent="0.2">
      <c r="A5" s="84"/>
      <c r="B5" s="84" t="s">
        <v>488</v>
      </c>
      <c r="C5" s="84" t="s">
        <v>414</v>
      </c>
      <c r="D5" s="84" t="s">
        <v>357</v>
      </c>
      <c r="E5" s="84" t="s">
        <v>339</v>
      </c>
      <c r="F5" s="84" t="s">
        <v>853</v>
      </c>
      <c r="G5" s="84">
        <v>13</v>
      </c>
      <c r="H5" s="84"/>
      <c r="I5" s="84"/>
    </row>
    <row r="6" spans="1:9" x14ac:dyDescent="0.2">
      <c r="A6" s="84"/>
      <c r="B6" s="84" t="s">
        <v>493</v>
      </c>
      <c r="C6" s="84" t="s">
        <v>351</v>
      </c>
      <c r="D6" s="84" t="s">
        <v>352</v>
      </c>
      <c r="E6" s="84" t="s">
        <v>339</v>
      </c>
      <c r="F6" s="84"/>
      <c r="G6" s="84">
        <v>10.199999999999999</v>
      </c>
      <c r="H6" s="84"/>
      <c r="I6" s="84"/>
    </row>
    <row r="7" spans="1:9" x14ac:dyDescent="0.2">
      <c r="A7" s="84"/>
      <c r="B7" s="84" t="s">
        <v>548</v>
      </c>
      <c r="C7" s="84" t="s">
        <v>351</v>
      </c>
      <c r="D7" s="84" t="s">
        <v>352</v>
      </c>
      <c r="E7" s="84" t="s">
        <v>339</v>
      </c>
      <c r="F7" s="84"/>
      <c r="G7" s="84">
        <v>1.1000000000000001</v>
      </c>
      <c r="H7" s="84"/>
      <c r="I7" s="84"/>
    </row>
    <row r="8" spans="1:9" x14ac:dyDescent="0.2">
      <c r="A8" s="84"/>
      <c r="B8" s="84" t="s">
        <v>549</v>
      </c>
      <c r="C8" s="84" t="s">
        <v>351</v>
      </c>
      <c r="D8" s="84" t="s">
        <v>352</v>
      </c>
      <c r="E8" s="84" t="s">
        <v>339</v>
      </c>
      <c r="F8" s="84"/>
      <c r="G8" s="84">
        <v>1.1000000000000001</v>
      </c>
      <c r="H8" s="84"/>
      <c r="I8" s="84"/>
    </row>
    <row r="9" spans="1:9" x14ac:dyDescent="0.2">
      <c r="A9" s="84"/>
      <c r="B9" s="84" t="s">
        <v>448</v>
      </c>
      <c r="C9" s="84" t="s">
        <v>331</v>
      </c>
      <c r="D9" s="84" t="s">
        <v>346</v>
      </c>
      <c r="E9" s="84" t="s">
        <v>339</v>
      </c>
      <c r="F9" s="84"/>
      <c r="G9" s="84">
        <v>11.3</v>
      </c>
      <c r="H9" s="84"/>
      <c r="I9" s="84"/>
    </row>
    <row r="10" spans="1:9" x14ac:dyDescent="0.2">
      <c r="A10" s="84"/>
      <c r="B10" s="84" t="s">
        <v>499</v>
      </c>
      <c r="C10" s="84" t="s">
        <v>331</v>
      </c>
      <c r="D10" s="84" t="s">
        <v>346</v>
      </c>
      <c r="E10" s="84" t="s">
        <v>339</v>
      </c>
      <c r="F10" s="84"/>
      <c r="G10" s="84">
        <v>30</v>
      </c>
      <c r="H10" s="84"/>
      <c r="I10" s="84"/>
    </row>
    <row r="11" spans="1:9" x14ac:dyDescent="0.2">
      <c r="A11" s="84"/>
      <c r="B11" s="84" t="s">
        <v>411</v>
      </c>
      <c r="C11" s="84" t="s">
        <v>344</v>
      </c>
      <c r="D11" s="84" t="s">
        <v>397</v>
      </c>
      <c r="E11" s="84" t="s">
        <v>339</v>
      </c>
      <c r="F11" s="84" t="s">
        <v>853</v>
      </c>
      <c r="G11" s="84">
        <v>125</v>
      </c>
      <c r="H11" s="84"/>
      <c r="I11" s="84"/>
    </row>
    <row r="12" spans="1:9" x14ac:dyDescent="0.2">
      <c r="A12" s="84"/>
      <c r="B12" s="84" t="s">
        <v>550</v>
      </c>
      <c r="C12" s="84" t="s">
        <v>344</v>
      </c>
      <c r="D12" s="84" t="s">
        <v>397</v>
      </c>
      <c r="E12" s="84" t="s">
        <v>339</v>
      </c>
      <c r="F12" s="84" t="s">
        <v>853</v>
      </c>
      <c r="G12" s="84">
        <v>127</v>
      </c>
      <c r="H12" s="84"/>
      <c r="I12" s="84"/>
    </row>
    <row r="13" spans="1:9" x14ac:dyDescent="0.2">
      <c r="A13" s="84"/>
      <c r="B13" s="84" t="s">
        <v>409</v>
      </c>
      <c r="C13" s="84" t="s">
        <v>341</v>
      </c>
      <c r="D13" s="84" t="s">
        <v>352</v>
      </c>
      <c r="E13" s="84" t="s">
        <v>339</v>
      </c>
      <c r="F13" s="84"/>
      <c r="G13" s="84">
        <v>32</v>
      </c>
      <c r="H13" s="84"/>
      <c r="I13" s="84"/>
    </row>
    <row r="14" spans="1:9" x14ac:dyDescent="0.2">
      <c r="A14" s="84"/>
      <c r="B14" s="84" t="s">
        <v>413</v>
      </c>
      <c r="C14" s="84" t="s">
        <v>341</v>
      </c>
      <c r="D14" s="84" t="s">
        <v>352</v>
      </c>
      <c r="E14" s="84" t="s">
        <v>339</v>
      </c>
      <c r="F14" s="84"/>
      <c r="G14" s="84">
        <v>1.4</v>
      </c>
      <c r="H14" s="84"/>
      <c r="I14" s="84"/>
    </row>
    <row r="15" spans="1:9" x14ac:dyDescent="0.2">
      <c r="A15" s="84"/>
      <c r="B15" s="84" t="s">
        <v>422</v>
      </c>
      <c r="C15" s="84" t="s">
        <v>341</v>
      </c>
      <c r="D15" s="84" t="s">
        <v>352</v>
      </c>
      <c r="E15" s="84" t="s">
        <v>339</v>
      </c>
      <c r="F15" s="84"/>
      <c r="G15" s="84">
        <v>17.600000000000001</v>
      </c>
      <c r="H15" s="84"/>
      <c r="I15" s="84"/>
    </row>
    <row r="16" spans="1:9" x14ac:dyDescent="0.2">
      <c r="A16" s="84"/>
      <c r="B16" s="84" t="s">
        <v>430</v>
      </c>
      <c r="C16" s="84" t="s">
        <v>341</v>
      </c>
      <c r="D16" s="84" t="s">
        <v>352</v>
      </c>
      <c r="E16" s="84" t="s">
        <v>339</v>
      </c>
      <c r="F16" s="84"/>
      <c r="G16" s="84">
        <v>3</v>
      </c>
      <c r="H16" s="84"/>
      <c r="I16" s="84"/>
    </row>
    <row r="17" spans="1:9" x14ac:dyDescent="0.2">
      <c r="A17" s="84"/>
      <c r="B17" s="84" t="s">
        <v>415</v>
      </c>
      <c r="C17" s="84" t="s">
        <v>341</v>
      </c>
      <c r="D17" s="84" t="s">
        <v>352</v>
      </c>
      <c r="E17" s="84" t="s">
        <v>339</v>
      </c>
      <c r="F17" s="84"/>
      <c r="G17" s="84">
        <v>1.4</v>
      </c>
      <c r="H17" s="84"/>
      <c r="I17" s="84"/>
    </row>
    <row r="18" spans="1:9" x14ac:dyDescent="0.2">
      <c r="A18" s="84"/>
      <c r="B18" s="84" t="s">
        <v>417</v>
      </c>
      <c r="C18" s="84" t="s">
        <v>341</v>
      </c>
      <c r="D18" s="84" t="s">
        <v>352</v>
      </c>
      <c r="E18" s="84" t="s">
        <v>339</v>
      </c>
      <c r="F18" s="84"/>
      <c r="G18" s="84">
        <v>1.2</v>
      </c>
      <c r="H18" s="84"/>
      <c r="I18" s="84"/>
    </row>
    <row r="19" spans="1:9" x14ac:dyDescent="0.2">
      <c r="A19" s="84"/>
      <c r="B19" s="84" t="s">
        <v>420</v>
      </c>
      <c r="C19" s="84" t="s">
        <v>341</v>
      </c>
      <c r="D19" s="84" t="s">
        <v>352</v>
      </c>
      <c r="E19" s="84" t="s">
        <v>339</v>
      </c>
      <c r="F19" s="84"/>
      <c r="G19" s="84">
        <v>32</v>
      </c>
      <c r="H19" s="84"/>
      <c r="I19" s="84"/>
    </row>
    <row r="20" spans="1:9" x14ac:dyDescent="0.2">
      <c r="A20" s="84"/>
      <c r="B20" s="84" t="s">
        <v>429</v>
      </c>
      <c r="C20" s="84" t="s">
        <v>341</v>
      </c>
      <c r="D20" s="84" t="s">
        <v>352</v>
      </c>
      <c r="E20" s="84" t="s">
        <v>339</v>
      </c>
      <c r="F20" s="84"/>
      <c r="G20" s="84">
        <v>14.6</v>
      </c>
      <c r="H20" s="84"/>
      <c r="I20" s="84"/>
    </row>
    <row r="21" spans="1:9" x14ac:dyDescent="0.2">
      <c r="A21" s="84"/>
      <c r="B21" s="84" t="s">
        <v>426</v>
      </c>
      <c r="C21" s="84" t="s">
        <v>341</v>
      </c>
      <c r="D21" s="84" t="s">
        <v>352</v>
      </c>
      <c r="E21" s="84" t="s">
        <v>339</v>
      </c>
      <c r="F21" s="84"/>
      <c r="G21" s="84">
        <v>14.6</v>
      </c>
      <c r="H21" s="84"/>
      <c r="I21" s="84"/>
    </row>
    <row r="22" spans="1:9" x14ac:dyDescent="0.2">
      <c r="A22" s="84"/>
      <c r="B22" s="84" t="s">
        <v>432</v>
      </c>
      <c r="C22" s="84" t="s">
        <v>331</v>
      </c>
      <c r="D22" s="84" t="s">
        <v>352</v>
      </c>
      <c r="E22" s="84" t="s">
        <v>339</v>
      </c>
      <c r="F22" s="84"/>
      <c r="G22" s="84">
        <v>2.9</v>
      </c>
      <c r="H22" s="84"/>
      <c r="I22" s="84"/>
    </row>
    <row r="23" spans="1:9" x14ac:dyDescent="0.2">
      <c r="A23" s="84"/>
      <c r="B23" s="84" t="s">
        <v>431</v>
      </c>
      <c r="C23" s="84" t="s">
        <v>341</v>
      </c>
      <c r="D23" s="84" t="s">
        <v>352</v>
      </c>
      <c r="E23" s="84" t="s">
        <v>339</v>
      </c>
      <c r="F23" s="84"/>
      <c r="G23" s="84">
        <v>5</v>
      </c>
      <c r="H23" s="84"/>
      <c r="I23" s="84"/>
    </row>
    <row r="24" spans="1:9" x14ac:dyDescent="0.2">
      <c r="A24" s="84"/>
      <c r="B24" s="84" t="s">
        <v>419</v>
      </c>
      <c r="C24" s="84" t="s">
        <v>551</v>
      </c>
      <c r="D24" s="84" t="s">
        <v>352</v>
      </c>
      <c r="E24" s="84" t="s">
        <v>339</v>
      </c>
      <c r="F24" s="84"/>
      <c r="G24" s="84">
        <v>10.4</v>
      </c>
      <c r="H24" s="84"/>
      <c r="I24" s="84"/>
    </row>
    <row r="25" spans="1:9" x14ac:dyDescent="0.2">
      <c r="A25" s="84"/>
      <c r="B25" s="84" t="s">
        <v>424</v>
      </c>
      <c r="C25" s="84" t="s">
        <v>377</v>
      </c>
      <c r="D25" s="84" t="s">
        <v>352</v>
      </c>
      <c r="E25" s="84" t="s">
        <v>339</v>
      </c>
      <c r="F25" s="84"/>
      <c r="G25" s="84">
        <v>8</v>
      </c>
      <c r="H25" s="84"/>
      <c r="I25" s="84"/>
    </row>
    <row r="26" spans="1:9" x14ac:dyDescent="0.2">
      <c r="A26" s="84"/>
      <c r="B26" s="84" t="s">
        <v>552</v>
      </c>
      <c r="C26" s="84" t="s">
        <v>553</v>
      </c>
      <c r="D26" s="84" t="s">
        <v>352</v>
      </c>
      <c r="E26" s="84" t="s">
        <v>339</v>
      </c>
      <c r="F26" s="84"/>
      <c r="G26" s="84">
        <v>6</v>
      </c>
      <c r="H26" s="84"/>
      <c r="I26" s="84"/>
    </row>
    <row r="27" spans="1:9" x14ac:dyDescent="0.2">
      <c r="A27" s="84"/>
      <c r="B27" s="84" t="s">
        <v>423</v>
      </c>
      <c r="C27" s="84" t="s">
        <v>344</v>
      </c>
      <c r="D27" s="84" t="s">
        <v>397</v>
      </c>
      <c r="E27" s="84" t="s">
        <v>339</v>
      </c>
      <c r="F27" s="149" t="s">
        <v>853</v>
      </c>
      <c r="G27" s="84">
        <v>44</v>
      </c>
      <c r="H27" s="84"/>
      <c r="I27" s="84"/>
    </row>
    <row r="28" spans="1:9" x14ac:dyDescent="0.2">
      <c r="A28" s="84"/>
      <c r="B28" s="84" t="s">
        <v>490</v>
      </c>
      <c r="C28" s="84" t="s">
        <v>351</v>
      </c>
      <c r="D28" s="84" t="s">
        <v>352</v>
      </c>
      <c r="E28" s="84" t="s">
        <v>339</v>
      </c>
      <c r="F28" s="84"/>
      <c r="G28" s="84">
        <v>4.3</v>
      </c>
      <c r="H28" s="84"/>
      <c r="I28" s="84"/>
    </row>
    <row r="29" spans="1:9" x14ac:dyDescent="0.2">
      <c r="A29" s="84"/>
      <c r="B29" s="84" t="s">
        <v>491</v>
      </c>
      <c r="C29" s="84" t="s">
        <v>351</v>
      </c>
      <c r="D29" s="84" t="s">
        <v>352</v>
      </c>
      <c r="E29" s="84" t="s">
        <v>339</v>
      </c>
      <c r="F29" s="84"/>
      <c r="G29" s="84">
        <v>7.8</v>
      </c>
      <c r="H29" s="84"/>
      <c r="I29" s="84"/>
    </row>
    <row r="30" spans="1:9" x14ac:dyDescent="0.2">
      <c r="A30" s="84"/>
      <c r="B30" s="84" t="s">
        <v>554</v>
      </c>
      <c r="C30" s="84" t="s">
        <v>351</v>
      </c>
      <c r="D30" s="84" t="s">
        <v>352</v>
      </c>
      <c r="E30" s="84" t="s">
        <v>339</v>
      </c>
      <c r="F30" s="84"/>
      <c r="G30" s="84">
        <v>0.9</v>
      </c>
      <c r="H30" s="84"/>
      <c r="I30" s="84"/>
    </row>
    <row r="31" spans="1:9" x14ac:dyDescent="0.2">
      <c r="A31" s="84"/>
      <c r="B31" s="84" t="s">
        <v>555</v>
      </c>
      <c r="C31" s="84" t="s">
        <v>351</v>
      </c>
      <c r="D31" s="84" t="s">
        <v>352</v>
      </c>
      <c r="E31" s="84" t="s">
        <v>339</v>
      </c>
      <c r="F31" s="84"/>
      <c r="G31" s="84">
        <v>0.9</v>
      </c>
      <c r="H31" s="84"/>
      <c r="I31" s="84"/>
    </row>
    <row r="32" spans="1:9" x14ac:dyDescent="0.2">
      <c r="A32" s="84"/>
      <c r="B32" s="84" t="s">
        <v>556</v>
      </c>
      <c r="C32" s="84" t="s">
        <v>351</v>
      </c>
      <c r="D32" s="84" t="s">
        <v>352</v>
      </c>
      <c r="E32" s="84" t="s">
        <v>339</v>
      </c>
      <c r="F32" s="84"/>
      <c r="G32" s="84">
        <v>0.9</v>
      </c>
      <c r="H32" s="84"/>
      <c r="I32" s="84"/>
    </row>
    <row r="33" spans="1:9" x14ac:dyDescent="0.2">
      <c r="A33" s="84"/>
      <c r="B33" s="84" t="s">
        <v>557</v>
      </c>
      <c r="C33" s="84" t="s">
        <v>351</v>
      </c>
      <c r="D33" s="84" t="s">
        <v>352</v>
      </c>
      <c r="E33" s="84" t="s">
        <v>339</v>
      </c>
      <c r="F33" s="84"/>
      <c r="G33" s="84">
        <v>0.9</v>
      </c>
      <c r="H33" s="84"/>
      <c r="I33" s="84"/>
    </row>
    <row r="34" spans="1:9" x14ac:dyDescent="0.2">
      <c r="A34" s="84"/>
      <c r="B34" s="84" t="s">
        <v>447</v>
      </c>
      <c r="C34" s="84" t="s">
        <v>341</v>
      </c>
      <c r="D34" s="84" t="s">
        <v>357</v>
      </c>
      <c r="E34" s="84" t="s">
        <v>339</v>
      </c>
      <c r="F34" s="84"/>
      <c r="G34" s="84">
        <v>4.9000000000000004</v>
      </c>
      <c r="H34" s="84"/>
      <c r="I34" s="84"/>
    </row>
    <row r="35" spans="1:9" x14ac:dyDescent="0.2">
      <c r="A35" s="84"/>
      <c r="B35" s="84" t="s">
        <v>486</v>
      </c>
      <c r="C35" s="84" t="s">
        <v>341</v>
      </c>
      <c r="D35" s="84" t="s">
        <v>365</v>
      </c>
      <c r="E35" s="84" t="s">
        <v>339</v>
      </c>
      <c r="F35" s="84"/>
      <c r="G35" s="84">
        <v>8.8000000000000007</v>
      </c>
      <c r="H35" s="84"/>
      <c r="I35" s="84"/>
    </row>
    <row r="36" spans="1:9" x14ac:dyDescent="0.2">
      <c r="A36" s="84"/>
      <c r="B36" s="84" t="s">
        <v>487</v>
      </c>
      <c r="C36" s="84" t="s">
        <v>341</v>
      </c>
      <c r="D36" s="84" t="s">
        <v>352</v>
      </c>
      <c r="E36" s="84" t="s">
        <v>339</v>
      </c>
      <c r="F36" s="84"/>
      <c r="G36" s="84">
        <v>11.3</v>
      </c>
      <c r="H36" s="84"/>
      <c r="I36" s="84"/>
    </row>
    <row r="37" spans="1:9" x14ac:dyDescent="0.2">
      <c r="A37" s="84"/>
      <c r="B37" s="84" t="s">
        <v>406</v>
      </c>
      <c r="C37" s="84" t="s">
        <v>416</v>
      </c>
      <c r="D37" s="84" t="s">
        <v>352</v>
      </c>
      <c r="E37" s="84" t="s">
        <v>339</v>
      </c>
      <c r="F37" s="149" t="s">
        <v>853</v>
      </c>
      <c r="G37" s="84">
        <v>66.2</v>
      </c>
      <c r="H37" s="84"/>
      <c r="I37" s="84"/>
    </row>
    <row r="38" spans="1:9" x14ac:dyDescent="0.2">
      <c r="A38" s="84"/>
      <c r="B38" s="84" t="s">
        <v>402</v>
      </c>
      <c r="C38" s="84" t="s">
        <v>341</v>
      </c>
      <c r="D38" s="84" t="s">
        <v>352</v>
      </c>
      <c r="E38" s="84" t="s">
        <v>339</v>
      </c>
      <c r="F38" s="84"/>
      <c r="G38" s="84">
        <v>0.9</v>
      </c>
      <c r="H38" s="84"/>
      <c r="I38" s="84"/>
    </row>
    <row r="39" spans="1:9" x14ac:dyDescent="0.2">
      <c r="A39" s="84"/>
      <c r="B39" s="84" t="s">
        <v>407</v>
      </c>
      <c r="C39" s="84" t="s">
        <v>331</v>
      </c>
      <c r="D39" s="84" t="s">
        <v>346</v>
      </c>
      <c r="E39" s="84" t="s">
        <v>339</v>
      </c>
      <c r="F39" s="84"/>
      <c r="G39" s="84">
        <v>30.7</v>
      </c>
      <c r="H39" s="84"/>
      <c r="I39" s="84"/>
    </row>
    <row r="40" spans="1:9" x14ac:dyDescent="0.2">
      <c r="A40" s="84"/>
      <c r="B40" s="84" t="s">
        <v>405</v>
      </c>
      <c r="C40" s="84" t="s">
        <v>351</v>
      </c>
      <c r="D40" s="84" t="s">
        <v>352</v>
      </c>
      <c r="E40" s="84" t="s">
        <v>339</v>
      </c>
      <c r="F40" s="84"/>
      <c r="G40" s="84">
        <v>1.8</v>
      </c>
      <c r="H40" s="84"/>
      <c r="I40" s="84"/>
    </row>
    <row r="41" spans="1:9" x14ac:dyDescent="0.2">
      <c r="A41" s="84"/>
      <c r="B41" s="84" t="s">
        <v>395</v>
      </c>
      <c r="C41" s="84" t="s">
        <v>351</v>
      </c>
      <c r="D41" s="84" t="s">
        <v>352</v>
      </c>
      <c r="E41" s="84" t="s">
        <v>339</v>
      </c>
      <c r="F41" s="84"/>
      <c r="G41" s="84">
        <v>1.2</v>
      </c>
      <c r="H41" s="84"/>
      <c r="I41" s="84"/>
    </row>
    <row r="42" spans="1:9" x14ac:dyDescent="0.2">
      <c r="A42" s="84"/>
      <c r="B42" s="84" t="s">
        <v>403</v>
      </c>
      <c r="C42" s="84" t="s">
        <v>348</v>
      </c>
      <c r="D42" s="84" t="s">
        <v>352</v>
      </c>
      <c r="E42" s="84" t="s">
        <v>339</v>
      </c>
      <c r="F42" s="84"/>
      <c r="G42" s="84">
        <v>2.2000000000000002</v>
      </c>
      <c r="H42" s="84"/>
      <c r="I42" s="84"/>
    </row>
    <row r="43" spans="1:9" x14ac:dyDescent="0.2">
      <c r="A43" s="84"/>
      <c r="B43" s="84" t="s">
        <v>393</v>
      </c>
      <c r="C43" s="84" t="s">
        <v>331</v>
      </c>
      <c r="D43" s="84" t="s">
        <v>346</v>
      </c>
      <c r="E43" s="84" t="s">
        <v>339</v>
      </c>
      <c r="F43" s="84"/>
      <c r="G43" s="84">
        <v>19</v>
      </c>
      <c r="H43" s="84"/>
      <c r="I43" s="84"/>
    </row>
    <row r="44" spans="1:9" x14ac:dyDescent="0.2">
      <c r="A44" s="84"/>
      <c r="B44" s="84" t="s">
        <v>394</v>
      </c>
      <c r="C44" s="84" t="s">
        <v>341</v>
      </c>
      <c r="D44" s="84" t="s">
        <v>357</v>
      </c>
      <c r="E44" s="84" t="s">
        <v>339</v>
      </c>
      <c r="F44" s="84"/>
      <c r="G44" s="84">
        <v>11.8</v>
      </c>
      <c r="H44" s="84"/>
      <c r="I44" s="84"/>
    </row>
    <row r="45" spans="1:9" x14ac:dyDescent="0.2">
      <c r="A45" s="84"/>
      <c r="B45" s="84" t="s">
        <v>398</v>
      </c>
      <c r="C45" s="84" t="s">
        <v>341</v>
      </c>
      <c r="D45" s="84" t="s">
        <v>357</v>
      </c>
      <c r="E45" s="84" t="s">
        <v>339</v>
      </c>
      <c r="F45" s="84"/>
      <c r="G45" s="84">
        <v>14.4</v>
      </c>
      <c r="H45" s="84"/>
      <c r="I45" s="84"/>
    </row>
    <row r="46" spans="1:9" x14ac:dyDescent="0.2">
      <c r="A46" s="84"/>
      <c r="B46" s="84" t="s">
        <v>400</v>
      </c>
      <c r="C46" s="84" t="s">
        <v>534</v>
      </c>
      <c r="D46" s="84" t="s">
        <v>357</v>
      </c>
      <c r="E46" s="84" t="s">
        <v>339</v>
      </c>
      <c r="F46" s="84"/>
      <c r="G46" s="84">
        <v>6.7</v>
      </c>
      <c r="H46" s="84"/>
      <c r="I46" s="84"/>
    </row>
    <row r="47" spans="1:9" x14ac:dyDescent="0.2">
      <c r="A47" s="84"/>
      <c r="B47" s="84" t="s">
        <v>401</v>
      </c>
      <c r="C47" s="84" t="s">
        <v>341</v>
      </c>
      <c r="D47" s="84" t="s">
        <v>357</v>
      </c>
      <c r="E47" s="84" t="s">
        <v>339</v>
      </c>
      <c r="F47" s="84"/>
      <c r="G47" s="84">
        <v>7.9</v>
      </c>
      <c r="H47" s="84"/>
      <c r="I47" s="84"/>
    </row>
    <row r="48" spans="1:9" x14ac:dyDescent="0.2">
      <c r="A48" s="84"/>
      <c r="B48" s="84" t="s">
        <v>370</v>
      </c>
      <c r="C48" s="84" t="s">
        <v>331</v>
      </c>
      <c r="D48" s="84" t="s">
        <v>346</v>
      </c>
      <c r="E48" s="84" t="s">
        <v>339</v>
      </c>
      <c r="F48" s="84"/>
      <c r="G48" s="84">
        <v>18</v>
      </c>
      <c r="H48" s="84"/>
      <c r="I48" s="84"/>
    </row>
    <row r="49" spans="1:9" x14ac:dyDescent="0.2">
      <c r="A49" s="84"/>
      <c r="B49" s="84" t="s">
        <v>363</v>
      </c>
      <c r="C49" s="84" t="s">
        <v>368</v>
      </c>
      <c r="D49" s="84" t="s">
        <v>357</v>
      </c>
      <c r="E49" s="84" t="s">
        <v>336</v>
      </c>
      <c r="F49" s="84" t="s">
        <v>337</v>
      </c>
      <c r="G49" s="84">
        <v>55.6</v>
      </c>
      <c r="H49" s="84" t="s">
        <v>855</v>
      </c>
      <c r="I49" s="84"/>
    </row>
    <row r="50" spans="1:9" x14ac:dyDescent="0.2">
      <c r="A50" s="84"/>
      <c r="B50" s="84" t="s">
        <v>361</v>
      </c>
      <c r="C50" s="84" t="s">
        <v>331</v>
      </c>
      <c r="D50" s="84" t="s">
        <v>346</v>
      </c>
      <c r="E50" s="84" t="s">
        <v>339</v>
      </c>
      <c r="F50" s="84"/>
      <c r="G50" s="84">
        <v>14.8</v>
      </c>
      <c r="H50" s="84"/>
      <c r="I50" s="84"/>
    </row>
    <row r="51" spans="1:9" x14ac:dyDescent="0.2">
      <c r="A51" s="84"/>
      <c r="B51" s="84" t="s">
        <v>408</v>
      </c>
      <c r="C51" s="84" t="s">
        <v>351</v>
      </c>
      <c r="D51" s="84" t="s">
        <v>352</v>
      </c>
      <c r="E51" s="84" t="s">
        <v>339</v>
      </c>
      <c r="F51" s="84"/>
      <c r="G51" s="84">
        <v>1.4</v>
      </c>
      <c r="H51" s="84"/>
      <c r="I51" s="84"/>
    </row>
    <row r="52" spans="1:9" x14ac:dyDescent="0.2">
      <c r="A52" s="84"/>
      <c r="B52" s="84" t="s">
        <v>367</v>
      </c>
      <c r="C52" s="84" t="s">
        <v>351</v>
      </c>
      <c r="D52" s="84" t="s">
        <v>352</v>
      </c>
      <c r="E52" s="84" t="s">
        <v>339</v>
      </c>
      <c r="F52" s="84"/>
      <c r="G52" s="84">
        <v>1</v>
      </c>
      <c r="H52" s="84"/>
      <c r="I52" s="84"/>
    </row>
    <row r="53" spans="1:9" x14ac:dyDescent="0.2">
      <c r="A53" s="84"/>
      <c r="B53" s="84" t="s">
        <v>374</v>
      </c>
      <c r="C53" s="84" t="s">
        <v>331</v>
      </c>
      <c r="D53" s="84" t="s">
        <v>346</v>
      </c>
      <c r="E53" s="84" t="s">
        <v>339</v>
      </c>
      <c r="F53" s="84"/>
      <c r="G53" s="84">
        <v>34.700000000000003</v>
      </c>
      <c r="H53" s="84"/>
      <c r="I53" s="84"/>
    </row>
    <row r="54" spans="1:9" x14ac:dyDescent="0.2">
      <c r="A54" s="84"/>
      <c r="B54" s="84" t="s">
        <v>380</v>
      </c>
      <c r="C54" s="84" t="s">
        <v>341</v>
      </c>
      <c r="D54" s="84" t="s">
        <v>357</v>
      </c>
      <c r="E54" s="84" t="s">
        <v>339</v>
      </c>
      <c r="F54" s="84"/>
      <c r="G54" s="84">
        <v>5.3</v>
      </c>
      <c r="H54" s="84"/>
      <c r="I54" s="84"/>
    </row>
    <row r="55" spans="1:9" x14ac:dyDescent="0.2">
      <c r="A55" s="84"/>
      <c r="B55" s="84" t="s">
        <v>379</v>
      </c>
      <c r="C55" s="84" t="s">
        <v>334</v>
      </c>
      <c r="D55" s="84" t="s">
        <v>357</v>
      </c>
      <c r="E55" s="84" t="s">
        <v>339</v>
      </c>
      <c r="F55" s="84"/>
      <c r="G55" s="84">
        <v>14.4</v>
      </c>
      <c r="H55" s="84"/>
      <c r="I55" s="84"/>
    </row>
    <row r="56" spans="1:9" x14ac:dyDescent="0.2">
      <c r="A56" s="84"/>
      <c r="B56" s="84" t="s">
        <v>378</v>
      </c>
      <c r="C56" s="84" t="s">
        <v>859</v>
      </c>
      <c r="D56" s="84" t="s">
        <v>357</v>
      </c>
      <c r="E56" s="84" t="s">
        <v>336</v>
      </c>
      <c r="F56" s="84" t="s">
        <v>558</v>
      </c>
      <c r="G56" s="84">
        <v>47.9</v>
      </c>
      <c r="H56" s="84" t="s">
        <v>855</v>
      </c>
      <c r="I56" s="84"/>
    </row>
    <row r="57" spans="1:9" x14ac:dyDescent="0.2">
      <c r="A57" s="84"/>
      <c r="B57" s="84" t="s">
        <v>375</v>
      </c>
      <c r="C57" s="84" t="s">
        <v>859</v>
      </c>
      <c r="D57" s="84" t="s">
        <v>357</v>
      </c>
      <c r="E57" s="84" t="s">
        <v>336</v>
      </c>
      <c r="F57" s="84" t="s">
        <v>558</v>
      </c>
      <c r="G57" s="84">
        <v>46.8</v>
      </c>
      <c r="H57" s="84" t="s">
        <v>855</v>
      </c>
      <c r="I57" s="84"/>
    </row>
    <row r="58" spans="1:9" x14ac:dyDescent="0.2">
      <c r="A58" s="84"/>
      <c r="B58" s="84" t="s">
        <v>376</v>
      </c>
      <c r="C58" s="84" t="s">
        <v>859</v>
      </c>
      <c r="D58" s="84" t="s">
        <v>357</v>
      </c>
      <c r="E58" s="84" t="s">
        <v>336</v>
      </c>
      <c r="F58" s="84" t="s">
        <v>558</v>
      </c>
      <c r="G58" s="84">
        <v>3.1</v>
      </c>
      <c r="H58" s="84" t="s">
        <v>855</v>
      </c>
      <c r="I58" s="84"/>
    </row>
    <row r="59" spans="1:9" x14ac:dyDescent="0.2">
      <c r="A59" s="84"/>
      <c r="B59" s="84" t="s">
        <v>559</v>
      </c>
      <c r="C59" s="84" t="s">
        <v>334</v>
      </c>
      <c r="D59" s="84" t="s">
        <v>357</v>
      </c>
      <c r="E59" s="84" t="s">
        <v>336</v>
      </c>
      <c r="F59" s="84" t="s">
        <v>560</v>
      </c>
      <c r="G59" s="84">
        <v>48.9</v>
      </c>
      <c r="H59" s="194">
        <f>G59*$H$2</f>
        <v>2689.5</v>
      </c>
      <c r="I59" s="84"/>
    </row>
    <row r="60" spans="1:9" x14ac:dyDescent="0.2">
      <c r="A60" s="84"/>
      <c r="B60" s="84" t="s">
        <v>381</v>
      </c>
      <c r="C60" s="84" t="s">
        <v>351</v>
      </c>
      <c r="D60" s="84" t="s">
        <v>352</v>
      </c>
      <c r="E60" s="84" t="s">
        <v>336</v>
      </c>
      <c r="F60" s="84" t="s">
        <v>560</v>
      </c>
      <c r="G60" s="84">
        <v>3.5</v>
      </c>
      <c r="H60" s="194">
        <f>G60*$H$2</f>
        <v>192.5</v>
      </c>
      <c r="I60" s="84"/>
    </row>
    <row r="61" spans="1:9" x14ac:dyDescent="0.2">
      <c r="A61" s="84"/>
      <c r="B61" s="84" t="s">
        <v>385</v>
      </c>
      <c r="C61" s="84" t="s">
        <v>334</v>
      </c>
      <c r="D61" s="84" t="s">
        <v>357</v>
      </c>
      <c r="E61" s="84" t="s">
        <v>339</v>
      </c>
      <c r="F61" s="149" t="s">
        <v>853</v>
      </c>
      <c r="G61" s="84">
        <v>9.5</v>
      </c>
      <c r="H61" s="84"/>
      <c r="I61" s="84"/>
    </row>
    <row r="62" spans="1:9" x14ac:dyDescent="0.2">
      <c r="A62" s="84"/>
      <c r="B62" s="84" t="s">
        <v>373</v>
      </c>
      <c r="C62" s="84" t="s">
        <v>334</v>
      </c>
      <c r="D62" s="84" t="s">
        <v>357</v>
      </c>
      <c r="E62" s="84" t="s">
        <v>339</v>
      </c>
      <c r="F62" s="149" t="s">
        <v>853</v>
      </c>
      <c r="G62" s="84">
        <v>15.4</v>
      </c>
      <c r="H62" s="84"/>
      <c r="I62" s="84"/>
    </row>
    <row r="63" spans="1:9" x14ac:dyDescent="0.2">
      <c r="A63" s="84"/>
      <c r="B63" s="84" t="s">
        <v>382</v>
      </c>
      <c r="C63" s="84" t="s">
        <v>334</v>
      </c>
      <c r="D63" s="84" t="s">
        <v>357</v>
      </c>
      <c r="E63" s="84" t="s">
        <v>339</v>
      </c>
      <c r="F63" s="84"/>
      <c r="G63" s="84">
        <v>50.4</v>
      </c>
      <c r="H63" s="84"/>
      <c r="I63" s="84"/>
    </row>
    <row r="64" spans="1:9" x14ac:dyDescent="0.2">
      <c r="A64" s="84"/>
      <c r="B64" s="84" t="s">
        <v>386</v>
      </c>
      <c r="C64" s="84" t="s">
        <v>331</v>
      </c>
      <c r="D64" s="84" t="s">
        <v>365</v>
      </c>
      <c r="E64" s="84" t="s">
        <v>339</v>
      </c>
      <c r="F64" s="84"/>
      <c r="G64" s="84">
        <v>3.4</v>
      </c>
      <c r="H64" s="84"/>
      <c r="I64" s="84"/>
    </row>
    <row r="65" spans="1:9" x14ac:dyDescent="0.2">
      <c r="A65" s="84"/>
      <c r="B65" s="84" t="s">
        <v>387</v>
      </c>
      <c r="C65" s="84" t="s">
        <v>351</v>
      </c>
      <c r="D65" s="84" t="s">
        <v>352</v>
      </c>
      <c r="E65" s="84" t="s">
        <v>339</v>
      </c>
      <c r="F65" s="84"/>
      <c r="G65" s="84">
        <v>2.2000000000000002</v>
      </c>
      <c r="H65" s="84"/>
      <c r="I65" s="84"/>
    </row>
    <row r="66" spans="1:9" x14ac:dyDescent="0.2">
      <c r="A66" s="84"/>
      <c r="B66" s="84" t="s">
        <v>389</v>
      </c>
      <c r="C66" s="84" t="s">
        <v>351</v>
      </c>
      <c r="D66" s="84" t="s">
        <v>352</v>
      </c>
      <c r="E66" s="84" t="s">
        <v>339</v>
      </c>
      <c r="F66" s="84"/>
      <c r="G66" s="84">
        <v>2.4</v>
      </c>
      <c r="H66" s="84"/>
      <c r="I66" s="84"/>
    </row>
    <row r="67" spans="1:9" x14ac:dyDescent="0.2">
      <c r="A67" s="84"/>
      <c r="B67" s="84" t="s">
        <v>395</v>
      </c>
      <c r="C67" s="84" t="s">
        <v>351</v>
      </c>
      <c r="D67" s="84" t="s">
        <v>352</v>
      </c>
      <c r="E67" s="84" t="s">
        <v>339</v>
      </c>
      <c r="F67" s="84"/>
      <c r="G67" s="84">
        <v>1.7</v>
      </c>
      <c r="H67" s="84"/>
      <c r="I67" s="84"/>
    </row>
    <row r="68" spans="1:9" x14ac:dyDescent="0.2">
      <c r="A68" s="84"/>
      <c r="B68" s="84" t="s">
        <v>388</v>
      </c>
      <c r="C68" s="84" t="s">
        <v>351</v>
      </c>
      <c r="D68" s="84" t="s">
        <v>352</v>
      </c>
      <c r="E68" s="84" t="s">
        <v>339</v>
      </c>
      <c r="F68" s="84"/>
      <c r="G68" s="84">
        <v>4.4000000000000004</v>
      </c>
      <c r="H68" s="84"/>
      <c r="I68" s="84"/>
    </row>
    <row r="69" spans="1:9" x14ac:dyDescent="0.2">
      <c r="A69" s="84"/>
      <c r="B69" s="84" t="s">
        <v>484</v>
      </c>
      <c r="C69" s="84" t="s">
        <v>858</v>
      </c>
      <c r="D69" s="84" t="s">
        <v>365</v>
      </c>
      <c r="E69" s="84" t="s">
        <v>339</v>
      </c>
      <c r="F69" s="84"/>
      <c r="G69" s="84">
        <v>12.9</v>
      </c>
      <c r="H69" s="84"/>
      <c r="I69" s="84"/>
    </row>
    <row r="71" spans="1:9" x14ac:dyDescent="0.2">
      <c r="F71" t="s">
        <v>835</v>
      </c>
      <c r="G71">
        <f>SUM(G3:G70)</f>
        <v>1186.3000000000004</v>
      </c>
    </row>
    <row r="72" spans="1:9" x14ac:dyDescent="0.2">
      <c r="F72" s="147" t="s">
        <v>877</v>
      </c>
      <c r="H72" s="68">
        <f>SUM(H3:H71)</f>
        <v>2882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50A3C2-CC69-4BA6-85CC-2678C3952955}">
  <sheetPr>
    <tabColor rgb="FF00B050"/>
  </sheetPr>
  <dimension ref="A1:H35"/>
  <sheetViews>
    <sheetView workbookViewId="0">
      <selection activeCell="H33" sqref="H33"/>
    </sheetView>
  </sheetViews>
  <sheetFormatPr defaultRowHeight="12" x14ac:dyDescent="0.2"/>
  <cols>
    <col min="1" max="1" width="9" style="151"/>
    <col min="2" max="2" width="14.5" style="151" customWidth="1"/>
    <col min="3" max="3" width="9.875" style="151" customWidth="1"/>
    <col min="4" max="16384" width="9" style="151"/>
  </cols>
  <sheetData>
    <row r="1" spans="1:8" x14ac:dyDescent="0.2">
      <c r="A1" s="155" t="s">
        <v>310</v>
      </c>
      <c r="B1" s="154"/>
      <c r="C1" s="154">
        <v>2014</v>
      </c>
      <c r="D1" s="154">
        <v>2015</v>
      </c>
      <c r="E1" s="154">
        <v>2016</v>
      </c>
      <c r="F1" s="154">
        <v>2017</v>
      </c>
      <c r="G1" s="154">
        <v>2018</v>
      </c>
      <c r="H1" s="154">
        <v>2019</v>
      </c>
    </row>
    <row r="2" spans="1:8" x14ac:dyDescent="0.2">
      <c r="A2" s="150" t="s">
        <v>311</v>
      </c>
      <c r="B2" s="150"/>
      <c r="C2" s="150"/>
      <c r="D2" s="150"/>
      <c r="E2" s="150"/>
      <c r="F2" s="150"/>
      <c r="G2" s="150"/>
      <c r="H2" s="150"/>
    </row>
    <row r="3" spans="1:8" x14ac:dyDescent="0.2">
      <c r="A3" s="150" t="s">
        <v>312</v>
      </c>
      <c r="B3" s="150"/>
      <c r="C3" s="150">
        <v>10002</v>
      </c>
      <c r="D3" s="150">
        <v>14906</v>
      </c>
      <c r="E3" s="150">
        <v>17815</v>
      </c>
      <c r="F3" s="150">
        <v>17635</v>
      </c>
      <c r="G3" s="150">
        <v>15035</v>
      </c>
      <c r="H3" s="150">
        <v>16150</v>
      </c>
    </row>
    <row r="4" spans="1:8" x14ac:dyDescent="0.2">
      <c r="A4" s="150" t="s">
        <v>313</v>
      </c>
      <c r="B4" s="150"/>
      <c r="C4" s="152">
        <v>4.0000000000000001E-3</v>
      </c>
      <c r="D4" s="152">
        <v>0</v>
      </c>
      <c r="E4" s="150">
        <v>0.5</v>
      </c>
      <c r="F4" s="150">
        <v>1.3</v>
      </c>
      <c r="G4" s="150">
        <v>2.13</v>
      </c>
      <c r="H4" s="150">
        <v>1.69</v>
      </c>
    </row>
    <row r="5" spans="1:8" x14ac:dyDescent="0.2">
      <c r="A5" s="150" t="s">
        <v>314</v>
      </c>
      <c r="B5" s="150"/>
      <c r="C5" s="152">
        <v>0.996</v>
      </c>
      <c r="D5" s="152">
        <v>1</v>
      </c>
      <c r="E5" s="150">
        <v>99.5</v>
      </c>
      <c r="F5" s="150">
        <v>98.7</v>
      </c>
      <c r="G5" s="150">
        <v>97.87</v>
      </c>
      <c r="H5" s="150">
        <f>100-H4</f>
        <v>98.31</v>
      </c>
    </row>
    <row r="6" spans="1:8" x14ac:dyDescent="0.2">
      <c r="A6" s="150"/>
      <c r="B6" s="150"/>
      <c r="C6" s="150"/>
      <c r="D6" s="150"/>
      <c r="E6" s="150"/>
      <c r="F6" s="150"/>
      <c r="G6" s="150"/>
      <c r="H6" s="150"/>
    </row>
    <row r="7" spans="1:8" x14ac:dyDescent="0.2">
      <c r="A7" s="150" t="s">
        <v>315</v>
      </c>
      <c r="B7" s="150"/>
      <c r="C7" s="150"/>
      <c r="D7" s="150"/>
      <c r="E7" s="150"/>
      <c r="F7" s="150"/>
      <c r="G7" s="150"/>
      <c r="H7" s="150"/>
    </row>
    <row r="8" spans="1:8" x14ac:dyDescent="0.2">
      <c r="A8" s="150" t="s">
        <v>312</v>
      </c>
      <c r="B8" s="150"/>
      <c r="C8" s="150">
        <v>27314</v>
      </c>
      <c r="D8" s="150">
        <v>9152</v>
      </c>
      <c r="E8" s="150">
        <v>14723</v>
      </c>
      <c r="F8" s="150">
        <v>20001</v>
      </c>
      <c r="G8" s="150">
        <v>19456</v>
      </c>
      <c r="H8" s="150">
        <v>20240</v>
      </c>
    </row>
    <row r="9" spans="1:8" x14ac:dyDescent="0.2">
      <c r="A9" s="150" t="s">
        <v>313</v>
      </c>
      <c r="B9" s="150"/>
      <c r="C9" s="152">
        <v>3.5000000000000003E-2</v>
      </c>
      <c r="D9" s="152">
        <v>6.8000000000000005E-2</v>
      </c>
      <c r="E9" s="150">
        <v>1.5</v>
      </c>
      <c r="F9" s="150">
        <v>0.64</v>
      </c>
      <c r="G9" s="150">
        <v>0.75</v>
      </c>
      <c r="H9" s="150">
        <v>1.38</v>
      </c>
    </row>
    <row r="10" spans="1:8" x14ac:dyDescent="0.2">
      <c r="A10" s="150" t="s">
        <v>314</v>
      </c>
      <c r="B10" s="150"/>
      <c r="C10" s="152">
        <v>0.96499999999999997</v>
      </c>
      <c r="D10" s="152">
        <v>0.93200000000000005</v>
      </c>
      <c r="E10" s="150">
        <v>98.5</v>
      </c>
      <c r="F10" s="150">
        <v>99.36</v>
      </c>
      <c r="G10" s="150">
        <v>99.25</v>
      </c>
      <c r="H10" s="150">
        <v>99.25</v>
      </c>
    </row>
    <row r="11" spans="1:8" x14ac:dyDescent="0.2">
      <c r="A11" s="150"/>
      <c r="B11" s="150"/>
      <c r="C11" s="150"/>
      <c r="D11" s="150"/>
      <c r="E11" s="150"/>
      <c r="F11" s="150"/>
      <c r="G11" s="150"/>
      <c r="H11" s="150"/>
    </row>
    <row r="12" spans="1:8" x14ac:dyDescent="0.2">
      <c r="A12" s="150" t="s">
        <v>89</v>
      </c>
      <c r="B12" s="150"/>
      <c r="C12" s="150"/>
      <c r="D12" s="150"/>
      <c r="E12" s="150"/>
      <c r="F12" s="150"/>
      <c r="G12" s="150"/>
      <c r="H12" s="150"/>
    </row>
    <row r="13" spans="1:8" x14ac:dyDescent="0.2">
      <c r="A13" s="150" t="s">
        <v>312</v>
      </c>
      <c r="B13" s="150"/>
      <c r="C13" s="150">
        <v>128666</v>
      </c>
      <c r="D13" s="150">
        <v>143090</v>
      </c>
      <c r="E13" s="150">
        <v>158504</v>
      </c>
      <c r="F13" s="150">
        <v>195569</v>
      </c>
      <c r="G13" s="150">
        <v>183704</v>
      </c>
      <c r="H13" s="150">
        <v>183319</v>
      </c>
    </row>
    <row r="14" spans="1:8" x14ac:dyDescent="0.2">
      <c r="A14" s="150" t="s">
        <v>313</v>
      </c>
      <c r="B14" s="150"/>
      <c r="C14" s="152">
        <v>4.3999999999999997E-2</v>
      </c>
      <c r="D14" s="152">
        <v>4.9000000000000002E-2</v>
      </c>
      <c r="E14" s="150">
        <v>4.9000000000000004</v>
      </c>
      <c r="F14" s="150">
        <v>2.91</v>
      </c>
      <c r="G14" s="150">
        <v>2.58</v>
      </c>
      <c r="H14" s="150">
        <v>1.8</v>
      </c>
    </row>
    <row r="15" spans="1:8" x14ac:dyDescent="0.2">
      <c r="A15" s="150" t="s">
        <v>314</v>
      </c>
      <c r="B15" s="150"/>
      <c r="C15" s="152">
        <v>0.95599999999999996</v>
      </c>
      <c r="D15" s="152">
        <v>0.95099999999999996</v>
      </c>
      <c r="E15" s="150">
        <v>95.1</v>
      </c>
      <c r="F15" s="150">
        <v>97.09</v>
      </c>
      <c r="G15" s="150">
        <v>97.42</v>
      </c>
      <c r="H15" s="150">
        <v>98.2</v>
      </c>
    </row>
    <row r="16" spans="1:8" x14ac:dyDescent="0.2">
      <c r="A16" s="150"/>
      <c r="B16" s="150"/>
      <c r="C16" s="150"/>
      <c r="D16" s="150"/>
      <c r="E16" s="150"/>
      <c r="F16" s="150"/>
      <c r="G16" s="150"/>
      <c r="H16" s="150"/>
    </row>
    <row r="17" spans="1:8" x14ac:dyDescent="0.2">
      <c r="A17" s="150" t="s">
        <v>316</v>
      </c>
      <c r="B17" s="150"/>
      <c r="C17" s="150"/>
      <c r="D17" s="150"/>
      <c r="E17" s="150"/>
      <c r="F17" s="150"/>
      <c r="G17" s="150"/>
      <c r="H17" s="150"/>
    </row>
    <row r="18" spans="1:8" x14ac:dyDescent="0.2">
      <c r="A18" s="150" t="s">
        <v>312</v>
      </c>
      <c r="B18" s="150"/>
      <c r="C18" s="150">
        <v>78386</v>
      </c>
      <c r="D18" s="150">
        <v>78479</v>
      </c>
      <c r="E18" s="150">
        <v>80573</v>
      </c>
      <c r="F18" s="150">
        <v>85375</v>
      </c>
      <c r="G18" s="150">
        <v>88587</v>
      </c>
      <c r="H18" s="150">
        <v>86983</v>
      </c>
    </row>
    <row r="19" spans="1:8" x14ac:dyDescent="0.2">
      <c r="A19" s="150" t="s">
        <v>313</v>
      </c>
      <c r="B19" s="150"/>
      <c r="C19" s="152">
        <v>2.7E-2</v>
      </c>
      <c r="D19" s="152">
        <v>2.8000000000000001E-2</v>
      </c>
      <c r="E19" s="150">
        <v>2.7</v>
      </c>
      <c r="F19" s="150">
        <v>2.09</v>
      </c>
      <c r="G19" s="150">
        <v>2.4900000000000002</v>
      </c>
      <c r="H19" s="150">
        <v>2.99</v>
      </c>
    </row>
    <row r="20" spans="1:8" x14ac:dyDescent="0.2">
      <c r="A20" s="150" t="s">
        <v>314</v>
      </c>
      <c r="B20" s="150"/>
      <c r="C20" s="152">
        <v>0.97299999999999998</v>
      </c>
      <c r="D20" s="152">
        <v>0.97199999999999998</v>
      </c>
      <c r="E20" s="150">
        <v>97.3</v>
      </c>
      <c r="F20" s="150">
        <v>97.91</v>
      </c>
      <c r="G20" s="150">
        <v>97.51</v>
      </c>
      <c r="H20" s="150">
        <v>97.51</v>
      </c>
    </row>
    <row r="21" spans="1:8" x14ac:dyDescent="0.2">
      <c r="A21" s="150"/>
      <c r="B21" s="150"/>
      <c r="C21" s="150"/>
      <c r="D21" s="150"/>
      <c r="E21" s="150"/>
      <c r="F21" s="150"/>
      <c r="G21" s="150"/>
      <c r="H21" s="150"/>
    </row>
    <row r="22" spans="1:8" x14ac:dyDescent="0.2">
      <c r="A22" s="150" t="s">
        <v>317</v>
      </c>
      <c r="B22" s="150"/>
      <c r="C22" s="150"/>
      <c r="D22" s="150"/>
      <c r="E22" s="150"/>
      <c r="F22" s="150"/>
      <c r="G22" s="150"/>
      <c r="H22" s="150"/>
    </row>
    <row r="23" spans="1:8" x14ac:dyDescent="0.2">
      <c r="A23" s="150" t="s">
        <v>312</v>
      </c>
      <c r="B23" s="150"/>
      <c r="C23" s="150">
        <v>32419</v>
      </c>
      <c r="D23" s="150">
        <v>29125</v>
      </c>
      <c r="E23" s="150">
        <v>39465</v>
      </c>
      <c r="F23" s="150">
        <v>38472</v>
      </c>
      <c r="G23" s="150">
        <v>38214</v>
      </c>
      <c r="H23" s="150">
        <v>40866</v>
      </c>
    </row>
    <row r="24" spans="1:8" x14ac:dyDescent="0.2">
      <c r="A24" s="150" t="s">
        <v>313</v>
      </c>
      <c r="B24" s="150"/>
      <c r="C24" s="152">
        <v>0.03</v>
      </c>
      <c r="D24" s="152">
        <v>0.03</v>
      </c>
      <c r="E24" s="150">
        <v>1.3</v>
      </c>
      <c r="F24" s="150">
        <v>0.91</v>
      </c>
      <c r="G24" s="150">
        <v>1.4</v>
      </c>
      <c r="H24" s="150">
        <v>3.19</v>
      </c>
    </row>
    <row r="25" spans="1:8" x14ac:dyDescent="0.2">
      <c r="A25" s="150" t="s">
        <v>314</v>
      </c>
      <c r="B25" s="150"/>
      <c r="C25" s="152">
        <v>0.97</v>
      </c>
      <c r="D25" s="152">
        <v>0.97</v>
      </c>
      <c r="E25" s="150">
        <v>98.7</v>
      </c>
      <c r="F25" s="150">
        <v>99.09</v>
      </c>
      <c r="G25" s="150">
        <v>98.6</v>
      </c>
      <c r="H25" s="150">
        <v>98.6</v>
      </c>
    </row>
    <row r="26" spans="1:8" x14ac:dyDescent="0.2">
      <c r="A26" s="150"/>
      <c r="B26" s="150"/>
      <c r="C26" s="150"/>
      <c r="D26" s="150"/>
      <c r="E26" s="150"/>
      <c r="F26" s="150"/>
      <c r="G26" s="150"/>
      <c r="H26" s="150"/>
    </row>
    <row r="27" spans="1:8" x14ac:dyDescent="0.2">
      <c r="A27" s="150" t="s">
        <v>318</v>
      </c>
      <c r="B27" s="150"/>
      <c r="C27" s="150"/>
      <c r="D27" s="150"/>
      <c r="E27" s="150"/>
      <c r="F27" s="150"/>
      <c r="G27" s="150"/>
      <c r="H27" s="150"/>
    </row>
    <row r="28" spans="1:8" x14ac:dyDescent="0.2">
      <c r="A28" s="150" t="s">
        <v>312</v>
      </c>
      <c r="B28" s="150"/>
      <c r="C28" s="150"/>
      <c r="D28" s="150">
        <v>10410</v>
      </c>
      <c r="E28" s="150">
        <v>19631</v>
      </c>
      <c r="F28" s="150">
        <v>19632</v>
      </c>
      <c r="G28" s="150">
        <v>24946</v>
      </c>
      <c r="H28" s="150">
        <v>29571</v>
      </c>
    </row>
    <row r="29" spans="1:8" x14ac:dyDescent="0.2">
      <c r="A29" s="150" t="s">
        <v>313</v>
      </c>
      <c r="B29" s="150"/>
      <c r="C29" s="150"/>
      <c r="D29" s="152">
        <v>0</v>
      </c>
      <c r="E29" s="150">
        <v>4.7</v>
      </c>
      <c r="F29" s="150">
        <v>0</v>
      </c>
      <c r="G29" s="150">
        <v>0</v>
      </c>
      <c r="H29" s="150">
        <v>0</v>
      </c>
    </row>
    <row r="30" spans="1:8" x14ac:dyDescent="0.2">
      <c r="A30" s="150" t="s">
        <v>314</v>
      </c>
      <c r="B30" s="150"/>
      <c r="C30" s="150"/>
      <c r="D30" s="152">
        <v>1</v>
      </c>
      <c r="E30" s="150">
        <v>95.3</v>
      </c>
      <c r="F30" s="150">
        <v>100</v>
      </c>
      <c r="G30" s="150">
        <v>100</v>
      </c>
      <c r="H30" s="150">
        <v>100</v>
      </c>
    </row>
    <row r="31" spans="1:8" x14ac:dyDescent="0.2">
      <c r="A31" s="150"/>
      <c r="B31" s="150"/>
      <c r="C31" s="150"/>
      <c r="D31" s="150"/>
      <c r="E31" s="150"/>
      <c r="F31" s="150"/>
      <c r="G31" s="150"/>
      <c r="H31" s="150"/>
    </row>
    <row r="32" spans="1:8" x14ac:dyDescent="0.2">
      <c r="A32" s="150" t="s">
        <v>319</v>
      </c>
      <c r="B32" s="150"/>
      <c r="C32" s="150">
        <v>2014</v>
      </c>
      <c r="D32" s="150">
        <v>2015</v>
      </c>
      <c r="E32" s="150">
        <v>2016</v>
      </c>
      <c r="F32" s="150">
        <v>2017</v>
      </c>
      <c r="G32" s="150">
        <v>2018</v>
      </c>
      <c r="H32" s="150">
        <v>2019</v>
      </c>
    </row>
    <row r="33" spans="1:8" x14ac:dyDescent="0.2">
      <c r="A33" s="150" t="s">
        <v>320</v>
      </c>
      <c r="B33" s="150"/>
      <c r="C33" s="150">
        <f t="shared" ref="C33:H33" si="0">C3+C8+C13+C18+C23+C28</f>
        <v>276787</v>
      </c>
      <c r="D33" s="150">
        <f t="shared" si="0"/>
        <v>285162</v>
      </c>
      <c r="E33" s="150">
        <f t="shared" si="0"/>
        <v>330711</v>
      </c>
      <c r="F33" s="150">
        <f t="shared" si="0"/>
        <v>376684</v>
      </c>
      <c r="G33" s="150">
        <f t="shared" si="0"/>
        <v>369942</v>
      </c>
      <c r="H33" s="150">
        <f t="shared" si="0"/>
        <v>377129</v>
      </c>
    </row>
    <row r="34" spans="1:8" x14ac:dyDescent="0.2">
      <c r="A34" s="150" t="s">
        <v>313</v>
      </c>
      <c r="B34" s="150"/>
      <c r="C34" s="152">
        <f>(C4+C9+C14+C19+C24)/5</f>
        <v>2.8000000000000004E-2</v>
      </c>
      <c r="D34" s="152">
        <f t="shared" ref="D34:H35" si="1">(D4+D9+D14+D19+D24+D29)/6</f>
        <v>2.9166666666666671E-2</v>
      </c>
      <c r="E34" s="150">
        <f t="shared" si="1"/>
        <v>2.6</v>
      </c>
      <c r="F34" s="153">
        <f t="shared" si="1"/>
        <v>1.3083333333333333</v>
      </c>
      <c r="G34" s="153">
        <f t="shared" si="1"/>
        <v>1.5583333333333333</v>
      </c>
      <c r="H34" s="153">
        <f t="shared" si="1"/>
        <v>1.8416666666666668</v>
      </c>
    </row>
    <row r="35" spans="1:8" x14ac:dyDescent="0.2">
      <c r="A35" s="150" t="s">
        <v>321</v>
      </c>
      <c r="B35" s="150"/>
      <c r="C35" s="152">
        <f>(C5+C10+C15+C20+C25)/5</f>
        <v>0.97199999999999986</v>
      </c>
      <c r="D35" s="152">
        <f t="shared" si="1"/>
        <v>0.97083333333333333</v>
      </c>
      <c r="E35" s="150">
        <f t="shared" si="1"/>
        <v>97.399999999999991</v>
      </c>
      <c r="F35" s="153">
        <f t="shared" si="1"/>
        <v>98.691666666666663</v>
      </c>
      <c r="G35" s="153">
        <f t="shared" si="1"/>
        <v>98.441666666666663</v>
      </c>
      <c r="H35" s="153">
        <f t="shared" si="1"/>
        <v>98.644999999999996</v>
      </c>
    </row>
  </sheetData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xr2:uid="{A9FDFBDB-DC2A-4DF8-8CDA-183413671D7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Bezoekersaantallen!C33:C33</xm:f>
              <xm:sqref>C39</xm:sqref>
            </x14:sparkline>
            <x14:sparkline>
              <xm:f>Bezoekersaantallen!D33:D33</xm:f>
              <xm:sqref>D39</xm:sqref>
            </x14:sparkline>
            <x14:sparkline>
              <xm:f>Bezoekersaantallen!E33:E33</xm:f>
              <xm:sqref>E39</xm:sqref>
            </x14:sparkline>
            <x14:sparkline>
              <xm:f>Bezoekersaantallen!F33:F33</xm:f>
              <xm:sqref>F39</xm:sqref>
            </x14:sparkline>
            <x14:sparkline>
              <xm:f>Bezoekersaantallen!G33:G33</xm:f>
              <xm:sqref>G39</xm:sqref>
            </x14:sparkline>
          </x14:sparklines>
        </x14:sparklineGroup>
      </x14:sparklineGroup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5BEFD6-F767-4F53-8CA1-6DA8C3D90AFA}">
  <sheetPr>
    <tabColor rgb="FFC00000"/>
  </sheetPr>
  <dimension ref="A1:R130"/>
  <sheetViews>
    <sheetView workbookViewId="0">
      <selection activeCell="I72" sqref="I72"/>
    </sheetView>
  </sheetViews>
  <sheetFormatPr defaultRowHeight="14.25" x14ac:dyDescent="0.2"/>
  <cols>
    <col min="1" max="1" width="5.75" customWidth="1"/>
    <col min="2" max="3" width="9.375" style="114" customWidth="1"/>
    <col min="4" max="4" width="1.625" style="114" customWidth="1"/>
    <col min="5" max="6" width="8.375" bestFit="1" customWidth="1"/>
    <col min="7" max="7" width="3.5" customWidth="1"/>
    <col min="10" max="10" width="1.625" customWidth="1"/>
  </cols>
  <sheetData>
    <row r="1" spans="1:11" s="116" customFormat="1" ht="52.5" customHeight="1" x14ac:dyDescent="0.7">
      <c r="B1" s="117" t="s">
        <v>779</v>
      </c>
      <c r="C1" s="118"/>
      <c r="D1" s="118"/>
      <c r="G1" s="119"/>
      <c r="H1" s="120" t="s">
        <v>780</v>
      </c>
    </row>
    <row r="2" spans="1:11" ht="15" x14ac:dyDescent="0.25">
      <c r="A2" s="136" t="s">
        <v>781</v>
      </c>
      <c r="B2" s="137"/>
      <c r="C2" s="137"/>
      <c r="G2" s="121"/>
    </row>
    <row r="3" spans="1:11" x14ac:dyDescent="0.2">
      <c r="B3" s="218">
        <v>2018</v>
      </c>
      <c r="C3" s="218"/>
      <c r="D3" s="122"/>
      <c r="E3" s="218">
        <v>2017</v>
      </c>
      <c r="F3" s="218"/>
      <c r="G3" s="121"/>
      <c r="I3" s="123">
        <v>2018</v>
      </c>
      <c r="J3" s="122"/>
      <c r="K3" s="122">
        <v>2017</v>
      </c>
    </row>
    <row r="4" spans="1:11" x14ac:dyDescent="0.2">
      <c r="A4" s="124"/>
      <c r="B4" s="125" t="s">
        <v>782</v>
      </c>
      <c r="C4" s="125" t="s">
        <v>783</v>
      </c>
      <c r="D4" s="125"/>
      <c r="E4" s="125" t="s">
        <v>782</v>
      </c>
      <c r="F4" s="125" t="s">
        <v>783</v>
      </c>
      <c r="G4" s="121"/>
      <c r="H4" s="124"/>
      <c r="I4" s="125"/>
      <c r="J4" s="125"/>
      <c r="K4" s="125"/>
    </row>
    <row r="5" spans="1:11" x14ac:dyDescent="0.2">
      <c r="A5" s="126" t="s">
        <v>784</v>
      </c>
      <c r="B5" s="125">
        <v>5378</v>
      </c>
      <c r="C5" s="125">
        <v>2660.9</v>
      </c>
      <c r="D5" s="125"/>
      <c r="E5" s="127">
        <v>8157.7</v>
      </c>
      <c r="F5" s="127">
        <v>4298.6000000000004</v>
      </c>
      <c r="G5" s="121"/>
      <c r="H5" s="126" t="s">
        <v>784</v>
      </c>
      <c r="I5" s="127">
        <v>4951.5770000000002</v>
      </c>
      <c r="J5" s="128"/>
      <c r="K5" s="127">
        <v>6050.81</v>
      </c>
    </row>
    <row r="6" spans="1:11" x14ac:dyDescent="0.2">
      <c r="A6" s="126" t="s">
        <v>785</v>
      </c>
      <c r="B6" s="125">
        <v>5071</v>
      </c>
      <c r="C6" s="125">
        <v>2660.4</v>
      </c>
      <c r="D6" s="125"/>
      <c r="E6" s="127">
        <v>6255.4</v>
      </c>
      <c r="F6" s="127">
        <v>2762.7</v>
      </c>
      <c r="G6" s="121"/>
      <c r="H6" s="126" t="s">
        <v>785</v>
      </c>
      <c r="I6" s="127">
        <v>5446.2079999999996</v>
      </c>
      <c r="J6" s="128"/>
      <c r="K6" s="127">
        <v>4297.71</v>
      </c>
    </row>
    <row r="7" spans="1:11" x14ac:dyDescent="0.2">
      <c r="A7" s="126" t="s">
        <v>786</v>
      </c>
      <c r="B7" s="125">
        <v>5154.7</v>
      </c>
      <c r="C7" s="125">
        <v>2647.1</v>
      </c>
      <c r="D7" s="125"/>
      <c r="E7" s="127">
        <v>7157.3</v>
      </c>
      <c r="F7" s="127">
        <v>2899.6</v>
      </c>
      <c r="G7" s="121"/>
      <c r="H7" s="126" t="s">
        <v>786</v>
      </c>
      <c r="I7" s="127">
        <v>4739.3209999999999</v>
      </c>
      <c r="J7" s="128"/>
      <c r="K7" s="127">
        <v>2897.22</v>
      </c>
    </row>
    <row r="8" spans="1:11" x14ac:dyDescent="0.2">
      <c r="A8" s="126" t="s">
        <v>787</v>
      </c>
      <c r="B8" s="125">
        <v>4428.6000000000004</v>
      </c>
      <c r="C8" s="125">
        <v>2577.8000000000002</v>
      </c>
      <c r="D8" s="125"/>
      <c r="E8" s="127">
        <v>5502.2</v>
      </c>
      <c r="F8" s="127">
        <v>3004.1</v>
      </c>
      <c r="G8" s="121"/>
      <c r="H8" s="126" t="s">
        <v>787</v>
      </c>
      <c r="I8" s="127">
        <v>1313.992</v>
      </c>
      <c r="J8" s="128"/>
      <c r="K8" s="127">
        <v>2053.3000000000002</v>
      </c>
    </row>
    <row r="9" spans="1:11" x14ac:dyDescent="0.2">
      <c r="A9" s="126" t="s">
        <v>788</v>
      </c>
      <c r="B9" s="125">
        <v>4330.3</v>
      </c>
      <c r="C9" s="125">
        <v>2406.5</v>
      </c>
      <c r="D9" s="125"/>
      <c r="E9" s="127">
        <v>6405.6</v>
      </c>
      <c r="F9" s="127">
        <v>2656.8</v>
      </c>
      <c r="G9" s="121"/>
      <c r="H9" s="126" t="s">
        <v>788</v>
      </c>
      <c r="I9" s="127">
        <v>385.25599999999997</v>
      </c>
      <c r="J9" s="128"/>
      <c r="K9" s="127">
        <v>749.69</v>
      </c>
    </row>
    <row r="10" spans="1:11" x14ac:dyDescent="0.2">
      <c r="A10" s="126" t="s">
        <v>789</v>
      </c>
      <c r="B10" s="125">
        <v>4324</v>
      </c>
      <c r="C10" s="125">
        <v>2172.3000000000002</v>
      </c>
      <c r="D10" s="125"/>
      <c r="E10" s="127">
        <v>6153.3</v>
      </c>
      <c r="F10" s="127">
        <v>2474.9</v>
      </c>
      <c r="G10" s="121"/>
      <c r="H10" s="126" t="s">
        <v>789</v>
      </c>
      <c r="I10" s="127">
        <v>85.085999999999999</v>
      </c>
      <c r="J10" s="128"/>
      <c r="K10" s="127">
        <v>49.7</v>
      </c>
    </row>
    <row r="11" spans="1:11" x14ac:dyDescent="0.2">
      <c r="A11" s="126" t="s">
        <v>790</v>
      </c>
      <c r="B11" s="125">
        <v>4062.9</v>
      </c>
      <c r="C11" s="125">
        <v>1922.6</v>
      </c>
      <c r="D11" s="125"/>
      <c r="E11" s="127">
        <v>5305.4</v>
      </c>
      <c r="F11" s="127">
        <v>2433.4</v>
      </c>
      <c r="G11" s="121"/>
      <c r="H11" s="126" t="s">
        <v>790</v>
      </c>
      <c r="I11" s="127">
        <v>19.712</v>
      </c>
      <c r="J11" s="128"/>
      <c r="K11" s="127">
        <v>37.4</v>
      </c>
    </row>
    <row r="12" spans="1:11" x14ac:dyDescent="0.2">
      <c r="A12" s="126" t="s">
        <v>791</v>
      </c>
      <c r="B12" s="125">
        <v>3065.6</v>
      </c>
      <c r="C12" s="125">
        <v>2024.7</v>
      </c>
      <c r="D12" s="125"/>
      <c r="E12" s="127">
        <v>3702.2</v>
      </c>
      <c r="F12" s="127">
        <v>2081.4</v>
      </c>
      <c r="G12" s="121"/>
      <c r="H12" s="126" t="s">
        <v>791</v>
      </c>
      <c r="I12" s="127">
        <v>27.515999999999998</v>
      </c>
      <c r="J12" s="128"/>
      <c r="K12" s="127">
        <v>43.7</v>
      </c>
    </row>
    <row r="13" spans="1:11" x14ac:dyDescent="0.2">
      <c r="A13" s="126" t="s">
        <v>792</v>
      </c>
      <c r="B13" s="125">
        <v>4000.3</v>
      </c>
      <c r="C13" s="125">
        <v>2395.3000000000002</v>
      </c>
      <c r="D13" s="125"/>
      <c r="E13" s="127">
        <v>5185.7</v>
      </c>
      <c r="F13" s="127">
        <v>2461.4</v>
      </c>
      <c r="G13" s="121"/>
      <c r="H13" s="126" t="s">
        <v>792</v>
      </c>
      <c r="I13" s="127">
        <v>298.53399999999999</v>
      </c>
      <c r="J13" s="128"/>
      <c r="K13" s="127">
        <v>76.599999999999994</v>
      </c>
    </row>
    <row r="14" spans="1:11" x14ac:dyDescent="0.2">
      <c r="A14" s="126" t="s">
        <v>793</v>
      </c>
      <c r="B14" s="125">
        <v>5653.5</v>
      </c>
      <c r="C14" s="125">
        <v>2947.6</v>
      </c>
      <c r="D14" s="125"/>
      <c r="E14" s="127">
        <v>5490.4</v>
      </c>
      <c r="F14" s="127">
        <v>2784.2</v>
      </c>
      <c r="G14" s="121"/>
      <c r="H14" s="126" t="s">
        <v>793</v>
      </c>
      <c r="I14" s="127">
        <v>1309.3689999999999</v>
      </c>
      <c r="J14" s="128"/>
      <c r="K14" s="127">
        <v>1331.39</v>
      </c>
    </row>
    <row r="15" spans="1:11" x14ac:dyDescent="0.2">
      <c r="A15" s="126" t="s">
        <v>794</v>
      </c>
      <c r="B15" s="125">
        <v>7172.8</v>
      </c>
      <c r="C15" s="125">
        <v>3626.7</v>
      </c>
      <c r="D15" s="125"/>
      <c r="E15" s="127">
        <v>6389.6</v>
      </c>
      <c r="F15" s="127">
        <v>2981.7</v>
      </c>
      <c r="G15" s="121"/>
      <c r="H15" s="126" t="s">
        <v>794</v>
      </c>
      <c r="I15" s="127">
        <v>3568.5740000000001</v>
      </c>
      <c r="J15" s="128"/>
      <c r="K15" s="127">
        <v>3333.17</v>
      </c>
    </row>
    <row r="16" spans="1:11" x14ac:dyDescent="0.2">
      <c r="A16" s="126" t="s">
        <v>795</v>
      </c>
      <c r="B16" s="125">
        <v>4492.3999999999996</v>
      </c>
      <c r="C16" s="125">
        <v>3440.5</v>
      </c>
      <c r="D16" s="125"/>
      <c r="E16" s="127">
        <v>4768</v>
      </c>
      <c r="F16" s="127">
        <v>2988</v>
      </c>
      <c r="G16" s="121"/>
      <c r="H16" s="126" t="s">
        <v>795</v>
      </c>
      <c r="I16" s="127">
        <v>4164.2070000000003</v>
      </c>
      <c r="J16" s="128"/>
      <c r="K16" s="127">
        <v>4709.08</v>
      </c>
    </row>
    <row r="17" spans="1:11" x14ac:dyDescent="0.2">
      <c r="B17" s="114">
        <f>SUM(B5:B16)</f>
        <v>57134.100000000013</v>
      </c>
      <c r="C17" s="114">
        <f>SUM(C5:C16)</f>
        <v>31482.399999999998</v>
      </c>
      <c r="E17" s="114">
        <f>SUM(E5:E16)</f>
        <v>70472.800000000003</v>
      </c>
      <c r="F17" s="114">
        <f>SUM(F5:F16)</f>
        <v>33826.800000000003</v>
      </c>
      <c r="G17" s="121"/>
      <c r="I17" s="114"/>
      <c r="J17" s="114"/>
      <c r="K17" s="114"/>
    </row>
    <row r="18" spans="1:11" ht="15.75" x14ac:dyDescent="0.2">
      <c r="A18" s="72" t="s">
        <v>319</v>
      </c>
      <c r="B18" s="219">
        <f>SUM(B17:C17)</f>
        <v>88616.500000000015</v>
      </c>
      <c r="C18" s="219"/>
      <c r="D18" s="115"/>
      <c r="E18" s="219">
        <f>SUM(E17:F17)</f>
        <v>104299.6</v>
      </c>
      <c r="F18" s="219"/>
      <c r="G18" s="121"/>
      <c r="H18" s="72" t="s">
        <v>319</v>
      </c>
      <c r="I18" s="129">
        <f>SUM(I5:J16)</f>
        <v>26309.351999999999</v>
      </c>
      <c r="J18" s="115"/>
      <c r="K18" s="130">
        <f>SUM(K5:K16)</f>
        <v>25629.770000000004</v>
      </c>
    </row>
    <row r="19" spans="1:11" x14ac:dyDescent="0.2">
      <c r="G19" s="121"/>
    </row>
    <row r="20" spans="1:11" ht="15" x14ac:dyDescent="0.25">
      <c r="A20" s="136" t="s">
        <v>796</v>
      </c>
      <c r="B20" s="137"/>
      <c r="C20" s="137"/>
      <c r="D20" s="136"/>
      <c r="E20" s="137"/>
      <c r="G20" s="121"/>
    </row>
    <row r="21" spans="1:11" x14ac:dyDescent="0.2">
      <c r="B21" s="218">
        <v>2018</v>
      </c>
      <c r="C21" s="218"/>
      <c r="D21" s="122"/>
      <c r="E21" s="218">
        <v>2017</v>
      </c>
      <c r="F21" s="218"/>
      <c r="G21" s="121"/>
      <c r="I21" s="123">
        <v>2018</v>
      </c>
      <c r="J21" s="122"/>
      <c r="K21" s="122">
        <v>2017</v>
      </c>
    </row>
    <row r="22" spans="1:11" x14ac:dyDescent="0.2">
      <c r="A22" s="124"/>
      <c r="B22" s="125" t="s">
        <v>782</v>
      </c>
      <c r="C22" s="125" t="s">
        <v>783</v>
      </c>
      <c r="D22" s="125"/>
      <c r="E22" s="125" t="s">
        <v>782</v>
      </c>
      <c r="F22" s="125" t="s">
        <v>783</v>
      </c>
      <c r="G22" s="121"/>
      <c r="H22" s="124"/>
      <c r="I22" s="125"/>
      <c r="J22" s="125"/>
      <c r="K22" s="125"/>
    </row>
    <row r="23" spans="1:11" x14ac:dyDescent="0.2">
      <c r="A23" s="126" t="s">
        <v>784</v>
      </c>
      <c r="B23" s="131">
        <v>1932.25</v>
      </c>
      <c r="C23" s="131">
        <v>857.43</v>
      </c>
      <c r="D23" s="125"/>
      <c r="E23" s="131">
        <v>2820.84</v>
      </c>
      <c r="F23" s="131">
        <v>1277.3699999999999</v>
      </c>
      <c r="G23" s="121"/>
      <c r="H23" s="126" t="s">
        <v>784</v>
      </c>
      <c r="I23" s="131">
        <v>958.43</v>
      </c>
      <c r="J23" s="125"/>
      <c r="K23" s="131">
        <v>1721.69</v>
      </c>
    </row>
    <row r="24" spans="1:11" x14ac:dyDescent="0.2">
      <c r="A24" s="126" t="s">
        <v>785</v>
      </c>
      <c r="B24" s="131">
        <v>2650.29</v>
      </c>
      <c r="C24" s="131">
        <v>1170.78</v>
      </c>
      <c r="D24" s="125"/>
      <c r="E24" s="131">
        <v>2395.71</v>
      </c>
      <c r="F24" s="131">
        <v>1001.08</v>
      </c>
      <c r="G24" s="121"/>
      <c r="H24" s="126" t="s">
        <v>785</v>
      </c>
      <c r="I24" s="131">
        <v>1617.78</v>
      </c>
      <c r="J24" s="125"/>
      <c r="K24" s="131">
        <v>1140.51</v>
      </c>
    </row>
    <row r="25" spans="1:11" x14ac:dyDescent="0.2">
      <c r="A25" s="126" t="s">
        <v>786</v>
      </c>
      <c r="B25" s="131">
        <v>2906.7080000000001</v>
      </c>
      <c r="C25" s="131">
        <v>1213.6559999999999</v>
      </c>
      <c r="D25" s="125"/>
      <c r="E25" s="131">
        <v>3127.62</v>
      </c>
      <c r="F25" s="131">
        <v>1068.6199999999999</v>
      </c>
      <c r="G25" s="121"/>
      <c r="H25" s="126" t="s">
        <v>786</v>
      </c>
      <c r="I25" s="131">
        <v>1235.33</v>
      </c>
      <c r="J25" s="125"/>
      <c r="K25" s="131">
        <v>686.4</v>
      </c>
    </row>
    <row r="26" spans="1:11" x14ac:dyDescent="0.2">
      <c r="A26" s="126" t="s">
        <v>787</v>
      </c>
      <c r="B26" s="131">
        <v>2301.4259999999999</v>
      </c>
      <c r="C26" s="131">
        <v>1154.1969999999999</v>
      </c>
      <c r="D26" s="125"/>
      <c r="E26" s="131">
        <v>2209.5500000000002</v>
      </c>
      <c r="F26" s="131">
        <v>1319.55</v>
      </c>
      <c r="G26" s="121"/>
      <c r="H26" s="126" t="s">
        <v>787</v>
      </c>
      <c r="I26" s="131">
        <v>315.48</v>
      </c>
      <c r="J26" s="125"/>
      <c r="K26" s="131">
        <v>521.12</v>
      </c>
    </row>
    <row r="27" spans="1:11" x14ac:dyDescent="0.2">
      <c r="A27" s="126" t="s">
        <v>788</v>
      </c>
      <c r="B27" s="131">
        <v>2531.886</v>
      </c>
      <c r="C27" s="131">
        <v>1263.0309999999999</v>
      </c>
      <c r="D27" s="125"/>
      <c r="E27" s="131">
        <v>2539.7600000000002</v>
      </c>
      <c r="F27" s="131">
        <v>1082.23</v>
      </c>
      <c r="G27" s="121"/>
      <c r="H27" s="126" t="s">
        <v>788</v>
      </c>
      <c r="I27" s="131">
        <v>120.52</v>
      </c>
      <c r="J27" s="125"/>
      <c r="K27" s="131">
        <v>188.97</v>
      </c>
    </row>
    <row r="28" spans="1:11" x14ac:dyDescent="0.2">
      <c r="A28" s="126" t="s">
        <v>789</v>
      </c>
      <c r="B28" s="131">
        <v>2662.058</v>
      </c>
      <c r="C28" s="131">
        <v>1130.979</v>
      </c>
      <c r="D28" s="125"/>
      <c r="E28" s="131">
        <v>2651.94</v>
      </c>
      <c r="F28" s="131">
        <v>1161.2</v>
      </c>
      <c r="G28" s="121"/>
      <c r="H28" s="126" t="s">
        <v>789</v>
      </c>
      <c r="I28" s="131">
        <v>67.67</v>
      </c>
      <c r="J28" s="125"/>
      <c r="K28" s="131">
        <v>41.86</v>
      </c>
    </row>
    <row r="29" spans="1:11" x14ac:dyDescent="0.2">
      <c r="A29" s="126" t="s">
        <v>790</v>
      </c>
      <c r="B29" s="131">
        <v>2795.1329999999998</v>
      </c>
      <c r="C29" s="131">
        <v>1326.2739999999999</v>
      </c>
      <c r="D29" s="125"/>
      <c r="E29" s="131">
        <v>2315.56</v>
      </c>
      <c r="F29" s="131">
        <v>1258.9100000000001</v>
      </c>
      <c r="G29" s="121"/>
      <c r="H29" s="126" t="s">
        <v>790</v>
      </c>
      <c r="I29" s="131">
        <v>29.61</v>
      </c>
      <c r="J29" s="125"/>
      <c r="K29" s="131">
        <v>28.73</v>
      </c>
    </row>
    <row r="30" spans="1:11" x14ac:dyDescent="0.2">
      <c r="A30" s="126" t="s">
        <v>791</v>
      </c>
      <c r="B30" s="131">
        <v>2192.221</v>
      </c>
      <c r="C30" s="131">
        <v>1149.124</v>
      </c>
      <c r="D30" s="125"/>
      <c r="E30" s="131">
        <v>2287.31</v>
      </c>
      <c r="F30" s="131">
        <v>984.54</v>
      </c>
      <c r="G30" s="121"/>
      <c r="H30" s="126" t="s">
        <v>791</v>
      </c>
      <c r="I30" s="131">
        <v>32.700000000000003</v>
      </c>
      <c r="J30" s="125"/>
      <c r="K30" s="131">
        <v>39.880000000000003</v>
      </c>
    </row>
    <row r="31" spans="1:11" x14ac:dyDescent="0.2">
      <c r="A31" s="126" t="s">
        <v>792</v>
      </c>
      <c r="B31" s="131">
        <v>2306.1790000000001</v>
      </c>
      <c r="C31" s="131">
        <v>1059.0250000000001</v>
      </c>
      <c r="D31" s="125"/>
      <c r="E31" s="131">
        <v>2368.14</v>
      </c>
      <c r="F31" s="131">
        <v>917.51</v>
      </c>
      <c r="G31" s="121"/>
      <c r="H31" s="126" t="s">
        <v>792</v>
      </c>
      <c r="I31" s="131">
        <v>133.96</v>
      </c>
      <c r="J31" s="125"/>
      <c r="K31" s="131">
        <v>167.32</v>
      </c>
    </row>
    <row r="32" spans="1:11" x14ac:dyDescent="0.2">
      <c r="A32" s="126" t="s">
        <v>793</v>
      </c>
      <c r="B32" s="131">
        <v>2768.491</v>
      </c>
      <c r="C32" s="131">
        <v>1117.0989999999999</v>
      </c>
      <c r="D32" s="125"/>
      <c r="E32" s="131">
        <v>2745.27</v>
      </c>
      <c r="F32" s="131">
        <v>1110.75</v>
      </c>
      <c r="G32" s="121"/>
      <c r="H32" s="126" t="s">
        <v>793</v>
      </c>
      <c r="I32" s="131">
        <v>442.12</v>
      </c>
      <c r="J32" s="125"/>
      <c r="K32" s="131">
        <v>330.6</v>
      </c>
    </row>
    <row r="33" spans="1:11" x14ac:dyDescent="0.2">
      <c r="A33" s="126" t="s">
        <v>794</v>
      </c>
      <c r="B33" s="131">
        <v>2487.7750000000001</v>
      </c>
      <c r="C33" s="131">
        <v>1075.925</v>
      </c>
      <c r="D33" s="125"/>
      <c r="E33" s="131">
        <v>2685.22</v>
      </c>
      <c r="F33" s="131">
        <v>1110.1400000000001</v>
      </c>
      <c r="G33" s="121"/>
      <c r="H33" s="126" t="s">
        <v>794</v>
      </c>
      <c r="I33" s="131">
        <v>1036.32</v>
      </c>
      <c r="J33" s="125"/>
      <c r="K33" s="131">
        <v>915.62</v>
      </c>
    </row>
    <row r="34" spans="1:11" x14ac:dyDescent="0.2">
      <c r="A34" s="126" t="s">
        <v>795</v>
      </c>
      <c r="B34" s="131">
        <v>1767.8009999999999</v>
      </c>
      <c r="C34" s="131">
        <v>1276.192</v>
      </c>
      <c r="D34" s="125"/>
      <c r="E34" s="131">
        <v>1805.54</v>
      </c>
      <c r="F34" s="131">
        <v>1273.79</v>
      </c>
      <c r="G34" s="121"/>
      <c r="H34" s="126" t="s">
        <v>795</v>
      </c>
      <c r="I34" s="131">
        <v>1088.01</v>
      </c>
      <c r="J34" s="125"/>
      <c r="K34" s="131">
        <v>1137.29</v>
      </c>
    </row>
    <row r="35" spans="1:11" x14ac:dyDescent="0.2">
      <c r="B35" s="114">
        <f>SUM(B23:B34)</f>
        <v>29302.218000000001</v>
      </c>
      <c r="C35" s="114">
        <f>SUM(C23:C34)</f>
        <v>13793.712</v>
      </c>
      <c r="E35" s="114">
        <f>SUM(E23:E34)</f>
        <v>29952.460000000006</v>
      </c>
      <c r="F35" s="114">
        <f>SUM(F23:F34)</f>
        <v>13565.689999999999</v>
      </c>
      <c r="G35" s="121"/>
      <c r="I35" s="114"/>
      <c r="J35" s="114"/>
      <c r="K35" s="114"/>
    </row>
    <row r="36" spans="1:11" ht="15.75" x14ac:dyDescent="0.2">
      <c r="A36" s="72" t="s">
        <v>319</v>
      </c>
      <c r="B36" s="219">
        <f>SUM(B35:C35)</f>
        <v>43095.93</v>
      </c>
      <c r="C36" s="219"/>
      <c r="D36" s="115"/>
      <c r="E36" s="219">
        <f>SUM(E35:F35)</f>
        <v>43518.150000000009</v>
      </c>
      <c r="F36" s="219"/>
      <c r="G36" s="121"/>
      <c r="H36" s="72" t="s">
        <v>319</v>
      </c>
      <c r="I36" s="129">
        <f>SUM(I23:J34)</f>
        <v>7077.93</v>
      </c>
      <c r="J36" s="115"/>
      <c r="K36" s="130">
        <f>SUM(K23:K34)</f>
        <v>6919.9899999999989</v>
      </c>
    </row>
    <row r="37" spans="1:11" x14ac:dyDescent="0.2">
      <c r="G37" s="121"/>
    </row>
    <row r="38" spans="1:11" ht="15" x14ac:dyDescent="0.25">
      <c r="A38" s="136" t="s">
        <v>797</v>
      </c>
      <c r="B38" s="137"/>
      <c r="C38" s="137"/>
      <c r="D38" s="136"/>
      <c r="E38" s="137"/>
      <c r="G38" s="121"/>
    </row>
    <row r="39" spans="1:11" x14ac:dyDescent="0.2">
      <c r="B39" s="218">
        <v>2018</v>
      </c>
      <c r="C39" s="218"/>
      <c r="D39" s="122"/>
      <c r="E39" s="218">
        <v>2017</v>
      </c>
      <c r="F39" s="218"/>
      <c r="G39" s="121"/>
      <c r="I39" s="123">
        <v>2018</v>
      </c>
      <c r="J39" s="122"/>
      <c r="K39" s="122">
        <v>2017</v>
      </c>
    </row>
    <row r="40" spans="1:11" x14ac:dyDescent="0.2">
      <c r="A40" s="124"/>
      <c r="B40" s="125" t="s">
        <v>782</v>
      </c>
      <c r="C40" s="125" t="s">
        <v>783</v>
      </c>
      <c r="D40" s="125"/>
      <c r="E40" s="125" t="s">
        <v>782</v>
      </c>
      <c r="F40" s="125" t="s">
        <v>783</v>
      </c>
      <c r="G40" s="121"/>
      <c r="H40" s="124"/>
      <c r="I40" s="125"/>
      <c r="J40" s="125"/>
      <c r="K40" s="125"/>
    </row>
    <row r="41" spans="1:11" x14ac:dyDescent="0.2">
      <c r="A41" s="126" t="s">
        <v>784</v>
      </c>
      <c r="B41" s="131">
        <v>251.38</v>
      </c>
      <c r="C41" s="131">
        <v>111.85</v>
      </c>
      <c r="D41" s="125"/>
      <c r="E41" s="131">
        <v>236.46</v>
      </c>
      <c r="F41" s="131">
        <v>129.87</v>
      </c>
      <c r="G41" s="132"/>
      <c r="H41" s="133" t="s">
        <v>784</v>
      </c>
      <c r="I41" s="131">
        <v>192.69</v>
      </c>
      <c r="J41" s="125"/>
      <c r="K41" s="131">
        <v>291.47000000000003</v>
      </c>
    </row>
    <row r="42" spans="1:11" x14ac:dyDescent="0.2">
      <c r="A42" s="126" t="s">
        <v>785</v>
      </c>
      <c r="B42" s="131">
        <v>255.28</v>
      </c>
      <c r="C42" s="131">
        <v>127.85</v>
      </c>
      <c r="D42" s="125"/>
      <c r="E42" s="131">
        <v>217.79</v>
      </c>
      <c r="F42" s="131">
        <v>122.21</v>
      </c>
      <c r="G42" s="132"/>
      <c r="H42" s="133" t="s">
        <v>785</v>
      </c>
      <c r="I42" s="131">
        <v>257.49</v>
      </c>
      <c r="J42" s="125"/>
      <c r="K42" s="131">
        <v>206.07</v>
      </c>
    </row>
    <row r="43" spans="1:11" x14ac:dyDescent="0.2">
      <c r="A43" s="126" t="s">
        <v>786</v>
      </c>
      <c r="B43" s="131">
        <v>270.73</v>
      </c>
      <c r="C43" s="131">
        <v>135.708</v>
      </c>
      <c r="D43" s="125"/>
      <c r="E43" s="131">
        <v>216.75</v>
      </c>
      <c r="F43" s="131">
        <v>120.35</v>
      </c>
      <c r="G43" s="132"/>
      <c r="H43" s="133" t="s">
        <v>786</v>
      </c>
      <c r="I43" s="131">
        <v>190.89400000000001</v>
      </c>
      <c r="J43" s="125"/>
      <c r="K43" s="131">
        <v>122.8</v>
      </c>
    </row>
    <row r="44" spans="1:11" x14ac:dyDescent="0.2">
      <c r="A44" s="126" t="s">
        <v>787</v>
      </c>
      <c r="B44" s="131">
        <v>234.90199999999999</v>
      </c>
      <c r="C44" s="131">
        <v>112.473</v>
      </c>
      <c r="D44" s="125"/>
      <c r="E44" s="131">
        <v>164.96</v>
      </c>
      <c r="F44" s="131">
        <v>133.44</v>
      </c>
      <c r="G44" s="132"/>
      <c r="H44" s="133" t="s">
        <v>787</v>
      </c>
      <c r="I44" s="131">
        <v>41.033999999999999</v>
      </c>
      <c r="J44" s="125"/>
      <c r="K44" s="131">
        <v>111.75</v>
      </c>
    </row>
    <row r="45" spans="1:11" x14ac:dyDescent="0.2">
      <c r="A45" s="126" t="s">
        <v>788</v>
      </c>
      <c r="B45" s="131">
        <v>289.67099999999999</v>
      </c>
      <c r="C45" s="131">
        <v>127.184</v>
      </c>
      <c r="D45" s="125"/>
      <c r="E45" s="131">
        <v>193.8</v>
      </c>
      <c r="F45" s="131">
        <v>111.71</v>
      </c>
      <c r="G45" s="132"/>
      <c r="H45" s="133" t="s">
        <v>788</v>
      </c>
      <c r="I45" s="131">
        <v>3.44</v>
      </c>
      <c r="J45" s="125"/>
      <c r="K45" s="131">
        <v>23.53</v>
      </c>
    </row>
    <row r="46" spans="1:11" x14ac:dyDescent="0.2">
      <c r="A46" s="126" t="s">
        <v>789</v>
      </c>
      <c r="B46" s="131">
        <v>272.04199999999997</v>
      </c>
      <c r="C46" s="131">
        <v>107.33199999999999</v>
      </c>
      <c r="D46" s="125"/>
      <c r="E46" s="131">
        <v>203.61</v>
      </c>
      <c r="F46" s="131">
        <v>152.21</v>
      </c>
      <c r="G46" s="132"/>
      <c r="H46" s="133" t="s">
        <v>789</v>
      </c>
      <c r="I46" s="131">
        <v>0</v>
      </c>
      <c r="J46" s="125"/>
      <c r="K46" s="131">
        <v>13.22</v>
      </c>
    </row>
    <row r="47" spans="1:11" x14ac:dyDescent="0.2">
      <c r="A47" s="126" t="s">
        <v>790</v>
      </c>
      <c r="B47" s="131">
        <v>313.71600000000001</v>
      </c>
      <c r="C47" s="131">
        <v>113.405</v>
      </c>
      <c r="D47" s="125"/>
      <c r="E47" s="131">
        <v>199.72</v>
      </c>
      <c r="F47" s="131">
        <v>116.39</v>
      </c>
      <c r="G47" s="132"/>
      <c r="H47" s="133" t="s">
        <v>790</v>
      </c>
      <c r="I47" s="131">
        <v>0</v>
      </c>
      <c r="J47" s="125"/>
      <c r="K47" s="131">
        <v>0.76</v>
      </c>
    </row>
    <row r="48" spans="1:11" x14ac:dyDescent="0.2">
      <c r="A48" s="126" t="s">
        <v>791</v>
      </c>
      <c r="B48" s="131">
        <v>240.46899999999999</v>
      </c>
      <c r="C48" s="131">
        <v>105.021</v>
      </c>
      <c r="D48" s="125"/>
      <c r="E48" s="131">
        <v>182.34</v>
      </c>
      <c r="F48" s="131">
        <v>110.71</v>
      </c>
      <c r="G48" s="132"/>
      <c r="H48" s="133" t="s">
        <v>791</v>
      </c>
      <c r="I48" s="131">
        <v>0</v>
      </c>
      <c r="J48" s="125"/>
      <c r="K48" s="131">
        <v>1.43</v>
      </c>
    </row>
    <row r="49" spans="1:11" x14ac:dyDescent="0.2">
      <c r="A49" s="126" t="s">
        <v>792</v>
      </c>
      <c r="B49" s="131">
        <v>226.62899999999999</v>
      </c>
      <c r="C49" s="131">
        <v>105.43300000000001</v>
      </c>
      <c r="D49" s="125"/>
      <c r="E49" s="131">
        <v>183.15</v>
      </c>
      <c r="F49" s="131">
        <v>107.47</v>
      </c>
      <c r="G49" s="132"/>
      <c r="H49" s="133" t="s">
        <v>792</v>
      </c>
      <c r="I49" s="131">
        <v>23.501000000000001</v>
      </c>
      <c r="J49" s="125"/>
      <c r="K49" s="131">
        <v>23.1</v>
      </c>
    </row>
    <row r="50" spans="1:11" x14ac:dyDescent="0.2">
      <c r="A50" s="126" t="s">
        <v>793</v>
      </c>
      <c r="B50" s="131">
        <v>284.22800000000001</v>
      </c>
      <c r="C50" s="131">
        <v>120.215</v>
      </c>
      <c r="D50" s="125"/>
      <c r="E50" s="131">
        <v>257.52999999999997</v>
      </c>
      <c r="F50" s="131">
        <v>123.48</v>
      </c>
      <c r="G50" s="132"/>
      <c r="H50" s="133" t="s">
        <v>793</v>
      </c>
      <c r="I50" s="131">
        <v>100.80800000000001</v>
      </c>
      <c r="J50" s="125"/>
      <c r="K50" s="131">
        <v>106.73</v>
      </c>
    </row>
    <row r="51" spans="1:11" x14ac:dyDescent="0.2">
      <c r="A51" s="126" t="s">
        <v>794</v>
      </c>
      <c r="B51" s="131">
        <v>268.00799999999998</v>
      </c>
      <c r="C51" s="131">
        <v>124.77</v>
      </c>
      <c r="D51" s="125"/>
      <c r="E51" s="131">
        <v>293.04000000000002</v>
      </c>
      <c r="F51" s="131">
        <v>126.53</v>
      </c>
      <c r="G51" s="132"/>
      <c r="H51" s="133" t="s">
        <v>794</v>
      </c>
      <c r="I51" s="131">
        <v>226.90199999999999</v>
      </c>
      <c r="J51" s="125"/>
      <c r="K51" s="131">
        <v>187.18</v>
      </c>
    </row>
    <row r="52" spans="1:11" x14ac:dyDescent="0.2">
      <c r="A52" s="126" t="s">
        <v>795</v>
      </c>
      <c r="B52" s="131">
        <v>177.29400000000001</v>
      </c>
      <c r="C52" s="131">
        <v>140.29900000000001</v>
      </c>
      <c r="D52" s="125"/>
      <c r="E52" s="131">
        <v>181.53</v>
      </c>
      <c r="F52" s="131">
        <v>136.09</v>
      </c>
      <c r="G52" s="132"/>
      <c r="H52" s="133" t="s">
        <v>795</v>
      </c>
      <c r="I52" s="131">
        <v>271.88400000000001</v>
      </c>
      <c r="J52" s="125"/>
      <c r="K52" s="131">
        <v>237.27</v>
      </c>
    </row>
    <row r="53" spans="1:11" x14ac:dyDescent="0.2">
      <c r="B53" s="114">
        <f>SUM(B41:B52)</f>
        <v>3084.3489999999997</v>
      </c>
      <c r="C53" s="114">
        <f>SUM(C41:C52)</f>
        <v>1431.54</v>
      </c>
      <c r="E53" s="114">
        <f>SUM(E41:E52)</f>
        <v>2530.6799999999998</v>
      </c>
      <c r="F53" s="114">
        <f>SUM(F41:F52)</f>
        <v>1490.4599999999998</v>
      </c>
      <c r="G53" s="121"/>
      <c r="I53" s="114"/>
      <c r="J53" s="114"/>
      <c r="K53" s="114"/>
    </row>
    <row r="54" spans="1:11" ht="15.75" x14ac:dyDescent="0.2">
      <c r="A54" s="72" t="s">
        <v>319</v>
      </c>
      <c r="B54" s="219">
        <f>SUM(B53:C53)</f>
        <v>4515.8889999999992</v>
      </c>
      <c r="C54" s="219"/>
      <c r="D54" s="115"/>
      <c r="E54" s="219">
        <f>SUM(E53:F53)</f>
        <v>4021.1399999999994</v>
      </c>
      <c r="F54" s="219"/>
      <c r="G54" s="121"/>
      <c r="H54" s="72" t="s">
        <v>319</v>
      </c>
      <c r="I54" s="129">
        <f>SUM(I41:J52)</f>
        <v>1308.643</v>
      </c>
      <c r="J54" s="115"/>
      <c r="K54" s="130">
        <f>SUM(K41:K52)</f>
        <v>1325.31</v>
      </c>
    </row>
    <row r="55" spans="1:11" x14ac:dyDescent="0.2">
      <c r="G55" s="121"/>
    </row>
    <row r="56" spans="1:11" ht="15" x14ac:dyDescent="0.25">
      <c r="A56" s="136" t="s">
        <v>798</v>
      </c>
      <c r="B56" s="137"/>
      <c r="C56" s="137"/>
      <c r="D56" s="136"/>
      <c r="E56" s="137"/>
      <c r="G56" s="121"/>
    </row>
    <row r="57" spans="1:11" x14ac:dyDescent="0.2">
      <c r="B57" s="218">
        <v>2018</v>
      </c>
      <c r="C57" s="218"/>
      <c r="D57" s="122"/>
      <c r="E57" s="218">
        <v>2017</v>
      </c>
      <c r="F57" s="218"/>
      <c r="G57" s="121"/>
      <c r="I57" s="123">
        <v>2018</v>
      </c>
      <c r="J57" s="122"/>
      <c r="K57" s="122">
        <v>2017</v>
      </c>
    </row>
    <row r="58" spans="1:11" x14ac:dyDescent="0.2">
      <c r="A58" s="124"/>
      <c r="B58" s="125" t="s">
        <v>782</v>
      </c>
      <c r="C58" s="125" t="s">
        <v>783</v>
      </c>
      <c r="D58" s="125"/>
      <c r="E58" s="125" t="s">
        <v>782</v>
      </c>
      <c r="F58" s="125" t="s">
        <v>783</v>
      </c>
      <c r="G58" s="121"/>
      <c r="H58" s="124"/>
      <c r="I58" s="125"/>
      <c r="J58" s="125"/>
      <c r="K58" s="125"/>
    </row>
    <row r="59" spans="1:11" x14ac:dyDescent="0.2">
      <c r="A59" s="126" t="s">
        <v>784</v>
      </c>
      <c r="B59" s="131">
        <v>2383.4</v>
      </c>
      <c r="C59" s="131">
        <v>1003.2</v>
      </c>
      <c r="D59" s="125"/>
      <c r="E59" s="131">
        <v>2433.6</v>
      </c>
      <c r="F59" s="131">
        <v>1285.4000000000001</v>
      </c>
      <c r="G59" s="121"/>
      <c r="H59" s="126" t="s">
        <v>784</v>
      </c>
      <c r="I59" s="127"/>
      <c r="J59" s="128"/>
      <c r="K59" s="127"/>
    </row>
    <row r="60" spans="1:11" x14ac:dyDescent="0.2">
      <c r="A60" s="126" t="s">
        <v>785</v>
      </c>
      <c r="B60" s="131">
        <v>2183</v>
      </c>
      <c r="C60" s="131">
        <v>1113.7</v>
      </c>
      <c r="D60" s="125"/>
      <c r="E60" s="131">
        <v>2408</v>
      </c>
      <c r="F60" s="131">
        <v>1242.9000000000001</v>
      </c>
      <c r="G60" s="121"/>
      <c r="H60" s="126" t="s">
        <v>785</v>
      </c>
      <c r="I60" s="127"/>
      <c r="J60" s="128"/>
      <c r="K60" s="127"/>
    </row>
    <row r="61" spans="1:11" x14ac:dyDescent="0.2">
      <c r="A61" s="126" t="s">
        <v>786</v>
      </c>
      <c r="B61" s="131">
        <v>2221.1999999999998</v>
      </c>
      <c r="C61" s="131">
        <v>1079.8</v>
      </c>
      <c r="D61" s="125"/>
      <c r="E61" s="131">
        <v>2488.3000000000002</v>
      </c>
      <c r="F61" s="131">
        <v>1115.2</v>
      </c>
      <c r="G61" s="121"/>
      <c r="H61" s="126" t="s">
        <v>786</v>
      </c>
      <c r="I61" s="127"/>
      <c r="J61" s="128"/>
      <c r="K61" s="127"/>
    </row>
    <row r="62" spans="1:11" x14ac:dyDescent="0.2">
      <c r="A62" s="126" t="s">
        <v>787</v>
      </c>
      <c r="B62" s="131">
        <v>1738.4</v>
      </c>
      <c r="C62" s="131">
        <v>1130</v>
      </c>
      <c r="D62" s="125"/>
      <c r="E62" s="131">
        <v>1737.5</v>
      </c>
      <c r="F62" s="131">
        <v>1091.2</v>
      </c>
      <c r="G62" s="121"/>
      <c r="H62" s="126" t="s">
        <v>787</v>
      </c>
      <c r="I62" s="127"/>
      <c r="J62" s="128"/>
      <c r="K62" s="127"/>
    </row>
    <row r="63" spans="1:11" x14ac:dyDescent="0.2">
      <c r="A63" s="126" t="s">
        <v>788</v>
      </c>
      <c r="B63" s="131">
        <v>1713.5</v>
      </c>
      <c r="C63" s="131">
        <v>1022.5</v>
      </c>
      <c r="D63" s="125"/>
      <c r="E63" s="131">
        <v>1919.9</v>
      </c>
      <c r="F63" s="131">
        <v>988.4</v>
      </c>
      <c r="G63" s="121"/>
      <c r="H63" s="126" t="s">
        <v>788</v>
      </c>
      <c r="I63" s="127"/>
      <c r="J63" s="128"/>
      <c r="K63" s="127"/>
    </row>
    <row r="64" spans="1:11" x14ac:dyDescent="0.2">
      <c r="A64" s="126" t="s">
        <v>789</v>
      </c>
      <c r="B64" s="131">
        <v>1807.6</v>
      </c>
      <c r="C64" s="131">
        <v>932.6</v>
      </c>
      <c r="D64" s="125"/>
      <c r="E64" s="131">
        <v>1754.4</v>
      </c>
      <c r="F64" s="131">
        <v>904.1</v>
      </c>
      <c r="G64" s="121"/>
      <c r="H64" s="126" t="s">
        <v>789</v>
      </c>
      <c r="I64" s="127"/>
      <c r="J64" s="128"/>
      <c r="K64" s="127"/>
    </row>
    <row r="65" spans="1:18" x14ac:dyDescent="0.2">
      <c r="A65" s="126" t="s">
        <v>790</v>
      </c>
      <c r="B65" s="131">
        <v>1747.3</v>
      </c>
      <c r="C65" s="131">
        <v>948.9</v>
      </c>
      <c r="D65" s="125"/>
      <c r="E65" s="131">
        <v>1894.3</v>
      </c>
      <c r="F65" s="131">
        <v>1021.6</v>
      </c>
      <c r="G65" s="121"/>
      <c r="H65" s="126" t="s">
        <v>790</v>
      </c>
      <c r="I65" s="127"/>
      <c r="J65" s="128"/>
      <c r="K65" s="127"/>
    </row>
    <row r="66" spans="1:18" x14ac:dyDescent="0.2">
      <c r="A66" s="126" t="s">
        <v>791</v>
      </c>
      <c r="B66" s="131">
        <v>1356.4</v>
      </c>
      <c r="C66" s="131">
        <v>827.9</v>
      </c>
      <c r="D66" s="125"/>
      <c r="E66" s="131">
        <v>1532.3</v>
      </c>
      <c r="F66" s="131">
        <v>929.2</v>
      </c>
      <c r="G66" s="121"/>
      <c r="H66" s="126" t="s">
        <v>791</v>
      </c>
      <c r="I66" s="127"/>
      <c r="J66" s="128"/>
      <c r="K66" s="127"/>
    </row>
    <row r="67" spans="1:18" x14ac:dyDescent="0.2">
      <c r="A67" s="126" t="s">
        <v>792</v>
      </c>
      <c r="B67" s="131">
        <v>1848.3</v>
      </c>
      <c r="C67" s="131">
        <v>862.4</v>
      </c>
      <c r="D67" s="125"/>
      <c r="E67" s="131">
        <v>1888.5</v>
      </c>
      <c r="F67" s="131">
        <v>908.4</v>
      </c>
      <c r="G67" s="121"/>
      <c r="H67" s="126" t="s">
        <v>792</v>
      </c>
      <c r="I67" s="127"/>
      <c r="J67" s="128"/>
      <c r="K67" s="127"/>
    </row>
    <row r="68" spans="1:18" x14ac:dyDescent="0.2">
      <c r="A68" s="126" t="s">
        <v>793</v>
      </c>
      <c r="B68" s="131">
        <v>2312.1</v>
      </c>
      <c r="C68" s="131">
        <v>889.7</v>
      </c>
      <c r="D68" s="125"/>
      <c r="E68" s="131">
        <v>2290.1999999999998</v>
      </c>
      <c r="F68" s="131">
        <v>942.8</v>
      </c>
      <c r="G68" s="121"/>
      <c r="H68" s="126" t="s">
        <v>793</v>
      </c>
      <c r="I68" s="127"/>
      <c r="J68" s="128"/>
      <c r="K68" s="127"/>
    </row>
    <row r="69" spans="1:18" x14ac:dyDescent="0.2">
      <c r="A69" s="126" t="s">
        <v>794</v>
      </c>
      <c r="B69" s="131">
        <v>2401.4</v>
      </c>
      <c r="C69" s="131">
        <v>798.5</v>
      </c>
      <c r="D69" s="125"/>
      <c r="E69" s="131">
        <v>2597.1999999999998</v>
      </c>
      <c r="F69" s="131">
        <v>992</v>
      </c>
      <c r="G69" s="121"/>
      <c r="H69" s="126" t="s">
        <v>794</v>
      </c>
      <c r="I69" s="127"/>
      <c r="J69" s="128"/>
      <c r="K69" s="127"/>
    </row>
    <row r="70" spans="1:18" x14ac:dyDescent="0.2">
      <c r="A70" s="126" t="s">
        <v>795</v>
      </c>
      <c r="B70" s="131">
        <v>1900.4</v>
      </c>
      <c r="C70" s="131">
        <v>988</v>
      </c>
      <c r="D70" s="125"/>
      <c r="E70" s="131">
        <v>1904.6</v>
      </c>
      <c r="F70" s="131">
        <v>1157</v>
      </c>
      <c r="G70" s="121"/>
      <c r="H70" s="126" t="s">
        <v>795</v>
      </c>
      <c r="I70" s="127"/>
      <c r="J70" s="128"/>
      <c r="K70" s="127"/>
    </row>
    <row r="71" spans="1:18" x14ac:dyDescent="0.2">
      <c r="B71" s="114">
        <f>SUM(B59:B70)</f>
        <v>23613</v>
      </c>
      <c r="C71" s="114">
        <f>SUM(C59:C70)</f>
        <v>11597.2</v>
      </c>
      <c r="E71" s="114">
        <f>SUM(E59:E70)</f>
        <v>24848.799999999999</v>
      </c>
      <c r="F71" s="114">
        <f>SUM(F59:F70)</f>
        <v>12578.199999999999</v>
      </c>
      <c r="G71" s="121"/>
      <c r="I71" s="114"/>
      <c r="J71" s="114"/>
      <c r="K71" s="114"/>
    </row>
    <row r="72" spans="1:18" ht="15.75" x14ac:dyDescent="0.2">
      <c r="A72" s="72" t="s">
        <v>319</v>
      </c>
      <c r="B72" s="219">
        <f>SUM(B71:C71)</f>
        <v>35210.199999999997</v>
      </c>
      <c r="C72" s="219"/>
      <c r="D72" s="115"/>
      <c r="E72" s="219">
        <f>SUM(E71:F71)</f>
        <v>37427</v>
      </c>
      <c r="F72" s="219"/>
      <c r="G72" s="121"/>
      <c r="H72" s="72" t="s">
        <v>319</v>
      </c>
      <c r="I72" s="129">
        <v>8644</v>
      </c>
      <c r="J72" s="115"/>
      <c r="K72" s="130">
        <v>8851</v>
      </c>
    </row>
    <row r="73" spans="1:18" x14ac:dyDescent="0.2">
      <c r="G73" s="121"/>
    </row>
    <row r="74" spans="1:18" ht="15" x14ac:dyDescent="0.25">
      <c r="A74" s="136" t="s">
        <v>799</v>
      </c>
      <c r="B74" s="137"/>
      <c r="C74" s="137"/>
      <c r="G74" s="121"/>
    </row>
    <row r="75" spans="1:18" x14ac:dyDescent="0.2">
      <c r="B75" s="218">
        <v>2018</v>
      </c>
      <c r="C75" s="218"/>
      <c r="D75" s="122"/>
      <c r="E75" s="218">
        <v>2017</v>
      </c>
      <c r="F75" s="218"/>
      <c r="G75" s="121"/>
      <c r="I75" s="123">
        <v>2018</v>
      </c>
      <c r="J75" s="122"/>
      <c r="K75" s="122">
        <v>2017</v>
      </c>
      <c r="L75" s="122">
        <v>2016</v>
      </c>
      <c r="M75" s="122">
        <v>2015</v>
      </c>
      <c r="N75" s="122">
        <v>2014</v>
      </c>
    </row>
    <row r="76" spans="1:18" x14ac:dyDescent="0.2">
      <c r="A76" s="124"/>
      <c r="B76" s="125" t="s">
        <v>782</v>
      </c>
      <c r="C76" s="125" t="s">
        <v>783</v>
      </c>
      <c r="D76" s="125"/>
      <c r="E76" s="125" t="s">
        <v>782</v>
      </c>
      <c r="F76" s="125" t="s">
        <v>783</v>
      </c>
      <c r="G76" s="121"/>
      <c r="H76" s="124"/>
      <c r="I76" s="125"/>
      <c r="J76" s="125"/>
      <c r="K76" s="125"/>
      <c r="L76" s="125"/>
      <c r="M76" s="125"/>
      <c r="N76" s="125"/>
    </row>
    <row r="77" spans="1:18" x14ac:dyDescent="0.2">
      <c r="A77" s="126" t="s">
        <v>784</v>
      </c>
      <c r="B77" s="134">
        <v>18839.490000000002</v>
      </c>
      <c r="C77" s="134">
        <v>8423.1</v>
      </c>
      <c r="D77" s="125"/>
      <c r="E77" s="134">
        <v>25039.9</v>
      </c>
      <c r="F77" s="134">
        <v>18039.8</v>
      </c>
      <c r="G77" s="121"/>
      <c r="H77" s="126" t="s">
        <v>784</v>
      </c>
      <c r="I77" s="131">
        <v>7817.433</v>
      </c>
      <c r="J77" s="125"/>
      <c r="K77" s="131">
        <v>11825.09</v>
      </c>
      <c r="L77" s="131">
        <v>10852.4</v>
      </c>
      <c r="M77" s="131">
        <v>12124.6</v>
      </c>
      <c r="N77" s="125">
        <v>8579.7999999999993</v>
      </c>
      <c r="Q77" s="131"/>
      <c r="R77" s="131"/>
    </row>
    <row r="78" spans="1:18" x14ac:dyDescent="0.2">
      <c r="A78" s="126" t="s">
        <v>785</v>
      </c>
      <c r="B78" s="134">
        <v>17868.78</v>
      </c>
      <c r="C78" s="134">
        <v>7151.85</v>
      </c>
      <c r="D78" s="125"/>
      <c r="E78" s="134">
        <v>20748.2</v>
      </c>
      <c r="F78" s="134">
        <v>15814.2</v>
      </c>
      <c r="G78" s="121"/>
      <c r="H78" s="126" t="s">
        <v>785</v>
      </c>
      <c r="I78" s="131">
        <v>9382.0689999999995</v>
      </c>
      <c r="J78" s="125"/>
      <c r="K78" s="131">
        <v>7169.42</v>
      </c>
      <c r="L78" s="131">
        <v>9802.1</v>
      </c>
      <c r="M78" s="131">
        <v>10969.4</v>
      </c>
      <c r="N78" s="125">
        <v>6780.8</v>
      </c>
      <c r="Q78" s="131"/>
      <c r="R78" s="131"/>
    </row>
    <row r="79" spans="1:18" x14ac:dyDescent="0.2">
      <c r="A79" s="126" t="s">
        <v>786</v>
      </c>
      <c r="B79" s="134">
        <v>17178.900000000001</v>
      </c>
      <c r="C79" s="134">
        <v>8076.99</v>
      </c>
      <c r="D79" s="125"/>
      <c r="E79" s="134">
        <v>23985.200000000001</v>
      </c>
      <c r="F79" s="134">
        <v>15737.7</v>
      </c>
      <c r="G79" s="121"/>
      <c r="H79" s="126" t="s">
        <v>786</v>
      </c>
      <c r="I79" s="131">
        <v>7643.22</v>
      </c>
      <c r="J79" s="125"/>
      <c r="K79" s="131">
        <v>3788.79</v>
      </c>
      <c r="L79" s="131">
        <v>10236.5</v>
      </c>
      <c r="M79" s="131">
        <v>8135.3</v>
      </c>
      <c r="N79" s="125">
        <v>5442.8</v>
      </c>
      <c r="Q79" s="131"/>
      <c r="R79" s="131"/>
    </row>
    <row r="80" spans="1:18" x14ac:dyDescent="0.2">
      <c r="A80" s="126" t="s">
        <v>787</v>
      </c>
      <c r="B80" s="134">
        <v>13919.79</v>
      </c>
      <c r="C80" s="134">
        <v>8568.1200000000008</v>
      </c>
      <c r="D80" s="125"/>
      <c r="E80" s="134">
        <v>14284</v>
      </c>
      <c r="F80" s="134">
        <v>10530.3</v>
      </c>
      <c r="G80" s="121"/>
      <c r="H80" s="126" t="s">
        <v>787</v>
      </c>
      <c r="I80" s="131">
        <v>2714.41</v>
      </c>
      <c r="J80" s="125"/>
      <c r="K80" s="131">
        <v>5046.1499999999996</v>
      </c>
      <c r="L80" s="131">
        <v>8343.9</v>
      </c>
      <c r="M80" s="131">
        <v>5197.5</v>
      </c>
      <c r="N80" s="125">
        <v>2799.5</v>
      </c>
      <c r="Q80" s="131"/>
      <c r="R80" s="131"/>
    </row>
    <row r="81" spans="1:18" x14ac:dyDescent="0.2">
      <c r="A81" s="126" t="s">
        <v>788</v>
      </c>
      <c r="B81" s="134">
        <v>17273.22</v>
      </c>
      <c r="C81" s="134">
        <v>12881.16</v>
      </c>
      <c r="D81" s="125"/>
      <c r="E81" s="134">
        <v>16107</v>
      </c>
      <c r="F81" s="134">
        <v>8423.7000000000007</v>
      </c>
      <c r="G81" s="121"/>
      <c r="H81" s="126" t="s">
        <v>788</v>
      </c>
      <c r="I81" s="131">
        <v>1836.799</v>
      </c>
      <c r="J81" s="125"/>
      <c r="K81" s="131">
        <v>2137.91</v>
      </c>
      <c r="L81" s="131">
        <v>4746.6000000000004</v>
      </c>
      <c r="M81" s="131">
        <v>3579.2</v>
      </c>
      <c r="N81" s="125">
        <v>928.4</v>
      </c>
      <c r="Q81" s="131"/>
      <c r="R81" s="131"/>
    </row>
    <row r="82" spans="1:18" x14ac:dyDescent="0.2">
      <c r="A82" s="126" t="s">
        <v>789</v>
      </c>
      <c r="B82" s="134">
        <v>16730.82</v>
      </c>
      <c r="C82" s="134">
        <v>10932.39</v>
      </c>
      <c r="D82" s="125"/>
      <c r="E82" s="134">
        <v>17320.2</v>
      </c>
      <c r="F82" s="134">
        <v>10486.1</v>
      </c>
      <c r="G82" s="121"/>
      <c r="H82" s="126" t="s">
        <v>789</v>
      </c>
      <c r="I82" s="131">
        <v>81.703999999999994</v>
      </c>
      <c r="J82" s="125"/>
      <c r="K82" s="131">
        <v>548.37</v>
      </c>
      <c r="L82" s="131">
        <v>3288.5</v>
      </c>
      <c r="M82" s="131">
        <v>1747.3</v>
      </c>
      <c r="N82" s="125">
        <v>971.6</v>
      </c>
      <c r="Q82" s="131"/>
      <c r="R82" s="131"/>
    </row>
    <row r="83" spans="1:18" x14ac:dyDescent="0.2">
      <c r="A83" s="126" t="s">
        <v>790</v>
      </c>
      <c r="B83" s="134">
        <v>18143.759999999998</v>
      </c>
      <c r="C83" s="134">
        <v>13127.88</v>
      </c>
      <c r="D83" s="125"/>
      <c r="E83" s="134">
        <v>15604.8</v>
      </c>
      <c r="F83" s="134">
        <v>9910.5</v>
      </c>
      <c r="G83" s="121"/>
      <c r="H83" s="126" t="s">
        <v>790</v>
      </c>
      <c r="I83" s="131">
        <v>76.7</v>
      </c>
      <c r="J83" s="125"/>
      <c r="K83" s="131">
        <v>344.91</v>
      </c>
      <c r="L83" s="131">
        <v>1574.3</v>
      </c>
      <c r="M83" s="131">
        <v>2290.6999999999998</v>
      </c>
      <c r="N83" s="125">
        <v>608.6</v>
      </c>
      <c r="Q83" s="131"/>
      <c r="R83" s="131"/>
    </row>
    <row r="84" spans="1:18" x14ac:dyDescent="0.2">
      <c r="A84" s="126" t="s">
        <v>791</v>
      </c>
      <c r="B84" s="134">
        <v>14474.73</v>
      </c>
      <c r="C84" s="134">
        <v>10980.39</v>
      </c>
      <c r="D84" s="125"/>
      <c r="E84" s="134">
        <v>11366.8</v>
      </c>
      <c r="F84" s="134">
        <v>7385.7</v>
      </c>
      <c r="G84" s="121"/>
      <c r="H84" s="126" t="s">
        <v>791</v>
      </c>
      <c r="I84" s="131">
        <v>601.76</v>
      </c>
      <c r="J84" s="125"/>
      <c r="K84" s="131">
        <v>855.53</v>
      </c>
      <c r="L84" s="131">
        <v>0.1</v>
      </c>
      <c r="M84" s="131">
        <v>2132.6999999999998</v>
      </c>
      <c r="N84" s="125">
        <v>920.8</v>
      </c>
      <c r="Q84" s="131"/>
      <c r="R84" s="131"/>
    </row>
    <row r="85" spans="1:18" x14ac:dyDescent="0.2">
      <c r="A85" s="126" t="s">
        <v>792</v>
      </c>
      <c r="B85" s="134">
        <v>16071.06</v>
      </c>
      <c r="C85" s="134">
        <v>8730.2999999999993</v>
      </c>
      <c r="D85" s="125"/>
      <c r="E85" s="134">
        <v>15106.45</v>
      </c>
      <c r="F85" s="134">
        <v>8267.0400000000009</v>
      </c>
      <c r="G85" s="121"/>
      <c r="H85" s="126" t="s">
        <v>792</v>
      </c>
      <c r="I85" s="131">
        <v>1752.008</v>
      </c>
      <c r="J85" s="125"/>
      <c r="K85" s="131">
        <v>1441.38</v>
      </c>
      <c r="L85" s="131">
        <v>1994.65</v>
      </c>
      <c r="M85" s="131">
        <v>4825.6000000000004</v>
      </c>
      <c r="N85" s="125">
        <v>817.5</v>
      </c>
      <c r="Q85" s="131"/>
      <c r="R85" s="131"/>
    </row>
    <row r="86" spans="1:18" x14ac:dyDescent="0.2">
      <c r="A86" s="126" t="s">
        <v>793</v>
      </c>
      <c r="B86" s="134">
        <v>16206.99</v>
      </c>
      <c r="C86" s="134">
        <v>8073.21</v>
      </c>
      <c r="D86" s="125"/>
      <c r="E86" s="134">
        <v>16454.7</v>
      </c>
      <c r="F86" s="134">
        <v>8051.76</v>
      </c>
      <c r="G86" s="121"/>
      <c r="H86" s="126" t="s">
        <v>793</v>
      </c>
      <c r="I86" s="131">
        <v>3651.674</v>
      </c>
      <c r="J86" s="125"/>
      <c r="K86" s="131">
        <v>4151.76</v>
      </c>
      <c r="L86" s="131">
        <v>7167.87</v>
      </c>
      <c r="M86" s="131">
        <v>6512.5</v>
      </c>
      <c r="N86" s="125">
        <v>2733.1</v>
      </c>
      <c r="Q86" s="131"/>
      <c r="R86" s="131"/>
    </row>
    <row r="87" spans="1:18" x14ac:dyDescent="0.2">
      <c r="A87" s="126" t="s">
        <v>794</v>
      </c>
      <c r="B87" s="134">
        <v>17061.419999999998</v>
      </c>
      <c r="C87" s="134">
        <v>7260.21</v>
      </c>
      <c r="D87" s="125"/>
      <c r="E87" s="134">
        <v>19826.52</v>
      </c>
      <c r="F87" s="134">
        <v>7802.79</v>
      </c>
      <c r="G87" s="121"/>
      <c r="H87" s="126" t="s">
        <v>794</v>
      </c>
      <c r="I87" s="131">
        <v>7041.0950000000003</v>
      </c>
      <c r="J87" s="125"/>
      <c r="K87" s="131">
        <v>7462.46</v>
      </c>
      <c r="L87" s="131">
        <v>8839.5</v>
      </c>
      <c r="M87" s="131">
        <v>7319.3</v>
      </c>
      <c r="N87" s="125">
        <v>7294.8</v>
      </c>
      <c r="Q87" s="131"/>
      <c r="R87" s="131"/>
    </row>
    <row r="88" spans="1:18" x14ac:dyDescent="0.2">
      <c r="A88" s="126" t="s">
        <v>795</v>
      </c>
      <c r="B88" s="134">
        <v>14290.89</v>
      </c>
      <c r="C88" s="134">
        <v>9731.52</v>
      </c>
      <c r="D88" s="125"/>
      <c r="E88" s="134">
        <v>15784.08</v>
      </c>
      <c r="F88" s="134">
        <v>9677.2800000000007</v>
      </c>
      <c r="G88" s="121"/>
      <c r="H88" s="126" t="s">
        <v>795</v>
      </c>
      <c r="I88" s="131">
        <v>7986.9470000000001</v>
      </c>
      <c r="J88" s="125"/>
      <c r="K88" s="131">
        <v>9307.68</v>
      </c>
      <c r="L88" s="131">
        <v>4303.92</v>
      </c>
      <c r="M88" s="131">
        <v>7847.8</v>
      </c>
      <c r="N88" s="125">
        <v>11608.5</v>
      </c>
      <c r="Q88" s="131"/>
      <c r="R88" s="131"/>
    </row>
    <row r="89" spans="1:18" x14ac:dyDescent="0.2">
      <c r="B89" s="114">
        <f>SUM(B77:B88)</f>
        <v>198059.84999999998</v>
      </c>
      <c r="C89" s="114">
        <f>SUM(C77:C88)</f>
        <v>113937.12000000002</v>
      </c>
      <c r="E89" s="114">
        <f>SUM(E77:E88)</f>
        <v>211627.84999999998</v>
      </c>
      <c r="F89" s="114">
        <f>SUM(F77:F88)</f>
        <v>130126.87</v>
      </c>
      <c r="G89" s="121"/>
      <c r="I89" s="114"/>
      <c r="J89" s="114"/>
      <c r="K89" s="114"/>
      <c r="L89" s="114"/>
      <c r="M89" s="114"/>
      <c r="N89" s="114"/>
      <c r="Q89" s="114"/>
      <c r="R89" s="114"/>
    </row>
    <row r="90" spans="1:18" ht="15.75" x14ac:dyDescent="0.2">
      <c r="A90" s="72" t="s">
        <v>319</v>
      </c>
      <c r="B90" s="219">
        <f>SUM(B89:C89)</f>
        <v>311996.96999999997</v>
      </c>
      <c r="C90" s="219"/>
      <c r="D90" s="115"/>
      <c r="E90" s="219">
        <f>SUM(E89:F89)</f>
        <v>341754.72</v>
      </c>
      <c r="F90" s="219"/>
      <c r="G90" s="121"/>
      <c r="H90" s="72" t="s">
        <v>319</v>
      </c>
      <c r="I90" s="129">
        <f>SUM(I77:J88)</f>
        <v>50585.819000000003</v>
      </c>
      <c r="J90" s="115"/>
      <c r="K90" s="130">
        <f>SUM(K77:K88)</f>
        <v>54079.450000000004</v>
      </c>
      <c r="L90" s="130">
        <f>SUM(L77:L88)</f>
        <v>71150.340000000011</v>
      </c>
      <c r="M90" s="130">
        <f>SUM(M77:M88)</f>
        <v>72681.899999999994</v>
      </c>
      <c r="N90" s="130">
        <f>SUM(N77:N88)</f>
        <v>49486.2</v>
      </c>
      <c r="Q90" s="114"/>
      <c r="R90" s="114"/>
    </row>
    <row r="91" spans="1:18" x14ac:dyDescent="0.2">
      <c r="G91" s="121"/>
      <c r="Q91" s="220"/>
      <c r="R91" s="221"/>
    </row>
    <row r="92" spans="1:18" ht="15" x14ac:dyDescent="0.25">
      <c r="A92" s="136" t="s">
        <v>800</v>
      </c>
      <c r="B92" s="137"/>
      <c r="C92" s="137"/>
      <c r="D92" s="136"/>
      <c r="G92" s="121"/>
    </row>
    <row r="93" spans="1:18" x14ac:dyDescent="0.2">
      <c r="B93" s="218">
        <v>2018</v>
      </c>
      <c r="C93" s="218"/>
      <c r="D93" s="122"/>
      <c r="E93" s="218">
        <v>2017</v>
      </c>
      <c r="F93" s="218"/>
      <c r="G93" s="121"/>
      <c r="I93" s="123">
        <v>2018</v>
      </c>
      <c r="J93" s="122"/>
      <c r="K93" s="122">
        <v>2017</v>
      </c>
      <c r="L93" s="122">
        <v>2016</v>
      </c>
      <c r="M93" s="122">
        <v>2015</v>
      </c>
    </row>
    <row r="94" spans="1:18" x14ac:dyDescent="0.2">
      <c r="A94" s="124"/>
      <c r="B94" s="125" t="s">
        <v>782</v>
      </c>
      <c r="C94" s="125" t="s">
        <v>783</v>
      </c>
      <c r="D94" s="125"/>
      <c r="E94" s="125" t="s">
        <v>782</v>
      </c>
      <c r="F94" s="125" t="s">
        <v>783</v>
      </c>
      <c r="G94" s="121"/>
      <c r="H94" s="124"/>
      <c r="I94" s="125" t="s">
        <v>782</v>
      </c>
      <c r="J94" s="125"/>
      <c r="K94" s="125" t="s">
        <v>782</v>
      </c>
      <c r="L94" s="125" t="s">
        <v>782</v>
      </c>
      <c r="M94" s="125" t="s">
        <v>782</v>
      </c>
    </row>
    <row r="95" spans="1:18" x14ac:dyDescent="0.2">
      <c r="A95" s="126" t="s">
        <v>784</v>
      </c>
      <c r="B95" s="131">
        <v>870.49</v>
      </c>
      <c r="C95" s="131">
        <v>425.83</v>
      </c>
      <c r="D95" s="125"/>
      <c r="E95" s="131">
        <v>1254.56</v>
      </c>
      <c r="F95" s="131">
        <v>726.11</v>
      </c>
      <c r="G95" s="121"/>
      <c r="H95" s="126" t="s">
        <v>784</v>
      </c>
      <c r="I95" s="125">
        <v>1141.95</v>
      </c>
      <c r="J95" s="125"/>
      <c r="K95" s="125">
        <v>2122.9</v>
      </c>
      <c r="L95" s="125">
        <v>1860.91</v>
      </c>
      <c r="M95" s="125">
        <v>1817.81</v>
      </c>
    </row>
    <row r="96" spans="1:18" x14ac:dyDescent="0.2">
      <c r="A96" s="126" t="s">
        <v>785</v>
      </c>
      <c r="B96" s="131">
        <v>1290.8800000000001</v>
      </c>
      <c r="C96" s="131">
        <v>651.76</v>
      </c>
      <c r="D96" s="125"/>
      <c r="E96" s="131">
        <v>1139.49</v>
      </c>
      <c r="F96" s="131">
        <v>544.98</v>
      </c>
      <c r="G96" s="121"/>
      <c r="H96" s="126" t="s">
        <v>785</v>
      </c>
      <c r="I96" s="125">
        <v>1988.98</v>
      </c>
      <c r="J96" s="125"/>
      <c r="K96" s="125">
        <v>1536.03</v>
      </c>
      <c r="L96" s="125">
        <v>1525.03</v>
      </c>
      <c r="M96" s="125">
        <v>1634.52</v>
      </c>
    </row>
    <row r="97" spans="1:13" x14ac:dyDescent="0.2">
      <c r="A97" s="126" t="s">
        <v>786</v>
      </c>
      <c r="B97" s="131">
        <v>1407.0630000000001</v>
      </c>
      <c r="C97" s="131">
        <v>642.57000000000005</v>
      </c>
      <c r="D97" s="125"/>
      <c r="E97" s="131">
        <v>1334.63</v>
      </c>
      <c r="F97" s="131">
        <v>656.99</v>
      </c>
      <c r="G97" s="121"/>
      <c r="H97" s="126" t="s">
        <v>786</v>
      </c>
      <c r="I97" s="125">
        <v>1681.7070000000001</v>
      </c>
      <c r="J97" s="125"/>
      <c r="K97" s="125">
        <v>1046.27</v>
      </c>
      <c r="L97" s="125">
        <v>1376.47</v>
      </c>
      <c r="M97" s="125">
        <v>1357.46</v>
      </c>
    </row>
    <row r="98" spans="1:13" x14ac:dyDescent="0.2">
      <c r="A98" s="126" t="s">
        <v>787</v>
      </c>
      <c r="B98" s="131">
        <v>1209.107</v>
      </c>
      <c r="C98" s="131">
        <v>604.82000000000005</v>
      </c>
      <c r="D98" s="125"/>
      <c r="E98" s="131">
        <v>1058.3399999999999</v>
      </c>
      <c r="F98" s="131">
        <v>734.49</v>
      </c>
      <c r="G98" s="121"/>
      <c r="H98" s="126" t="s">
        <v>787</v>
      </c>
      <c r="I98" s="125">
        <v>386.74200000000002</v>
      </c>
      <c r="J98" s="125"/>
      <c r="K98" s="125">
        <v>731.97</v>
      </c>
      <c r="L98" s="125">
        <v>770.59</v>
      </c>
      <c r="M98" s="125">
        <v>697.95</v>
      </c>
    </row>
    <row r="99" spans="1:13" x14ac:dyDescent="0.2">
      <c r="A99" s="126" t="s">
        <v>788</v>
      </c>
      <c r="B99" s="131">
        <v>1235.2090000000001</v>
      </c>
      <c r="C99" s="131">
        <v>649.37599999999998</v>
      </c>
      <c r="D99" s="125"/>
      <c r="E99" s="131">
        <v>1291.79</v>
      </c>
      <c r="F99" s="131">
        <v>729.34</v>
      </c>
      <c r="G99" s="121"/>
      <c r="H99" s="126" t="s">
        <v>788</v>
      </c>
      <c r="I99" s="125">
        <v>166.52799999999999</v>
      </c>
      <c r="J99" s="125"/>
      <c r="K99" s="125">
        <v>290.42</v>
      </c>
      <c r="L99" s="125">
        <v>265.83</v>
      </c>
      <c r="M99" s="125">
        <v>282.7</v>
      </c>
    </row>
    <row r="100" spans="1:13" x14ac:dyDescent="0.2">
      <c r="A100" s="126" t="s">
        <v>789</v>
      </c>
      <c r="B100" s="131">
        <v>1145.799</v>
      </c>
      <c r="C100" s="131">
        <v>641.10400000000004</v>
      </c>
      <c r="D100" s="125"/>
      <c r="E100" s="131">
        <v>1214.2</v>
      </c>
      <c r="F100" s="131">
        <v>689.42</v>
      </c>
      <c r="G100" s="121"/>
      <c r="H100" s="126" t="s">
        <v>789</v>
      </c>
      <c r="I100" s="125">
        <v>43.530999999999999</v>
      </c>
      <c r="J100" s="125"/>
      <c r="K100" s="125">
        <v>68.86</v>
      </c>
      <c r="L100" s="125">
        <v>39.81</v>
      </c>
      <c r="M100" s="125">
        <v>146.65</v>
      </c>
    </row>
    <row r="101" spans="1:13" x14ac:dyDescent="0.2">
      <c r="A101" s="126" t="s">
        <v>790</v>
      </c>
      <c r="B101" s="131">
        <v>1291.0809999999999</v>
      </c>
      <c r="C101" s="131">
        <v>678.35500000000002</v>
      </c>
      <c r="D101" s="125"/>
      <c r="E101" s="131">
        <v>1132.57</v>
      </c>
      <c r="F101" s="131">
        <v>643.85</v>
      </c>
      <c r="G101" s="121"/>
      <c r="H101" s="126" t="s">
        <v>790</v>
      </c>
      <c r="I101" s="125">
        <v>17.673999999999999</v>
      </c>
      <c r="J101" s="125"/>
      <c r="K101" s="125">
        <v>29.96</v>
      </c>
      <c r="L101" s="125">
        <v>31.88</v>
      </c>
      <c r="M101" s="125">
        <v>41.73</v>
      </c>
    </row>
    <row r="102" spans="1:13" x14ac:dyDescent="0.2">
      <c r="A102" s="126" t="s">
        <v>791</v>
      </c>
      <c r="B102" s="131">
        <v>1055.4770000000001</v>
      </c>
      <c r="C102" s="131">
        <v>661.15300000000002</v>
      </c>
      <c r="D102" s="125"/>
      <c r="E102" s="131">
        <v>774</v>
      </c>
      <c r="F102" s="131">
        <v>527.53</v>
      </c>
      <c r="G102" s="121"/>
      <c r="H102" s="126" t="s">
        <v>791</v>
      </c>
      <c r="I102" s="125">
        <v>27.561</v>
      </c>
      <c r="J102" s="125"/>
      <c r="K102" s="125">
        <v>46.18</v>
      </c>
      <c r="L102" s="125">
        <v>56.9</v>
      </c>
      <c r="M102" s="125">
        <v>23.93</v>
      </c>
    </row>
    <row r="103" spans="1:13" x14ac:dyDescent="0.2">
      <c r="A103" s="126" t="s">
        <v>792</v>
      </c>
      <c r="B103" s="131">
        <v>1093.4010000000001</v>
      </c>
      <c r="C103" s="131">
        <v>625.98099999999999</v>
      </c>
      <c r="D103" s="125"/>
      <c r="E103" s="131">
        <v>1041.75</v>
      </c>
      <c r="F103" s="131">
        <v>539.29</v>
      </c>
      <c r="G103" s="121"/>
      <c r="H103" s="126" t="s">
        <v>792</v>
      </c>
      <c r="I103" s="125">
        <v>124.746</v>
      </c>
      <c r="J103" s="125"/>
      <c r="K103" s="125">
        <v>222.06</v>
      </c>
      <c r="L103" s="125">
        <v>52.89</v>
      </c>
      <c r="M103" s="125">
        <v>178.43</v>
      </c>
    </row>
    <row r="104" spans="1:13" x14ac:dyDescent="0.2">
      <c r="A104" s="126" t="s">
        <v>793</v>
      </c>
      <c r="B104" s="131">
        <v>1342.89</v>
      </c>
      <c r="C104" s="131">
        <v>559.34699999999998</v>
      </c>
      <c r="D104" s="125"/>
      <c r="E104" s="131">
        <v>1299.26</v>
      </c>
      <c r="F104" s="131">
        <v>595.12</v>
      </c>
      <c r="G104" s="121"/>
      <c r="H104" s="126" t="s">
        <v>793</v>
      </c>
      <c r="I104" s="125">
        <v>621.33199999999999</v>
      </c>
      <c r="J104" s="125"/>
      <c r="K104" s="125">
        <v>444.52</v>
      </c>
      <c r="L104" s="125">
        <v>891.11</v>
      </c>
      <c r="M104" s="125">
        <v>791.09</v>
      </c>
    </row>
    <row r="105" spans="1:13" x14ac:dyDescent="0.2">
      <c r="A105" s="126" t="s">
        <v>794</v>
      </c>
      <c r="B105" s="131">
        <v>1246.9359999999999</v>
      </c>
      <c r="C105" s="131">
        <v>565.43899999999996</v>
      </c>
      <c r="D105" s="125"/>
      <c r="E105" s="131">
        <v>1297.25</v>
      </c>
      <c r="F105" s="131">
        <v>591.72</v>
      </c>
      <c r="G105" s="121"/>
      <c r="H105" s="126" t="s">
        <v>794</v>
      </c>
      <c r="I105" s="125">
        <v>1336.6579999999999</v>
      </c>
      <c r="J105" s="125"/>
      <c r="K105" s="125">
        <v>1195.22</v>
      </c>
      <c r="L105" s="125">
        <v>1522.48</v>
      </c>
      <c r="M105" s="125">
        <v>1018.14</v>
      </c>
    </row>
    <row r="106" spans="1:13" x14ac:dyDescent="0.2">
      <c r="A106" s="126" t="s">
        <v>795</v>
      </c>
      <c r="B106" s="131">
        <v>936.39099999999996</v>
      </c>
      <c r="C106" s="131">
        <v>651.10500000000002</v>
      </c>
      <c r="D106" s="125"/>
      <c r="E106" s="131">
        <v>786.49</v>
      </c>
      <c r="F106" s="131">
        <v>673.39</v>
      </c>
      <c r="G106" s="121"/>
      <c r="H106" s="126" t="s">
        <v>795</v>
      </c>
      <c r="I106" s="125">
        <v>1511.4549999999999</v>
      </c>
      <c r="J106" s="125"/>
      <c r="K106" s="125">
        <v>1363</v>
      </c>
      <c r="L106" s="125">
        <v>1603.73</v>
      </c>
      <c r="M106" s="125">
        <v>1057.55</v>
      </c>
    </row>
    <row r="107" spans="1:13" x14ac:dyDescent="0.2">
      <c r="B107" s="114">
        <f>SUM(B95:B106)</f>
        <v>14124.723999999998</v>
      </c>
      <c r="C107" s="114">
        <f>SUM(C95:C106)</f>
        <v>7356.84</v>
      </c>
      <c r="E107" s="114">
        <f>SUM(E95:E106)</f>
        <v>13624.33</v>
      </c>
      <c r="F107" s="114">
        <f>SUM(F95:F106)</f>
        <v>7652.2300000000005</v>
      </c>
      <c r="G107" s="121"/>
      <c r="I107" s="114"/>
      <c r="J107" s="114"/>
      <c r="K107" s="114"/>
    </row>
    <row r="108" spans="1:13" ht="15.75" x14ac:dyDescent="0.2">
      <c r="A108" s="72" t="s">
        <v>319</v>
      </c>
      <c r="B108" s="219">
        <f>SUM(B107:C107)</f>
        <v>21481.563999999998</v>
      </c>
      <c r="C108" s="219"/>
      <c r="D108" s="115"/>
      <c r="E108" s="219">
        <f>SUM(E107:F107)</f>
        <v>21276.560000000001</v>
      </c>
      <c r="F108" s="219"/>
      <c r="G108" s="121"/>
      <c r="H108" s="72" t="s">
        <v>319</v>
      </c>
      <c r="I108" s="129">
        <f>SUM(I95:J106)</f>
        <v>9048.8640000000014</v>
      </c>
      <c r="J108" s="115"/>
      <c r="K108" s="130">
        <f>SUM(K95:K106)</f>
        <v>9097.3900000000031</v>
      </c>
      <c r="L108" s="130">
        <f>SUM(L95:L106)</f>
        <v>9997.6299999999992</v>
      </c>
      <c r="M108" s="130">
        <f>SUM(M95:M106)</f>
        <v>9047.9599999999991</v>
      </c>
    </row>
    <row r="109" spans="1:13" x14ac:dyDescent="0.2">
      <c r="G109" s="121"/>
    </row>
    <row r="110" spans="1:13" ht="15" x14ac:dyDescent="0.25">
      <c r="A110" s="136" t="s">
        <v>801</v>
      </c>
      <c r="B110" s="137"/>
      <c r="C110" s="137"/>
      <c r="G110" s="121"/>
    </row>
    <row r="111" spans="1:13" x14ac:dyDescent="0.2">
      <c r="B111" s="218">
        <v>2018</v>
      </c>
      <c r="C111" s="218"/>
      <c r="D111" s="122"/>
      <c r="E111" s="218">
        <v>2017</v>
      </c>
      <c r="F111" s="218"/>
      <c r="G111" s="121"/>
      <c r="I111" s="123">
        <v>2018</v>
      </c>
      <c r="J111" s="122"/>
      <c r="K111" s="122">
        <v>2017</v>
      </c>
    </row>
    <row r="112" spans="1:13" x14ac:dyDescent="0.2">
      <c r="A112" s="124"/>
      <c r="B112" s="125" t="s">
        <v>782</v>
      </c>
      <c r="C112" s="125" t="s">
        <v>783</v>
      </c>
      <c r="D112" s="125"/>
      <c r="E112" s="125" t="s">
        <v>782</v>
      </c>
      <c r="F112" s="125" t="s">
        <v>783</v>
      </c>
      <c r="G112" s="121"/>
      <c r="H112" s="124"/>
      <c r="I112" s="125" t="s">
        <v>782</v>
      </c>
      <c r="J112" s="125"/>
      <c r="K112" s="125" t="s">
        <v>782</v>
      </c>
    </row>
    <row r="113" spans="1:11" x14ac:dyDescent="0.2">
      <c r="A113" s="126" t="s">
        <v>784</v>
      </c>
      <c r="B113" s="131">
        <v>1114.04</v>
      </c>
      <c r="C113" s="131">
        <v>599.41999999999996</v>
      </c>
      <c r="D113" s="125"/>
      <c r="E113" s="131">
        <v>1641.91</v>
      </c>
      <c r="F113" s="131">
        <v>811.54</v>
      </c>
      <c r="G113" s="121"/>
      <c r="H113" s="126" t="s">
        <v>784</v>
      </c>
      <c r="I113" s="125">
        <v>1204.03</v>
      </c>
      <c r="J113" s="125"/>
      <c r="K113" s="125">
        <v>1944.82</v>
      </c>
    </row>
    <row r="114" spans="1:11" x14ac:dyDescent="0.2">
      <c r="A114" s="126" t="s">
        <v>785</v>
      </c>
      <c r="B114" s="131">
        <v>1106.08</v>
      </c>
      <c r="C114" s="131">
        <v>684.39</v>
      </c>
      <c r="D114" s="125"/>
      <c r="E114" s="131">
        <v>1394.65</v>
      </c>
      <c r="F114" s="131">
        <v>685.06</v>
      </c>
      <c r="G114" s="121"/>
      <c r="H114" s="126" t="s">
        <v>785</v>
      </c>
      <c r="I114" s="125">
        <v>1779.17</v>
      </c>
      <c r="J114" s="125"/>
      <c r="K114" s="125">
        <v>1324.99</v>
      </c>
    </row>
    <row r="115" spans="1:11" x14ac:dyDescent="0.2">
      <c r="A115" s="126" t="s">
        <v>786</v>
      </c>
      <c r="B115" s="131">
        <v>1270.5930000000001</v>
      </c>
      <c r="C115" s="131">
        <v>711.22400000000005</v>
      </c>
      <c r="D115" s="125"/>
      <c r="E115" s="131">
        <v>1687.42</v>
      </c>
      <c r="F115" s="131">
        <v>745.99</v>
      </c>
      <c r="G115" s="121"/>
      <c r="H115" s="126" t="s">
        <v>786</v>
      </c>
      <c r="I115" s="125">
        <v>1328.45</v>
      </c>
      <c r="J115" s="125"/>
      <c r="K115" s="125">
        <v>781.56</v>
      </c>
    </row>
    <row r="116" spans="1:11" x14ac:dyDescent="0.2">
      <c r="A116" s="126" t="s">
        <v>787</v>
      </c>
      <c r="B116" s="131">
        <v>1023.51</v>
      </c>
      <c r="C116" s="131">
        <v>662.75</v>
      </c>
      <c r="D116" s="125"/>
      <c r="E116" s="131">
        <v>1244.6099999999999</v>
      </c>
      <c r="F116" s="131">
        <v>820.93</v>
      </c>
      <c r="G116" s="121"/>
      <c r="H116" s="126" t="s">
        <v>787</v>
      </c>
      <c r="I116" s="125">
        <v>347.48</v>
      </c>
      <c r="J116" s="125"/>
      <c r="K116" s="125">
        <v>635.67999999999995</v>
      </c>
    </row>
    <row r="117" spans="1:11" x14ac:dyDescent="0.2">
      <c r="A117" s="126" t="s">
        <v>788</v>
      </c>
      <c r="B117" s="131">
        <v>913.81600000000003</v>
      </c>
      <c r="C117" s="131">
        <v>687.51199999999994</v>
      </c>
      <c r="D117" s="125"/>
      <c r="E117" s="131">
        <v>1255.53</v>
      </c>
      <c r="F117" s="131">
        <v>722.73</v>
      </c>
      <c r="G117" s="121"/>
      <c r="H117" s="126" t="s">
        <v>788</v>
      </c>
      <c r="I117" s="125">
        <v>88.71</v>
      </c>
      <c r="J117" s="125"/>
      <c r="K117" s="125">
        <v>234.35</v>
      </c>
    </row>
    <row r="118" spans="1:11" x14ac:dyDescent="0.2">
      <c r="A118" s="126" t="s">
        <v>789</v>
      </c>
      <c r="B118" s="131">
        <v>1031.144</v>
      </c>
      <c r="C118" s="131">
        <v>678.39300000000003</v>
      </c>
      <c r="D118" s="125"/>
      <c r="E118" s="131">
        <v>1306.4000000000001</v>
      </c>
      <c r="F118" s="131">
        <v>746.52</v>
      </c>
      <c r="G118" s="121"/>
      <c r="H118" s="126" t="s">
        <v>789</v>
      </c>
      <c r="I118" s="125">
        <v>0</v>
      </c>
      <c r="J118" s="125"/>
      <c r="K118" s="125">
        <v>15.29</v>
      </c>
    </row>
    <row r="119" spans="1:11" x14ac:dyDescent="0.2">
      <c r="A119" s="126" t="s">
        <v>790</v>
      </c>
      <c r="B119" s="131">
        <v>1024.02</v>
      </c>
      <c r="C119" s="131">
        <v>776.98400000000004</v>
      </c>
      <c r="D119" s="125"/>
      <c r="E119" s="131">
        <v>1178.1099999999999</v>
      </c>
      <c r="F119" s="131">
        <v>760.32</v>
      </c>
      <c r="G119" s="121"/>
      <c r="H119" s="126" t="s">
        <v>790</v>
      </c>
      <c r="I119" s="125">
        <v>0</v>
      </c>
      <c r="J119" s="125"/>
      <c r="K119" s="125">
        <v>5.56</v>
      </c>
    </row>
    <row r="120" spans="1:11" x14ac:dyDescent="0.2">
      <c r="A120" s="126" t="s">
        <v>791</v>
      </c>
      <c r="B120" s="131">
        <v>720.202</v>
      </c>
      <c r="C120" s="131">
        <v>643.82000000000005</v>
      </c>
      <c r="D120" s="125"/>
      <c r="E120" s="131">
        <v>873.97</v>
      </c>
      <c r="F120" s="131">
        <v>779.43</v>
      </c>
      <c r="G120" s="121"/>
      <c r="H120" s="126" t="s">
        <v>791</v>
      </c>
      <c r="I120" s="125">
        <v>0</v>
      </c>
      <c r="J120" s="125"/>
      <c r="K120" s="125">
        <v>45.47</v>
      </c>
    </row>
    <row r="121" spans="1:11" x14ac:dyDescent="0.2">
      <c r="A121" s="126" t="s">
        <v>792</v>
      </c>
      <c r="B121" s="131">
        <v>1057.7</v>
      </c>
      <c r="C121" s="131">
        <v>716.93899999999996</v>
      </c>
      <c r="D121" s="125"/>
      <c r="E121" s="131">
        <v>1394.03</v>
      </c>
      <c r="F121" s="131">
        <v>779.12</v>
      </c>
      <c r="G121" s="121"/>
      <c r="H121" s="126" t="s">
        <v>792</v>
      </c>
      <c r="I121" s="125">
        <v>55.05</v>
      </c>
      <c r="J121" s="125"/>
      <c r="K121" s="125">
        <v>205.59</v>
      </c>
    </row>
    <row r="122" spans="1:11" x14ac:dyDescent="0.2">
      <c r="A122" s="126" t="s">
        <v>793</v>
      </c>
      <c r="B122" s="131">
        <v>1238.6130000000001</v>
      </c>
      <c r="C122" s="131">
        <v>735.42399999999998</v>
      </c>
      <c r="D122" s="125"/>
      <c r="E122" s="131">
        <v>1469.83</v>
      </c>
      <c r="F122" s="131">
        <v>798.75</v>
      </c>
      <c r="G122" s="121"/>
      <c r="H122" s="126" t="s">
        <v>793</v>
      </c>
      <c r="I122" s="125">
        <v>544.72</v>
      </c>
      <c r="J122" s="125"/>
      <c r="K122" s="125">
        <v>437</v>
      </c>
    </row>
    <row r="123" spans="1:11" x14ac:dyDescent="0.2">
      <c r="A123" s="126" t="s">
        <v>794</v>
      </c>
      <c r="B123" s="131">
        <v>1357.4870000000001</v>
      </c>
      <c r="C123" s="131">
        <v>774.16899999999998</v>
      </c>
      <c r="D123" s="125"/>
      <c r="E123" s="131">
        <v>1599.77</v>
      </c>
      <c r="F123" s="131">
        <v>746.21</v>
      </c>
      <c r="G123" s="121"/>
      <c r="H123" s="126" t="s">
        <v>794</v>
      </c>
      <c r="I123" s="125">
        <v>1260.25</v>
      </c>
      <c r="J123" s="125"/>
      <c r="K123" s="125">
        <v>1150.06</v>
      </c>
    </row>
    <row r="124" spans="1:11" x14ac:dyDescent="0.2">
      <c r="A124" s="126" t="s">
        <v>795</v>
      </c>
      <c r="B124" s="131">
        <v>1111.9000000000001</v>
      </c>
      <c r="C124" s="131">
        <v>1015.1130000000001</v>
      </c>
      <c r="D124" s="125"/>
      <c r="E124" s="131">
        <v>800.89</v>
      </c>
      <c r="F124" s="131">
        <v>786.11</v>
      </c>
      <c r="G124" s="121"/>
      <c r="H124" s="126" t="s">
        <v>795</v>
      </c>
      <c r="I124" s="125">
        <v>1416.12</v>
      </c>
      <c r="J124" s="125"/>
      <c r="K124" s="125">
        <v>1397.47</v>
      </c>
    </row>
    <row r="125" spans="1:11" x14ac:dyDescent="0.2">
      <c r="B125" s="114">
        <f>SUM(B113:B124)</f>
        <v>12969.104999999998</v>
      </c>
      <c r="C125" s="114">
        <f>SUM(C113:C124)</f>
        <v>8686.1380000000008</v>
      </c>
      <c r="E125" s="114">
        <f>SUM(E113:E124)</f>
        <v>15847.12</v>
      </c>
      <c r="F125" s="114">
        <f>SUM(F113:F124)</f>
        <v>9182.7100000000009</v>
      </c>
      <c r="G125" s="121"/>
      <c r="I125" s="114"/>
      <c r="J125" s="114"/>
      <c r="K125" s="114"/>
    </row>
    <row r="126" spans="1:11" ht="15.75" x14ac:dyDescent="0.2">
      <c r="A126" s="72" t="s">
        <v>319</v>
      </c>
      <c r="B126" s="219">
        <f>SUM(B125:C125)</f>
        <v>21655.242999999999</v>
      </c>
      <c r="C126" s="219"/>
      <c r="D126" s="115"/>
      <c r="E126" s="219">
        <f>SUM(E125:F125)</f>
        <v>25029.83</v>
      </c>
      <c r="F126" s="219"/>
      <c r="G126" s="121"/>
      <c r="H126" s="72" t="s">
        <v>319</v>
      </c>
      <c r="I126" s="129">
        <f>SUM(I113:J124)</f>
        <v>8023.98</v>
      </c>
      <c r="J126" s="115"/>
      <c r="K126" s="130">
        <f>SUM(K113:K124)</f>
        <v>8177.8400000000011</v>
      </c>
    </row>
    <row r="129" spans="2:11" x14ac:dyDescent="0.2">
      <c r="B129" s="135">
        <f>B126+B108+B90+B72+B54+B36+B18</f>
        <v>526572.29600000009</v>
      </c>
      <c r="C129" s="135"/>
      <c r="D129" s="135"/>
      <c r="E129" s="135">
        <f t="shared" ref="E129:K129" si="0">E126+E108+E90+E72+E54+E36+E18</f>
        <v>577327</v>
      </c>
      <c r="F129" s="135"/>
      <c r="G129" s="135"/>
      <c r="H129" s="135"/>
      <c r="I129" s="135">
        <f t="shared" si="0"/>
        <v>110998.588</v>
      </c>
      <c r="J129" s="135"/>
      <c r="K129" s="135">
        <f t="shared" si="0"/>
        <v>114080.75000000001</v>
      </c>
    </row>
    <row r="130" spans="2:11" x14ac:dyDescent="0.2">
      <c r="B130" s="135"/>
      <c r="C130" s="135"/>
    </row>
  </sheetData>
  <mergeCells count="29">
    <mergeCell ref="B3:C3"/>
    <mergeCell ref="E3:F3"/>
    <mergeCell ref="B18:C18"/>
    <mergeCell ref="E18:F18"/>
    <mergeCell ref="B21:C21"/>
    <mergeCell ref="E21:F21"/>
    <mergeCell ref="B36:C36"/>
    <mergeCell ref="E36:F36"/>
    <mergeCell ref="B39:C39"/>
    <mergeCell ref="E39:F39"/>
    <mergeCell ref="B54:C54"/>
    <mergeCell ref="E54:F54"/>
    <mergeCell ref="B57:C57"/>
    <mergeCell ref="E57:F57"/>
    <mergeCell ref="B72:C72"/>
    <mergeCell ref="E72:F72"/>
    <mergeCell ref="B75:C75"/>
    <mergeCell ref="E75:F75"/>
    <mergeCell ref="Q91:R91"/>
    <mergeCell ref="B93:C93"/>
    <mergeCell ref="E93:F93"/>
    <mergeCell ref="B108:C108"/>
    <mergeCell ref="E108:F108"/>
    <mergeCell ref="B111:C111"/>
    <mergeCell ref="E111:F111"/>
    <mergeCell ref="B126:C126"/>
    <mergeCell ref="E126:F126"/>
    <mergeCell ref="B90:C90"/>
    <mergeCell ref="E90:F90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L69"/>
  <sheetViews>
    <sheetView tabSelected="1" zoomScaleNormal="100" workbookViewId="0"/>
  </sheetViews>
  <sheetFormatPr defaultRowHeight="14.25" x14ac:dyDescent="0.2"/>
  <cols>
    <col min="1" max="1" width="50.625" style="1" customWidth="1"/>
    <col min="2" max="2" width="34.875" style="1" bestFit="1" customWidth="1"/>
    <col min="3" max="3" width="10.375" style="1" bestFit="1" customWidth="1"/>
    <col min="4" max="4" width="17.375" style="1" bestFit="1" customWidth="1"/>
    <col min="5" max="5" width="7.875" style="1" customWidth="1"/>
    <col min="6" max="6" width="17" style="1" customWidth="1"/>
    <col min="7" max="7" width="9.375" style="1" customWidth="1"/>
    <col min="8" max="8" width="22.625" style="1" customWidth="1"/>
    <col min="9" max="9" width="17.75" style="1" customWidth="1"/>
    <col min="10" max="10" width="30.625" customWidth="1"/>
    <col min="11" max="11" width="25.75" customWidth="1"/>
    <col min="12" max="12" width="52.125" customWidth="1"/>
  </cols>
  <sheetData>
    <row r="1" spans="1:12" ht="15" x14ac:dyDescent="0.2">
      <c r="A1" s="14" t="s">
        <v>39</v>
      </c>
      <c r="B1" s="7" t="s">
        <v>4</v>
      </c>
      <c r="D1" s="14"/>
      <c r="E1" s="14"/>
    </row>
    <row r="2" spans="1:12" ht="15" x14ac:dyDescent="0.2">
      <c r="A2" s="4" t="s">
        <v>5</v>
      </c>
      <c r="B2" s="4"/>
      <c r="C2" s="4"/>
      <c r="D2" s="224" t="s">
        <v>40</v>
      </c>
      <c r="E2" s="225"/>
      <c r="F2" s="225"/>
      <c r="G2" s="225"/>
      <c r="H2" s="226"/>
      <c r="I2" s="46"/>
      <c r="J2" s="16" t="s">
        <v>42</v>
      </c>
      <c r="K2" s="17"/>
      <c r="L2" s="17"/>
    </row>
    <row r="3" spans="1:12" ht="15" x14ac:dyDescent="0.2">
      <c r="A3" s="30" t="s">
        <v>0</v>
      </c>
      <c r="B3" s="30" t="s">
        <v>92</v>
      </c>
      <c r="C3" s="4"/>
      <c r="D3" s="184" t="s">
        <v>843</v>
      </c>
      <c r="E3" s="185"/>
      <c r="F3" s="27" t="s">
        <v>56</v>
      </c>
      <c r="G3" s="27"/>
      <c r="H3" s="28" t="s">
        <v>56</v>
      </c>
      <c r="I3" s="47"/>
      <c r="J3" s="11" t="s">
        <v>43</v>
      </c>
    </row>
    <row r="4" spans="1:12" ht="15" x14ac:dyDescent="0.2">
      <c r="A4" s="30" t="s">
        <v>1</v>
      </c>
      <c r="B4" s="30" t="s">
        <v>3</v>
      </c>
      <c r="C4" s="4"/>
      <c r="D4" s="21"/>
      <c r="E4" s="22"/>
      <c r="F4" s="22" t="s">
        <v>882</v>
      </c>
      <c r="G4" s="22"/>
      <c r="H4" s="23" t="s">
        <v>882</v>
      </c>
      <c r="I4" s="22"/>
      <c r="J4" s="11" t="s">
        <v>44</v>
      </c>
    </row>
    <row r="5" spans="1:12" ht="15" x14ac:dyDescent="0.2">
      <c r="A5" s="30" t="s">
        <v>2</v>
      </c>
      <c r="B5" s="189" t="s">
        <v>850</v>
      </c>
      <c r="C5" s="4"/>
      <c r="D5" s="24"/>
      <c r="E5" s="25"/>
      <c r="F5" s="25" t="s">
        <v>54</v>
      </c>
      <c r="G5" s="25"/>
      <c r="H5" s="26" t="s">
        <v>55</v>
      </c>
      <c r="I5" s="22"/>
      <c r="J5" s="11" t="s">
        <v>65</v>
      </c>
    </row>
    <row r="6" spans="1:12" ht="15" x14ac:dyDescent="0.2">
      <c r="A6" s="4"/>
      <c r="B6" s="4"/>
      <c r="C6" s="4"/>
      <c r="D6" s="4" t="s">
        <v>49</v>
      </c>
      <c r="E6" s="4"/>
      <c r="F6" s="4" t="s">
        <v>50</v>
      </c>
      <c r="G6" s="4"/>
      <c r="H6" s="4" t="s">
        <v>51</v>
      </c>
      <c r="I6" s="4"/>
      <c r="J6" s="10" t="s">
        <v>48</v>
      </c>
    </row>
    <row r="7" spans="1:12" ht="15" x14ac:dyDescent="0.2">
      <c r="A7" s="4" t="s">
        <v>891</v>
      </c>
      <c r="B7" s="4" t="s">
        <v>911</v>
      </c>
      <c r="C7" s="15" t="s">
        <v>53</v>
      </c>
      <c r="D7" s="32" t="s">
        <v>60</v>
      </c>
      <c r="E7" s="32"/>
      <c r="F7" s="31" t="s">
        <v>60</v>
      </c>
      <c r="G7" s="31"/>
      <c r="H7" s="31" t="s">
        <v>60</v>
      </c>
      <c r="I7" s="31"/>
      <c r="J7" s="4"/>
      <c r="K7" s="4"/>
      <c r="L7" s="4"/>
    </row>
    <row r="8" spans="1:12" ht="15" x14ac:dyDescent="0.2">
      <c r="A8" s="2" t="s">
        <v>41</v>
      </c>
      <c r="B8" s="240">
        <v>662580</v>
      </c>
      <c r="C8" s="15" t="s">
        <v>58</v>
      </c>
      <c r="D8" s="3">
        <f>B8</f>
        <v>662580</v>
      </c>
      <c r="E8" s="3"/>
      <c r="F8" s="15">
        <f>D8-D57</f>
        <v>573993.72959999996</v>
      </c>
      <c r="G8" s="15"/>
      <c r="H8" s="15">
        <f>F8-F57</f>
        <v>573993.72959999996</v>
      </c>
      <c r="I8" s="15"/>
      <c r="J8" s="29" t="s">
        <v>931</v>
      </c>
      <c r="K8" s="3"/>
      <c r="L8" s="3"/>
    </row>
    <row r="9" spans="1:12" x14ac:dyDescent="0.2">
      <c r="A9" s="2" t="s">
        <v>852</v>
      </c>
      <c r="B9" s="190">
        <f>'basis data aangepast'!Q36</f>
        <v>1043416.2000000001</v>
      </c>
      <c r="C9" s="15" t="s">
        <v>892</v>
      </c>
      <c r="D9" s="8"/>
      <c r="E9" s="8"/>
      <c r="F9" s="8"/>
      <c r="G9" s="8"/>
      <c r="H9" s="8"/>
      <c r="I9" s="8"/>
      <c r="J9" s="8"/>
      <c r="K9" s="8"/>
      <c r="L9" s="8"/>
    </row>
    <row r="10" spans="1:12" ht="15" x14ac:dyDescent="0.2">
      <c r="A10" s="2"/>
      <c r="B10" s="18"/>
      <c r="C10" s="15"/>
      <c r="D10" s="8"/>
      <c r="E10" s="8"/>
      <c r="F10" s="8"/>
      <c r="G10" s="8"/>
      <c r="H10" s="8"/>
      <c r="I10" s="8"/>
      <c r="J10" s="8"/>
      <c r="K10" s="8"/>
      <c r="L10" s="8"/>
    </row>
    <row r="11" spans="1:12" ht="15" x14ac:dyDescent="0.2">
      <c r="A11" s="207" t="s">
        <v>881</v>
      </c>
      <c r="B11" s="207"/>
      <c r="C11" s="207"/>
      <c r="D11" s="207"/>
      <c r="E11" s="207"/>
      <c r="F11" s="207"/>
      <c r="G11" s="207" t="s">
        <v>887</v>
      </c>
      <c r="H11" s="207"/>
      <c r="I11" s="207" t="s">
        <v>887</v>
      </c>
      <c r="J11" s="4" t="s">
        <v>47</v>
      </c>
      <c r="K11" s="4" t="s">
        <v>45</v>
      </c>
      <c r="L11" s="4" t="s">
        <v>46</v>
      </c>
    </row>
    <row r="12" spans="1:12" ht="15" x14ac:dyDescent="0.2">
      <c r="A12" s="69" t="s">
        <v>308</v>
      </c>
      <c r="B12" s="18"/>
      <c r="C12" s="186" t="s">
        <v>57</v>
      </c>
      <c r="D12" s="8">
        <v>-586636</v>
      </c>
      <c r="E12" s="8"/>
      <c r="F12" s="211">
        <f>SUM(D12*G12)+D12</f>
        <v>-586636</v>
      </c>
      <c r="G12" s="202">
        <v>0</v>
      </c>
      <c r="H12" s="211">
        <f t="shared" ref="H12:H13" si="0">SUM(F12*I12)+F12</f>
        <v>-586636</v>
      </c>
      <c r="I12" s="202">
        <v>0</v>
      </c>
      <c r="J12" s="8"/>
      <c r="K12" s="8"/>
      <c r="L12" s="8"/>
    </row>
    <row r="13" spans="1:12" ht="15" x14ac:dyDescent="0.2">
      <c r="A13" s="69" t="s">
        <v>309</v>
      </c>
      <c r="B13" s="18"/>
      <c r="C13" s="186" t="s">
        <v>57</v>
      </c>
      <c r="D13" s="8">
        <v>-72754</v>
      </c>
      <c r="E13" s="8"/>
      <c r="F13" s="211">
        <f t="shared" ref="F13" si="1">SUM(D13*G13)+D13</f>
        <v>-72754</v>
      </c>
      <c r="G13" s="202">
        <v>0</v>
      </c>
      <c r="H13" s="211">
        <f t="shared" si="0"/>
        <v>-72754</v>
      </c>
      <c r="I13" s="202">
        <v>0</v>
      </c>
      <c r="J13" s="8"/>
      <c r="K13" s="8"/>
      <c r="L13" s="8"/>
    </row>
    <row r="14" spans="1:12" ht="15" x14ac:dyDescent="0.2">
      <c r="A14" s="69" t="s">
        <v>901</v>
      </c>
      <c r="B14" s="18"/>
      <c r="C14" s="186" t="s">
        <v>57</v>
      </c>
      <c r="D14" s="8">
        <v>-41801</v>
      </c>
      <c r="E14" s="8"/>
      <c r="F14" s="211">
        <f t="shared" ref="F14" si="2">SUM(D14*G14)+D14</f>
        <v>-41801</v>
      </c>
      <c r="G14" s="202">
        <v>0</v>
      </c>
      <c r="H14" s="211">
        <f t="shared" ref="H14" si="3">SUM(F14*I14)+F14</f>
        <v>-41801</v>
      </c>
      <c r="I14" s="202">
        <v>0</v>
      </c>
      <c r="J14" s="8"/>
      <c r="K14" s="8"/>
      <c r="L14" s="8"/>
    </row>
    <row r="15" spans="1:12" ht="15" x14ac:dyDescent="0.2">
      <c r="A15" s="206" t="s">
        <v>889</v>
      </c>
      <c r="B15" s="18"/>
      <c r="C15" s="20"/>
      <c r="D15" s="8"/>
      <c r="E15" s="8"/>
      <c r="F15" s="8"/>
      <c r="G15" s="8"/>
      <c r="H15" s="8"/>
      <c r="I15" s="8"/>
      <c r="J15" s="8"/>
      <c r="K15" s="8"/>
      <c r="L15" s="8"/>
    </row>
    <row r="16" spans="1:12" ht="15" x14ac:dyDescent="0.2">
      <c r="A16" s="206" t="s">
        <v>890</v>
      </c>
      <c r="B16" s="18"/>
      <c r="C16" s="20"/>
      <c r="D16" s="8"/>
      <c r="E16" s="8"/>
      <c r="F16" s="8"/>
      <c r="G16" s="8"/>
      <c r="H16" s="8"/>
      <c r="I16" s="8"/>
      <c r="J16" s="8"/>
      <c r="K16" s="8"/>
      <c r="L16" s="8"/>
    </row>
    <row r="17" spans="1:12" ht="30" x14ac:dyDescent="0.25">
      <c r="A17" s="69"/>
      <c r="B17" s="18"/>
      <c r="C17" s="20"/>
      <c r="D17" s="8"/>
      <c r="E17" s="210"/>
      <c r="F17" s="8"/>
      <c r="G17" s="213" t="s">
        <v>908</v>
      </c>
      <c r="H17" s="8"/>
      <c r="I17" s="213" t="s">
        <v>908</v>
      </c>
      <c r="J17" s="8"/>
      <c r="K17" s="8"/>
      <c r="L17" s="8"/>
    </row>
    <row r="18" spans="1:12" ht="15" x14ac:dyDescent="0.2">
      <c r="A18" s="207" t="s">
        <v>894</v>
      </c>
      <c r="B18" s="18"/>
      <c r="C18" s="186" t="s">
        <v>57</v>
      </c>
      <c r="D18" s="6">
        <v>-24328</v>
      </c>
      <c r="E18" s="50"/>
      <c r="F18" s="211">
        <f t="shared" ref="F18" si="4">SUM(D18*G18)+D18</f>
        <v>-24328</v>
      </c>
      <c r="G18" s="202">
        <v>0</v>
      </c>
      <c r="H18" s="211">
        <f t="shared" ref="H18" si="5">SUM(F18*I18)+F18</f>
        <v>-24328</v>
      </c>
      <c r="I18" s="202">
        <v>0</v>
      </c>
      <c r="J18" s="6"/>
      <c r="K18" s="6"/>
      <c r="L18" s="6"/>
    </row>
    <row r="19" spans="1:12" ht="15" x14ac:dyDescent="0.2">
      <c r="A19" s="69" t="s">
        <v>909</v>
      </c>
      <c r="B19" s="18"/>
      <c r="C19" s="20"/>
      <c r="D19" s="8"/>
      <c r="E19" s="8"/>
      <c r="F19" s="8"/>
      <c r="G19" s="8"/>
      <c r="H19" s="8"/>
      <c r="I19" s="8"/>
      <c r="J19" s="6"/>
      <c r="K19" s="6"/>
      <c r="L19" s="6"/>
    </row>
    <row r="20" spans="1:12" ht="15" x14ac:dyDescent="0.2">
      <c r="A20" s="69"/>
      <c r="B20" s="18"/>
      <c r="C20" s="20"/>
      <c r="D20" s="8"/>
      <c r="E20" s="8"/>
      <c r="F20" s="8"/>
      <c r="G20" s="8"/>
      <c r="H20" s="8"/>
      <c r="I20" s="8"/>
      <c r="J20" s="6"/>
      <c r="K20" s="6"/>
      <c r="L20" s="6"/>
    </row>
    <row r="21" spans="1:12" ht="15" x14ac:dyDescent="0.2">
      <c r="A21" s="207" t="s">
        <v>809</v>
      </c>
      <c r="B21" s="18"/>
      <c r="C21" s="20"/>
      <c r="D21" s="8"/>
      <c r="E21" s="8"/>
      <c r="F21" s="8"/>
      <c r="G21" s="8"/>
      <c r="H21" s="8"/>
      <c r="I21" s="8"/>
      <c r="J21" s="6"/>
      <c r="K21" s="6"/>
      <c r="L21" s="6"/>
    </row>
    <row r="22" spans="1:12" ht="15" x14ac:dyDescent="0.2">
      <c r="A22" s="69" t="s">
        <v>903</v>
      </c>
      <c r="B22" s="18"/>
      <c r="C22" s="186" t="s">
        <v>57</v>
      </c>
      <c r="D22" s="6">
        <v>0</v>
      </c>
      <c r="E22" s="50"/>
      <c r="F22" s="211">
        <f t="shared" ref="F22:F24" si="6">SUM(D22*G22)+D22</f>
        <v>0</v>
      </c>
      <c r="G22" s="202">
        <v>0</v>
      </c>
      <c r="H22" s="211">
        <f t="shared" ref="H22:H24" si="7">SUM(F22*I22)+F22</f>
        <v>0</v>
      </c>
      <c r="I22" s="202">
        <v>0</v>
      </c>
      <c r="J22" s="6"/>
      <c r="K22" s="6"/>
      <c r="L22" s="6"/>
    </row>
    <row r="23" spans="1:12" ht="15" x14ac:dyDescent="0.2">
      <c r="A23" s="69" t="s">
        <v>904</v>
      </c>
      <c r="B23" s="18"/>
      <c r="C23" s="186" t="s">
        <v>57</v>
      </c>
      <c r="D23" s="6">
        <v>0</v>
      </c>
      <c r="E23" s="50"/>
      <c r="F23" s="211">
        <f t="shared" si="6"/>
        <v>0</v>
      </c>
      <c r="G23" s="202">
        <v>0</v>
      </c>
      <c r="H23" s="211">
        <f t="shared" si="7"/>
        <v>0</v>
      </c>
      <c r="I23" s="202">
        <v>0</v>
      </c>
      <c r="J23" s="6"/>
      <c r="K23" s="6"/>
      <c r="L23" s="6"/>
    </row>
    <row r="24" spans="1:12" ht="15" x14ac:dyDescent="0.2">
      <c r="A24" s="69" t="s">
        <v>905</v>
      </c>
      <c r="B24" s="18"/>
      <c r="C24" s="186" t="s">
        <v>57</v>
      </c>
      <c r="D24" s="6">
        <v>0</v>
      </c>
      <c r="E24" s="50"/>
      <c r="F24" s="211">
        <f t="shared" si="6"/>
        <v>0</v>
      </c>
      <c r="G24" s="202">
        <v>0</v>
      </c>
      <c r="H24" s="211">
        <f t="shared" si="7"/>
        <v>0</v>
      </c>
      <c r="I24" s="202">
        <v>0</v>
      </c>
      <c r="J24" s="6"/>
      <c r="K24" s="6"/>
      <c r="L24" s="6"/>
    </row>
    <row r="25" spans="1:12" ht="15" x14ac:dyDescent="0.2">
      <c r="A25" s="69"/>
      <c r="B25" s="18"/>
      <c r="C25" s="20"/>
      <c r="D25" s="8"/>
      <c r="E25" s="8"/>
      <c r="F25" s="8"/>
      <c r="G25" s="8"/>
      <c r="H25" s="8"/>
      <c r="I25" s="8"/>
      <c r="J25" s="6"/>
      <c r="K25" s="6"/>
      <c r="L25" s="6"/>
    </row>
    <row r="26" spans="1:12" ht="15" x14ac:dyDescent="0.2">
      <c r="A26" s="207" t="s">
        <v>902</v>
      </c>
      <c r="B26" s="18"/>
      <c r="C26" s="20"/>
      <c r="D26" s="8"/>
      <c r="E26" s="8"/>
      <c r="F26" s="8"/>
      <c r="G26" s="8"/>
      <c r="H26" s="8"/>
      <c r="I26" s="8"/>
      <c r="J26" s="6"/>
      <c r="K26" s="6"/>
      <c r="L26" s="6"/>
    </row>
    <row r="27" spans="1:12" ht="15" x14ac:dyDescent="0.2">
      <c r="A27" s="69" t="s">
        <v>18</v>
      </c>
      <c r="B27" s="18"/>
      <c r="C27" s="186" t="s">
        <v>57</v>
      </c>
      <c r="D27" s="6">
        <v>0</v>
      </c>
      <c r="E27" s="50"/>
      <c r="F27" s="211">
        <f t="shared" ref="F27:F32" si="8">SUM(D27*G27)+D27</f>
        <v>0</v>
      </c>
      <c r="G27" s="202">
        <v>0</v>
      </c>
      <c r="H27" s="211">
        <f t="shared" ref="H27:H32" si="9">SUM(F27*I27)+F27</f>
        <v>0</v>
      </c>
      <c r="I27" s="202">
        <v>0</v>
      </c>
      <c r="J27" s="6"/>
      <c r="K27" s="6"/>
      <c r="L27" s="6"/>
    </row>
    <row r="28" spans="1:12" ht="15" x14ac:dyDescent="0.2">
      <c r="A28" s="69" t="s">
        <v>19</v>
      </c>
      <c r="B28" s="18"/>
      <c r="C28" s="186" t="s">
        <v>57</v>
      </c>
      <c r="D28" s="6">
        <v>0</v>
      </c>
      <c r="E28" s="50"/>
      <c r="F28" s="211">
        <f t="shared" si="8"/>
        <v>0</v>
      </c>
      <c r="G28" s="202">
        <v>0</v>
      </c>
      <c r="H28" s="211">
        <f t="shared" si="9"/>
        <v>0</v>
      </c>
      <c r="I28" s="202">
        <v>0</v>
      </c>
      <c r="J28" s="6"/>
      <c r="K28" s="6"/>
      <c r="L28" s="6"/>
    </row>
    <row r="29" spans="1:12" ht="15" x14ac:dyDescent="0.2">
      <c r="A29" s="69" t="s">
        <v>20</v>
      </c>
      <c r="B29" s="18"/>
      <c r="C29" s="186" t="s">
        <v>57</v>
      </c>
      <c r="D29" s="6">
        <v>0</v>
      </c>
      <c r="E29" s="50"/>
      <c r="F29" s="211">
        <f t="shared" si="8"/>
        <v>0</v>
      </c>
      <c r="G29" s="202">
        <v>0</v>
      </c>
      <c r="H29" s="211">
        <f t="shared" si="9"/>
        <v>0</v>
      </c>
      <c r="I29" s="202">
        <v>0</v>
      </c>
      <c r="J29" s="6"/>
      <c r="K29" s="6"/>
      <c r="L29" s="6"/>
    </row>
    <row r="30" spans="1:12" ht="15" x14ac:dyDescent="0.2">
      <c r="A30" s="69" t="s">
        <v>12</v>
      </c>
      <c r="B30" s="18"/>
      <c r="C30" s="186" t="s">
        <v>57</v>
      </c>
      <c r="D30" s="6">
        <v>0</v>
      </c>
      <c r="E30" s="50"/>
      <c r="F30" s="211">
        <f t="shared" si="8"/>
        <v>0</v>
      </c>
      <c r="G30" s="202">
        <v>0</v>
      </c>
      <c r="H30" s="211">
        <f t="shared" si="9"/>
        <v>0</v>
      </c>
      <c r="I30" s="202">
        <v>0</v>
      </c>
      <c r="J30" s="6"/>
      <c r="K30" s="6"/>
      <c r="L30" s="6"/>
    </row>
    <row r="31" spans="1:12" ht="15" x14ac:dyDescent="0.2">
      <c r="A31" s="69" t="s">
        <v>13</v>
      </c>
      <c r="B31" s="18"/>
      <c r="C31" s="186" t="s">
        <v>57</v>
      </c>
      <c r="D31" s="6">
        <v>0</v>
      </c>
      <c r="E31" s="50"/>
      <c r="F31" s="211">
        <f t="shared" si="8"/>
        <v>0</v>
      </c>
      <c r="G31" s="202">
        <v>0</v>
      </c>
      <c r="H31" s="211">
        <f t="shared" si="9"/>
        <v>0</v>
      </c>
      <c r="I31" s="202">
        <v>0</v>
      </c>
      <c r="J31" s="6"/>
      <c r="K31" s="6"/>
      <c r="L31" s="6"/>
    </row>
    <row r="32" spans="1:12" ht="15" x14ac:dyDescent="0.2">
      <c r="A32" s="69" t="s">
        <v>14</v>
      </c>
      <c r="B32" s="18"/>
      <c r="C32" s="186" t="s">
        <v>57</v>
      </c>
      <c r="D32" s="6">
        <v>0</v>
      </c>
      <c r="E32" s="50"/>
      <c r="F32" s="211">
        <f t="shared" si="8"/>
        <v>0</v>
      </c>
      <c r="G32" s="202">
        <v>0</v>
      </c>
      <c r="H32" s="211">
        <f t="shared" si="9"/>
        <v>0</v>
      </c>
      <c r="I32" s="202">
        <v>0</v>
      </c>
      <c r="J32" s="6"/>
      <c r="K32" s="6"/>
      <c r="L32" s="6"/>
    </row>
    <row r="33" spans="1:12" ht="15" x14ac:dyDescent="0.2">
      <c r="A33" s="69"/>
      <c r="B33" s="18"/>
      <c r="C33" s="20"/>
      <c r="D33" s="8"/>
      <c r="E33" s="8"/>
      <c r="F33" s="211"/>
      <c r="G33" s="8"/>
      <c r="H33" s="211"/>
      <c r="I33" s="8"/>
      <c r="J33" s="6"/>
      <c r="K33" s="6"/>
      <c r="L33" s="6"/>
    </row>
    <row r="34" spans="1:12" ht="15" x14ac:dyDescent="0.2">
      <c r="A34" s="207" t="s">
        <v>893</v>
      </c>
      <c r="B34" s="18"/>
      <c r="C34" s="186" t="s">
        <v>57</v>
      </c>
      <c r="D34" s="6">
        <v>-20616</v>
      </c>
      <c r="E34" s="50"/>
      <c r="F34" s="211">
        <f t="shared" ref="F34" si="10">SUM(D34*G34)+D34</f>
        <v>-20616</v>
      </c>
      <c r="G34" s="202">
        <v>0</v>
      </c>
      <c r="H34" s="211">
        <f t="shared" ref="H34" si="11">SUM(F34*I34)+F34</f>
        <v>-20616</v>
      </c>
      <c r="I34" s="202">
        <v>0</v>
      </c>
      <c r="J34" s="6"/>
      <c r="K34" s="6"/>
      <c r="L34" s="6"/>
    </row>
    <row r="35" spans="1:12" ht="15" x14ac:dyDescent="0.2">
      <c r="A35" s="69" t="s">
        <v>910</v>
      </c>
      <c r="B35" s="18"/>
      <c r="C35" s="20"/>
      <c r="D35" s="8"/>
      <c r="E35" s="8"/>
      <c r="F35" s="8"/>
      <c r="G35" s="8"/>
      <c r="H35" s="8"/>
      <c r="I35" s="8"/>
      <c r="J35" s="6"/>
      <c r="K35" s="6"/>
      <c r="L35" s="6"/>
    </row>
    <row r="36" spans="1:12" ht="15" x14ac:dyDescent="0.2">
      <c r="A36" s="69"/>
      <c r="B36" s="18"/>
      <c r="C36" s="20"/>
      <c r="D36" s="8"/>
      <c r="E36" s="8"/>
      <c r="F36" s="8"/>
      <c r="G36" s="8"/>
      <c r="H36" s="8"/>
      <c r="I36" s="8"/>
      <c r="J36" s="6"/>
      <c r="K36" s="6"/>
      <c r="L36" s="6"/>
    </row>
    <row r="37" spans="1:12" ht="15" x14ac:dyDescent="0.2">
      <c r="A37" s="207" t="s">
        <v>906</v>
      </c>
      <c r="B37" s="18"/>
      <c r="C37" s="20"/>
      <c r="D37" s="8"/>
      <c r="E37" s="8"/>
      <c r="F37" s="8"/>
      <c r="G37" s="8"/>
      <c r="H37" s="8"/>
      <c r="I37" s="8"/>
      <c r="J37" s="6"/>
      <c r="K37" s="6"/>
      <c r="L37" s="6"/>
    </row>
    <row r="38" spans="1:12" x14ac:dyDescent="0.2">
      <c r="A38" s="222"/>
      <c r="B38" s="223"/>
      <c r="C38" s="186" t="s">
        <v>57</v>
      </c>
      <c r="D38" s="6">
        <v>0</v>
      </c>
      <c r="E38" s="50"/>
      <c r="F38" s="211">
        <f t="shared" ref="F38:F40" si="12">SUM(D38*G38)+D38</f>
        <v>0</v>
      </c>
      <c r="G38" s="202">
        <v>0</v>
      </c>
      <c r="H38" s="211">
        <f t="shared" ref="H38:H40" si="13">SUM(F38*I38)+F38</f>
        <v>0</v>
      </c>
      <c r="I38" s="202">
        <v>0</v>
      </c>
      <c r="J38" s="6"/>
      <c r="K38" s="6"/>
      <c r="L38" s="6"/>
    </row>
    <row r="39" spans="1:12" x14ac:dyDescent="0.2">
      <c r="A39" s="222"/>
      <c r="B39" s="223"/>
      <c r="C39" s="186" t="s">
        <v>57</v>
      </c>
      <c r="D39" s="6">
        <v>0</v>
      </c>
      <c r="E39" s="50"/>
      <c r="F39" s="211">
        <f t="shared" si="12"/>
        <v>0</v>
      </c>
      <c r="G39" s="202">
        <v>0</v>
      </c>
      <c r="H39" s="211">
        <f t="shared" si="13"/>
        <v>0</v>
      </c>
      <c r="I39" s="202">
        <v>0</v>
      </c>
      <c r="J39" s="6"/>
      <c r="K39" s="6"/>
      <c r="L39" s="6"/>
    </row>
    <row r="40" spans="1:12" x14ac:dyDescent="0.2">
      <c r="A40" s="222"/>
      <c r="B40" s="223"/>
      <c r="C40" s="186" t="s">
        <v>57</v>
      </c>
      <c r="D40" s="6">
        <v>0</v>
      </c>
      <c r="E40" s="50"/>
      <c r="F40" s="211">
        <f t="shared" si="12"/>
        <v>0</v>
      </c>
      <c r="G40" s="202">
        <v>0</v>
      </c>
      <c r="H40" s="211">
        <f t="shared" si="13"/>
        <v>0</v>
      </c>
      <c r="I40" s="202">
        <v>0</v>
      </c>
      <c r="J40" s="6"/>
      <c r="K40" s="6"/>
      <c r="L40" s="6"/>
    </row>
    <row r="41" spans="1:12" ht="15" x14ac:dyDescent="0.2">
      <c r="A41" s="69"/>
      <c r="B41" s="203" t="s">
        <v>884</v>
      </c>
      <c r="C41" s="186"/>
      <c r="D41" s="198">
        <f>SUM(D12:D40)</f>
        <v>-746135</v>
      </c>
      <c r="E41" s="50"/>
      <c r="F41" s="198">
        <f>SUM(F12:F40)</f>
        <v>-746135</v>
      </c>
      <c r="G41" s="50"/>
      <c r="H41" s="198">
        <f>SUM(H12:H40)</f>
        <v>-746135</v>
      </c>
      <c r="I41" s="50"/>
      <c r="J41" s="6"/>
      <c r="K41" s="6"/>
      <c r="L41" s="6"/>
    </row>
    <row r="42" spans="1:12" ht="15" x14ac:dyDescent="0.2">
      <c r="A42" s="208" t="s">
        <v>896</v>
      </c>
      <c r="B42" s="18"/>
      <c r="C42" s="20"/>
      <c r="D42" s="6"/>
      <c r="E42" s="50"/>
      <c r="F42" s="6"/>
      <c r="G42" s="50"/>
      <c r="H42" s="6"/>
      <c r="I42" s="50"/>
      <c r="J42" s="6"/>
      <c r="K42" s="6"/>
      <c r="L42" s="6"/>
    </row>
    <row r="43" spans="1:12" x14ac:dyDescent="0.2">
      <c r="A43" s="69" t="s">
        <v>895</v>
      </c>
      <c r="B43" s="212" t="s">
        <v>886</v>
      </c>
      <c r="C43" s="200" t="s">
        <v>58</v>
      </c>
      <c r="D43" s="201">
        <v>17500</v>
      </c>
      <c r="E43" s="50"/>
      <c r="F43" s="211">
        <f t="shared" ref="F43:F44" si="14">SUM(D43*G43)+D43</f>
        <v>17500</v>
      </c>
      <c r="G43" s="209"/>
      <c r="H43" s="201">
        <v>17500</v>
      </c>
      <c r="I43" s="209"/>
      <c r="J43" s="6"/>
      <c r="K43" s="6"/>
      <c r="L43" s="6"/>
    </row>
    <row r="44" spans="1:12" x14ac:dyDescent="0.2">
      <c r="A44" s="69" t="s">
        <v>898</v>
      </c>
      <c r="B44" s="212" t="s">
        <v>885</v>
      </c>
      <c r="C44" s="200" t="s">
        <v>58</v>
      </c>
      <c r="D44" s="201">
        <f>'basis data aangepast'!O45</f>
        <v>172141.27039999998</v>
      </c>
      <c r="E44" s="50"/>
      <c r="F44" s="211">
        <f t="shared" si="14"/>
        <v>172141.27039999998</v>
      </c>
      <c r="G44" s="202">
        <v>0</v>
      </c>
      <c r="H44" s="211">
        <f t="shared" ref="H44" si="15">SUM(F44*I44)+F44</f>
        <v>172141.27039999998</v>
      </c>
      <c r="I44" s="202">
        <v>0</v>
      </c>
      <c r="J44" s="6"/>
      <c r="K44" s="6"/>
      <c r="L44" s="6"/>
    </row>
    <row r="45" spans="1:12" ht="15" x14ac:dyDescent="0.2">
      <c r="A45" s="69" t="s">
        <v>899</v>
      </c>
      <c r="B45" s="18"/>
      <c r="C45" s="200" t="s">
        <v>58</v>
      </c>
      <c r="D45" s="6">
        <v>0</v>
      </c>
      <c r="E45" s="50"/>
      <c r="F45" s="211">
        <f t="shared" ref="F45:F48" si="16">SUM(D45*G45)+D45</f>
        <v>0</v>
      </c>
      <c r="G45" s="202">
        <v>0</v>
      </c>
      <c r="H45" s="211">
        <f t="shared" ref="H45:H48" si="17">SUM(F45*I45)+F45</f>
        <v>0</v>
      </c>
      <c r="I45" s="202">
        <v>0</v>
      </c>
      <c r="J45" s="6"/>
      <c r="K45" s="6"/>
      <c r="L45" s="6"/>
    </row>
    <row r="46" spans="1:12" x14ac:dyDescent="0.2">
      <c r="A46" s="69" t="s">
        <v>897</v>
      </c>
      <c r="B46" s="190"/>
      <c r="C46" s="200" t="s">
        <v>58</v>
      </c>
      <c r="D46" s="6">
        <v>0</v>
      </c>
      <c r="E46" s="50"/>
      <c r="F46" s="211">
        <f t="shared" si="16"/>
        <v>0</v>
      </c>
      <c r="G46" s="202">
        <v>0</v>
      </c>
      <c r="H46" s="211">
        <f t="shared" si="17"/>
        <v>0</v>
      </c>
      <c r="I46" s="202">
        <v>0</v>
      </c>
      <c r="J46" s="6"/>
      <c r="K46" s="6"/>
      <c r="L46" s="6"/>
    </row>
    <row r="47" spans="1:12" ht="15" x14ac:dyDescent="0.2">
      <c r="A47" s="69" t="s">
        <v>900</v>
      </c>
      <c r="B47" s="18"/>
      <c r="C47" s="200" t="s">
        <v>58</v>
      </c>
      <c r="D47" s="6">
        <v>0</v>
      </c>
      <c r="E47" s="50"/>
      <c r="F47" s="211">
        <f t="shared" si="16"/>
        <v>0</v>
      </c>
      <c r="G47" s="202">
        <v>0</v>
      </c>
      <c r="H47" s="211">
        <f t="shared" si="17"/>
        <v>0</v>
      </c>
      <c r="I47" s="202">
        <v>0</v>
      </c>
      <c r="J47" s="6"/>
      <c r="K47" s="6"/>
      <c r="L47" s="6"/>
    </row>
    <row r="48" spans="1:12" ht="15" x14ac:dyDescent="0.2">
      <c r="A48" s="69" t="s">
        <v>907</v>
      </c>
      <c r="B48" s="18"/>
      <c r="C48" s="200" t="s">
        <v>58</v>
      </c>
      <c r="D48" s="6">
        <v>0</v>
      </c>
      <c r="E48" s="50"/>
      <c r="F48" s="211">
        <f t="shared" si="16"/>
        <v>0</v>
      </c>
      <c r="G48" s="202">
        <v>0</v>
      </c>
      <c r="H48" s="211">
        <f t="shared" si="17"/>
        <v>0</v>
      </c>
      <c r="I48" s="202">
        <v>0</v>
      </c>
      <c r="J48" s="6"/>
      <c r="K48" s="6"/>
      <c r="L48" s="6"/>
    </row>
    <row r="49" spans="1:12" ht="15" x14ac:dyDescent="0.2">
      <c r="A49" s="2"/>
      <c r="B49" s="18"/>
      <c r="C49" s="19"/>
      <c r="D49" s="2"/>
      <c r="E49" s="49"/>
      <c r="F49" s="2"/>
      <c r="G49" s="49"/>
      <c r="H49" s="2"/>
      <c r="I49" s="2"/>
      <c r="J49" s="6"/>
      <c r="K49" s="6"/>
      <c r="L49" s="6"/>
    </row>
    <row r="50" spans="1:12" ht="15" x14ac:dyDescent="0.2">
      <c r="A50" s="9" t="s">
        <v>59</v>
      </c>
      <c r="B50" s="2"/>
      <c r="C50" s="19"/>
      <c r="D50" s="2"/>
      <c r="E50" s="49"/>
      <c r="F50" s="2"/>
      <c r="G50" s="49"/>
      <c r="H50" s="2"/>
      <c r="I50" s="2"/>
      <c r="J50" s="3"/>
      <c r="K50" s="3"/>
      <c r="L50" s="3"/>
    </row>
    <row r="51" spans="1:12" x14ac:dyDescent="0.2">
      <c r="A51" s="222"/>
      <c r="B51" s="223"/>
      <c r="C51" s="200" t="s">
        <v>58</v>
      </c>
      <c r="D51" s="6">
        <v>0</v>
      </c>
      <c r="E51" s="50"/>
      <c r="F51" s="211">
        <f t="shared" ref="F51:F55" si="18">SUM(D51*G51)+D51</f>
        <v>0</v>
      </c>
      <c r="G51" s="202">
        <v>0</v>
      </c>
      <c r="H51" s="211">
        <f t="shared" ref="H51:H55" si="19">SUM(F51*I51)+F51</f>
        <v>0</v>
      </c>
      <c r="I51" s="202">
        <v>0</v>
      </c>
      <c r="J51" s="6"/>
      <c r="K51" s="6"/>
      <c r="L51" s="6"/>
    </row>
    <row r="52" spans="1:12" x14ac:dyDescent="0.2">
      <c r="A52" s="12"/>
      <c r="B52" s="13"/>
      <c r="C52" s="200" t="s">
        <v>58</v>
      </c>
      <c r="D52" s="6">
        <v>0</v>
      </c>
      <c r="E52" s="50"/>
      <c r="F52" s="211">
        <f t="shared" si="18"/>
        <v>0</v>
      </c>
      <c r="G52" s="202">
        <v>0</v>
      </c>
      <c r="H52" s="211">
        <f t="shared" si="19"/>
        <v>0</v>
      </c>
      <c r="I52" s="202">
        <v>0</v>
      </c>
      <c r="J52" s="6"/>
      <c r="K52" s="6"/>
      <c r="L52" s="6"/>
    </row>
    <row r="53" spans="1:12" x14ac:dyDescent="0.2">
      <c r="A53" s="12"/>
      <c r="B53" s="13"/>
      <c r="C53" s="200" t="s">
        <v>58</v>
      </c>
      <c r="D53" s="6">
        <v>0</v>
      </c>
      <c r="E53" s="50"/>
      <c r="F53" s="211">
        <f t="shared" si="18"/>
        <v>0</v>
      </c>
      <c r="G53" s="202">
        <v>0</v>
      </c>
      <c r="H53" s="211">
        <f t="shared" si="19"/>
        <v>0</v>
      </c>
      <c r="I53" s="202">
        <v>0</v>
      </c>
      <c r="J53" s="6"/>
      <c r="K53" s="6"/>
      <c r="L53" s="6"/>
    </row>
    <row r="54" spans="1:12" x14ac:dyDescent="0.2">
      <c r="A54" s="12"/>
      <c r="B54" s="13"/>
      <c r="C54" s="200" t="s">
        <v>58</v>
      </c>
      <c r="D54" s="6">
        <v>0</v>
      </c>
      <c r="E54" s="50"/>
      <c r="F54" s="211">
        <f t="shared" si="18"/>
        <v>0</v>
      </c>
      <c r="G54" s="202">
        <v>0</v>
      </c>
      <c r="H54" s="211">
        <f t="shared" si="19"/>
        <v>0</v>
      </c>
      <c r="I54" s="202">
        <v>0</v>
      </c>
      <c r="J54" s="6"/>
      <c r="K54" s="6"/>
      <c r="L54" s="6"/>
    </row>
    <row r="55" spans="1:12" x14ac:dyDescent="0.2">
      <c r="A55" s="12"/>
      <c r="B55" s="13"/>
      <c r="C55" s="200" t="s">
        <v>58</v>
      </c>
      <c r="D55" s="6">
        <v>0</v>
      </c>
      <c r="E55" s="50"/>
      <c r="F55" s="211">
        <f t="shared" si="18"/>
        <v>0</v>
      </c>
      <c r="G55" s="202">
        <v>0</v>
      </c>
      <c r="H55" s="211">
        <f t="shared" si="19"/>
        <v>0</v>
      </c>
      <c r="I55" s="202">
        <v>0</v>
      </c>
      <c r="J55" s="6"/>
      <c r="K55" s="6"/>
      <c r="L55" s="6"/>
    </row>
    <row r="56" spans="1:12" ht="15" x14ac:dyDescent="0.2">
      <c r="A56" s="69"/>
      <c r="B56" s="204" t="s">
        <v>883</v>
      </c>
      <c r="C56" s="204"/>
      <c r="D56" s="205">
        <f>SUM(D44:D55)</f>
        <v>172141.27039999998</v>
      </c>
      <c r="E56" s="50"/>
      <c r="F56" s="199">
        <f>SUM(F44:F55)</f>
        <v>172141.27039999998</v>
      </c>
      <c r="G56" s="50"/>
      <c r="H56" s="199">
        <f>SUM(H44:H55)</f>
        <v>172141.27039999998</v>
      </c>
      <c r="I56" s="50"/>
      <c r="J56" s="6"/>
      <c r="K56" s="6"/>
      <c r="L56" s="6"/>
    </row>
    <row r="57" spans="1:12" x14ac:dyDescent="0.2">
      <c r="A57" s="5" t="s">
        <v>52</v>
      </c>
      <c r="B57" s="5"/>
      <c r="C57" s="15"/>
      <c r="D57" s="5">
        <f>SUM(D8+D56)+D41</f>
        <v>88586.270400000038</v>
      </c>
      <c r="E57" s="5"/>
      <c r="F57" s="5">
        <f>SUM(F8+F56)+F41</f>
        <v>0</v>
      </c>
      <c r="G57" s="5"/>
      <c r="H57" s="5">
        <f>SUM(H8+H56)+H41</f>
        <v>0</v>
      </c>
      <c r="I57" s="5"/>
    </row>
    <row r="58" spans="1:12" ht="15" thickBot="1" x14ac:dyDescent="0.25"/>
    <row r="59" spans="1:12" ht="45" x14ac:dyDescent="0.25">
      <c r="A59" s="34" t="s">
        <v>64</v>
      </c>
      <c r="B59" s="36" t="s">
        <v>61</v>
      </c>
      <c r="C59" s="35"/>
      <c r="D59" s="45" t="s">
        <v>62</v>
      </c>
      <c r="E59" s="45"/>
      <c r="F59" s="36" t="s">
        <v>66</v>
      </c>
      <c r="G59" s="36"/>
      <c r="H59" s="252" t="s">
        <v>1031</v>
      </c>
      <c r="I59" s="253" t="s">
        <v>888</v>
      </c>
      <c r="J59" s="37"/>
      <c r="K59" s="254" t="s">
        <v>70</v>
      </c>
      <c r="L59" s="38"/>
    </row>
    <row r="60" spans="1:12" x14ac:dyDescent="0.2">
      <c r="A60" s="39" t="s">
        <v>49</v>
      </c>
      <c r="B60" s="33">
        <f>B8</f>
        <v>662580</v>
      </c>
      <c r="D60" s="33">
        <f>D8</f>
        <v>662580</v>
      </c>
      <c r="E60" s="33"/>
      <c r="F60" s="33">
        <f>B60-D60</f>
        <v>0</v>
      </c>
      <c r="G60" s="48">
        <f>F60/D60</f>
        <v>0</v>
      </c>
      <c r="H60" s="248">
        <f>SUM(F60*I60)</f>
        <v>0</v>
      </c>
      <c r="I60" s="247">
        <v>0</v>
      </c>
      <c r="K60" s="255" t="s">
        <v>67</v>
      </c>
      <c r="L60" s="40"/>
    </row>
    <row r="61" spans="1:12" x14ac:dyDescent="0.2">
      <c r="A61" s="39" t="s">
        <v>63</v>
      </c>
      <c r="B61" s="33">
        <f>B8</f>
        <v>662580</v>
      </c>
      <c r="D61" s="33">
        <f>F8</f>
        <v>573993.72959999996</v>
      </c>
      <c r="E61" s="33"/>
      <c r="F61" s="33">
        <f>B61-D61</f>
        <v>88586.270400000038</v>
      </c>
      <c r="G61" s="48">
        <f>F61/D61</f>
        <v>0.15433316747507558</v>
      </c>
      <c r="H61" s="248">
        <f t="shared" ref="H61:H62" si="20">SUM(F61*I61)</f>
        <v>0</v>
      </c>
      <c r="I61" s="247">
        <v>0</v>
      </c>
      <c r="K61" s="255"/>
      <c r="L61" s="40"/>
    </row>
    <row r="62" spans="1:12" x14ac:dyDescent="0.2">
      <c r="A62" s="39" t="s">
        <v>51</v>
      </c>
      <c r="B62" s="33">
        <f>B8</f>
        <v>662580</v>
      </c>
      <c r="D62" s="33">
        <f>H8</f>
        <v>573993.72959999996</v>
      </c>
      <c r="E62" s="33"/>
      <c r="F62" s="33">
        <f>B62-D62</f>
        <v>88586.270400000038</v>
      </c>
      <c r="G62" s="48">
        <f>F62/D62</f>
        <v>0.15433316747507558</v>
      </c>
      <c r="H62" s="248">
        <f t="shared" si="20"/>
        <v>0</v>
      </c>
      <c r="I62" s="247">
        <v>0</v>
      </c>
      <c r="K62" s="255"/>
      <c r="L62" s="40"/>
    </row>
    <row r="63" spans="1:12" x14ac:dyDescent="0.2">
      <c r="A63" s="39"/>
      <c r="K63" s="255" t="s">
        <v>68</v>
      </c>
      <c r="L63" s="40"/>
    </row>
    <row r="64" spans="1:12" ht="15" x14ac:dyDescent="0.25">
      <c r="A64" s="39"/>
      <c r="B64" s="33">
        <f>SUM(B60:B63)</f>
        <v>1987740</v>
      </c>
      <c r="D64" s="33">
        <f>SUM(D60:D63)</f>
        <v>1810567.4591999999</v>
      </c>
      <c r="E64" s="33"/>
      <c r="F64" s="241">
        <f>B64-D64</f>
        <v>177172.54080000008</v>
      </c>
      <c r="G64" s="242">
        <f>F64/B64</f>
        <v>8.9132653566361839E-2</v>
      </c>
      <c r="H64" s="243"/>
      <c r="K64" s="255" t="s">
        <v>69</v>
      </c>
      <c r="L64" s="40"/>
    </row>
    <row r="65" spans="1:12" ht="15.75" thickBot="1" x14ac:dyDescent="0.3">
      <c r="A65" s="39"/>
      <c r="B65" s="33"/>
      <c r="D65" s="33"/>
      <c r="E65" s="33"/>
      <c r="F65" s="241"/>
      <c r="G65" s="242"/>
      <c r="H65" s="243"/>
      <c r="K65" s="255"/>
      <c r="L65" s="40"/>
    </row>
    <row r="66" spans="1:12" ht="15" thickBot="1" x14ac:dyDescent="0.25">
      <c r="A66" s="39"/>
      <c r="B66" s="33"/>
      <c r="D66" s="33"/>
      <c r="E66" s="33"/>
      <c r="F66" s="249" t="s">
        <v>1032</v>
      </c>
      <c r="G66" s="250"/>
      <c r="H66" s="251"/>
      <c r="K66" s="255"/>
      <c r="L66" s="40"/>
    </row>
    <row r="67" spans="1:12" ht="15.75" thickBot="1" x14ac:dyDescent="0.3">
      <c r="A67" s="41"/>
      <c r="B67" s="42"/>
      <c r="C67" s="42"/>
      <c r="D67" s="42"/>
      <c r="E67" s="42"/>
      <c r="F67" s="244">
        <f>H60+H61+H62</f>
        <v>0</v>
      </c>
      <c r="G67" s="245"/>
      <c r="H67" s="246"/>
      <c r="I67" s="42"/>
      <c r="J67" s="43"/>
      <c r="K67" s="256" t="s">
        <v>71</v>
      </c>
      <c r="L67" s="44"/>
    </row>
    <row r="69" spans="1:12" ht="15" x14ac:dyDescent="0.25">
      <c r="A69" s="170" t="s">
        <v>930</v>
      </c>
      <c r="F69" s="48"/>
      <c r="G69" s="48"/>
    </row>
  </sheetData>
  <sortState xmlns:xlrd2="http://schemas.microsoft.com/office/spreadsheetml/2017/richdata2" ref="A19:C48">
    <sortCondition ref="C19:C48"/>
  </sortState>
  <mergeCells count="7">
    <mergeCell ref="F66:H66"/>
    <mergeCell ref="F67:H67"/>
    <mergeCell ref="A51:B51"/>
    <mergeCell ref="D2:H2"/>
    <mergeCell ref="A38:B38"/>
    <mergeCell ref="A39:B39"/>
    <mergeCell ref="A40:B40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0FA6FE-CD45-4671-B018-DBFEE8E54D7C}">
  <dimension ref="A1:Y168"/>
  <sheetViews>
    <sheetView workbookViewId="0">
      <pane ySplit="1" topLeftCell="A2" activePane="bottomLeft" state="frozen"/>
      <selection pane="bottomLeft" sqref="A1:J1048576"/>
    </sheetView>
  </sheetViews>
  <sheetFormatPr defaultColWidth="7.75" defaultRowHeight="14.25" x14ac:dyDescent="0.2"/>
  <cols>
    <col min="1" max="1" width="16" hidden="1" customWidth="1"/>
    <col min="2" max="2" width="5.5" hidden="1" customWidth="1"/>
    <col min="3" max="6" width="9.5" style="159" hidden="1" customWidth="1"/>
    <col min="7" max="7" width="25.125" style="159" hidden="1" customWidth="1"/>
    <col min="8" max="8" width="12.25" style="159" hidden="1" customWidth="1"/>
    <col min="9" max="9" width="6.25" style="114" hidden="1" customWidth="1"/>
    <col min="10" max="10" width="9.375" style="114" hidden="1" customWidth="1"/>
    <col min="11" max="11" width="0" style="159" hidden="1" customWidth="1"/>
    <col min="12" max="12" width="2.5" customWidth="1"/>
    <col min="13" max="13" width="21.75" bestFit="1" customWidth="1"/>
    <col min="14" max="14" width="11.375" bestFit="1" customWidth="1"/>
    <col min="15" max="15" width="16" bestFit="1" customWidth="1"/>
    <col min="16" max="16" width="13" bestFit="1" customWidth="1"/>
    <col min="17" max="17" width="16" bestFit="1" customWidth="1"/>
    <col min="18" max="18" width="9.5" bestFit="1" customWidth="1"/>
    <col min="19" max="19" width="16" bestFit="1" customWidth="1"/>
    <col min="20" max="20" width="8.75" bestFit="1" customWidth="1"/>
    <col min="21" max="21" width="16" bestFit="1" customWidth="1"/>
    <col min="22" max="22" width="8.75" bestFit="1" customWidth="1"/>
    <col min="23" max="23" width="21.75" bestFit="1" customWidth="1"/>
    <col min="24" max="24" width="5" bestFit="1" customWidth="1"/>
    <col min="25" max="25" width="13.75" bestFit="1" customWidth="1"/>
  </cols>
  <sheetData>
    <row r="1" spans="1:25" x14ac:dyDescent="0.2">
      <c r="B1" s="163">
        <v>2015</v>
      </c>
      <c r="D1" s="163">
        <v>2016</v>
      </c>
      <c r="E1" s="163">
        <v>2017</v>
      </c>
      <c r="F1" s="163">
        <v>2018</v>
      </c>
      <c r="G1" s="163">
        <v>2019</v>
      </c>
      <c r="H1" s="163" t="s">
        <v>840</v>
      </c>
      <c r="I1" s="114" t="s">
        <v>328</v>
      </c>
      <c r="J1" s="114" t="s">
        <v>839</v>
      </c>
      <c r="K1" s="163"/>
      <c r="L1" s="164"/>
      <c r="M1" s="96" t="s">
        <v>89</v>
      </c>
      <c r="N1" s="164" t="s">
        <v>832</v>
      </c>
      <c r="O1" s="96" t="s">
        <v>86</v>
      </c>
      <c r="P1" s="164" t="s">
        <v>832</v>
      </c>
      <c r="Q1" s="96" t="s">
        <v>316</v>
      </c>
      <c r="R1" s="164" t="s">
        <v>832</v>
      </c>
      <c r="S1" s="96" t="s">
        <v>830</v>
      </c>
      <c r="T1" s="164" t="s">
        <v>832</v>
      </c>
      <c r="U1" s="96" t="s">
        <v>311</v>
      </c>
      <c r="V1" s="164" t="s">
        <v>832</v>
      </c>
      <c r="W1" s="96" t="s">
        <v>846</v>
      </c>
      <c r="X1" s="164" t="s">
        <v>832</v>
      </c>
      <c r="Y1" s="164" t="s">
        <v>831</v>
      </c>
    </row>
    <row r="2" spans="1:25" x14ac:dyDescent="0.2">
      <c r="A2" t="s">
        <v>318</v>
      </c>
      <c r="B2" s="167">
        <v>1</v>
      </c>
      <c r="D2" s="168">
        <v>1.0009999999999999</v>
      </c>
      <c r="E2" s="168">
        <v>1.0149999999999999</v>
      </c>
      <c r="F2" s="168">
        <v>1.02</v>
      </c>
      <c r="G2" s="168">
        <v>1.02</v>
      </c>
      <c r="H2" s="168"/>
      <c r="I2" s="157">
        <f>'m2 de Driehoek'!G71</f>
        <v>1186.3000000000004</v>
      </c>
      <c r="J2" s="157">
        <f>Bezoekersaantallen!H28</f>
        <v>29571</v>
      </c>
      <c r="K2" s="160"/>
      <c r="L2" s="164"/>
      <c r="M2" s="156" t="s">
        <v>822</v>
      </c>
      <c r="N2" s="165"/>
      <c r="O2" s="156" t="s">
        <v>822</v>
      </c>
      <c r="P2" s="165"/>
      <c r="Q2" s="156" t="s">
        <v>822</v>
      </c>
      <c r="R2" s="165"/>
      <c r="S2" s="156" t="s">
        <v>822</v>
      </c>
      <c r="T2" s="165"/>
      <c r="U2" s="156" t="s">
        <v>822</v>
      </c>
      <c r="V2" s="165"/>
      <c r="W2" s="156" t="s">
        <v>822</v>
      </c>
      <c r="X2" s="158"/>
      <c r="Y2" s="165">
        <f>SUM(N2+P2+R2+T2+V2+X2)</f>
        <v>0</v>
      </c>
    </row>
    <row r="3" spans="1:25" x14ac:dyDescent="0.2">
      <c r="A3" s="156" t="s">
        <v>802</v>
      </c>
      <c r="B3" s="156" t="s">
        <v>319</v>
      </c>
      <c r="C3" s="173">
        <v>15049</v>
      </c>
      <c r="D3" s="173">
        <f>C3*$D$2</f>
        <v>15064.048999999999</v>
      </c>
      <c r="E3" s="173">
        <f>D3*$E$2</f>
        <v>15290.009734999998</v>
      </c>
      <c r="F3" s="173">
        <f>E3*$F$2</f>
        <v>15595.809929699997</v>
      </c>
      <c r="G3" s="173">
        <f>F3*$G$2</f>
        <v>15907.726128293998</v>
      </c>
      <c r="H3" s="171">
        <f>G3/J2</f>
        <v>0.53795022583930197</v>
      </c>
      <c r="I3" s="157"/>
      <c r="J3" s="157"/>
      <c r="K3" s="160"/>
      <c r="L3" s="164"/>
    </row>
    <row r="4" spans="1:25" x14ac:dyDescent="0.2">
      <c r="A4" s="156" t="s">
        <v>803</v>
      </c>
      <c r="B4" s="156" t="s">
        <v>319</v>
      </c>
      <c r="C4" s="173">
        <v>204153</v>
      </c>
      <c r="D4" s="173">
        <f>C4*$D$2</f>
        <v>204357.15299999999</v>
      </c>
      <c r="E4" s="173">
        <f>D4*$E$2</f>
        <v>207422.51029499999</v>
      </c>
      <c r="F4" s="173">
        <f>E4*$F$2</f>
        <v>211570.96050089999</v>
      </c>
      <c r="G4" s="182">
        <f>F4*$G$2</f>
        <v>215802.379710918</v>
      </c>
      <c r="H4" s="160">
        <f>G4/I2</f>
        <v>181.91214676803332</v>
      </c>
      <c r="I4" s="157"/>
      <c r="J4" s="157"/>
      <c r="K4" s="160"/>
      <c r="L4" s="164"/>
    </row>
    <row r="5" spans="1:25" x14ac:dyDescent="0.2">
      <c r="A5" s="156" t="s">
        <v>804</v>
      </c>
      <c r="B5" s="156" t="s">
        <v>319</v>
      </c>
      <c r="C5" s="174">
        <f>SUM(C3:C4)</f>
        <v>219202</v>
      </c>
      <c r="D5" s="174">
        <f t="shared" ref="D5:G5" si="0">SUM(D3:D4)</f>
        <v>219421.20199999999</v>
      </c>
      <c r="E5" s="174">
        <f t="shared" si="0"/>
        <v>222712.52002999999</v>
      </c>
      <c r="F5" s="174">
        <f t="shared" si="0"/>
        <v>227166.77043059998</v>
      </c>
      <c r="G5" s="174">
        <f t="shared" si="0"/>
        <v>231710.10583921199</v>
      </c>
      <c r="H5" s="169"/>
      <c r="I5" s="157"/>
      <c r="J5" s="157"/>
      <c r="K5" s="160"/>
      <c r="L5" s="164"/>
    </row>
    <row r="6" spans="1:25" x14ac:dyDescent="0.2">
      <c r="A6" s="156"/>
      <c r="B6" s="156"/>
      <c r="C6" s="173"/>
      <c r="D6" s="173"/>
      <c r="E6" s="173"/>
      <c r="F6" s="173"/>
      <c r="G6" s="173"/>
      <c r="H6" s="160"/>
      <c r="I6" s="157"/>
      <c r="J6" s="157"/>
      <c r="K6" s="160"/>
      <c r="L6" s="164"/>
      <c r="M6" s="156" t="s">
        <v>808</v>
      </c>
      <c r="N6" s="165"/>
      <c r="O6" s="156" t="s">
        <v>808</v>
      </c>
      <c r="P6" s="165"/>
      <c r="Q6" s="156" t="s">
        <v>808</v>
      </c>
      <c r="R6" s="165"/>
      <c r="S6" s="156" t="s">
        <v>808</v>
      </c>
      <c r="T6" s="165"/>
      <c r="U6" s="156" t="s">
        <v>808</v>
      </c>
      <c r="V6" s="165"/>
      <c r="W6" s="156" t="s">
        <v>808</v>
      </c>
      <c r="X6" s="158"/>
      <c r="Y6" s="165">
        <f t="shared" ref="Y6:Y23" si="1">SUM(N6+P6+R6+T6+V6+X6)</f>
        <v>0</v>
      </c>
    </row>
    <row r="7" spans="1:25" x14ac:dyDescent="0.2">
      <c r="A7" s="156" t="s">
        <v>805</v>
      </c>
      <c r="B7" s="156" t="s">
        <v>319</v>
      </c>
      <c r="C7" s="173">
        <v>4825</v>
      </c>
      <c r="D7" s="173">
        <f t="shared" ref="D7:D22" si="2">C7*$D$2</f>
        <v>4829.8249999999998</v>
      </c>
      <c r="E7" s="173">
        <f t="shared" ref="E7:E22" si="3">D7*$E$2</f>
        <v>4902.2723749999996</v>
      </c>
      <c r="F7" s="173">
        <f t="shared" ref="F7:F22" si="4">E7*$F$2</f>
        <v>5000.3178224999992</v>
      </c>
      <c r="G7" s="173">
        <f t="shared" ref="G7:G22" si="5">F7*$G$2</f>
        <v>5100.3241789499989</v>
      </c>
      <c r="H7" s="171">
        <f>G7/J2</f>
        <v>0.17247723035913559</v>
      </c>
      <c r="I7" s="157"/>
      <c r="J7" s="157"/>
      <c r="K7" s="160"/>
      <c r="L7" s="164"/>
      <c r="M7" s="156" t="s">
        <v>806</v>
      </c>
      <c r="N7" s="165">
        <v>144149</v>
      </c>
      <c r="O7" s="156" t="s">
        <v>806</v>
      </c>
      <c r="P7" s="165">
        <v>40633</v>
      </c>
      <c r="Q7" s="156" t="s">
        <v>806</v>
      </c>
      <c r="R7" s="165">
        <v>149946</v>
      </c>
      <c r="S7" s="156" t="s">
        <v>806</v>
      </c>
      <c r="T7" s="165">
        <v>68405</v>
      </c>
      <c r="U7" s="156" t="s">
        <v>806</v>
      </c>
      <c r="V7" s="165">
        <v>89060</v>
      </c>
      <c r="W7" s="156" t="s">
        <v>806</v>
      </c>
      <c r="X7" s="157">
        <v>94443</v>
      </c>
      <c r="Y7" s="165">
        <f t="shared" si="1"/>
        <v>586636</v>
      </c>
    </row>
    <row r="8" spans="1:25" ht="24" x14ac:dyDescent="0.2">
      <c r="A8" s="156" t="s">
        <v>806</v>
      </c>
      <c r="B8" s="156" t="s">
        <v>319</v>
      </c>
      <c r="C8" s="173">
        <v>85623</v>
      </c>
      <c r="D8" s="173">
        <f t="shared" si="2"/>
        <v>85708.622999999992</v>
      </c>
      <c r="E8" s="173">
        <f t="shared" si="3"/>
        <v>86994.252344999986</v>
      </c>
      <c r="F8" s="173">
        <f t="shared" si="4"/>
        <v>88734.137391899989</v>
      </c>
      <c r="G8" s="181">
        <f>X8+X7</f>
        <v>102696</v>
      </c>
      <c r="H8" s="160">
        <f>G8/I2</f>
        <v>86.568321672426848</v>
      </c>
      <c r="J8" s="157"/>
      <c r="K8" s="160"/>
      <c r="L8" s="164"/>
      <c r="M8" s="156" t="s">
        <v>823</v>
      </c>
      <c r="N8" s="165">
        <v>1200</v>
      </c>
      <c r="O8" s="156" t="s">
        <v>823</v>
      </c>
      <c r="P8" s="165">
        <v>32936</v>
      </c>
      <c r="Q8" s="156" t="s">
        <v>823</v>
      </c>
      <c r="R8" s="165">
        <v>14909</v>
      </c>
      <c r="S8" s="156" t="s">
        <v>823</v>
      </c>
      <c r="T8" s="165">
        <v>7253</v>
      </c>
      <c r="U8" s="156" t="s">
        <v>823</v>
      </c>
      <c r="V8" s="165">
        <v>8203</v>
      </c>
      <c r="W8" s="156" t="s">
        <v>823</v>
      </c>
      <c r="X8" s="157">
        <v>8253</v>
      </c>
      <c r="Y8" s="165">
        <f t="shared" si="1"/>
        <v>72754</v>
      </c>
    </row>
    <row r="9" spans="1:25" x14ac:dyDescent="0.2">
      <c r="A9" s="156" t="s">
        <v>807</v>
      </c>
      <c r="B9" s="156" t="s">
        <v>319</v>
      </c>
      <c r="C9" s="173">
        <v>29703</v>
      </c>
      <c r="D9" s="173">
        <f t="shared" si="2"/>
        <v>29732.702999999998</v>
      </c>
      <c r="E9" s="173">
        <f t="shared" si="3"/>
        <v>30178.693544999995</v>
      </c>
      <c r="F9" s="173">
        <f t="shared" si="4"/>
        <v>30782.267415899994</v>
      </c>
      <c r="G9" s="181">
        <f>X9</f>
        <v>4136</v>
      </c>
      <c r="H9" s="160">
        <f>G9/I2</f>
        <v>3.4864705386495816</v>
      </c>
      <c r="J9" s="157"/>
      <c r="K9" s="160"/>
      <c r="L9" s="164"/>
      <c r="M9" s="156" t="s">
        <v>807</v>
      </c>
      <c r="N9" s="165">
        <v>4747</v>
      </c>
      <c r="O9" s="156" t="s">
        <v>807</v>
      </c>
      <c r="P9" s="165">
        <v>1923</v>
      </c>
      <c r="Q9" s="156" t="s">
        <v>807</v>
      </c>
      <c r="R9" s="165">
        <v>2981</v>
      </c>
      <c r="S9" s="156" t="s">
        <v>807</v>
      </c>
      <c r="T9" s="165">
        <v>2221</v>
      </c>
      <c r="U9" s="156" t="s">
        <v>807</v>
      </c>
      <c r="V9" s="165">
        <v>25793</v>
      </c>
      <c r="W9" s="156" t="s">
        <v>807</v>
      </c>
      <c r="X9" s="157">
        <v>4136</v>
      </c>
      <c r="Y9" s="165">
        <f t="shared" si="1"/>
        <v>41801</v>
      </c>
    </row>
    <row r="10" spans="1:25" ht="24" x14ac:dyDescent="0.2">
      <c r="A10" s="156" t="s">
        <v>808</v>
      </c>
      <c r="B10" s="156" t="s">
        <v>319</v>
      </c>
      <c r="C10" s="173">
        <v>152280</v>
      </c>
      <c r="D10" s="173">
        <f t="shared" si="2"/>
        <v>152432.27999999997</v>
      </c>
      <c r="E10" s="173">
        <f t="shared" si="3"/>
        <v>154718.76419999995</v>
      </c>
      <c r="F10" s="173">
        <f t="shared" si="4"/>
        <v>157813.13948399996</v>
      </c>
      <c r="G10" s="173">
        <f t="shared" si="5"/>
        <v>160969.40227367997</v>
      </c>
      <c r="H10" s="183">
        <f>G10/I2</f>
        <v>135.69029948046861</v>
      </c>
      <c r="I10" s="157"/>
      <c r="J10" s="157"/>
      <c r="K10" s="160"/>
      <c r="L10" s="164"/>
      <c r="M10" s="161" t="s">
        <v>824</v>
      </c>
      <c r="N10" s="166"/>
      <c r="O10" s="161" t="s">
        <v>824</v>
      </c>
      <c r="P10" s="166"/>
      <c r="Q10" s="161" t="s">
        <v>824</v>
      </c>
      <c r="R10" s="166"/>
      <c r="S10" s="161" t="s">
        <v>824</v>
      </c>
      <c r="T10" s="166"/>
      <c r="U10" s="161" t="s">
        <v>824</v>
      </c>
      <c r="V10" s="166"/>
      <c r="W10" s="161" t="s">
        <v>824</v>
      </c>
      <c r="X10" s="162"/>
      <c r="Y10" s="166">
        <f t="shared" si="1"/>
        <v>0</v>
      </c>
    </row>
    <row r="11" spans="1:25" x14ac:dyDescent="0.2">
      <c r="A11" s="156" t="s">
        <v>809</v>
      </c>
      <c r="B11" s="156" t="s">
        <v>319</v>
      </c>
      <c r="C11" s="173">
        <v>12527</v>
      </c>
      <c r="D11" s="173">
        <f t="shared" si="2"/>
        <v>12539.526999999998</v>
      </c>
      <c r="E11" s="173">
        <f t="shared" si="3"/>
        <v>12727.619904999998</v>
      </c>
      <c r="F11" s="173">
        <f t="shared" si="4"/>
        <v>12982.172303099998</v>
      </c>
      <c r="G11" s="173">
        <f t="shared" si="5"/>
        <v>13241.815749161999</v>
      </c>
      <c r="H11" s="160">
        <f>G11/I2</f>
        <v>11.162282516363478</v>
      </c>
      <c r="I11" s="157"/>
      <c r="J11" s="157"/>
      <c r="K11" s="160"/>
      <c r="L11" s="164"/>
      <c r="M11" s="156" t="s">
        <v>825</v>
      </c>
      <c r="N11" s="165"/>
      <c r="O11" s="156" t="s">
        <v>825</v>
      </c>
      <c r="P11" s="165"/>
      <c r="Q11" s="156" t="s">
        <v>825</v>
      </c>
      <c r="R11" s="165"/>
      <c r="S11" s="156" t="s">
        <v>825</v>
      </c>
      <c r="T11" s="165"/>
      <c r="U11" s="156" t="s">
        <v>825</v>
      </c>
      <c r="V11" s="165"/>
      <c r="W11" s="156" t="s">
        <v>825</v>
      </c>
      <c r="X11" s="158"/>
      <c r="Y11" s="165">
        <f t="shared" si="1"/>
        <v>0</v>
      </c>
    </row>
    <row r="12" spans="1:25" x14ac:dyDescent="0.2">
      <c r="A12" s="156" t="s">
        <v>810</v>
      </c>
      <c r="B12" s="156" t="s">
        <v>319</v>
      </c>
      <c r="C12" s="173">
        <v>1403</v>
      </c>
      <c r="D12" s="173">
        <f t="shared" si="2"/>
        <v>1404.4029999999998</v>
      </c>
      <c r="E12" s="173">
        <f t="shared" si="3"/>
        <v>1425.4690449999996</v>
      </c>
      <c r="F12" s="173">
        <f t="shared" si="4"/>
        <v>1453.9784258999996</v>
      </c>
      <c r="G12" s="181">
        <f>X12</f>
        <v>4303</v>
      </c>
      <c r="H12" s="160">
        <f>G12/I2</f>
        <v>3.6272443732613997</v>
      </c>
      <c r="J12" s="157"/>
      <c r="K12" s="160"/>
      <c r="L12" s="164"/>
      <c r="M12" s="156" t="s">
        <v>810</v>
      </c>
      <c r="N12" s="165">
        <v>6109</v>
      </c>
      <c r="O12" s="156" t="s">
        <v>810</v>
      </c>
      <c r="P12" s="165">
        <v>3763</v>
      </c>
      <c r="Q12" s="156" t="s">
        <v>810</v>
      </c>
      <c r="R12" s="165">
        <v>6424</v>
      </c>
      <c r="S12" s="156" t="s">
        <v>810</v>
      </c>
      <c r="T12" s="165">
        <v>2422</v>
      </c>
      <c r="U12" s="156" t="s">
        <v>810</v>
      </c>
      <c r="V12" s="165">
        <v>1307</v>
      </c>
      <c r="W12" s="156" t="s">
        <v>810</v>
      </c>
      <c r="X12" s="157">
        <v>4303</v>
      </c>
      <c r="Y12" s="165">
        <f t="shared" si="1"/>
        <v>24328</v>
      </c>
    </row>
    <row r="13" spans="1:25" ht="24" x14ac:dyDescent="0.2">
      <c r="A13" s="156" t="s">
        <v>811</v>
      </c>
      <c r="B13" s="156" t="s">
        <v>319</v>
      </c>
      <c r="C13" s="173">
        <v>1233</v>
      </c>
      <c r="D13" s="173">
        <f t="shared" si="2"/>
        <v>1234.2329999999999</v>
      </c>
      <c r="E13" s="173">
        <f t="shared" si="3"/>
        <v>1252.7464949999999</v>
      </c>
      <c r="F13" s="173">
        <f t="shared" si="4"/>
        <v>1277.8014248999998</v>
      </c>
      <c r="G13" s="173">
        <f t="shared" si="5"/>
        <v>1303.3574533979997</v>
      </c>
      <c r="H13" s="160">
        <f>G13/I2</f>
        <v>1.0986744106870094</v>
      </c>
      <c r="I13" s="157"/>
      <c r="J13" s="157"/>
      <c r="K13" s="160"/>
      <c r="L13" s="164"/>
      <c r="M13" s="156" t="s">
        <v>826</v>
      </c>
      <c r="N13" s="165"/>
      <c r="O13" s="156" t="s">
        <v>826</v>
      </c>
      <c r="P13" s="165"/>
      <c r="Q13" s="156" t="s">
        <v>826</v>
      </c>
      <c r="R13" s="165"/>
      <c r="S13" s="156" t="s">
        <v>826</v>
      </c>
      <c r="T13" s="165"/>
      <c r="U13" s="156" t="s">
        <v>826</v>
      </c>
      <c r="V13" s="165"/>
      <c r="W13" s="156" t="s">
        <v>826</v>
      </c>
      <c r="X13" s="157"/>
      <c r="Y13" s="165">
        <f t="shared" si="1"/>
        <v>0</v>
      </c>
    </row>
    <row r="14" spans="1:25" x14ac:dyDescent="0.2">
      <c r="A14" s="156" t="s">
        <v>812</v>
      </c>
      <c r="B14" s="156" t="s">
        <v>319</v>
      </c>
      <c r="C14" s="173">
        <v>5761</v>
      </c>
      <c r="D14" s="173">
        <f t="shared" si="2"/>
        <v>5766.7609999999995</v>
      </c>
      <c r="E14" s="173">
        <f t="shared" si="3"/>
        <v>5853.2624149999992</v>
      </c>
      <c r="F14" s="173">
        <f t="shared" si="4"/>
        <v>5970.3276632999996</v>
      </c>
      <c r="G14" s="173">
        <f t="shared" si="5"/>
        <v>6089.7342165659993</v>
      </c>
      <c r="H14" s="160">
        <f>G14/I2</f>
        <v>5.1333846552861813</v>
      </c>
      <c r="I14" s="157"/>
      <c r="J14" s="157"/>
      <c r="K14" s="160"/>
      <c r="L14" s="164"/>
      <c r="M14" s="156" t="s">
        <v>827</v>
      </c>
      <c r="N14" s="165"/>
      <c r="O14" s="156" t="s">
        <v>827</v>
      </c>
      <c r="P14" s="165"/>
      <c r="Q14" s="156" t="s">
        <v>827</v>
      </c>
      <c r="R14" s="165"/>
      <c r="S14" s="156" t="s">
        <v>827</v>
      </c>
      <c r="T14" s="165"/>
      <c r="U14" s="156" t="s">
        <v>827</v>
      </c>
      <c r="V14" s="165"/>
      <c r="W14" s="156" t="s">
        <v>827</v>
      </c>
      <c r="X14" s="158"/>
      <c r="Y14" s="165">
        <f t="shared" si="1"/>
        <v>0</v>
      </c>
    </row>
    <row r="15" spans="1:25" ht="24" x14ac:dyDescent="0.2">
      <c r="A15" s="156" t="s">
        <v>813</v>
      </c>
      <c r="B15" s="156" t="s">
        <v>319</v>
      </c>
      <c r="C15" s="173">
        <v>7657</v>
      </c>
      <c r="D15" s="173">
        <f t="shared" si="2"/>
        <v>7664.6569999999992</v>
      </c>
      <c r="E15" s="173">
        <f t="shared" si="3"/>
        <v>7779.6268549999986</v>
      </c>
      <c r="F15" s="173">
        <f t="shared" si="4"/>
        <v>7935.2193920999989</v>
      </c>
      <c r="G15" s="173">
        <f t="shared" si="5"/>
        <v>8093.9237799419989</v>
      </c>
      <c r="H15" s="160">
        <f>G15/I2</f>
        <v>6.8228304644204636</v>
      </c>
      <c r="I15" s="157"/>
      <c r="J15" s="157"/>
      <c r="K15" s="160"/>
      <c r="L15" s="164"/>
      <c r="M15" s="156" t="s">
        <v>811</v>
      </c>
      <c r="N15" s="165"/>
      <c r="O15" s="156" t="s">
        <v>811</v>
      </c>
      <c r="P15" s="165"/>
      <c r="Q15" s="156" t="s">
        <v>811</v>
      </c>
      <c r="R15" s="165"/>
      <c r="S15" s="156" t="s">
        <v>811</v>
      </c>
      <c r="T15" s="165"/>
      <c r="U15" s="156" t="s">
        <v>811</v>
      </c>
      <c r="V15" s="165"/>
      <c r="W15" s="156" t="s">
        <v>811</v>
      </c>
      <c r="X15" s="158"/>
      <c r="Y15" s="165">
        <f t="shared" si="1"/>
        <v>0</v>
      </c>
    </row>
    <row r="16" spans="1:25" x14ac:dyDescent="0.2">
      <c r="A16" s="156" t="s">
        <v>814</v>
      </c>
      <c r="B16" s="156" t="s">
        <v>319</v>
      </c>
      <c r="C16" s="173">
        <v>5660</v>
      </c>
      <c r="D16" s="173">
        <f t="shared" si="2"/>
        <v>5665.6599999999989</v>
      </c>
      <c r="E16" s="173">
        <f t="shared" si="3"/>
        <v>5750.6448999999984</v>
      </c>
      <c r="F16" s="173">
        <f t="shared" si="4"/>
        <v>5865.6577979999984</v>
      </c>
      <c r="G16" s="173">
        <f t="shared" si="5"/>
        <v>5982.970953959998</v>
      </c>
      <c r="H16" s="160">
        <f>G16/I2</f>
        <v>5.0433878057489636</v>
      </c>
      <c r="I16" s="157"/>
      <c r="J16" s="157"/>
      <c r="K16" s="160"/>
      <c r="L16" s="164"/>
      <c r="M16" s="156" t="s">
        <v>812</v>
      </c>
      <c r="N16" s="165"/>
      <c r="O16" s="156" t="s">
        <v>812</v>
      </c>
      <c r="P16" s="165"/>
      <c r="Q16" s="156" t="s">
        <v>812</v>
      </c>
      <c r="R16" s="165"/>
      <c r="S16" s="156" t="s">
        <v>812</v>
      </c>
      <c r="T16" s="165"/>
      <c r="U16" s="156" t="s">
        <v>812</v>
      </c>
      <c r="V16" s="165"/>
      <c r="W16" s="156" t="s">
        <v>812</v>
      </c>
      <c r="X16" s="158"/>
      <c r="Y16" s="165">
        <f t="shared" si="1"/>
        <v>0</v>
      </c>
    </row>
    <row r="17" spans="1:25" ht="24" x14ac:dyDescent="0.2">
      <c r="A17" s="156" t="s">
        <v>815</v>
      </c>
      <c r="B17" s="156" t="s">
        <v>319</v>
      </c>
      <c r="C17" s="173">
        <v>4</v>
      </c>
      <c r="D17" s="173">
        <f t="shared" si="2"/>
        <v>4.0039999999999996</v>
      </c>
      <c r="E17" s="173">
        <f t="shared" si="3"/>
        <v>4.0640599999999996</v>
      </c>
      <c r="F17" s="173">
        <f t="shared" si="4"/>
        <v>4.1453411999999998</v>
      </c>
      <c r="G17" s="173">
        <f t="shared" si="5"/>
        <v>4.228248024</v>
      </c>
      <c r="H17" s="160">
        <f>G17/I2</f>
        <v>3.5642316648402585E-3</v>
      </c>
      <c r="I17" s="157"/>
      <c r="J17" s="157"/>
      <c r="K17" s="160"/>
      <c r="L17" s="164"/>
      <c r="M17" s="156" t="s">
        <v>813</v>
      </c>
      <c r="N17" s="165"/>
      <c r="O17" s="156" t="s">
        <v>813</v>
      </c>
      <c r="P17" s="165"/>
      <c r="Q17" s="156" t="s">
        <v>813</v>
      </c>
      <c r="R17" s="165"/>
      <c r="S17" s="156" t="s">
        <v>813</v>
      </c>
      <c r="T17" s="165"/>
      <c r="U17" s="156" t="s">
        <v>813</v>
      </c>
      <c r="V17" s="165"/>
      <c r="W17" s="156" t="s">
        <v>813</v>
      </c>
      <c r="X17" s="158"/>
      <c r="Y17" s="165">
        <f t="shared" si="1"/>
        <v>0</v>
      </c>
    </row>
    <row r="18" spans="1:25" x14ac:dyDescent="0.2">
      <c r="A18" s="156" t="s">
        <v>816</v>
      </c>
      <c r="B18" s="156" t="s">
        <v>319</v>
      </c>
      <c r="C18" s="173">
        <v>152</v>
      </c>
      <c r="D18" s="173">
        <f t="shared" si="2"/>
        <v>152.15199999999999</v>
      </c>
      <c r="E18" s="173">
        <f t="shared" si="3"/>
        <v>154.43427999999997</v>
      </c>
      <c r="F18" s="173">
        <f t="shared" si="4"/>
        <v>157.52296559999996</v>
      </c>
      <c r="G18" s="173">
        <f t="shared" si="5"/>
        <v>160.67342491199997</v>
      </c>
      <c r="H18" s="160">
        <f>G18/I2</f>
        <v>0.13544080326392979</v>
      </c>
      <c r="I18" s="157"/>
      <c r="J18" s="157"/>
      <c r="K18" s="160"/>
      <c r="L18" s="164"/>
      <c r="M18" s="156" t="s">
        <v>814</v>
      </c>
      <c r="N18" s="165"/>
      <c r="O18" s="156" t="s">
        <v>814</v>
      </c>
      <c r="P18" s="165"/>
      <c r="Q18" s="156" t="s">
        <v>814</v>
      </c>
      <c r="R18" s="165"/>
      <c r="S18" s="156" t="s">
        <v>814</v>
      </c>
      <c r="T18" s="165"/>
      <c r="U18" s="156" t="s">
        <v>814</v>
      </c>
      <c r="V18" s="165"/>
      <c r="W18" s="156" t="s">
        <v>814</v>
      </c>
      <c r="X18" s="158"/>
      <c r="Y18" s="165">
        <f t="shared" si="1"/>
        <v>0</v>
      </c>
    </row>
    <row r="19" spans="1:25" ht="24" x14ac:dyDescent="0.2">
      <c r="A19" s="156" t="s">
        <v>817</v>
      </c>
      <c r="B19" s="156" t="s">
        <v>319</v>
      </c>
      <c r="C19" s="173">
        <v>1254</v>
      </c>
      <c r="D19" s="173">
        <f t="shared" si="2"/>
        <v>1255.2539999999999</v>
      </c>
      <c r="E19" s="173">
        <f t="shared" si="3"/>
        <v>1274.0828099999999</v>
      </c>
      <c r="F19" s="173">
        <f t="shared" si="4"/>
        <v>1299.5644662</v>
      </c>
      <c r="G19" s="173">
        <f t="shared" si="5"/>
        <v>1325.555755524</v>
      </c>
      <c r="H19" s="160">
        <f>G19/I2</f>
        <v>1.1173866269274211</v>
      </c>
      <c r="I19" s="157"/>
      <c r="J19" s="157"/>
      <c r="K19" s="160"/>
      <c r="L19" s="164"/>
      <c r="M19" s="156" t="s">
        <v>828</v>
      </c>
      <c r="N19" s="165"/>
      <c r="O19" s="156" t="s">
        <v>828</v>
      </c>
      <c r="P19" s="165"/>
      <c r="Q19" s="156" t="s">
        <v>828</v>
      </c>
      <c r="R19" s="165"/>
      <c r="S19" s="156" t="s">
        <v>828</v>
      </c>
      <c r="T19" s="165"/>
      <c r="U19" s="156" t="s">
        <v>828</v>
      </c>
      <c r="V19" s="165"/>
      <c r="W19" s="156" t="s">
        <v>828</v>
      </c>
      <c r="X19" s="158"/>
      <c r="Y19" s="165">
        <f t="shared" si="1"/>
        <v>0</v>
      </c>
    </row>
    <row r="20" spans="1:25" x14ac:dyDescent="0.2">
      <c r="A20" s="156" t="s">
        <v>818</v>
      </c>
      <c r="B20" s="156" t="s">
        <v>319</v>
      </c>
      <c r="C20" s="173">
        <v>2668</v>
      </c>
      <c r="D20" s="173">
        <f t="shared" si="2"/>
        <v>2670.6679999999997</v>
      </c>
      <c r="E20" s="173">
        <f t="shared" si="3"/>
        <v>2710.7280199999996</v>
      </c>
      <c r="F20" s="173">
        <f t="shared" si="4"/>
        <v>2764.9425803999998</v>
      </c>
      <c r="G20" s="181">
        <f>X23</f>
        <v>2305</v>
      </c>
      <c r="H20" s="160">
        <f>G20/I2</f>
        <v>1.9430161004804849</v>
      </c>
      <c r="J20" s="157"/>
      <c r="K20" s="160"/>
      <c r="L20" s="164"/>
      <c r="M20" s="156" t="s">
        <v>816</v>
      </c>
      <c r="N20" s="165"/>
      <c r="O20" s="156" t="s">
        <v>816</v>
      </c>
      <c r="P20" s="165"/>
      <c r="Q20" s="156" t="s">
        <v>816</v>
      </c>
      <c r="R20" s="165"/>
      <c r="S20" s="156" t="s">
        <v>816</v>
      </c>
      <c r="T20" s="165"/>
      <c r="U20" s="156" t="s">
        <v>816</v>
      </c>
      <c r="V20" s="165"/>
      <c r="W20" s="156" t="s">
        <v>816</v>
      </c>
      <c r="X20" s="158"/>
      <c r="Y20" s="165">
        <f t="shared" si="1"/>
        <v>0</v>
      </c>
    </row>
    <row r="21" spans="1:25" x14ac:dyDescent="0.2">
      <c r="A21" s="156" t="s">
        <v>819</v>
      </c>
      <c r="B21" s="156" t="s">
        <v>319</v>
      </c>
      <c r="C21" s="173">
        <v>127</v>
      </c>
      <c r="D21" s="173">
        <f t="shared" si="2"/>
        <v>127.12699999999998</v>
      </c>
      <c r="E21" s="173">
        <f t="shared" si="3"/>
        <v>129.03390499999998</v>
      </c>
      <c r="F21" s="173">
        <f t="shared" si="4"/>
        <v>131.61458309999998</v>
      </c>
      <c r="G21" s="173">
        <f t="shared" si="5"/>
        <v>134.24687476199998</v>
      </c>
      <c r="H21" s="160">
        <f>G21/I2</f>
        <v>0.11316435535867818</v>
      </c>
      <c r="I21" s="157"/>
      <c r="J21" s="157"/>
      <c r="K21" s="160"/>
      <c r="L21" s="164"/>
      <c r="M21" s="156" t="s">
        <v>817</v>
      </c>
      <c r="N21" s="165"/>
      <c r="O21" s="156" t="s">
        <v>817</v>
      </c>
      <c r="P21" s="165"/>
      <c r="Q21" s="156" t="s">
        <v>817</v>
      </c>
      <c r="R21" s="165"/>
      <c r="S21" s="156" t="s">
        <v>817</v>
      </c>
      <c r="T21" s="165"/>
      <c r="U21" s="156" t="s">
        <v>817</v>
      </c>
      <c r="V21" s="165"/>
      <c r="W21" s="156" t="s">
        <v>817</v>
      </c>
      <c r="X21" s="158"/>
      <c r="Y21" s="165">
        <f t="shared" si="1"/>
        <v>0</v>
      </c>
    </row>
    <row r="22" spans="1:25" x14ac:dyDescent="0.2">
      <c r="A22" s="156" t="s">
        <v>820</v>
      </c>
      <c r="B22" s="156" t="s">
        <v>319</v>
      </c>
      <c r="C22" s="173">
        <v>0</v>
      </c>
      <c r="D22" s="173">
        <f t="shared" si="2"/>
        <v>0</v>
      </c>
      <c r="E22" s="173">
        <f t="shared" si="3"/>
        <v>0</v>
      </c>
      <c r="F22" s="173">
        <f t="shared" si="4"/>
        <v>0</v>
      </c>
      <c r="G22" s="173">
        <f t="shared" si="5"/>
        <v>0</v>
      </c>
      <c r="H22" s="160"/>
      <c r="I22" s="157"/>
      <c r="J22" s="157"/>
      <c r="K22" s="160"/>
      <c r="L22" s="164"/>
      <c r="M22" s="156" t="s">
        <v>818</v>
      </c>
      <c r="N22" s="165"/>
      <c r="O22" s="156" t="s">
        <v>818</v>
      </c>
      <c r="P22" s="165"/>
      <c r="Q22" s="156" t="s">
        <v>818</v>
      </c>
      <c r="R22" s="165"/>
      <c r="S22" s="156" t="s">
        <v>818</v>
      </c>
      <c r="T22" s="165"/>
      <c r="U22" s="156" t="s">
        <v>818</v>
      </c>
      <c r="V22" s="165"/>
      <c r="W22" s="156" t="s">
        <v>818</v>
      </c>
      <c r="X22" s="158"/>
      <c r="Y22" s="165">
        <f t="shared" si="1"/>
        <v>0</v>
      </c>
    </row>
    <row r="23" spans="1:25" ht="48" x14ac:dyDescent="0.2">
      <c r="A23" s="156" t="s">
        <v>821</v>
      </c>
      <c r="B23" s="156" t="s">
        <v>319</v>
      </c>
      <c r="C23" s="169">
        <f>SUM(C7:C22)</f>
        <v>310877</v>
      </c>
      <c r="D23" s="169">
        <f t="shared" ref="D23:G23" si="6">SUM(D7:D22)</f>
        <v>311187.87699999998</v>
      </c>
      <c r="E23" s="169">
        <f t="shared" si="6"/>
        <v>315855.69515499985</v>
      </c>
      <c r="F23" s="169">
        <f t="shared" si="6"/>
        <v>322172.80905809987</v>
      </c>
      <c r="G23" s="169">
        <f t="shared" si="6"/>
        <v>315846.23290887993</v>
      </c>
      <c r="H23" s="169"/>
      <c r="L23" s="164"/>
      <c r="M23" s="156" t="s">
        <v>829</v>
      </c>
      <c r="N23" s="165">
        <v>10507</v>
      </c>
      <c r="O23" s="156" t="s">
        <v>829</v>
      </c>
      <c r="P23" s="165">
        <v>2411</v>
      </c>
      <c r="Q23" s="156" t="s">
        <v>829</v>
      </c>
      <c r="R23" s="165">
        <v>2411</v>
      </c>
      <c r="S23" s="156" t="s">
        <v>829</v>
      </c>
      <c r="T23" s="165">
        <v>639</v>
      </c>
      <c r="U23" s="156" t="s">
        <v>829</v>
      </c>
      <c r="V23" s="165">
        <v>2343</v>
      </c>
      <c r="W23" s="156" t="s">
        <v>829</v>
      </c>
      <c r="X23" s="157">
        <v>2305</v>
      </c>
      <c r="Y23" s="165">
        <f t="shared" si="1"/>
        <v>20616</v>
      </c>
    </row>
    <row r="24" spans="1:25" x14ac:dyDescent="0.2">
      <c r="L24" s="164"/>
    </row>
    <row r="25" spans="1:25" x14ac:dyDescent="0.2">
      <c r="G25" s="159" t="s">
        <v>842</v>
      </c>
      <c r="L25" s="164"/>
    </row>
    <row r="26" spans="1:25" x14ac:dyDescent="0.2">
      <c r="A26" t="s">
        <v>836</v>
      </c>
      <c r="B26" s="163">
        <v>2015</v>
      </c>
      <c r="D26" s="163">
        <v>2016</v>
      </c>
      <c r="E26" s="163">
        <v>2017</v>
      </c>
      <c r="F26" s="163">
        <v>2018</v>
      </c>
      <c r="G26" s="163">
        <v>2019</v>
      </c>
      <c r="H26" s="163"/>
      <c r="I26" s="157">
        <f>'m2 Molnnwiek'!G29</f>
        <v>757</v>
      </c>
      <c r="J26" s="157">
        <f>Bezoekersaantallen!H8</f>
        <v>20240</v>
      </c>
      <c r="L26" s="164"/>
    </row>
    <row r="27" spans="1:25" x14ac:dyDescent="0.2">
      <c r="B27" s="167"/>
      <c r="C27" s="175"/>
      <c r="D27" s="176"/>
      <c r="E27" s="176"/>
      <c r="F27" s="176"/>
      <c r="H27" s="168"/>
      <c r="L27" s="164"/>
    </row>
    <row r="28" spans="1:25" x14ac:dyDescent="0.2">
      <c r="A28" s="156" t="s">
        <v>802</v>
      </c>
      <c r="B28" s="156" t="s">
        <v>319</v>
      </c>
      <c r="C28" s="172"/>
      <c r="D28" s="172"/>
      <c r="E28" s="172"/>
      <c r="F28" s="172"/>
      <c r="G28" s="160">
        <f>$H$3*J26</f>
        <v>10888.112570987472</v>
      </c>
      <c r="H28" s="160"/>
      <c r="L28" s="164"/>
      <c r="M28" s="197" t="s">
        <v>847</v>
      </c>
      <c r="O28" t="s">
        <v>844</v>
      </c>
      <c r="P28" t="s">
        <v>832</v>
      </c>
      <c r="Q28" t="s">
        <v>845</v>
      </c>
      <c r="R28" t="s">
        <v>832</v>
      </c>
    </row>
    <row r="29" spans="1:25" x14ac:dyDescent="0.2">
      <c r="A29" s="156" t="s">
        <v>803</v>
      </c>
      <c r="B29" s="156" t="s">
        <v>319</v>
      </c>
      <c r="C29" s="172"/>
      <c r="D29" s="172"/>
      <c r="E29" s="172"/>
      <c r="F29" s="172"/>
      <c r="G29" s="160">
        <f>$H$4*I26</f>
        <v>137707.49510340122</v>
      </c>
      <c r="H29" s="160"/>
      <c r="L29" s="164"/>
      <c r="M29" s="187" t="s">
        <v>846</v>
      </c>
      <c r="O29" s="159">
        <v>1558.57</v>
      </c>
      <c r="P29" s="192">
        <f t="shared" ref="P29:P34" si="7">O29*12</f>
        <v>18702.84</v>
      </c>
      <c r="Q29" s="159">
        <v>13560.46</v>
      </c>
      <c r="R29" s="192">
        <f>Q29*12</f>
        <v>162725.51999999999</v>
      </c>
    </row>
    <row r="30" spans="1:25" x14ac:dyDescent="0.2">
      <c r="A30" s="156" t="s">
        <v>804</v>
      </c>
      <c r="B30" s="156" t="s">
        <v>319</v>
      </c>
      <c r="C30" s="169">
        <f>SUM(C28:C29)</f>
        <v>0</v>
      </c>
      <c r="D30" s="169">
        <f t="shared" ref="D30" si="8">SUM(D28:D29)</f>
        <v>0</v>
      </c>
      <c r="E30" s="169">
        <f t="shared" ref="E30" si="9">SUM(E28:E29)</f>
        <v>0</v>
      </c>
      <c r="F30" s="169">
        <f t="shared" ref="F30" si="10">SUM(F28:F29)</f>
        <v>0</v>
      </c>
      <c r="G30" s="169">
        <f>SUM(G29:G29)</f>
        <v>137707.49510340122</v>
      </c>
      <c r="H30" s="169"/>
      <c r="L30" s="164"/>
      <c r="M30" s="188" t="s">
        <v>89</v>
      </c>
      <c r="O30" s="159">
        <v>19082.75</v>
      </c>
      <c r="P30" s="192">
        <f t="shared" si="7"/>
        <v>228993</v>
      </c>
      <c r="Q30" s="159">
        <v>46653.89</v>
      </c>
      <c r="R30" s="192">
        <f t="shared" ref="R30:R34" si="11">Q30*12</f>
        <v>559846.67999999993</v>
      </c>
    </row>
    <row r="31" spans="1:25" x14ac:dyDescent="0.2">
      <c r="A31" s="156"/>
      <c r="B31" s="156"/>
      <c r="C31" s="160"/>
      <c r="D31" s="160"/>
      <c r="E31" s="160"/>
      <c r="F31" s="160"/>
      <c r="G31" s="160"/>
      <c r="H31" s="160"/>
      <c r="L31" s="164"/>
      <c r="M31" s="188" t="s">
        <v>316</v>
      </c>
      <c r="O31" s="159">
        <v>14298.31</v>
      </c>
      <c r="P31" s="192">
        <f t="shared" si="7"/>
        <v>171579.72</v>
      </c>
      <c r="Q31" s="159">
        <v>14226.56</v>
      </c>
      <c r="R31" s="192">
        <f t="shared" si="11"/>
        <v>170718.72</v>
      </c>
    </row>
    <row r="32" spans="1:25" x14ac:dyDescent="0.2">
      <c r="A32" s="156" t="s">
        <v>805</v>
      </c>
      <c r="B32" s="156" t="s">
        <v>319</v>
      </c>
      <c r="C32" s="172"/>
      <c r="D32" s="172"/>
      <c r="E32" s="172"/>
      <c r="F32" s="172"/>
      <c r="G32" s="160">
        <f>$H$7*J26</f>
        <v>3490.9391424689043</v>
      </c>
      <c r="H32" s="160"/>
      <c r="L32" s="164"/>
      <c r="M32" s="188" t="s">
        <v>830</v>
      </c>
      <c r="O32" s="159">
        <v>5122.83</v>
      </c>
      <c r="P32" s="192">
        <f t="shared" si="7"/>
        <v>61473.96</v>
      </c>
      <c r="Q32" s="159">
        <v>4097.8900000000003</v>
      </c>
      <c r="R32" s="192">
        <f t="shared" si="11"/>
        <v>49174.680000000008</v>
      </c>
    </row>
    <row r="33" spans="1:18" x14ac:dyDescent="0.2">
      <c r="A33" s="156" t="s">
        <v>806</v>
      </c>
      <c r="B33" s="156" t="s">
        <v>319</v>
      </c>
      <c r="C33" s="172"/>
      <c r="D33" s="172"/>
      <c r="E33" s="172"/>
      <c r="F33" s="172"/>
      <c r="G33" s="160">
        <f>$H$8*I26</f>
        <v>65532.219506027126</v>
      </c>
      <c r="H33" s="160"/>
      <c r="L33" s="164"/>
      <c r="M33" s="188" t="s">
        <v>311</v>
      </c>
      <c r="O33" s="159">
        <v>5799.36</v>
      </c>
      <c r="P33" s="192">
        <f t="shared" si="7"/>
        <v>69592.319999999992</v>
      </c>
      <c r="Q33" s="159">
        <v>3464.19</v>
      </c>
      <c r="R33" s="192">
        <f t="shared" si="11"/>
        <v>41570.28</v>
      </c>
    </row>
    <row r="34" spans="1:18" x14ac:dyDescent="0.2">
      <c r="A34" s="156" t="s">
        <v>807</v>
      </c>
      <c r="B34" s="156" t="s">
        <v>319</v>
      </c>
      <c r="C34" s="172"/>
      <c r="D34" s="172"/>
      <c r="E34" s="172"/>
      <c r="F34" s="172"/>
      <c r="G34" s="160">
        <f>$H$9*I26</f>
        <v>2639.2581977577333</v>
      </c>
      <c r="H34" s="160"/>
      <c r="L34" s="164"/>
      <c r="M34" s="188" t="s">
        <v>86</v>
      </c>
      <c r="O34" s="159">
        <v>9353.26</v>
      </c>
      <c r="P34" s="192">
        <f t="shared" si="7"/>
        <v>112239.12</v>
      </c>
      <c r="Q34" s="159">
        <v>4948.3599999999997</v>
      </c>
      <c r="R34" s="192">
        <f t="shared" si="11"/>
        <v>59380.319999999992</v>
      </c>
    </row>
    <row r="35" spans="1:18" x14ac:dyDescent="0.2">
      <c r="A35" s="156" t="s">
        <v>808</v>
      </c>
      <c r="B35" s="156" t="s">
        <v>319</v>
      </c>
      <c r="C35" s="172"/>
      <c r="D35" s="172"/>
      <c r="E35" s="172"/>
      <c r="F35" s="172"/>
      <c r="G35" s="183">
        <f>I26*$H$10</f>
        <v>102717.55670671473</v>
      </c>
      <c r="H35" s="160"/>
      <c r="L35" s="164"/>
      <c r="N35" t="s">
        <v>851</v>
      </c>
      <c r="O35" s="159">
        <f>SUM(O29:O34)</f>
        <v>55215.08</v>
      </c>
      <c r="P35" s="192"/>
      <c r="Q35" s="159">
        <f>SUM(Q29:Q34)</f>
        <v>86951.35</v>
      </c>
    </row>
    <row r="36" spans="1:18" x14ac:dyDescent="0.2">
      <c r="A36" s="156" t="s">
        <v>809</v>
      </c>
      <c r="B36" s="156" t="s">
        <v>319</v>
      </c>
      <c r="C36" s="172"/>
      <c r="D36" s="172"/>
      <c r="E36" s="172"/>
      <c r="F36" s="172"/>
      <c r="G36" s="160">
        <f>I26*$H$11</f>
        <v>8449.8478648871533</v>
      </c>
      <c r="H36" s="160"/>
      <c r="L36" s="164"/>
      <c r="N36" t="s">
        <v>848</v>
      </c>
      <c r="O36" s="159">
        <f>O35*12</f>
        <v>662580.96</v>
      </c>
      <c r="Q36" s="159">
        <f>Q35*12</f>
        <v>1043416.2000000001</v>
      </c>
    </row>
    <row r="37" spans="1:18" x14ac:dyDescent="0.2">
      <c r="A37" s="156" t="s">
        <v>810</v>
      </c>
      <c r="B37" s="156" t="s">
        <v>319</v>
      </c>
      <c r="C37" s="172"/>
      <c r="D37" s="172"/>
      <c r="E37" s="172"/>
      <c r="F37" s="172"/>
      <c r="G37" s="160">
        <f>I26*$H$12</f>
        <v>2745.8239905588794</v>
      </c>
      <c r="H37" s="160"/>
      <c r="L37" s="164"/>
    </row>
    <row r="38" spans="1:18" ht="24" x14ac:dyDescent="0.2">
      <c r="A38" s="156" t="s">
        <v>811</v>
      </c>
      <c r="B38" s="156" t="s">
        <v>319</v>
      </c>
      <c r="C38" s="172"/>
      <c r="D38" s="172"/>
      <c r="E38" s="172"/>
      <c r="F38" s="172"/>
      <c r="G38" s="160">
        <f>I26*$H$13</f>
        <v>831.69652889006613</v>
      </c>
      <c r="H38" s="160"/>
      <c r="L38" s="164"/>
      <c r="M38" s="197" t="s">
        <v>878</v>
      </c>
    </row>
    <row r="39" spans="1:18" x14ac:dyDescent="0.2">
      <c r="A39" s="156" t="s">
        <v>812</v>
      </c>
      <c r="B39" s="156" t="s">
        <v>319</v>
      </c>
      <c r="C39" s="172"/>
      <c r="D39" s="172"/>
      <c r="E39" s="172"/>
      <c r="F39" s="172"/>
      <c r="G39" s="160">
        <f>$H$14*I26</f>
        <v>3885.972184051639</v>
      </c>
      <c r="H39" s="160"/>
      <c r="L39" s="164"/>
      <c r="M39" s="187" t="s">
        <v>846</v>
      </c>
      <c r="O39" s="159">
        <f>'m2 de Driehoek'!H72</f>
        <v>2882</v>
      </c>
      <c r="P39" s="197" t="s">
        <v>879</v>
      </c>
      <c r="Q39" s="68">
        <v>17500</v>
      </c>
    </row>
    <row r="40" spans="1:18" x14ac:dyDescent="0.2">
      <c r="A40" s="156" t="s">
        <v>813</v>
      </c>
      <c r="B40" s="156" t="s">
        <v>319</v>
      </c>
      <c r="C40" s="172"/>
      <c r="D40" s="172"/>
      <c r="E40" s="172"/>
      <c r="F40" s="172"/>
      <c r="G40" s="160">
        <f>I26*$H$15</f>
        <v>5164.8826615662911</v>
      </c>
      <c r="H40" s="160"/>
      <c r="L40" s="164"/>
      <c r="M40" s="188" t="s">
        <v>89</v>
      </c>
      <c r="O40" s="159">
        <f>'m2 Eninver'!H173</f>
        <v>123251.77039999996</v>
      </c>
    </row>
    <row r="41" spans="1:18" x14ac:dyDescent="0.2">
      <c r="A41" s="156" t="s">
        <v>814</v>
      </c>
      <c r="B41" s="156" t="s">
        <v>319</v>
      </c>
      <c r="C41" s="172"/>
      <c r="D41" s="172"/>
      <c r="E41" s="172"/>
      <c r="F41" s="172"/>
      <c r="G41" s="160">
        <f>I26*$H$16</f>
        <v>3817.8445689519654</v>
      </c>
      <c r="H41" s="160"/>
      <c r="L41" s="164"/>
      <c r="M41" s="188" t="s">
        <v>316</v>
      </c>
      <c r="O41" s="159">
        <f>'m2 de Schelf'!H100</f>
        <v>27610</v>
      </c>
    </row>
    <row r="42" spans="1:18" ht="24" x14ac:dyDescent="0.2">
      <c r="A42" s="156" t="s">
        <v>815</v>
      </c>
      <c r="B42" s="156" t="s">
        <v>319</v>
      </c>
      <c r="C42" s="172"/>
      <c r="D42" s="172"/>
      <c r="E42" s="172"/>
      <c r="F42" s="172"/>
      <c r="G42" s="160">
        <f>I26*$H$17</f>
        <v>2.6981233702840757</v>
      </c>
      <c r="H42" s="160"/>
      <c r="L42" s="164"/>
      <c r="M42" s="188" t="s">
        <v>830</v>
      </c>
      <c r="O42" s="159">
        <f>'m2 Molnnwiek'!H30</f>
        <v>14740</v>
      </c>
    </row>
    <row r="43" spans="1:18" x14ac:dyDescent="0.2">
      <c r="A43" s="156" t="s">
        <v>816</v>
      </c>
      <c r="B43" s="156" t="s">
        <v>319</v>
      </c>
      <c r="C43" s="172"/>
      <c r="D43" s="172"/>
      <c r="E43" s="172"/>
      <c r="F43" s="172"/>
      <c r="G43" s="160">
        <f>I26*$H$18</f>
        <v>102.52868807079486</v>
      </c>
      <c r="H43" s="160"/>
      <c r="L43" s="164"/>
      <c r="M43" s="188" t="s">
        <v>311</v>
      </c>
      <c r="O43" s="159">
        <f>'m2 Goossenmaat'!H40</f>
        <v>1347.5</v>
      </c>
    </row>
    <row r="44" spans="1:18" x14ac:dyDescent="0.2">
      <c r="A44" s="156" t="s">
        <v>817</v>
      </c>
      <c r="B44" s="156" t="s">
        <v>319</v>
      </c>
      <c r="C44" s="172"/>
      <c r="D44" s="172"/>
      <c r="E44" s="172"/>
      <c r="F44" s="172"/>
      <c r="G44" s="160">
        <f>I26*$H$19</f>
        <v>845.8616765840577</v>
      </c>
      <c r="H44" s="160"/>
      <c r="L44" s="164"/>
      <c r="M44" s="188" t="s">
        <v>86</v>
      </c>
      <c r="O44" s="159">
        <f>'m2 Schoppe'!H58</f>
        <v>2310</v>
      </c>
    </row>
    <row r="45" spans="1:18" x14ac:dyDescent="0.2">
      <c r="A45" s="156" t="s">
        <v>818</v>
      </c>
      <c r="B45" s="156" t="s">
        <v>319</v>
      </c>
      <c r="C45" s="172"/>
      <c r="D45" s="172"/>
      <c r="E45" s="172"/>
      <c r="F45" s="172"/>
      <c r="G45" s="160">
        <f>I26*$H$20</f>
        <v>1470.863188063727</v>
      </c>
      <c r="H45" s="160"/>
      <c r="L45" s="164"/>
      <c r="O45" s="159">
        <f>SUM(O39:O44)</f>
        <v>172141.27039999998</v>
      </c>
    </row>
    <row r="46" spans="1:18" x14ac:dyDescent="0.2">
      <c r="A46" s="156" t="s">
        <v>819</v>
      </c>
      <c r="B46" s="156" t="s">
        <v>319</v>
      </c>
      <c r="C46" s="172"/>
      <c r="D46" s="172"/>
      <c r="E46" s="172"/>
      <c r="F46" s="172"/>
      <c r="G46" s="160">
        <f>I26*$H$21</f>
        <v>85.665417006519377</v>
      </c>
      <c r="H46" s="160"/>
      <c r="L46" s="164"/>
    </row>
    <row r="47" spans="1:18" x14ac:dyDescent="0.2">
      <c r="A47" s="156" t="s">
        <v>820</v>
      </c>
      <c r="B47" s="156" t="s">
        <v>319</v>
      </c>
      <c r="C47" s="172"/>
      <c r="D47" s="172"/>
      <c r="E47" s="172"/>
      <c r="F47" s="172"/>
      <c r="G47" s="160">
        <v>0</v>
      </c>
      <c r="H47" s="160"/>
      <c r="L47" s="164"/>
    </row>
    <row r="48" spans="1:18" x14ac:dyDescent="0.2">
      <c r="A48" s="156" t="s">
        <v>821</v>
      </c>
      <c r="B48" s="156" t="s">
        <v>319</v>
      </c>
      <c r="C48" s="169">
        <f>SUM(C32:C47)</f>
        <v>0</v>
      </c>
      <c r="D48" s="169">
        <f t="shared" ref="D48" si="12">SUM(D32:D47)</f>
        <v>0</v>
      </c>
      <c r="E48" s="169">
        <f t="shared" ref="E48" si="13">SUM(E32:E47)</f>
        <v>0</v>
      </c>
      <c r="F48" s="169">
        <f t="shared" ref="F48" si="14">SUM(F32:F47)</f>
        <v>0</v>
      </c>
      <c r="G48" s="169">
        <f t="shared" ref="G48" si="15">SUM(G32:G47)</f>
        <v>201783.65844496989</v>
      </c>
      <c r="H48" s="169"/>
      <c r="L48" s="164"/>
    </row>
    <row r="49" spans="1:12" x14ac:dyDescent="0.2">
      <c r="L49" s="164"/>
    </row>
    <row r="50" spans="1:12" x14ac:dyDescent="0.2">
      <c r="A50" t="s">
        <v>311</v>
      </c>
      <c r="B50" s="163">
        <v>2015</v>
      </c>
      <c r="D50" s="163">
        <v>2016</v>
      </c>
      <c r="E50" s="163">
        <v>2017</v>
      </c>
      <c r="F50" s="163">
        <v>2018</v>
      </c>
      <c r="G50" s="163">
        <v>2019</v>
      </c>
      <c r="H50" s="163"/>
      <c r="I50" s="157">
        <f>'m2 Goossenmaat'!G39</f>
        <v>547.10000000000014</v>
      </c>
      <c r="J50" s="157">
        <f>Bezoekersaantallen!H3</f>
        <v>16150</v>
      </c>
      <c r="L50" s="164"/>
    </row>
    <row r="51" spans="1:12" x14ac:dyDescent="0.2">
      <c r="B51" s="167">
        <v>1</v>
      </c>
      <c r="C51" s="175"/>
      <c r="D51" s="176"/>
      <c r="E51" s="176"/>
      <c r="F51" s="176"/>
      <c r="G51" s="168"/>
      <c r="H51" s="168"/>
      <c r="L51" s="164"/>
    </row>
    <row r="52" spans="1:12" x14ac:dyDescent="0.2">
      <c r="A52" s="156" t="s">
        <v>802</v>
      </c>
      <c r="B52" s="156" t="s">
        <v>319</v>
      </c>
      <c r="C52" s="172"/>
      <c r="D52" s="172"/>
      <c r="E52" s="172"/>
      <c r="F52" s="172"/>
      <c r="G52" s="160">
        <f>$H$3*J50</f>
        <v>8687.8961473047275</v>
      </c>
      <c r="H52" s="160"/>
      <c r="L52" s="164"/>
    </row>
    <row r="53" spans="1:12" x14ac:dyDescent="0.2">
      <c r="A53" s="156" t="s">
        <v>803</v>
      </c>
      <c r="B53" s="156" t="s">
        <v>319</v>
      </c>
      <c r="C53" s="172"/>
      <c r="D53" s="172"/>
      <c r="E53" s="172"/>
      <c r="F53" s="172"/>
      <c r="G53" s="160">
        <f>$H$4*I50</f>
        <v>99524.135496791059</v>
      </c>
      <c r="H53" s="160"/>
      <c r="L53" s="164"/>
    </row>
    <row r="54" spans="1:12" x14ac:dyDescent="0.2">
      <c r="A54" s="156" t="s">
        <v>804</v>
      </c>
      <c r="B54" s="156" t="s">
        <v>319</v>
      </c>
      <c r="C54" s="169">
        <f>SUM(C52:C53)</f>
        <v>0</v>
      </c>
      <c r="D54" s="169">
        <f t="shared" ref="D54" si="16">SUM(D52:D53)</f>
        <v>0</v>
      </c>
      <c r="E54" s="169">
        <f t="shared" ref="E54" si="17">SUM(E52:E53)</f>
        <v>0</v>
      </c>
      <c r="F54" s="169">
        <f t="shared" ref="F54" si="18">SUM(F52:F53)</f>
        <v>0</v>
      </c>
      <c r="G54" s="169">
        <f t="shared" ref="G54" si="19">SUM(G52:G53)</f>
        <v>108212.03164409578</v>
      </c>
      <c r="H54" s="169"/>
      <c r="L54" s="164"/>
    </row>
    <row r="55" spans="1:12" x14ac:dyDescent="0.2">
      <c r="A55" s="156"/>
      <c r="B55" s="156"/>
      <c r="C55" s="160"/>
      <c r="D55" s="160"/>
      <c r="E55" s="160"/>
      <c r="F55" s="160"/>
      <c r="G55" s="160"/>
      <c r="H55" s="160"/>
      <c r="L55" s="164"/>
    </row>
    <row r="56" spans="1:12" x14ac:dyDescent="0.2">
      <c r="A56" s="156" t="s">
        <v>805</v>
      </c>
      <c r="B56" s="156" t="s">
        <v>319</v>
      </c>
      <c r="C56" s="172"/>
      <c r="D56" s="172"/>
      <c r="E56" s="172"/>
      <c r="F56" s="172"/>
      <c r="G56" s="160">
        <f>$H$7*J50</f>
        <v>2785.5072703000396</v>
      </c>
      <c r="H56" s="160"/>
      <c r="L56" s="164"/>
    </row>
    <row r="57" spans="1:12" x14ac:dyDescent="0.2">
      <c r="A57" s="156" t="s">
        <v>806</v>
      </c>
      <c r="B57" s="156" t="s">
        <v>319</v>
      </c>
      <c r="C57" s="172"/>
      <c r="D57" s="172"/>
      <c r="E57" s="172"/>
      <c r="F57" s="172"/>
      <c r="G57" s="160">
        <f>$H$8*I50</f>
        <v>47361.528786984738</v>
      </c>
      <c r="H57" s="160"/>
      <c r="L57" s="164"/>
    </row>
    <row r="58" spans="1:12" x14ac:dyDescent="0.2">
      <c r="A58" s="156" t="s">
        <v>807</v>
      </c>
      <c r="B58" s="156" t="s">
        <v>319</v>
      </c>
      <c r="C58" s="172"/>
      <c r="D58" s="172"/>
      <c r="E58" s="172"/>
      <c r="F58" s="172"/>
      <c r="G58" s="160">
        <f>$H$9*I50</f>
        <v>1907.4480316951865</v>
      </c>
      <c r="H58" s="160"/>
      <c r="L58" s="164"/>
    </row>
    <row r="59" spans="1:12" x14ac:dyDescent="0.2">
      <c r="A59" s="156" t="s">
        <v>808</v>
      </c>
      <c r="B59" s="156" t="s">
        <v>319</v>
      </c>
      <c r="C59" s="172"/>
      <c r="D59" s="172"/>
      <c r="E59" s="172"/>
      <c r="F59" s="172"/>
      <c r="G59" s="160">
        <f>I50*$H$10</f>
        <v>74236.162845764396</v>
      </c>
      <c r="H59" s="160"/>
      <c r="L59" s="164"/>
    </row>
    <row r="60" spans="1:12" x14ac:dyDescent="0.2">
      <c r="A60" s="156" t="s">
        <v>809</v>
      </c>
      <c r="B60" s="156" t="s">
        <v>319</v>
      </c>
      <c r="C60" s="172"/>
      <c r="D60" s="172"/>
      <c r="E60" s="172"/>
      <c r="F60" s="172"/>
      <c r="G60" s="160">
        <f>I50*$H$11</f>
        <v>6106.8847647024604</v>
      </c>
      <c r="H60" s="160"/>
      <c r="L60" s="164"/>
    </row>
    <row r="61" spans="1:12" x14ac:dyDescent="0.2">
      <c r="A61" s="156" t="s">
        <v>810</v>
      </c>
      <c r="B61" s="156" t="s">
        <v>319</v>
      </c>
      <c r="C61" s="172"/>
      <c r="D61" s="172"/>
      <c r="E61" s="172"/>
      <c r="F61" s="172"/>
      <c r="G61" s="160">
        <f>I50*$H$12</f>
        <v>1984.4653966113124</v>
      </c>
      <c r="H61" s="160"/>
      <c r="L61" s="164"/>
    </row>
    <row r="62" spans="1:12" ht="24" x14ac:dyDescent="0.2">
      <c r="A62" s="156" t="s">
        <v>811</v>
      </c>
      <c r="B62" s="156" t="s">
        <v>319</v>
      </c>
      <c r="C62" s="172"/>
      <c r="D62" s="172"/>
      <c r="E62" s="172"/>
      <c r="F62" s="172"/>
      <c r="G62" s="160">
        <f>I50*$H$13</f>
        <v>601.08477008686305</v>
      </c>
      <c r="H62" s="160"/>
      <c r="L62" s="164"/>
    </row>
    <row r="63" spans="1:12" x14ac:dyDescent="0.2">
      <c r="A63" s="156" t="s">
        <v>812</v>
      </c>
      <c r="B63" s="156" t="s">
        <v>319</v>
      </c>
      <c r="C63" s="172"/>
      <c r="D63" s="172"/>
      <c r="E63" s="172"/>
      <c r="F63" s="172"/>
      <c r="G63" s="160">
        <f>$H$14*I50</f>
        <v>2808.4747449070705</v>
      </c>
      <c r="H63" s="160"/>
      <c r="L63" s="164"/>
    </row>
    <row r="64" spans="1:12" x14ac:dyDescent="0.2">
      <c r="A64" s="156" t="s">
        <v>813</v>
      </c>
      <c r="B64" s="156" t="s">
        <v>319</v>
      </c>
      <c r="C64" s="172"/>
      <c r="D64" s="172"/>
      <c r="E64" s="172"/>
      <c r="F64" s="172"/>
      <c r="G64" s="160">
        <f>I50*$H$15</f>
        <v>3732.7705470844367</v>
      </c>
      <c r="H64" s="160"/>
      <c r="L64" s="164"/>
    </row>
    <row r="65" spans="1:12" x14ac:dyDescent="0.2">
      <c r="A65" s="156" t="s">
        <v>814</v>
      </c>
      <c r="B65" s="156" t="s">
        <v>319</v>
      </c>
      <c r="C65" s="172"/>
      <c r="D65" s="172"/>
      <c r="E65" s="172"/>
      <c r="F65" s="172"/>
      <c r="G65" s="160">
        <f>I50*$H$16</f>
        <v>2759.2374685252585</v>
      </c>
      <c r="H65" s="160"/>
      <c r="L65" s="164"/>
    </row>
    <row r="66" spans="1:12" ht="24" x14ac:dyDescent="0.2">
      <c r="A66" s="156" t="s">
        <v>815</v>
      </c>
      <c r="B66" s="156" t="s">
        <v>319</v>
      </c>
      <c r="C66" s="172"/>
      <c r="D66" s="172"/>
      <c r="E66" s="172"/>
      <c r="F66" s="172"/>
      <c r="G66" s="160">
        <f>I50*$H$17</f>
        <v>1.949991143834106</v>
      </c>
      <c r="H66" s="160"/>
      <c r="L66" s="164"/>
    </row>
    <row r="67" spans="1:12" x14ac:dyDescent="0.2">
      <c r="A67" s="156" t="s">
        <v>816</v>
      </c>
      <c r="B67" s="156" t="s">
        <v>319</v>
      </c>
      <c r="C67" s="172"/>
      <c r="D67" s="172"/>
      <c r="E67" s="172"/>
      <c r="F67" s="172"/>
      <c r="G67" s="160">
        <f>I50*$H$18</f>
        <v>74.099663465696011</v>
      </c>
      <c r="H67" s="160"/>
      <c r="L67" s="164"/>
    </row>
    <row r="68" spans="1:12" x14ac:dyDescent="0.2">
      <c r="A68" s="156" t="s">
        <v>817</v>
      </c>
      <c r="B68" s="156" t="s">
        <v>319</v>
      </c>
      <c r="C68" s="172"/>
      <c r="D68" s="172"/>
      <c r="E68" s="172"/>
      <c r="F68" s="172"/>
      <c r="G68" s="160">
        <f>I50*$H$19</f>
        <v>611.32222359199227</v>
      </c>
      <c r="H68" s="160"/>
      <c r="L68" s="164"/>
    </row>
    <row r="69" spans="1:12" x14ac:dyDescent="0.2">
      <c r="A69" s="156" t="s">
        <v>818</v>
      </c>
      <c r="B69" s="156" t="s">
        <v>319</v>
      </c>
      <c r="C69" s="172"/>
      <c r="D69" s="172"/>
      <c r="E69" s="172"/>
      <c r="F69" s="172"/>
      <c r="G69" s="160">
        <f>I50*$H$20</f>
        <v>1063.0241085728735</v>
      </c>
      <c r="H69" s="160"/>
      <c r="L69" s="164"/>
    </row>
    <row r="70" spans="1:12" x14ac:dyDescent="0.2">
      <c r="A70" s="156" t="s">
        <v>819</v>
      </c>
      <c r="B70" s="156" t="s">
        <v>319</v>
      </c>
      <c r="C70" s="172"/>
      <c r="D70" s="172"/>
      <c r="E70" s="172"/>
      <c r="F70" s="172"/>
      <c r="G70" s="160">
        <f>I50*$H$21</f>
        <v>61.912218816732846</v>
      </c>
      <c r="H70" s="160"/>
      <c r="L70" s="164"/>
    </row>
    <row r="71" spans="1:12" x14ac:dyDescent="0.2">
      <c r="A71" s="156" t="s">
        <v>820</v>
      </c>
      <c r="B71" s="156" t="s">
        <v>319</v>
      </c>
      <c r="C71" s="172"/>
      <c r="D71" s="172"/>
      <c r="E71" s="172"/>
      <c r="F71" s="172"/>
      <c r="G71" s="160">
        <v>0</v>
      </c>
      <c r="H71" s="160"/>
      <c r="L71" s="164"/>
    </row>
    <row r="72" spans="1:12" x14ac:dyDescent="0.2">
      <c r="A72" s="156" t="s">
        <v>821</v>
      </c>
      <c r="B72" s="156" t="s">
        <v>319</v>
      </c>
      <c r="C72" s="169">
        <f>SUM(C56:C71)</f>
        <v>0</v>
      </c>
      <c r="D72" s="169">
        <f t="shared" ref="D72" si="20">SUM(D56:D71)</f>
        <v>0</v>
      </c>
      <c r="E72" s="169">
        <f t="shared" ref="E72" si="21">SUM(E56:E71)</f>
        <v>0</v>
      </c>
      <c r="F72" s="169">
        <f t="shared" ref="F72" si="22">SUM(F56:F71)</f>
        <v>0</v>
      </c>
      <c r="G72" s="169">
        <f t="shared" ref="G72" si="23">SUM(G56:G71)</f>
        <v>146095.87283225285</v>
      </c>
      <c r="H72" s="169"/>
      <c r="L72" s="164"/>
    </row>
    <row r="73" spans="1:12" x14ac:dyDescent="0.2">
      <c r="L73" s="164"/>
    </row>
    <row r="74" spans="1:12" x14ac:dyDescent="0.2">
      <c r="A74" t="s">
        <v>837</v>
      </c>
      <c r="B74" s="163">
        <v>2015</v>
      </c>
      <c r="D74" s="163">
        <v>2016</v>
      </c>
      <c r="E74" s="163">
        <v>2017</v>
      </c>
      <c r="F74" s="163">
        <v>2018</v>
      </c>
      <c r="G74" s="163">
        <v>2019</v>
      </c>
      <c r="H74" s="163"/>
      <c r="I74" s="157">
        <f>'m2 de Schelf'!G99</f>
        <v>3056</v>
      </c>
      <c r="J74" s="157">
        <f>Bezoekersaantallen!H18</f>
        <v>86983</v>
      </c>
      <c r="L74" s="164"/>
    </row>
    <row r="75" spans="1:12" x14ac:dyDescent="0.2">
      <c r="B75" s="167">
        <v>1</v>
      </c>
      <c r="C75" s="175"/>
      <c r="D75" s="176"/>
      <c r="E75" s="176"/>
      <c r="F75" s="176"/>
      <c r="G75" s="168"/>
      <c r="H75" s="168"/>
      <c r="L75" s="164"/>
    </row>
    <row r="76" spans="1:12" x14ac:dyDescent="0.2">
      <c r="A76" s="156" t="s">
        <v>802</v>
      </c>
      <c r="B76" s="156" t="s">
        <v>319</v>
      </c>
      <c r="C76" s="172"/>
      <c r="D76" s="172"/>
      <c r="E76" s="172"/>
      <c r="F76" s="172"/>
      <c r="G76" s="160">
        <f>$H$3*J74</f>
        <v>46792.524494180005</v>
      </c>
      <c r="H76" s="160"/>
      <c r="L76" s="164"/>
    </row>
    <row r="77" spans="1:12" x14ac:dyDescent="0.2">
      <c r="A77" s="156" t="s">
        <v>803</v>
      </c>
      <c r="B77" s="156" t="s">
        <v>319</v>
      </c>
      <c r="C77" s="172"/>
      <c r="D77" s="172"/>
      <c r="E77" s="172"/>
      <c r="F77" s="172"/>
      <c r="G77" s="160">
        <f>$H$4*I74</f>
        <v>555923.52052310982</v>
      </c>
      <c r="H77" s="160"/>
      <c r="L77" s="164"/>
    </row>
    <row r="78" spans="1:12" x14ac:dyDescent="0.2">
      <c r="A78" s="156" t="s">
        <v>804</v>
      </c>
      <c r="B78" s="156" t="s">
        <v>319</v>
      </c>
      <c r="C78" s="169">
        <f>SUM(C76:C77)</f>
        <v>0</v>
      </c>
      <c r="D78" s="169">
        <f t="shared" ref="D78" si="24">SUM(D76:D77)</f>
        <v>0</v>
      </c>
      <c r="E78" s="169">
        <f t="shared" ref="E78" si="25">SUM(E76:E77)</f>
        <v>0</v>
      </c>
      <c r="F78" s="169">
        <f t="shared" ref="F78" si="26">SUM(F76:F77)</f>
        <v>0</v>
      </c>
      <c r="G78" s="169">
        <f t="shared" ref="G78" si="27">SUM(G76:G77)</f>
        <v>602716.04501728981</v>
      </c>
      <c r="H78" s="169"/>
      <c r="L78" s="164"/>
    </row>
    <row r="79" spans="1:12" x14ac:dyDescent="0.2">
      <c r="A79" s="156"/>
      <c r="B79" s="156"/>
      <c r="C79" s="160"/>
      <c r="D79" s="160"/>
      <c r="E79" s="160"/>
      <c r="F79" s="160"/>
      <c r="G79" s="160"/>
      <c r="H79" s="160"/>
      <c r="L79" s="164"/>
    </row>
    <row r="80" spans="1:12" x14ac:dyDescent="0.2">
      <c r="A80" s="156" t="s">
        <v>805</v>
      </c>
      <c r="B80" s="156" t="s">
        <v>319</v>
      </c>
      <c r="C80" s="172"/>
      <c r="D80" s="172"/>
      <c r="E80" s="172"/>
      <c r="F80" s="172"/>
      <c r="G80" s="160">
        <f>$H$7*J74</f>
        <v>15002.586928328692</v>
      </c>
      <c r="H80" s="160"/>
      <c r="L80" s="164"/>
    </row>
    <row r="81" spans="1:12" x14ac:dyDescent="0.2">
      <c r="A81" s="156" t="s">
        <v>806</v>
      </c>
      <c r="B81" s="156" t="s">
        <v>319</v>
      </c>
      <c r="C81" s="172"/>
      <c r="D81" s="172"/>
      <c r="E81" s="172"/>
      <c r="F81" s="172"/>
      <c r="G81" s="160">
        <f>$H$8*I74</f>
        <v>264552.79103093647</v>
      </c>
      <c r="H81" s="160"/>
      <c r="L81" s="164"/>
    </row>
    <row r="82" spans="1:12" x14ac:dyDescent="0.2">
      <c r="A82" s="156" t="s">
        <v>807</v>
      </c>
      <c r="B82" s="156" t="s">
        <v>319</v>
      </c>
      <c r="C82" s="172"/>
      <c r="D82" s="172"/>
      <c r="E82" s="172"/>
      <c r="F82" s="172"/>
      <c r="G82" s="160">
        <f>$H$9*I74</f>
        <v>10654.653966113121</v>
      </c>
      <c r="H82" s="160"/>
      <c r="L82" s="164"/>
    </row>
    <row r="83" spans="1:12" x14ac:dyDescent="0.2">
      <c r="A83" s="156" t="s">
        <v>808</v>
      </c>
      <c r="B83" s="156" t="s">
        <v>319</v>
      </c>
      <c r="C83" s="172"/>
      <c r="D83" s="172"/>
      <c r="E83" s="172"/>
      <c r="F83" s="172"/>
      <c r="G83" s="160">
        <f>I74*$H$10</f>
        <v>414669.55521231209</v>
      </c>
      <c r="H83" s="160"/>
      <c r="L83" s="164"/>
    </row>
    <row r="84" spans="1:12" x14ac:dyDescent="0.2">
      <c r="A84" s="156" t="s">
        <v>809</v>
      </c>
      <c r="B84" s="156" t="s">
        <v>319</v>
      </c>
      <c r="C84" s="172"/>
      <c r="D84" s="172"/>
      <c r="E84" s="172"/>
      <c r="F84" s="172"/>
      <c r="G84" s="160">
        <f>I74*$H$11</f>
        <v>34111.935370006788</v>
      </c>
      <c r="H84" s="160"/>
      <c r="L84" s="164"/>
    </row>
    <row r="85" spans="1:12" x14ac:dyDescent="0.2">
      <c r="A85" s="156" t="s">
        <v>810</v>
      </c>
      <c r="B85" s="156" t="s">
        <v>319</v>
      </c>
      <c r="C85" s="172"/>
      <c r="D85" s="172"/>
      <c r="E85" s="172"/>
      <c r="F85" s="172"/>
      <c r="G85" s="160">
        <f>I74*$H$12</f>
        <v>11084.858804686837</v>
      </c>
      <c r="H85" s="160"/>
      <c r="L85" s="164"/>
    </row>
    <row r="86" spans="1:12" ht="24" x14ac:dyDescent="0.2">
      <c r="A86" s="156" t="s">
        <v>811</v>
      </c>
      <c r="B86" s="156" t="s">
        <v>319</v>
      </c>
      <c r="C86" s="172"/>
      <c r="D86" s="172"/>
      <c r="E86" s="172"/>
      <c r="F86" s="172"/>
      <c r="G86" s="160">
        <f>I74*$H$13</f>
        <v>3357.5489990595011</v>
      </c>
      <c r="H86" s="160"/>
      <c r="L86" s="164"/>
    </row>
    <row r="87" spans="1:12" x14ac:dyDescent="0.2">
      <c r="A87" s="156" t="s">
        <v>812</v>
      </c>
      <c r="B87" s="156" t="s">
        <v>319</v>
      </c>
      <c r="C87" s="172"/>
      <c r="D87" s="172"/>
      <c r="E87" s="172"/>
      <c r="F87" s="172"/>
      <c r="G87" s="160">
        <f>$H$14*I74</f>
        <v>15687.62350655457</v>
      </c>
      <c r="H87" s="160"/>
      <c r="L87" s="164"/>
    </row>
    <row r="88" spans="1:12" x14ac:dyDescent="0.2">
      <c r="A88" s="156" t="s">
        <v>813</v>
      </c>
      <c r="B88" s="156" t="s">
        <v>319</v>
      </c>
      <c r="C88" s="172"/>
      <c r="D88" s="172"/>
      <c r="E88" s="172"/>
      <c r="F88" s="172"/>
      <c r="G88" s="160">
        <f>I74*$H$15</f>
        <v>20850.569899268936</v>
      </c>
      <c r="H88" s="160"/>
      <c r="L88" s="164"/>
    </row>
    <row r="89" spans="1:12" x14ac:dyDescent="0.2">
      <c r="A89" s="156" t="s">
        <v>814</v>
      </c>
      <c r="B89" s="156" t="s">
        <v>319</v>
      </c>
      <c r="C89" s="172"/>
      <c r="D89" s="172"/>
      <c r="E89" s="172"/>
      <c r="F89" s="172"/>
      <c r="G89" s="160">
        <f>I74*$H$16</f>
        <v>15412.593134368833</v>
      </c>
      <c r="H89" s="160"/>
      <c r="L89" s="164"/>
    </row>
    <row r="90" spans="1:12" ht="24" x14ac:dyDescent="0.2">
      <c r="A90" s="156" t="s">
        <v>815</v>
      </c>
      <c r="B90" s="156" t="s">
        <v>319</v>
      </c>
      <c r="C90" s="172"/>
      <c r="D90" s="172"/>
      <c r="E90" s="172"/>
      <c r="F90" s="172"/>
      <c r="G90" s="160">
        <f>I74*$H$17</f>
        <v>10.892291967751831</v>
      </c>
      <c r="H90" s="160"/>
      <c r="L90" s="164"/>
    </row>
    <row r="91" spans="1:12" x14ac:dyDescent="0.2">
      <c r="A91" s="156" t="s">
        <v>816</v>
      </c>
      <c r="B91" s="156" t="s">
        <v>319</v>
      </c>
      <c r="C91" s="172"/>
      <c r="D91" s="172"/>
      <c r="E91" s="172"/>
      <c r="F91" s="172"/>
      <c r="G91" s="160">
        <f>I74*$H$18</f>
        <v>413.90709477456943</v>
      </c>
      <c r="H91" s="160"/>
      <c r="L91" s="164"/>
    </row>
    <row r="92" spans="1:12" x14ac:dyDescent="0.2">
      <c r="A92" s="156" t="s">
        <v>817</v>
      </c>
      <c r="B92" s="156" t="s">
        <v>319</v>
      </c>
      <c r="C92" s="172"/>
      <c r="D92" s="172"/>
      <c r="E92" s="172"/>
      <c r="F92" s="172"/>
      <c r="G92" s="160">
        <f>I74*$H$19</f>
        <v>3414.7335318901987</v>
      </c>
      <c r="H92" s="160"/>
      <c r="L92" s="164"/>
    </row>
    <row r="93" spans="1:12" x14ac:dyDescent="0.2">
      <c r="A93" s="156" t="s">
        <v>818</v>
      </c>
      <c r="B93" s="156" t="s">
        <v>319</v>
      </c>
      <c r="C93" s="172"/>
      <c r="D93" s="172"/>
      <c r="E93" s="172"/>
      <c r="F93" s="172"/>
      <c r="G93" s="160">
        <f>I74*$H$20</f>
        <v>5937.8572030683617</v>
      </c>
      <c r="H93" s="160"/>
      <c r="L93" s="164"/>
    </row>
    <row r="94" spans="1:12" x14ac:dyDescent="0.2">
      <c r="A94" s="156" t="s">
        <v>819</v>
      </c>
      <c r="B94" s="156" t="s">
        <v>319</v>
      </c>
      <c r="C94" s="172"/>
      <c r="D94" s="172"/>
      <c r="E94" s="172"/>
      <c r="F94" s="172"/>
      <c r="G94" s="160">
        <f>I74*$H$21</f>
        <v>345.83026997612052</v>
      </c>
      <c r="H94" s="160"/>
      <c r="L94" s="164"/>
    </row>
    <row r="95" spans="1:12" x14ac:dyDescent="0.2">
      <c r="A95" s="156" t="s">
        <v>820</v>
      </c>
      <c r="B95" s="156" t="s">
        <v>319</v>
      </c>
      <c r="C95" s="172"/>
      <c r="D95" s="172"/>
      <c r="E95" s="172"/>
      <c r="F95" s="172"/>
      <c r="G95" s="160">
        <v>0</v>
      </c>
      <c r="H95" s="160"/>
      <c r="L95" s="164"/>
    </row>
    <row r="96" spans="1:12" x14ac:dyDescent="0.2">
      <c r="A96" s="156" t="s">
        <v>821</v>
      </c>
      <c r="B96" s="156" t="s">
        <v>319</v>
      </c>
      <c r="C96" s="169">
        <f>SUM(C80:C95)</f>
        <v>0</v>
      </c>
      <c r="D96" s="169">
        <f t="shared" ref="D96" si="28">SUM(D80:D95)</f>
        <v>0</v>
      </c>
      <c r="E96" s="169">
        <f t="shared" ref="E96" si="29">SUM(E80:E95)</f>
        <v>0</v>
      </c>
      <c r="F96" s="169">
        <f t="shared" ref="F96" si="30">SUM(F80:F95)</f>
        <v>0</v>
      </c>
      <c r="G96" s="169">
        <f t="shared" ref="G96" si="31">SUM(G80:G95)</f>
        <v>815507.93724331271</v>
      </c>
      <c r="H96" s="169"/>
      <c r="L96" s="164"/>
    </row>
    <row r="97" spans="1:12" x14ac:dyDescent="0.2">
      <c r="L97" s="164"/>
    </row>
    <row r="98" spans="1:12" x14ac:dyDescent="0.2">
      <c r="A98" t="s">
        <v>838</v>
      </c>
      <c r="B98" s="163">
        <v>2015</v>
      </c>
      <c r="D98" s="163">
        <v>2016</v>
      </c>
      <c r="E98" s="163">
        <v>2017</v>
      </c>
      <c r="F98" s="163">
        <v>2018</v>
      </c>
      <c r="G98" s="163">
        <v>2019</v>
      </c>
      <c r="H98" s="163"/>
      <c r="I98" s="157">
        <f>'m2 Schoppe'!G57</f>
        <v>1051</v>
      </c>
      <c r="J98" s="157">
        <f>Bezoekersaantallen!H23</f>
        <v>40866</v>
      </c>
      <c r="L98" s="164"/>
    </row>
    <row r="99" spans="1:12" x14ac:dyDescent="0.2">
      <c r="B99" s="167">
        <v>1</v>
      </c>
      <c r="C99" s="175"/>
      <c r="D99" s="176"/>
      <c r="E99" s="176"/>
      <c r="F99" s="176"/>
      <c r="G99" s="168"/>
      <c r="H99" s="168"/>
      <c r="L99" s="164"/>
    </row>
    <row r="100" spans="1:12" x14ac:dyDescent="0.2">
      <c r="A100" s="156" t="s">
        <v>802</v>
      </c>
      <c r="B100" s="156" t="s">
        <v>319</v>
      </c>
      <c r="C100" s="172"/>
      <c r="D100" s="172"/>
      <c r="E100" s="172"/>
      <c r="F100" s="172"/>
      <c r="G100" s="160">
        <f>$H$3*J98</f>
        <v>21983.873929148915</v>
      </c>
      <c r="H100" s="160"/>
      <c r="L100" s="164"/>
    </row>
    <row r="101" spans="1:12" x14ac:dyDescent="0.2">
      <c r="A101" s="156" t="s">
        <v>803</v>
      </c>
      <c r="B101" s="156" t="s">
        <v>319</v>
      </c>
      <c r="C101" s="172"/>
      <c r="D101" s="172"/>
      <c r="E101" s="172"/>
      <c r="F101" s="172"/>
      <c r="G101" s="160">
        <f>$H$4*I98</f>
        <v>191189.66625320303</v>
      </c>
      <c r="H101" s="160"/>
      <c r="L101" s="164"/>
    </row>
    <row r="102" spans="1:12" x14ac:dyDescent="0.2">
      <c r="A102" s="156" t="s">
        <v>804</v>
      </c>
      <c r="B102" s="156" t="s">
        <v>319</v>
      </c>
      <c r="C102" s="169">
        <f>SUM(C100:C101)</f>
        <v>0</v>
      </c>
      <c r="D102" s="169">
        <f t="shared" ref="D102" si="32">SUM(D100:D101)</f>
        <v>0</v>
      </c>
      <c r="E102" s="169">
        <f t="shared" ref="E102" si="33">SUM(E100:E101)</f>
        <v>0</v>
      </c>
      <c r="F102" s="169">
        <f t="shared" ref="F102" si="34">SUM(F100:F101)</f>
        <v>0</v>
      </c>
      <c r="G102" s="169">
        <f t="shared" ref="G102" si="35">SUM(G100:G101)</f>
        <v>213173.54018235195</v>
      </c>
      <c r="H102" s="169"/>
      <c r="L102" s="164"/>
    </row>
    <row r="103" spans="1:12" x14ac:dyDescent="0.2">
      <c r="A103" s="156"/>
      <c r="B103" s="156"/>
      <c r="C103" s="160"/>
      <c r="D103" s="160"/>
      <c r="E103" s="160"/>
      <c r="F103" s="160"/>
      <c r="G103" s="160"/>
      <c r="H103" s="160"/>
      <c r="L103" s="164"/>
    </row>
    <row r="104" spans="1:12" x14ac:dyDescent="0.2">
      <c r="A104" s="156" t="s">
        <v>805</v>
      </c>
      <c r="B104" s="156" t="s">
        <v>319</v>
      </c>
      <c r="C104" s="172"/>
      <c r="D104" s="172"/>
      <c r="E104" s="172"/>
      <c r="F104" s="172"/>
      <c r="G104" s="160">
        <f>$H$7*J98</f>
        <v>7048.4544958564347</v>
      </c>
      <c r="H104" s="160"/>
      <c r="L104" s="164"/>
    </row>
    <row r="105" spans="1:12" x14ac:dyDescent="0.2">
      <c r="A105" s="156" t="s">
        <v>806</v>
      </c>
      <c r="B105" s="156" t="s">
        <v>319</v>
      </c>
      <c r="C105" s="172"/>
      <c r="D105" s="172"/>
      <c r="E105" s="172"/>
      <c r="F105" s="172"/>
      <c r="G105" s="160">
        <f>$H$8*I98</f>
        <v>90983.306077720612</v>
      </c>
      <c r="H105" s="160"/>
      <c r="L105" s="164"/>
    </row>
    <row r="106" spans="1:12" x14ac:dyDescent="0.2">
      <c r="A106" s="156" t="s">
        <v>807</v>
      </c>
      <c r="B106" s="156" t="s">
        <v>319</v>
      </c>
      <c r="C106" s="172"/>
      <c r="D106" s="172"/>
      <c r="E106" s="172"/>
      <c r="F106" s="172"/>
      <c r="G106" s="160">
        <f>$H$9*I98</f>
        <v>3664.2805361207102</v>
      </c>
      <c r="H106" s="160"/>
      <c r="L106" s="164"/>
    </row>
    <row r="107" spans="1:12" x14ac:dyDescent="0.2">
      <c r="A107" s="156" t="s">
        <v>808</v>
      </c>
      <c r="B107" s="156" t="s">
        <v>319</v>
      </c>
      <c r="C107" s="172"/>
      <c r="D107" s="172"/>
      <c r="E107" s="172"/>
      <c r="F107" s="172"/>
      <c r="G107" s="160">
        <f>I98*$H$10</f>
        <v>142610.50475397252</v>
      </c>
      <c r="H107" s="160"/>
      <c r="L107" s="164"/>
    </row>
    <row r="108" spans="1:12" x14ac:dyDescent="0.2">
      <c r="A108" s="156" t="s">
        <v>809</v>
      </c>
      <c r="B108" s="156" t="s">
        <v>319</v>
      </c>
      <c r="C108" s="172"/>
      <c r="D108" s="172"/>
      <c r="E108" s="172"/>
      <c r="F108" s="172"/>
      <c r="G108" s="160">
        <f>I98*$H$11</f>
        <v>11731.558924698014</v>
      </c>
      <c r="H108" s="160"/>
      <c r="L108" s="164"/>
    </row>
    <row r="109" spans="1:12" x14ac:dyDescent="0.2">
      <c r="A109" s="156" t="s">
        <v>810</v>
      </c>
      <c r="B109" s="156" t="s">
        <v>319</v>
      </c>
      <c r="C109" s="172"/>
      <c r="D109" s="172"/>
      <c r="E109" s="172"/>
      <c r="F109" s="172"/>
      <c r="G109" s="160">
        <f>I98*$H$12</f>
        <v>3812.2338362977312</v>
      </c>
      <c r="H109" s="160"/>
      <c r="L109" s="164"/>
    </row>
    <row r="110" spans="1:12" ht="24" x14ac:dyDescent="0.2">
      <c r="A110" s="156" t="s">
        <v>811</v>
      </c>
      <c r="B110" s="156" t="s">
        <v>319</v>
      </c>
      <c r="C110" s="172"/>
      <c r="D110" s="172"/>
      <c r="E110" s="172"/>
      <c r="F110" s="172"/>
      <c r="G110" s="160">
        <f>I98*$H$13</f>
        <v>1154.706805632047</v>
      </c>
      <c r="H110" s="160"/>
      <c r="L110" s="164"/>
    </row>
    <row r="111" spans="1:12" x14ac:dyDescent="0.2">
      <c r="A111" s="156" t="s">
        <v>812</v>
      </c>
      <c r="B111" s="156" t="s">
        <v>319</v>
      </c>
      <c r="C111" s="172"/>
      <c r="D111" s="172"/>
      <c r="E111" s="172"/>
      <c r="F111" s="172"/>
      <c r="G111" s="160">
        <f>$H$14*I98</f>
        <v>5395.1872727057762</v>
      </c>
      <c r="H111" s="160"/>
      <c r="L111" s="164"/>
    </row>
    <row r="112" spans="1:12" x14ac:dyDescent="0.2">
      <c r="A112" s="156" t="s">
        <v>813</v>
      </c>
      <c r="B112" s="156" t="s">
        <v>319</v>
      </c>
      <c r="C112" s="172"/>
      <c r="D112" s="172"/>
      <c r="E112" s="172"/>
      <c r="F112" s="172"/>
      <c r="G112" s="160">
        <f>I98*$H$15</f>
        <v>7170.7948181059073</v>
      </c>
      <c r="H112" s="160"/>
      <c r="L112" s="164"/>
    </row>
    <row r="113" spans="1:12" x14ac:dyDescent="0.2">
      <c r="A113" s="156" t="s">
        <v>814</v>
      </c>
      <c r="B113" s="156" t="s">
        <v>319</v>
      </c>
      <c r="C113" s="172"/>
      <c r="D113" s="172"/>
      <c r="E113" s="172"/>
      <c r="F113" s="172"/>
      <c r="G113" s="160">
        <f>I98*$H$16</f>
        <v>5300.6005838421606</v>
      </c>
      <c r="H113" s="160"/>
      <c r="L113" s="164"/>
    </row>
    <row r="114" spans="1:12" ht="24" x14ac:dyDescent="0.2">
      <c r="A114" s="156" t="s">
        <v>815</v>
      </c>
      <c r="B114" s="156" t="s">
        <v>319</v>
      </c>
      <c r="C114" s="172"/>
      <c r="D114" s="172"/>
      <c r="E114" s="172"/>
      <c r="F114" s="172"/>
      <c r="G114" s="160">
        <f>I98*$H$17</f>
        <v>3.7460074797471119</v>
      </c>
      <c r="H114" s="160"/>
      <c r="L114" s="164"/>
    </row>
    <row r="115" spans="1:12" x14ac:dyDescent="0.2">
      <c r="A115" s="156" t="s">
        <v>816</v>
      </c>
      <c r="B115" s="156" t="s">
        <v>319</v>
      </c>
      <c r="C115" s="172"/>
      <c r="D115" s="172"/>
      <c r="E115" s="172"/>
      <c r="F115" s="172"/>
      <c r="G115" s="160">
        <f>I98*$H$18</f>
        <v>142.34828423039022</v>
      </c>
      <c r="H115" s="160"/>
      <c r="L115" s="164"/>
    </row>
    <row r="116" spans="1:12" x14ac:dyDescent="0.2">
      <c r="A116" s="156" t="s">
        <v>817</v>
      </c>
      <c r="B116" s="156" t="s">
        <v>319</v>
      </c>
      <c r="C116" s="172"/>
      <c r="D116" s="172"/>
      <c r="E116" s="172"/>
      <c r="F116" s="172"/>
      <c r="G116" s="160">
        <f>I98*$H$19</f>
        <v>1174.3733449007195</v>
      </c>
      <c r="H116" s="160"/>
      <c r="L116" s="164"/>
    </row>
    <row r="117" spans="1:12" x14ac:dyDescent="0.2">
      <c r="A117" s="156" t="s">
        <v>818</v>
      </c>
      <c r="B117" s="156" t="s">
        <v>319</v>
      </c>
      <c r="C117" s="172"/>
      <c r="D117" s="172"/>
      <c r="E117" s="172"/>
      <c r="F117" s="172"/>
      <c r="G117" s="160">
        <f>I98*$H$20</f>
        <v>2042.1099216049897</v>
      </c>
      <c r="H117" s="160"/>
      <c r="L117" s="164"/>
    </row>
    <row r="118" spans="1:12" x14ac:dyDescent="0.2">
      <c r="A118" s="156" t="s">
        <v>819</v>
      </c>
      <c r="B118" s="156" t="s">
        <v>319</v>
      </c>
      <c r="C118" s="172"/>
      <c r="D118" s="172"/>
      <c r="E118" s="172"/>
      <c r="F118" s="172"/>
      <c r="G118" s="160">
        <f>I98*$H$21</f>
        <v>118.93573748197076</v>
      </c>
      <c r="H118" s="160"/>
      <c r="L118" s="164"/>
    </row>
    <row r="119" spans="1:12" x14ac:dyDescent="0.2">
      <c r="A119" s="156" t="s">
        <v>820</v>
      </c>
      <c r="B119" s="156" t="s">
        <v>319</v>
      </c>
      <c r="C119" s="172"/>
      <c r="D119" s="172"/>
      <c r="E119" s="172"/>
      <c r="F119" s="172"/>
      <c r="G119" s="160">
        <v>0</v>
      </c>
      <c r="H119" s="160"/>
      <c r="L119" s="164"/>
    </row>
    <row r="120" spans="1:12" x14ac:dyDescent="0.2">
      <c r="A120" s="156" t="s">
        <v>821</v>
      </c>
      <c r="B120" s="156" t="s">
        <v>319</v>
      </c>
      <c r="C120" s="169">
        <f>SUM(C104:C119)</f>
        <v>0</v>
      </c>
      <c r="D120" s="169">
        <f t="shared" ref="D120" si="36">SUM(D104:D119)</f>
        <v>0</v>
      </c>
      <c r="E120" s="169">
        <f t="shared" ref="E120" si="37">SUM(E104:E119)</f>
        <v>0</v>
      </c>
      <c r="F120" s="169">
        <f t="shared" ref="F120" si="38">SUM(F104:F119)</f>
        <v>0</v>
      </c>
      <c r="G120" s="169">
        <f t="shared" ref="G120" si="39">SUM(G104:G119)</f>
        <v>282353.14140064974</v>
      </c>
      <c r="H120" s="169"/>
      <c r="L120" s="164"/>
    </row>
    <row r="121" spans="1:12" x14ac:dyDescent="0.2">
      <c r="L121" s="164"/>
    </row>
    <row r="122" spans="1:12" x14ac:dyDescent="0.2">
      <c r="A122" t="s">
        <v>89</v>
      </c>
      <c r="B122" s="163">
        <v>2015</v>
      </c>
      <c r="D122" s="163">
        <v>2016</v>
      </c>
      <c r="E122" s="163">
        <v>2017</v>
      </c>
      <c r="F122" s="163">
        <v>2018</v>
      </c>
      <c r="G122" s="163">
        <v>2019</v>
      </c>
      <c r="H122" s="163"/>
      <c r="I122" s="157">
        <f>'m2 Eninver'!G172</f>
        <v>5439.7399999999961</v>
      </c>
      <c r="J122" s="157">
        <f>Bezoekersaantallen!H13</f>
        <v>183319</v>
      </c>
      <c r="L122" s="164"/>
    </row>
    <row r="123" spans="1:12" x14ac:dyDescent="0.2">
      <c r="B123" s="167">
        <v>1</v>
      </c>
      <c r="C123" s="175"/>
      <c r="D123" s="176"/>
      <c r="E123" s="176"/>
      <c r="F123" s="176"/>
      <c r="G123" s="168"/>
      <c r="H123" s="168"/>
      <c r="L123" s="164"/>
    </row>
    <row r="124" spans="1:12" x14ac:dyDescent="0.2">
      <c r="A124" s="156" t="s">
        <v>802</v>
      </c>
      <c r="B124" s="156" t="s">
        <v>319</v>
      </c>
      <c r="C124" s="172"/>
      <c r="D124" s="172"/>
      <c r="E124" s="172"/>
      <c r="F124" s="172"/>
      <c r="G124" s="160">
        <f>$H$3*J122</f>
        <v>98616.497450634997</v>
      </c>
      <c r="H124" s="160"/>
      <c r="L124" s="164"/>
    </row>
    <row r="125" spans="1:12" x14ac:dyDescent="0.2">
      <c r="A125" s="156" t="s">
        <v>803</v>
      </c>
      <c r="B125" s="156" t="s">
        <v>319</v>
      </c>
      <c r="C125" s="172"/>
      <c r="D125" s="172"/>
      <c r="E125" s="172"/>
      <c r="F125" s="172"/>
      <c r="G125" s="160">
        <f>$H$4*I122</f>
        <v>989554.78125994094</v>
      </c>
      <c r="H125" s="160"/>
      <c r="L125" s="164"/>
    </row>
    <row r="126" spans="1:12" x14ac:dyDescent="0.2">
      <c r="A126" s="156" t="s">
        <v>804</v>
      </c>
      <c r="B126" s="156" t="s">
        <v>319</v>
      </c>
      <c r="C126" s="169">
        <f>SUM(C124:C125)</f>
        <v>0</v>
      </c>
      <c r="D126" s="169">
        <f t="shared" ref="D126" si="40">SUM(D124:D125)</f>
        <v>0</v>
      </c>
      <c r="E126" s="169">
        <f t="shared" ref="E126" si="41">SUM(E124:E125)</f>
        <v>0</v>
      </c>
      <c r="F126" s="169">
        <f t="shared" ref="F126" si="42">SUM(F124:F125)</f>
        <v>0</v>
      </c>
      <c r="G126" s="169">
        <f t="shared" ref="G126" si="43">SUM(G124:G125)</f>
        <v>1088171.278710576</v>
      </c>
      <c r="H126" s="169"/>
      <c r="L126" s="164"/>
    </row>
    <row r="127" spans="1:12" x14ac:dyDescent="0.2">
      <c r="A127" s="156"/>
      <c r="B127" s="156"/>
      <c r="C127" s="160"/>
      <c r="D127" s="160"/>
      <c r="E127" s="160"/>
      <c r="F127" s="160"/>
      <c r="G127" s="160"/>
      <c r="H127" s="160"/>
      <c r="L127" s="164"/>
    </row>
    <row r="128" spans="1:12" x14ac:dyDescent="0.2">
      <c r="A128" s="156" t="s">
        <v>805</v>
      </c>
      <c r="B128" s="156" t="s">
        <v>319</v>
      </c>
      <c r="C128" s="172"/>
      <c r="D128" s="172"/>
      <c r="E128" s="172"/>
      <c r="F128" s="172"/>
      <c r="G128" s="160">
        <f>$H$7*J122</f>
        <v>31618.353392206376</v>
      </c>
      <c r="H128" s="160"/>
      <c r="L128" s="164"/>
    </row>
    <row r="129" spans="1:12" x14ac:dyDescent="0.2">
      <c r="A129" s="156" t="s">
        <v>806</v>
      </c>
      <c r="B129" s="156" t="s">
        <v>319</v>
      </c>
      <c r="C129" s="172"/>
      <c r="D129" s="172"/>
      <c r="E129" s="172"/>
      <c r="F129" s="172"/>
      <c r="G129" s="160">
        <f>$H$8*I122</f>
        <v>470909.16213436687</v>
      </c>
      <c r="H129" s="160"/>
      <c r="L129" s="164"/>
    </row>
    <row r="130" spans="1:12" x14ac:dyDescent="0.2">
      <c r="A130" s="156" t="s">
        <v>807</v>
      </c>
      <c r="B130" s="156" t="s">
        <v>319</v>
      </c>
      <c r="C130" s="172"/>
      <c r="D130" s="172"/>
      <c r="E130" s="172"/>
      <c r="F130" s="172"/>
      <c r="G130" s="160">
        <f>$H$9*I122</f>
        <v>18965.493247913662</v>
      </c>
      <c r="H130" s="160"/>
      <c r="L130" s="164"/>
    </row>
    <row r="131" spans="1:12" x14ac:dyDescent="0.2">
      <c r="A131" s="156" t="s">
        <v>808</v>
      </c>
      <c r="B131" s="156" t="s">
        <v>319</v>
      </c>
      <c r="C131" s="172"/>
      <c r="D131" s="172"/>
      <c r="E131" s="172"/>
      <c r="F131" s="172"/>
      <c r="G131" s="160">
        <f>I122*$H$10</f>
        <v>738119.94969588378</v>
      </c>
      <c r="H131" s="160"/>
      <c r="L131" s="164"/>
    </row>
    <row r="132" spans="1:12" x14ac:dyDescent="0.2">
      <c r="A132" s="156" t="s">
        <v>809</v>
      </c>
      <c r="B132" s="156" t="s">
        <v>319</v>
      </c>
      <c r="C132" s="172"/>
      <c r="D132" s="172"/>
      <c r="E132" s="172"/>
      <c r="F132" s="172"/>
      <c r="G132" s="160">
        <f>I122*$H$11</f>
        <v>60719.91469556302</v>
      </c>
      <c r="H132" s="160"/>
      <c r="L132" s="164"/>
    </row>
    <row r="133" spans="1:12" x14ac:dyDescent="0.2">
      <c r="A133" s="156" t="s">
        <v>810</v>
      </c>
      <c r="B133" s="156" t="s">
        <v>319</v>
      </c>
      <c r="C133" s="172"/>
      <c r="D133" s="172"/>
      <c r="E133" s="172"/>
      <c r="F133" s="172"/>
      <c r="G133" s="160">
        <f>I122*$H$12</f>
        <v>19731.266307004953</v>
      </c>
      <c r="H133" s="160"/>
      <c r="L133" s="164"/>
    </row>
    <row r="134" spans="1:12" ht="24" x14ac:dyDescent="0.2">
      <c r="A134" s="156" t="s">
        <v>811</v>
      </c>
      <c r="B134" s="156" t="s">
        <v>319</v>
      </c>
      <c r="C134" s="172"/>
      <c r="D134" s="172"/>
      <c r="E134" s="172"/>
      <c r="F134" s="172"/>
      <c r="G134" s="160">
        <f>I122*$H$13</f>
        <v>5976.5031387905483</v>
      </c>
      <c r="H134" s="160"/>
      <c r="L134" s="164"/>
    </row>
    <row r="135" spans="1:12" x14ac:dyDescent="0.2">
      <c r="A135" s="156" t="s">
        <v>812</v>
      </c>
      <c r="B135" s="156" t="s">
        <v>319</v>
      </c>
      <c r="C135" s="172"/>
      <c r="D135" s="172"/>
      <c r="E135" s="172"/>
      <c r="F135" s="172"/>
      <c r="G135" s="160">
        <f>$H$14*I122</f>
        <v>27924.277844746433</v>
      </c>
      <c r="H135" s="160"/>
      <c r="L135" s="164"/>
    </row>
    <row r="136" spans="1:12" x14ac:dyDescent="0.2">
      <c r="A136" s="156" t="s">
        <v>813</v>
      </c>
      <c r="B136" s="156" t="s">
        <v>319</v>
      </c>
      <c r="C136" s="172"/>
      <c r="D136" s="172"/>
      <c r="E136" s="172"/>
      <c r="F136" s="172"/>
      <c r="G136" s="160">
        <f>I122*$H$15</f>
        <v>37114.423790526547</v>
      </c>
      <c r="H136" s="160"/>
      <c r="L136" s="164"/>
    </row>
    <row r="137" spans="1:12" x14ac:dyDescent="0.2">
      <c r="A137" s="156" t="s">
        <v>814</v>
      </c>
      <c r="B137" s="156" t="s">
        <v>319</v>
      </c>
      <c r="C137" s="172"/>
      <c r="D137" s="172"/>
      <c r="E137" s="172"/>
      <c r="F137" s="172"/>
      <c r="G137" s="160">
        <f>I122*$H$16</f>
        <v>27434.718382444848</v>
      </c>
      <c r="H137" s="160"/>
      <c r="L137" s="164"/>
    </row>
    <row r="138" spans="1:12" ht="24" x14ac:dyDescent="0.2">
      <c r="A138" s="156" t="s">
        <v>815</v>
      </c>
      <c r="B138" s="156" t="s">
        <v>319</v>
      </c>
      <c r="C138" s="172"/>
      <c r="D138" s="172"/>
      <c r="E138" s="172"/>
      <c r="F138" s="172"/>
      <c r="G138" s="160">
        <f>I122*$H$17</f>
        <v>19.388493556498133</v>
      </c>
      <c r="H138" s="160"/>
      <c r="L138" s="164"/>
    </row>
    <row r="139" spans="1:12" x14ac:dyDescent="0.2">
      <c r="A139" s="156" t="s">
        <v>816</v>
      </c>
      <c r="B139" s="156" t="s">
        <v>319</v>
      </c>
      <c r="C139" s="172"/>
      <c r="D139" s="172"/>
      <c r="E139" s="172"/>
      <c r="F139" s="172"/>
      <c r="G139" s="160">
        <f>I122*$H$18</f>
        <v>736.76275514692895</v>
      </c>
      <c r="H139" s="160"/>
      <c r="L139" s="164"/>
    </row>
    <row r="140" spans="1:12" x14ac:dyDescent="0.2">
      <c r="A140" s="156" t="s">
        <v>817</v>
      </c>
      <c r="B140" s="156" t="s">
        <v>319</v>
      </c>
      <c r="C140" s="172"/>
      <c r="D140" s="172"/>
      <c r="E140" s="172"/>
      <c r="F140" s="172"/>
      <c r="G140" s="160">
        <f>I122*$H$19</f>
        <v>6078.2927299621651</v>
      </c>
      <c r="H140" s="160"/>
      <c r="L140" s="164"/>
    </row>
    <row r="141" spans="1:12" x14ac:dyDescent="0.2">
      <c r="A141" s="156" t="s">
        <v>818</v>
      </c>
      <c r="B141" s="156" t="s">
        <v>319</v>
      </c>
      <c r="C141" s="172"/>
      <c r="D141" s="172"/>
      <c r="E141" s="172"/>
      <c r="F141" s="172"/>
      <c r="G141" s="160">
        <f>I122*$H$20</f>
        <v>10569.502402427706</v>
      </c>
      <c r="H141" s="160"/>
      <c r="L141" s="164"/>
    </row>
    <row r="142" spans="1:12" x14ac:dyDescent="0.2">
      <c r="A142" s="156" t="s">
        <v>819</v>
      </c>
      <c r="B142" s="156" t="s">
        <v>319</v>
      </c>
      <c r="C142" s="172"/>
      <c r="D142" s="172"/>
      <c r="E142" s="172"/>
      <c r="F142" s="172"/>
      <c r="G142" s="160">
        <f>I122*$H$21</f>
        <v>615.58467041881556</v>
      </c>
      <c r="H142" s="160"/>
      <c r="L142" s="164"/>
    </row>
    <row r="143" spans="1:12" x14ac:dyDescent="0.2">
      <c r="A143" s="156" t="s">
        <v>820</v>
      </c>
      <c r="B143" s="156" t="s">
        <v>319</v>
      </c>
      <c r="C143" s="172"/>
      <c r="D143" s="172"/>
      <c r="E143" s="172"/>
      <c r="F143" s="172"/>
      <c r="G143" s="160">
        <v>0</v>
      </c>
      <c r="H143" s="160"/>
      <c r="L143" s="164"/>
    </row>
    <row r="144" spans="1:12" x14ac:dyDescent="0.2">
      <c r="A144" s="156" t="s">
        <v>821</v>
      </c>
      <c r="B144" s="156" t="s">
        <v>319</v>
      </c>
      <c r="C144" s="169">
        <f>SUM(C128:C143)</f>
        <v>0</v>
      </c>
      <c r="D144" s="169">
        <f t="shared" ref="D144" si="44">SUM(D128:D143)</f>
        <v>0</v>
      </c>
      <c r="E144" s="169">
        <f t="shared" ref="E144" si="45">SUM(E128:E143)</f>
        <v>0</v>
      </c>
      <c r="F144" s="169">
        <f t="shared" ref="F144" si="46">SUM(F128:F143)</f>
        <v>0</v>
      </c>
      <c r="G144" s="169">
        <f t="shared" ref="G144" si="47">SUM(G128:G143)</f>
        <v>1456533.5936809592</v>
      </c>
      <c r="H144" s="169"/>
      <c r="L144" s="164"/>
    </row>
    <row r="145" spans="1:12" x14ac:dyDescent="0.2">
      <c r="L145" s="164"/>
    </row>
    <row r="146" spans="1:12" ht="24" x14ac:dyDescent="0.2">
      <c r="A146" s="180" t="s">
        <v>841</v>
      </c>
      <c r="B146" s="178"/>
      <c r="C146" s="179"/>
      <c r="D146" s="179"/>
      <c r="E146" s="179"/>
      <c r="F146" s="179"/>
      <c r="G146" s="179"/>
      <c r="H146" s="179"/>
      <c r="I146" s="114" t="s">
        <v>880</v>
      </c>
      <c r="L146" s="177"/>
    </row>
    <row r="147" spans="1:12" x14ac:dyDescent="0.2">
      <c r="B147" s="163"/>
      <c r="D147" s="163"/>
      <c r="E147" s="163"/>
      <c r="F147" s="163"/>
      <c r="G147" s="163">
        <v>2019</v>
      </c>
      <c r="I147" s="157">
        <f>SUM(I2:I146)</f>
        <v>12037.139999999996</v>
      </c>
      <c r="J147" s="157">
        <f>SUM(J2:J146)</f>
        <v>377129</v>
      </c>
      <c r="L147" s="177"/>
    </row>
    <row r="148" spans="1:12" x14ac:dyDescent="0.2">
      <c r="A148" s="156" t="s">
        <v>802</v>
      </c>
      <c r="B148" s="156" t="s">
        <v>319</v>
      </c>
      <c r="C148" s="172"/>
      <c r="D148" s="172"/>
      <c r="E148" s="172"/>
      <c r="F148" s="172"/>
      <c r="G148" s="160">
        <f>G3+G28+G52+G76+G100+G124</f>
        <v>202876.63072055014</v>
      </c>
      <c r="H148" s="159">
        <f>G148/J147</f>
        <v>0.53795022583930208</v>
      </c>
      <c r="L148" s="177"/>
    </row>
    <row r="149" spans="1:12" x14ac:dyDescent="0.2">
      <c r="A149" s="156" t="s">
        <v>803</v>
      </c>
      <c r="B149" s="156" t="s">
        <v>319</v>
      </c>
      <c r="C149" s="172"/>
      <c r="D149" s="172"/>
      <c r="E149" s="172"/>
      <c r="F149" s="172"/>
      <c r="G149" s="183">
        <f>G4+G29+G53+G77+G101+G125</f>
        <v>2189701.9783473639</v>
      </c>
      <c r="L149" s="177"/>
    </row>
    <row r="150" spans="1:12" x14ac:dyDescent="0.2">
      <c r="A150" s="156" t="s">
        <v>804</v>
      </c>
      <c r="B150" s="156" t="s">
        <v>319</v>
      </c>
      <c r="C150" s="169">
        <f>SUM(C148:C149)</f>
        <v>0</v>
      </c>
      <c r="D150" s="169">
        <f t="shared" ref="D150" si="48">SUM(D148:D149)</f>
        <v>0</v>
      </c>
      <c r="E150" s="169">
        <f t="shared" ref="E150" si="49">SUM(E148:E149)</f>
        <v>0</v>
      </c>
      <c r="F150" s="169">
        <f t="shared" ref="F150" si="50">SUM(F148:F149)</f>
        <v>0</v>
      </c>
      <c r="G150" s="169">
        <f t="shared" ref="G150" si="51">SUM(G148:G149)</f>
        <v>2392578.6090679141</v>
      </c>
      <c r="L150" s="177"/>
    </row>
    <row r="151" spans="1:12" x14ac:dyDescent="0.2">
      <c r="A151" s="156"/>
      <c r="B151" s="156"/>
      <c r="C151" s="160"/>
      <c r="D151" s="160"/>
      <c r="E151" s="160"/>
      <c r="F151" s="160"/>
      <c r="G151" s="160"/>
      <c r="L151" s="177"/>
    </row>
    <row r="152" spans="1:12" x14ac:dyDescent="0.2">
      <c r="A152" s="156" t="s">
        <v>805</v>
      </c>
      <c r="B152" s="156" t="s">
        <v>319</v>
      </c>
      <c r="C152" s="172"/>
      <c r="D152" s="172"/>
      <c r="E152" s="172"/>
      <c r="F152" s="172"/>
      <c r="G152" s="160">
        <f t="shared" ref="G152:G167" si="52">G7+G32+G56+G80+G104+G128</f>
        <v>65046.16540811045</v>
      </c>
      <c r="L152" s="177"/>
    </row>
    <row r="153" spans="1:12" x14ac:dyDescent="0.2">
      <c r="A153" s="156" t="s">
        <v>806</v>
      </c>
      <c r="B153" s="156" t="s">
        <v>319</v>
      </c>
      <c r="C153" s="172"/>
      <c r="D153" s="172"/>
      <c r="E153" s="172"/>
      <c r="F153" s="172"/>
      <c r="G153" s="160">
        <f>SUM(G33+G57+G81+G105+G129+G8)</f>
        <v>1042035.0075360357</v>
      </c>
      <c r="L153" s="177"/>
    </row>
    <row r="154" spans="1:12" x14ac:dyDescent="0.2">
      <c r="A154" s="156" t="s">
        <v>807</v>
      </c>
      <c r="B154" s="156" t="s">
        <v>319</v>
      </c>
      <c r="C154" s="172"/>
      <c r="D154" s="172"/>
      <c r="E154" s="172"/>
      <c r="F154" s="172"/>
      <c r="G154" s="160">
        <f>G9+G34+G58+G82+G106+G130</f>
        <v>41967.133979600418</v>
      </c>
      <c r="L154" s="177"/>
    </row>
    <row r="155" spans="1:12" x14ac:dyDescent="0.2">
      <c r="A155" s="156" t="s">
        <v>808</v>
      </c>
      <c r="B155" s="156" t="s">
        <v>319</v>
      </c>
      <c r="C155" s="172"/>
      <c r="D155" s="172"/>
      <c r="E155" s="172"/>
      <c r="F155" s="172"/>
      <c r="G155" s="171">
        <f t="shared" si="52"/>
        <v>1633323.1314883274</v>
      </c>
      <c r="H155" s="159">
        <f>G155/I147</f>
        <v>135.69029948046861</v>
      </c>
      <c r="L155" s="177"/>
    </row>
    <row r="156" spans="1:12" x14ac:dyDescent="0.2">
      <c r="A156" s="156" t="s">
        <v>809</v>
      </c>
      <c r="B156" s="156" t="s">
        <v>319</v>
      </c>
      <c r="C156" s="172"/>
      <c r="D156" s="172"/>
      <c r="E156" s="172"/>
      <c r="F156" s="172"/>
      <c r="G156" s="160">
        <f t="shared" si="52"/>
        <v>134361.95736901942</v>
      </c>
      <c r="H156" s="159">
        <f>G156/I147</f>
        <v>11.162282516363478</v>
      </c>
      <c r="L156" s="177"/>
    </row>
    <row r="157" spans="1:12" x14ac:dyDescent="0.2">
      <c r="A157" s="156" t="s">
        <v>810</v>
      </c>
      <c r="B157" s="156" t="s">
        <v>319</v>
      </c>
      <c r="C157" s="172"/>
      <c r="D157" s="172"/>
      <c r="E157" s="172"/>
      <c r="F157" s="172"/>
      <c r="G157" s="160">
        <f>G37+G61+G85+G109+G133+G12</f>
        <v>43661.648335159713</v>
      </c>
      <c r="L157" s="177"/>
    </row>
    <row r="158" spans="1:12" ht="24" x14ac:dyDescent="0.2">
      <c r="A158" s="156" t="s">
        <v>811</v>
      </c>
      <c r="B158" s="156" t="s">
        <v>319</v>
      </c>
      <c r="C158" s="172"/>
      <c r="D158" s="172"/>
      <c r="E158" s="172"/>
      <c r="F158" s="172"/>
      <c r="G158" s="160">
        <f t="shared" si="52"/>
        <v>13224.897695857026</v>
      </c>
      <c r="L158" s="177"/>
    </row>
    <row r="159" spans="1:12" x14ac:dyDescent="0.2">
      <c r="A159" s="156" t="s">
        <v>812</v>
      </c>
      <c r="B159" s="156" t="s">
        <v>319</v>
      </c>
      <c r="C159" s="172"/>
      <c r="D159" s="172"/>
      <c r="E159" s="172"/>
      <c r="F159" s="172"/>
      <c r="G159" s="160">
        <f t="shared" si="52"/>
        <v>61791.269769531486</v>
      </c>
      <c r="H159" s="159">
        <f>G159/I147</f>
        <v>5.1333846552861813</v>
      </c>
      <c r="L159" s="177"/>
    </row>
    <row r="160" spans="1:12" x14ac:dyDescent="0.2">
      <c r="A160" s="156" t="s">
        <v>813</v>
      </c>
      <c r="B160" s="156" t="s">
        <v>319</v>
      </c>
      <c r="C160" s="172"/>
      <c r="D160" s="172"/>
      <c r="E160" s="172"/>
      <c r="F160" s="172"/>
      <c r="G160" s="160">
        <f t="shared" si="52"/>
        <v>82127.365496494109</v>
      </c>
      <c r="L160" s="177"/>
    </row>
    <row r="161" spans="1:12" x14ac:dyDescent="0.2">
      <c r="A161" s="156" t="s">
        <v>814</v>
      </c>
      <c r="B161" s="156" t="s">
        <v>319</v>
      </c>
      <c r="C161" s="172"/>
      <c r="D161" s="172"/>
      <c r="E161" s="172"/>
      <c r="F161" s="172"/>
      <c r="G161" s="160">
        <f t="shared" si="52"/>
        <v>60707.965092093058</v>
      </c>
      <c r="L161" s="177"/>
    </row>
    <row r="162" spans="1:12" ht="24" x14ac:dyDescent="0.2">
      <c r="A162" s="156" t="s">
        <v>815</v>
      </c>
      <c r="B162" s="156" t="s">
        <v>319</v>
      </c>
      <c r="C162" s="172"/>
      <c r="D162" s="172"/>
      <c r="E162" s="172"/>
      <c r="F162" s="172"/>
      <c r="G162" s="160">
        <f t="shared" si="52"/>
        <v>42.903155542115258</v>
      </c>
      <c r="L162" s="177"/>
    </row>
    <row r="163" spans="1:12" x14ac:dyDescent="0.2">
      <c r="A163" s="156" t="s">
        <v>816</v>
      </c>
      <c r="B163" s="156" t="s">
        <v>319</v>
      </c>
      <c r="C163" s="172"/>
      <c r="D163" s="172"/>
      <c r="E163" s="172"/>
      <c r="F163" s="172"/>
      <c r="G163" s="160">
        <f t="shared" si="52"/>
        <v>1630.3199106003794</v>
      </c>
      <c r="L163" s="177"/>
    </row>
    <row r="164" spans="1:12" x14ac:dyDescent="0.2">
      <c r="A164" s="156" t="s">
        <v>817</v>
      </c>
      <c r="B164" s="156" t="s">
        <v>319</v>
      </c>
      <c r="C164" s="172"/>
      <c r="D164" s="172"/>
      <c r="E164" s="172"/>
      <c r="F164" s="172"/>
      <c r="G164" s="160">
        <f t="shared" si="52"/>
        <v>13450.139262453133</v>
      </c>
      <c r="L164" s="177"/>
    </row>
    <row r="165" spans="1:12" x14ac:dyDescent="0.2">
      <c r="A165" s="156" t="s">
        <v>818</v>
      </c>
      <c r="B165" s="156" t="s">
        <v>319</v>
      </c>
      <c r="C165" s="172"/>
      <c r="D165" s="172"/>
      <c r="E165" s="172"/>
      <c r="F165" s="172"/>
      <c r="G165" s="160">
        <f>G45+G69+G93+G117+G141+G20</f>
        <v>23388.35682373766</v>
      </c>
      <c r="L165" s="177"/>
    </row>
    <row r="166" spans="1:12" x14ac:dyDescent="0.2">
      <c r="A166" s="156" t="s">
        <v>819</v>
      </c>
      <c r="B166" s="156" t="s">
        <v>319</v>
      </c>
      <c r="C166" s="172"/>
      <c r="D166" s="172"/>
      <c r="E166" s="172"/>
      <c r="F166" s="172"/>
      <c r="G166" s="160">
        <f t="shared" si="52"/>
        <v>1362.175188462159</v>
      </c>
      <c r="L166" s="177"/>
    </row>
    <row r="167" spans="1:12" x14ac:dyDescent="0.2">
      <c r="A167" s="156" t="s">
        <v>820</v>
      </c>
      <c r="B167" s="156" t="s">
        <v>319</v>
      </c>
      <c r="C167" s="172"/>
      <c r="D167" s="172"/>
      <c r="E167" s="172"/>
      <c r="F167" s="172"/>
      <c r="G167" s="160">
        <f t="shared" si="52"/>
        <v>0</v>
      </c>
      <c r="L167" s="177"/>
    </row>
    <row r="168" spans="1:12" x14ac:dyDescent="0.2">
      <c r="A168" s="156" t="s">
        <v>821</v>
      </c>
      <c r="B168" s="156" t="s">
        <v>319</v>
      </c>
      <c r="C168" s="169">
        <f>SUM(C152:C167)</f>
        <v>0</v>
      </c>
      <c r="D168" s="169">
        <f t="shared" ref="D168" si="53">SUM(D152:D167)</f>
        <v>0</v>
      </c>
      <c r="E168" s="169">
        <f t="shared" ref="E168" si="54">SUM(E152:E167)</f>
        <v>0</v>
      </c>
      <c r="F168" s="169">
        <f t="shared" ref="F168" si="55">SUM(F152:F167)</f>
        <v>0</v>
      </c>
      <c r="G168" s="169">
        <f t="shared" ref="G168" si="56">SUM(G152:G167)</f>
        <v>3218120.4365110244</v>
      </c>
      <c r="L168" s="177"/>
    </row>
  </sheetData>
  <sheetProtection algorithmName="SHA-512" hashValue="kCn5obPZH4JXrRQ7LCk8vSz04Q5XLvsLlSdGHYyY/ejV2QAKLmEU4yXbdXgH/yTnUsASGLdAwH7N2il2zBgflg==" saltValue="R8rBNpMfVxCh5DeT2WE6Xg==" spinCount="100000" sheet="1" objects="1" scenarios="1" selectLockedCells="1" selectUnlockedCells="1"/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EFE418-F838-462C-BD87-79B97D1E3FDA}">
  <dimension ref="A1:E223"/>
  <sheetViews>
    <sheetView topLeftCell="A170" workbookViewId="0">
      <selection activeCell="E191" sqref="E191"/>
    </sheetView>
  </sheetViews>
  <sheetFormatPr defaultRowHeight="14.25" x14ac:dyDescent="0.2"/>
  <cols>
    <col min="1" max="1" width="17" customWidth="1"/>
    <col min="2" max="2" width="20.75" customWidth="1"/>
    <col min="3" max="3" width="49.25" customWidth="1"/>
    <col min="4" max="4" width="11.375" bestFit="1" customWidth="1"/>
    <col min="5" max="5" width="14" bestFit="1" customWidth="1"/>
  </cols>
  <sheetData>
    <row r="1" spans="1:4" ht="18" x14ac:dyDescent="0.2">
      <c r="A1" s="51" t="s">
        <v>72</v>
      </c>
      <c r="B1" s="52"/>
      <c r="C1" s="52"/>
      <c r="D1" s="52"/>
    </row>
    <row r="2" spans="1:4" x14ac:dyDescent="0.2">
      <c r="A2" s="52"/>
      <c r="B2" s="52"/>
      <c r="C2" s="52"/>
      <c r="D2" s="52"/>
    </row>
    <row r="3" spans="1:4" ht="18" x14ac:dyDescent="0.2">
      <c r="A3" s="51" t="s">
        <v>73</v>
      </c>
      <c r="B3" s="52"/>
      <c r="C3" s="52"/>
      <c r="D3" s="53">
        <v>2019</v>
      </c>
    </row>
    <row r="4" spans="1:4" x14ac:dyDescent="0.2">
      <c r="A4" s="54" t="s">
        <v>74</v>
      </c>
      <c r="B4" s="54" t="s">
        <v>75</v>
      </c>
      <c r="C4" s="54" t="s">
        <v>76</v>
      </c>
      <c r="D4" s="55"/>
    </row>
    <row r="5" spans="1:4" ht="14.25" customHeight="1" x14ac:dyDescent="0.2">
      <c r="A5" s="234"/>
      <c r="B5" s="235" t="s">
        <v>77</v>
      </c>
      <c r="C5" s="143" t="s">
        <v>6</v>
      </c>
      <c r="D5" s="56">
        <v>111353.57452005958</v>
      </c>
    </row>
    <row r="6" spans="1:4" ht="14.25" customHeight="1" x14ac:dyDescent="0.2">
      <c r="A6" s="234"/>
      <c r="B6" s="235"/>
      <c r="C6" s="143" t="s">
        <v>7</v>
      </c>
      <c r="D6" s="56">
        <v>0</v>
      </c>
    </row>
    <row r="7" spans="1:4" ht="14.25" customHeight="1" x14ac:dyDescent="0.2">
      <c r="A7" s="234"/>
      <c r="B7" s="235"/>
      <c r="C7" s="143" t="s">
        <v>8</v>
      </c>
      <c r="D7" s="56">
        <v>3898.2822422573672</v>
      </c>
    </row>
    <row r="8" spans="1:4" ht="14.25" customHeight="1" x14ac:dyDescent="0.2">
      <c r="A8" s="234"/>
      <c r="B8" s="235"/>
      <c r="C8" s="143" t="s">
        <v>9</v>
      </c>
      <c r="D8" s="56">
        <v>49012.626554369897</v>
      </c>
    </row>
    <row r="9" spans="1:4" ht="14.25" customHeight="1" x14ac:dyDescent="0.2">
      <c r="A9" s="234"/>
      <c r="B9" s="57" t="s">
        <v>77</v>
      </c>
      <c r="C9" s="57"/>
      <c r="D9" s="56"/>
    </row>
    <row r="10" spans="1:4" ht="14.25" customHeight="1" x14ac:dyDescent="0.2">
      <c r="A10" s="58" t="s">
        <v>78</v>
      </c>
      <c r="B10" s="58"/>
      <c r="C10" s="58"/>
      <c r="D10" s="67"/>
    </row>
    <row r="11" spans="1:4" ht="14.25" customHeight="1" x14ac:dyDescent="0.2">
      <c r="A11" s="236"/>
      <c r="B11" s="237" t="s">
        <v>79</v>
      </c>
      <c r="C11" s="144" t="s">
        <v>6</v>
      </c>
      <c r="D11" s="67">
        <v>81238.826723043167</v>
      </c>
    </row>
    <row r="12" spans="1:4" ht="14.25" customHeight="1" x14ac:dyDescent="0.2">
      <c r="A12" s="236"/>
      <c r="B12" s="237"/>
      <c r="C12" s="144" t="s">
        <v>7</v>
      </c>
      <c r="D12" s="67">
        <v>430.38513515144274</v>
      </c>
    </row>
    <row r="13" spans="1:4" ht="14.25" customHeight="1" x14ac:dyDescent="0.2">
      <c r="A13" s="236"/>
      <c r="B13" s="237"/>
      <c r="C13" s="144" t="s">
        <v>8</v>
      </c>
      <c r="D13" s="67">
        <v>2347.5783148275304</v>
      </c>
    </row>
    <row r="14" spans="1:4" ht="14.25" customHeight="1" x14ac:dyDescent="0.2">
      <c r="A14" s="236"/>
      <c r="B14" s="237"/>
      <c r="C14" s="144" t="s">
        <v>10</v>
      </c>
      <c r="D14" s="67">
        <v>856.77994454651434</v>
      </c>
    </row>
    <row r="15" spans="1:4" ht="14.25" customHeight="1" x14ac:dyDescent="0.2">
      <c r="A15" s="236"/>
      <c r="B15" s="237"/>
      <c r="C15" s="144" t="s">
        <v>11</v>
      </c>
      <c r="D15" s="67">
        <v>562.90195336540114</v>
      </c>
    </row>
    <row r="16" spans="1:4" ht="14.25" customHeight="1" x14ac:dyDescent="0.2">
      <c r="A16" s="236"/>
      <c r="B16" s="237"/>
      <c r="C16" s="144" t="s">
        <v>12</v>
      </c>
      <c r="D16" s="67">
        <v>1907.1603606314975</v>
      </c>
    </row>
    <row r="17" spans="1:4" ht="14.25" customHeight="1" x14ac:dyDescent="0.2">
      <c r="A17" s="236"/>
      <c r="B17" s="237"/>
      <c r="C17" s="144" t="s">
        <v>13</v>
      </c>
      <c r="D17" s="67">
        <v>0</v>
      </c>
    </row>
    <row r="18" spans="1:4" ht="14.25" customHeight="1" x14ac:dyDescent="0.2">
      <c r="A18" s="236"/>
      <c r="B18" s="237"/>
      <c r="C18" s="144" t="s">
        <v>14</v>
      </c>
      <c r="D18" s="67">
        <v>346.53762346439635</v>
      </c>
    </row>
    <row r="19" spans="1:4" ht="14.25" customHeight="1" x14ac:dyDescent="0.2">
      <c r="A19" s="236"/>
      <c r="B19" s="237"/>
      <c r="C19" s="144" t="s">
        <v>15</v>
      </c>
      <c r="D19" s="67">
        <v>4589.5460079697759</v>
      </c>
    </row>
    <row r="20" spans="1:4" ht="14.25" customHeight="1" x14ac:dyDescent="0.2">
      <c r="A20" s="236"/>
      <c r="B20" s="237"/>
      <c r="C20" s="144" t="s">
        <v>16</v>
      </c>
      <c r="D20" s="67">
        <v>4073.3118644026949</v>
      </c>
    </row>
    <row r="21" spans="1:4" ht="14.25" customHeight="1" x14ac:dyDescent="0.2">
      <c r="A21" s="236"/>
      <c r="B21" s="237"/>
      <c r="C21" s="144" t="s">
        <v>17</v>
      </c>
      <c r="D21" s="67">
        <v>86.393719550635439</v>
      </c>
    </row>
    <row r="22" spans="1:4" ht="14.25" customHeight="1" x14ac:dyDescent="0.2">
      <c r="A22" s="236"/>
      <c r="B22" s="237"/>
      <c r="C22" s="144" t="s">
        <v>18</v>
      </c>
      <c r="D22" s="67">
        <v>1070.0280200473055</v>
      </c>
    </row>
    <row r="23" spans="1:4" ht="14.25" customHeight="1" x14ac:dyDescent="0.2">
      <c r="A23" s="236"/>
      <c r="B23" s="237"/>
      <c r="C23" s="144" t="s">
        <v>19</v>
      </c>
      <c r="D23" s="67">
        <v>2686.8700134263895</v>
      </c>
    </row>
    <row r="24" spans="1:4" ht="14.25" customHeight="1" x14ac:dyDescent="0.2">
      <c r="A24" s="236"/>
      <c r="B24" s="237"/>
      <c r="C24" s="144" t="s">
        <v>20</v>
      </c>
      <c r="D24" s="67">
        <v>842.28809481543988</v>
      </c>
    </row>
    <row r="25" spans="1:4" ht="14.25" customHeight="1" x14ac:dyDescent="0.2">
      <c r="A25" s="236"/>
      <c r="B25" s="237"/>
      <c r="C25" s="144" t="s">
        <v>21</v>
      </c>
      <c r="D25" s="67">
        <v>2402.404123949987</v>
      </c>
    </row>
    <row r="26" spans="1:4" ht="14.25" customHeight="1" x14ac:dyDescent="0.2">
      <c r="A26" s="236"/>
      <c r="B26" s="237"/>
      <c r="C26" s="144" t="s">
        <v>22</v>
      </c>
      <c r="D26" s="67">
        <v>1164.2123755984749</v>
      </c>
    </row>
    <row r="27" spans="1:4" ht="14.25" customHeight="1" x14ac:dyDescent="0.2">
      <c r="A27" s="236"/>
      <c r="B27" s="237"/>
      <c r="C27" s="144" t="s">
        <v>23</v>
      </c>
      <c r="D27" s="67">
        <v>253.64537339624241</v>
      </c>
    </row>
    <row r="28" spans="1:4" ht="14.25" customHeight="1" x14ac:dyDescent="0.2">
      <c r="A28" s="236"/>
      <c r="B28" s="237"/>
      <c r="C28" s="144" t="s">
        <v>24</v>
      </c>
      <c r="D28" s="67">
        <v>249.33835511952458</v>
      </c>
    </row>
    <row r="29" spans="1:4" ht="14.25" customHeight="1" x14ac:dyDescent="0.2">
      <c r="A29" s="236"/>
      <c r="B29" s="237"/>
      <c r="C29" s="144" t="s">
        <v>25</v>
      </c>
      <c r="D29" s="67">
        <v>1258.5867466618522</v>
      </c>
    </row>
    <row r="30" spans="1:4" ht="14.25" customHeight="1" x14ac:dyDescent="0.2">
      <c r="A30" s="236"/>
      <c r="B30" s="237"/>
      <c r="C30" s="144" t="s">
        <v>26</v>
      </c>
      <c r="D30" s="67">
        <v>3478.5759788920222</v>
      </c>
    </row>
    <row r="31" spans="1:4" ht="14.25" customHeight="1" x14ac:dyDescent="0.2">
      <c r="A31" s="236"/>
      <c r="B31" s="237"/>
      <c r="C31" s="144" t="s">
        <v>27</v>
      </c>
      <c r="D31" s="67">
        <v>1085.3812734337237</v>
      </c>
    </row>
    <row r="32" spans="1:4" ht="14.25" customHeight="1" x14ac:dyDescent="0.2">
      <c r="A32" s="236"/>
      <c r="B32" s="237"/>
      <c r="C32" s="144" t="s">
        <v>28</v>
      </c>
      <c r="D32" s="67">
        <v>-1099.0497226118962</v>
      </c>
    </row>
    <row r="33" spans="1:4" ht="14.25" customHeight="1" x14ac:dyDescent="0.2">
      <c r="A33" s="236"/>
      <c r="B33" s="237"/>
      <c r="C33" s="144" t="s">
        <v>29</v>
      </c>
      <c r="D33" s="67">
        <v>-117.68294056090957</v>
      </c>
    </row>
    <row r="34" spans="1:4" ht="14.25" customHeight="1" x14ac:dyDescent="0.2">
      <c r="A34" s="236"/>
      <c r="B34" s="237"/>
      <c r="C34" s="144" t="s">
        <v>30</v>
      </c>
      <c r="D34" s="67">
        <v>0</v>
      </c>
    </row>
    <row r="35" spans="1:4" ht="14.25" customHeight="1" x14ac:dyDescent="0.2">
      <c r="A35" s="236"/>
      <c r="B35" s="237"/>
      <c r="C35" s="144" t="s">
        <v>31</v>
      </c>
      <c r="D35" s="67">
        <v>-8438.8675865815112</v>
      </c>
    </row>
    <row r="36" spans="1:4" ht="14.25" customHeight="1" x14ac:dyDescent="0.2">
      <c r="A36" s="236"/>
      <c r="B36" s="58" t="s">
        <v>79</v>
      </c>
      <c r="C36" s="58"/>
      <c r="D36" s="67"/>
    </row>
    <row r="37" spans="1:4" ht="14.25" customHeight="1" x14ac:dyDescent="0.2">
      <c r="A37" s="59" t="s">
        <v>80</v>
      </c>
      <c r="B37" s="59"/>
      <c r="C37" s="59"/>
      <c r="D37" s="67"/>
    </row>
    <row r="38" spans="1:4" ht="14.25" customHeight="1" x14ac:dyDescent="0.2">
      <c r="A38" s="238"/>
      <c r="B38" s="239" t="s">
        <v>81</v>
      </c>
      <c r="C38" s="145" t="s">
        <v>6</v>
      </c>
      <c r="D38" s="67">
        <v>247332.75405586846</v>
      </c>
    </row>
    <row r="39" spans="1:4" ht="14.25" customHeight="1" x14ac:dyDescent="0.2">
      <c r="A39" s="238"/>
      <c r="B39" s="239"/>
      <c r="C39" s="145" t="s">
        <v>7</v>
      </c>
      <c r="D39" s="67">
        <v>954.82794884591601</v>
      </c>
    </row>
    <row r="40" spans="1:4" ht="14.25" customHeight="1" x14ac:dyDescent="0.2">
      <c r="A40" s="238"/>
      <c r="B40" s="239"/>
      <c r="C40" s="145" t="s">
        <v>8</v>
      </c>
      <c r="D40" s="67">
        <v>4229.87197876139</v>
      </c>
    </row>
    <row r="41" spans="1:4" ht="14.25" customHeight="1" x14ac:dyDescent="0.2">
      <c r="A41" s="238"/>
      <c r="B41" s="239"/>
      <c r="C41" s="145" t="s">
        <v>9</v>
      </c>
      <c r="D41" s="67">
        <v>-133.0108585456997</v>
      </c>
    </row>
    <row r="42" spans="1:4" ht="14.25" customHeight="1" x14ac:dyDescent="0.2">
      <c r="A42" s="238"/>
      <c r="B42" s="239"/>
      <c r="C42" s="145" t="s">
        <v>10</v>
      </c>
      <c r="D42" s="67">
        <v>2387.4562369896134</v>
      </c>
    </row>
    <row r="43" spans="1:4" ht="14.25" customHeight="1" x14ac:dyDescent="0.2">
      <c r="A43" s="238"/>
      <c r="B43" s="239"/>
      <c r="C43" s="145" t="s">
        <v>11</v>
      </c>
      <c r="D43" s="67">
        <v>1756.7187457659047</v>
      </c>
    </row>
    <row r="44" spans="1:4" ht="14.25" customHeight="1" x14ac:dyDescent="0.2">
      <c r="A44" s="238"/>
      <c r="B44" s="239"/>
      <c r="C44" s="145" t="s">
        <v>12</v>
      </c>
      <c r="D44" s="67">
        <v>3349.0867411725803</v>
      </c>
    </row>
    <row r="45" spans="1:4" ht="14.25" customHeight="1" x14ac:dyDescent="0.2">
      <c r="A45" s="238"/>
      <c r="B45" s="239"/>
      <c r="C45" s="145" t="s">
        <v>13</v>
      </c>
      <c r="D45" s="67">
        <v>0</v>
      </c>
    </row>
    <row r="46" spans="1:4" ht="14.25" customHeight="1" x14ac:dyDescent="0.2">
      <c r="A46" s="238"/>
      <c r="B46" s="239"/>
      <c r="C46" s="145" t="s">
        <v>14</v>
      </c>
      <c r="D46" s="67">
        <v>2030.4550926529548</v>
      </c>
    </row>
    <row r="47" spans="1:4" ht="14.25" customHeight="1" x14ac:dyDescent="0.2">
      <c r="A47" s="238"/>
      <c r="B47" s="239"/>
      <c r="C47" s="145" t="s">
        <v>32</v>
      </c>
      <c r="D47" s="67">
        <v>0</v>
      </c>
    </row>
    <row r="48" spans="1:4" ht="14.25" customHeight="1" x14ac:dyDescent="0.2">
      <c r="A48" s="238"/>
      <c r="B48" s="239"/>
      <c r="C48" s="145" t="s">
        <v>15</v>
      </c>
      <c r="D48" s="67">
        <v>43086.777455245137</v>
      </c>
    </row>
    <row r="49" spans="1:4" ht="14.25" customHeight="1" x14ac:dyDescent="0.2">
      <c r="A49" s="238"/>
      <c r="B49" s="239"/>
      <c r="C49" s="145" t="s">
        <v>16</v>
      </c>
      <c r="D49" s="67">
        <v>36077.763930329078</v>
      </c>
    </row>
    <row r="50" spans="1:4" ht="14.25" customHeight="1" x14ac:dyDescent="0.2">
      <c r="A50" s="238"/>
      <c r="B50" s="239"/>
      <c r="C50" s="145" t="s">
        <v>17</v>
      </c>
      <c r="D50" s="67">
        <v>1174.9165827862003</v>
      </c>
    </row>
    <row r="51" spans="1:4" ht="14.25" customHeight="1" x14ac:dyDescent="0.2">
      <c r="A51" s="238"/>
      <c r="B51" s="239"/>
      <c r="C51" s="145" t="s">
        <v>18</v>
      </c>
      <c r="D51" s="67">
        <v>38460.2037577964</v>
      </c>
    </row>
    <row r="52" spans="1:4" ht="14.25" customHeight="1" x14ac:dyDescent="0.2">
      <c r="A52" s="238"/>
      <c r="B52" s="239"/>
      <c r="C52" s="145" t="s">
        <v>19</v>
      </c>
      <c r="D52" s="67">
        <v>8268.0943119096464</v>
      </c>
    </row>
    <row r="53" spans="1:4" ht="14.25" customHeight="1" x14ac:dyDescent="0.2">
      <c r="A53" s="238"/>
      <c r="B53" s="239"/>
      <c r="C53" s="145" t="s">
        <v>20</v>
      </c>
      <c r="D53" s="67">
        <v>2211.8692360084751</v>
      </c>
    </row>
    <row r="54" spans="1:4" ht="14.25" customHeight="1" x14ac:dyDescent="0.2">
      <c r="A54" s="238"/>
      <c r="B54" s="239"/>
      <c r="C54" s="145" t="s">
        <v>21</v>
      </c>
      <c r="D54" s="67">
        <v>3482.0722643166528</v>
      </c>
    </row>
    <row r="55" spans="1:4" ht="14.25" customHeight="1" x14ac:dyDescent="0.2">
      <c r="A55" s="238"/>
      <c r="B55" s="239"/>
      <c r="C55" s="145" t="s">
        <v>22</v>
      </c>
      <c r="D55" s="67">
        <v>0</v>
      </c>
    </row>
    <row r="56" spans="1:4" ht="14.25" customHeight="1" x14ac:dyDescent="0.2">
      <c r="A56" s="238"/>
      <c r="B56" s="239"/>
      <c r="C56" s="145" t="s">
        <v>23</v>
      </c>
      <c r="D56" s="67">
        <v>389.91183105110827</v>
      </c>
    </row>
    <row r="57" spans="1:4" ht="14.25" customHeight="1" x14ac:dyDescent="0.2">
      <c r="A57" s="238"/>
      <c r="B57" s="239"/>
      <c r="C57" s="145" t="s">
        <v>24</v>
      </c>
      <c r="D57" s="67">
        <v>3230.2003690343518</v>
      </c>
    </row>
    <row r="58" spans="1:4" ht="14.25" customHeight="1" x14ac:dyDescent="0.2">
      <c r="A58" s="238"/>
      <c r="B58" s="239"/>
      <c r="C58" s="145" t="s">
        <v>25</v>
      </c>
      <c r="D58" s="67">
        <v>1328.0184148227074</v>
      </c>
    </row>
    <row r="59" spans="1:4" ht="14.25" customHeight="1" x14ac:dyDescent="0.2">
      <c r="A59" s="238"/>
      <c r="B59" s="239"/>
      <c r="C59" s="145" t="s">
        <v>26</v>
      </c>
      <c r="D59" s="67">
        <v>25985.343353409866</v>
      </c>
    </row>
    <row r="60" spans="1:4" ht="14.25" customHeight="1" x14ac:dyDescent="0.2">
      <c r="A60" s="238"/>
      <c r="B60" s="239"/>
      <c r="C60" s="145" t="s">
        <v>27</v>
      </c>
      <c r="D60" s="67">
        <v>23699.684760160566</v>
      </c>
    </row>
    <row r="61" spans="1:4" ht="14.25" customHeight="1" x14ac:dyDescent="0.2">
      <c r="A61" s="238"/>
      <c r="B61" s="239"/>
      <c r="C61" s="145" t="s">
        <v>28</v>
      </c>
      <c r="D61" s="67">
        <v>-69483.770414302737</v>
      </c>
    </row>
    <row r="62" spans="1:4" ht="14.25" customHeight="1" x14ac:dyDescent="0.2">
      <c r="A62" s="238"/>
      <c r="B62" s="239"/>
      <c r="C62" s="145" t="s">
        <v>29</v>
      </c>
      <c r="D62" s="67">
        <v>-238.15277530087187</v>
      </c>
    </row>
    <row r="63" spans="1:4" ht="14.25" customHeight="1" x14ac:dyDescent="0.2">
      <c r="A63" s="238"/>
      <c r="B63" s="239"/>
      <c r="C63" s="145" t="s">
        <v>33</v>
      </c>
      <c r="D63" s="67">
        <v>-30640.00134356297</v>
      </c>
    </row>
    <row r="64" spans="1:4" ht="14.25" customHeight="1" x14ac:dyDescent="0.2">
      <c r="A64" s="238"/>
      <c r="B64" s="239"/>
      <c r="C64" s="145" t="s">
        <v>30</v>
      </c>
      <c r="D64" s="67">
        <v>0</v>
      </c>
    </row>
    <row r="65" spans="1:4" ht="14.25" customHeight="1" x14ac:dyDescent="0.2">
      <c r="A65" s="238"/>
      <c r="B65" s="239"/>
      <c r="C65" s="145" t="s">
        <v>31</v>
      </c>
      <c r="D65" s="67">
        <v>-106354.45640937559</v>
      </c>
    </row>
    <row r="66" spans="1:4" ht="14.25" customHeight="1" x14ac:dyDescent="0.2">
      <c r="A66" s="238"/>
      <c r="B66" s="239"/>
      <c r="C66" s="145" t="s">
        <v>34</v>
      </c>
      <c r="D66" s="67">
        <v>0</v>
      </c>
    </row>
    <row r="67" spans="1:4" ht="14.25" customHeight="1" x14ac:dyDescent="0.2">
      <c r="A67" s="238"/>
      <c r="B67" s="59" t="s">
        <v>82</v>
      </c>
      <c r="C67" s="59"/>
      <c r="D67" s="67"/>
    </row>
    <row r="68" spans="1:4" ht="14.25" customHeight="1" x14ac:dyDescent="0.2">
      <c r="A68" s="60" t="s">
        <v>83</v>
      </c>
      <c r="B68" s="60"/>
      <c r="C68" s="60"/>
      <c r="D68" s="67"/>
    </row>
    <row r="69" spans="1:4" ht="14.25" customHeight="1" x14ac:dyDescent="0.2">
      <c r="A69" s="228"/>
      <c r="B69" s="229" t="s">
        <v>84</v>
      </c>
      <c r="C69" s="142" t="s">
        <v>6</v>
      </c>
      <c r="D69" s="67">
        <v>64152.403846672358</v>
      </c>
    </row>
    <row r="70" spans="1:4" ht="14.25" customHeight="1" x14ac:dyDescent="0.2">
      <c r="A70" s="228"/>
      <c r="B70" s="229"/>
      <c r="C70" s="142" t="s">
        <v>7</v>
      </c>
      <c r="D70" s="67">
        <v>430.38513515144274</v>
      </c>
    </row>
    <row r="71" spans="1:4" ht="14.25" customHeight="1" x14ac:dyDescent="0.2">
      <c r="A71" s="228"/>
      <c r="B71" s="229"/>
      <c r="C71" s="142" t="s">
        <v>8</v>
      </c>
      <c r="D71" s="67">
        <v>1907.5023885534727</v>
      </c>
    </row>
    <row r="72" spans="1:4" ht="14.25" customHeight="1" x14ac:dyDescent="0.2">
      <c r="A72" s="228"/>
      <c r="B72" s="229"/>
      <c r="C72" s="142" t="s">
        <v>10</v>
      </c>
      <c r="D72" s="67">
        <v>1824.5416159233978</v>
      </c>
    </row>
    <row r="73" spans="1:4" ht="14.25" customHeight="1" x14ac:dyDescent="0.2">
      <c r="A73" s="228"/>
      <c r="B73" s="229"/>
      <c r="C73" s="142" t="s">
        <v>11</v>
      </c>
      <c r="D73" s="67">
        <v>389.37978761692557</v>
      </c>
    </row>
    <row r="74" spans="1:4" ht="14.25" customHeight="1" x14ac:dyDescent="0.2">
      <c r="A74" s="228"/>
      <c r="B74" s="229"/>
      <c r="C74" s="142" t="s">
        <v>12</v>
      </c>
      <c r="D74" s="67">
        <v>4167.7495739701417</v>
      </c>
    </row>
    <row r="75" spans="1:4" ht="14.25" customHeight="1" x14ac:dyDescent="0.2">
      <c r="A75" s="228"/>
      <c r="B75" s="229"/>
      <c r="C75" s="142" t="s">
        <v>13</v>
      </c>
      <c r="D75" s="67">
        <v>0</v>
      </c>
    </row>
    <row r="76" spans="1:4" ht="14.25" customHeight="1" x14ac:dyDescent="0.2">
      <c r="A76" s="228"/>
      <c r="B76" s="229"/>
      <c r="C76" s="142" t="s">
        <v>14</v>
      </c>
      <c r="D76" s="67">
        <v>189.1921116552405</v>
      </c>
    </row>
    <row r="77" spans="1:4" ht="14.25" customHeight="1" x14ac:dyDescent="0.2">
      <c r="A77" s="228"/>
      <c r="B77" s="229"/>
      <c r="C77" s="142" t="s">
        <v>15</v>
      </c>
      <c r="D77" s="67">
        <v>13925.147467464765</v>
      </c>
    </row>
    <row r="78" spans="1:4" ht="14.25" customHeight="1" x14ac:dyDescent="0.2">
      <c r="A78" s="228"/>
      <c r="B78" s="229"/>
      <c r="C78" s="142" t="s">
        <v>16</v>
      </c>
      <c r="D78" s="67">
        <v>2926.1628818005111</v>
      </c>
    </row>
    <row r="79" spans="1:4" ht="14.25" customHeight="1" x14ac:dyDescent="0.2">
      <c r="A79" s="228"/>
      <c r="B79" s="229"/>
      <c r="C79" s="142" t="s">
        <v>17</v>
      </c>
      <c r="D79" s="67">
        <v>186.88659010711507</v>
      </c>
    </row>
    <row r="80" spans="1:4" ht="14.25" customHeight="1" x14ac:dyDescent="0.2">
      <c r="A80" s="228"/>
      <c r="B80" s="229"/>
      <c r="C80" s="142" t="s">
        <v>18</v>
      </c>
      <c r="D80" s="67">
        <v>-1651.3488103960829</v>
      </c>
    </row>
    <row r="81" spans="1:4" ht="14.25" customHeight="1" x14ac:dyDescent="0.2">
      <c r="A81" s="228"/>
      <c r="B81" s="229"/>
      <c r="C81" s="142" t="s">
        <v>19</v>
      </c>
      <c r="D81" s="67">
        <v>5508.8030529303278</v>
      </c>
    </row>
    <row r="82" spans="1:4" ht="14.25" customHeight="1" x14ac:dyDescent="0.2">
      <c r="A82" s="228"/>
      <c r="B82" s="229"/>
      <c r="C82" s="142" t="s">
        <v>20</v>
      </c>
      <c r="D82" s="67">
        <v>716.34581332388314</v>
      </c>
    </row>
    <row r="83" spans="1:4" ht="14.25" customHeight="1" x14ac:dyDescent="0.2">
      <c r="A83" s="228"/>
      <c r="B83" s="229"/>
      <c r="C83" s="142" t="s">
        <v>21</v>
      </c>
      <c r="D83" s="67">
        <v>4159.7562547565858</v>
      </c>
    </row>
    <row r="84" spans="1:4" ht="14.25" customHeight="1" x14ac:dyDescent="0.2">
      <c r="A84" s="228"/>
      <c r="B84" s="229"/>
      <c r="C84" s="142" t="s">
        <v>22</v>
      </c>
      <c r="D84" s="67">
        <v>884.43353542320608</v>
      </c>
    </row>
    <row r="85" spans="1:4" ht="14.25" customHeight="1" x14ac:dyDescent="0.2">
      <c r="A85" s="228"/>
      <c r="B85" s="229"/>
      <c r="C85" s="142" t="s">
        <v>23</v>
      </c>
      <c r="D85" s="67">
        <v>300.05982917828464</v>
      </c>
    </row>
    <row r="86" spans="1:4" ht="14.25" customHeight="1" x14ac:dyDescent="0.2">
      <c r="A86" s="228"/>
      <c r="B86" s="229"/>
      <c r="C86" s="142" t="s">
        <v>24</v>
      </c>
      <c r="D86" s="67">
        <v>242.26977806538164</v>
      </c>
    </row>
    <row r="87" spans="1:4" ht="14.25" customHeight="1" x14ac:dyDescent="0.2">
      <c r="A87" s="228"/>
      <c r="B87" s="229"/>
      <c r="C87" s="142" t="s">
        <v>25</v>
      </c>
      <c r="D87" s="67">
        <v>955.48666928823752</v>
      </c>
    </row>
    <row r="88" spans="1:4" ht="14.25" customHeight="1" x14ac:dyDescent="0.2">
      <c r="A88" s="228"/>
      <c r="B88" s="229"/>
      <c r="C88" s="142" t="s">
        <v>26</v>
      </c>
      <c r="D88" s="67">
        <v>2266.9990699504642</v>
      </c>
    </row>
    <row r="89" spans="1:4" ht="14.25" customHeight="1" x14ac:dyDescent="0.2">
      <c r="A89" s="228"/>
      <c r="B89" s="229"/>
      <c r="C89" s="142" t="s">
        <v>27</v>
      </c>
      <c r="D89" s="67">
        <v>648.61161707208703</v>
      </c>
    </row>
    <row r="90" spans="1:4" ht="14.25" customHeight="1" x14ac:dyDescent="0.2">
      <c r="A90" s="228"/>
      <c r="B90" s="229"/>
      <c r="C90" s="142" t="s">
        <v>28</v>
      </c>
      <c r="D90" s="67">
        <v>-25501.576527028756</v>
      </c>
    </row>
    <row r="91" spans="1:4" ht="14.25" customHeight="1" x14ac:dyDescent="0.2">
      <c r="A91" s="228"/>
      <c r="B91" s="229"/>
      <c r="C91" s="142" t="s">
        <v>29</v>
      </c>
      <c r="D91" s="67">
        <v>-238.15277530087187</v>
      </c>
    </row>
    <row r="92" spans="1:4" ht="14.25" customHeight="1" x14ac:dyDescent="0.2">
      <c r="A92" s="228"/>
      <c r="B92" s="229"/>
      <c r="C92" s="142" t="s">
        <v>35</v>
      </c>
      <c r="D92" s="67">
        <v>0</v>
      </c>
    </row>
    <row r="93" spans="1:4" ht="14.25" customHeight="1" x14ac:dyDescent="0.2">
      <c r="A93" s="228"/>
      <c r="B93" s="229"/>
      <c r="C93" s="142" t="s">
        <v>30</v>
      </c>
      <c r="D93" s="67">
        <v>0</v>
      </c>
    </row>
    <row r="94" spans="1:4" ht="14.25" customHeight="1" x14ac:dyDescent="0.2">
      <c r="A94" s="228"/>
      <c r="B94" s="229"/>
      <c r="C94" s="142" t="s">
        <v>31</v>
      </c>
      <c r="D94" s="67">
        <v>-10521.842966808797</v>
      </c>
    </row>
    <row r="95" spans="1:4" ht="14.25" customHeight="1" x14ac:dyDescent="0.2">
      <c r="A95" s="228"/>
      <c r="B95" s="229"/>
      <c r="C95" s="142" t="s">
        <v>34</v>
      </c>
      <c r="D95" s="67">
        <v>0</v>
      </c>
    </row>
    <row r="96" spans="1:4" ht="14.25" customHeight="1" x14ac:dyDescent="0.2">
      <c r="A96" s="228"/>
      <c r="B96" s="60" t="s">
        <v>85</v>
      </c>
      <c r="C96" s="60"/>
      <c r="D96" s="67"/>
    </row>
    <row r="97" spans="1:4" ht="14.25" customHeight="1" x14ac:dyDescent="0.2">
      <c r="A97" s="61" t="s">
        <v>86</v>
      </c>
      <c r="B97" s="61"/>
      <c r="C97" s="61"/>
      <c r="D97" s="67"/>
    </row>
    <row r="98" spans="1:4" ht="14.25" customHeight="1" x14ac:dyDescent="0.2">
      <c r="A98" s="230"/>
      <c r="B98" s="231" t="s">
        <v>87</v>
      </c>
      <c r="C98" s="140" t="s">
        <v>6</v>
      </c>
      <c r="D98" s="67">
        <v>229493.85708345252</v>
      </c>
    </row>
    <row r="99" spans="1:4" ht="14.25" customHeight="1" x14ac:dyDescent="0.2">
      <c r="A99" s="230"/>
      <c r="B99" s="231"/>
      <c r="C99" s="140" t="s">
        <v>7</v>
      </c>
      <c r="D99" s="67">
        <v>430.38513515144274</v>
      </c>
    </row>
    <row r="100" spans="1:4" ht="14.25" customHeight="1" x14ac:dyDescent="0.2">
      <c r="A100" s="230"/>
      <c r="B100" s="231"/>
      <c r="C100" s="140" t="s">
        <v>8</v>
      </c>
      <c r="D100" s="67">
        <v>7179.9261442968709</v>
      </c>
    </row>
    <row r="101" spans="1:4" ht="14.25" customHeight="1" x14ac:dyDescent="0.2">
      <c r="A101" s="230"/>
      <c r="B101" s="231"/>
      <c r="C101" s="140" t="s">
        <v>10</v>
      </c>
      <c r="D101" s="67">
        <v>2256.6115552830861</v>
      </c>
    </row>
    <row r="102" spans="1:4" ht="14.25" customHeight="1" x14ac:dyDescent="0.2">
      <c r="A102" s="230"/>
      <c r="B102" s="231"/>
      <c r="C102" s="140" t="s">
        <v>11</v>
      </c>
      <c r="D102" s="67">
        <v>661.21597938189427</v>
      </c>
    </row>
    <row r="103" spans="1:4" ht="14.25" customHeight="1" x14ac:dyDescent="0.2">
      <c r="A103" s="230"/>
      <c r="B103" s="231"/>
      <c r="C103" s="140" t="s">
        <v>12</v>
      </c>
      <c r="D103" s="67">
        <v>4867.6273762359842</v>
      </c>
    </row>
    <row r="104" spans="1:4" ht="14.25" customHeight="1" x14ac:dyDescent="0.2">
      <c r="A104" s="230"/>
      <c r="B104" s="231"/>
      <c r="C104" s="140" t="s">
        <v>13</v>
      </c>
      <c r="D104" s="67">
        <v>0</v>
      </c>
    </row>
    <row r="105" spans="1:4" ht="14.25" customHeight="1" x14ac:dyDescent="0.2">
      <c r="A105" s="230"/>
      <c r="B105" s="231"/>
      <c r="C105" s="140" t="s">
        <v>14</v>
      </c>
      <c r="D105" s="67">
        <v>6294.5932021158806</v>
      </c>
    </row>
    <row r="106" spans="1:4" ht="14.25" customHeight="1" x14ac:dyDescent="0.2">
      <c r="A106" s="230"/>
      <c r="B106" s="231"/>
      <c r="C106" s="140" t="s">
        <v>32</v>
      </c>
      <c r="D106" s="67">
        <v>-9049.1847440932506</v>
      </c>
    </row>
    <row r="107" spans="1:4" ht="14.25" customHeight="1" x14ac:dyDescent="0.2">
      <c r="A107" s="230"/>
      <c r="B107" s="231"/>
      <c r="C107" s="140" t="s">
        <v>15</v>
      </c>
      <c r="D107" s="67">
        <v>12606.325803432932</v>
      </c>
    </row>
    <row r="108" spans="1:4" ht="14.25" customHeight="1" x14ac:dyDescent="0.2">
      <c r="A108" s="230"/>
      <c r="B108" s="231"/>
      <c r="C108" s="140" t="s">
        <v>16</v>
      </c>
      <c r="D108" s="67">
        <v>4851.222703682015</v>
      </c>
    </row>
    <row r="109" spans="1:4" ht="14.25" customHeight="1" x14ac:dyDescent="0.2">
      <c r="A109" s="230"/>
      <c r="B109" s="231"/>
      <c r="C109" s="140" t="s">
        <v>17</v>
      </c>
      <c r="D109" s="67">
        <v>767.71334012415093</v>
      </c>
    </row>
    <row r="110" spans="1:4" ht="14.25" customHeight="1" x14ac:dyDescent="0.2">
      <c r="A110" s="230"/>
      <c r="B110" s="231"/>
      <c r="C110" s="140" t="s">
        <v>18</v>
      </c>
      <c r="D110" s="67">
        <v>-2526.1422254999293</v>
      </c>
    </row>
    <row r="111" spans="1:4" ht="14.25" customHeight="1" x14ac:dyDescent="0.2">
      <c r="A111" s="230"/>
      <c r="B111" s="231"/>
      <c r="C111" s="140" t="s">
        <v>19</v>
      </c>
      <c r="D111" s="67">
        <v>8298.0027535312092</v>
      </c>
    </row>
    <row r="112" spans="1:4" ht="14.25" customHeight="1" x14ac:dyDescent="0.2">
      <c r="A112" s="230"/>
      <c r="B112" s="231"/>
      <c r="C112" s="140" t="s">
        <v>20</v>
      </c>
      <c r="D112" s="67">
        <v>1268.0368514690042</v>
      </c>
    </row>
    <row r="113" spans="1:4" ht="14.25" customHeight="1" x14ac:dyDescent="0.2">
      <c r="A113" s="230"/>
      <c r="B113" s="231"/>
      <c r="C113" s="140" t="s">
        <v>21</v>
      </c>
      <c r="D113" s="67">
        <v>6630.5406276998765</v>
      </c>
    </row>
    <row r="114" spans="1:4" ht="14.25" customHeight="1" x14ac:dyDescent="0.2">
      <c r="A114" s="230"/>
      <c r="B114" s="231"/>
      <c r="C114" s="140" t="s">
        <v>22</v>
      </c>
      <c r="D114" s="67">
        <v>576.07636221183247</v>
      </c>
    </row>
    <row r="115" spans="1:4" ht="14.25" customHeight="1" x14ac:dyDescent="0.2">
      <c r="A115" s="230"/>
      <c r="B115" s="231"/>
      <c r="C115" s="140" t="s">
        <v>23</v>
      </c>
      <c r="D115" s="67">
        <v>227.7399252318657</v>
      </c>
    </row>
    <row r="116" spans="1:4" ht="14.25" customHeight="1" x14ac:dyDescent="0.2">
      <c r="A116" s="230"/>
      <c r="B116" s="231"/>
      <c r="C116" s="140" t="s">
        <v>24</v>
      </c>
      <c r="D116" s="67">
        <v>1661.482971047184</v>
      </c>
    </row>
    <row r="117" spans="1:4" ht="14.25" customHeight="1" x14ac:dyDescent="0.2">
      <c r="A117" s="230"/>
      <c r="B117" s="231"/>
      <c r="C117" s="140" t="s">
        <v>25</v>
      </c>
      <c r="D117" s="67">
        <v>1334.3776006312733</v>
      </c>
    </row>
    <row r="118" spans="1:4" ht="14.25" customHeight="1" x14ac:dyDescent="0.2">
      <c r="A118" s="230"/>
      <c r="B118" s="231"/>
      <c r="C118" s="140" t="s">
        <v>26</v>
      </c>
      <c r="D118" s="67">
        <v>10636.89102560042</v>
      </c>
    </row>
    <row r="119" spans="1:4" ht="14.25" customHeight="1" x14ac:dyDescent="0.2">
      <c r="A119" s="230"/>
      <c r="B119" s="231"/>
      <c r="C119" s="140" t="s">
        <v>27</v>
      </c>
      <c r="D119" s="67">
        <v>6915.6779053194141</v>
      </c>
    </row>
    <row r="120" spans="1:4" ht="14.25" customHeight="1" x14ac:dyDescent="0.2">
      <c r="A120" s="230"/>
      <c r="B120" s="231"/>
      <c r="C120" s="140" t="s">
        <v>36</v>
      </c>
      <c r="D120" s="67">
        <v>801.96680312487229</v>
      </c>
    </row>
    <row r="121" spans="1:4" ht="14.25" customHeight="1" x14ac:dyDescent="0.2">
      <c r="A121" s="230"/>
      <c r="B121" s="231"/>
      <c r="C121" s="140" t="s">
        <v>28</v>
      </c>
      <c r="D121" s="67">
        <v>-55949.852218773711</v>
      </c>
    </row>
    <row r="122" spans="1:4" ht="14.25" customHeight="1" x14ac:dyDescent="0.2">
      <c r="A122" s="230"/>
      <c r="B122" s="231"/>
      <c r="C122" s="140" t="s">
        <v>29</v>
      </c>
      <c r="D122" s="67">
        <v>-314.15898018412889</v>
      </c>
    </row>
    <row r="123" spans="1:4" ht="14.25" customHeight="1" x14ac:dyDescent="0.2">
      <c r="A123" s="230"/>
      <c r="B123" s="231"/>
      <c r="C123" s="140" t="s">
        <v>35</v>
      </c>
      <c r="D123" s="67">
        <v>0</v>
      </c>
    </row>
    <row r="124" spans="1:4" ht="14.25" customHeight="1" x14ac:dyDescent="0.2">
      <c r="A124" s="230"/>
      <c r="B124" s="231"/>
      <c r="C124" s="140" t="s">
        <v>30</v>
      </c>
      <c r="D124" s="67">
        <v>0</v>
      </c>
    </row>
    <row r="125" spans="1:4" ht="14.25" customHeight="1" x14ac:dyDescent="0.2">
      <c r="A125" s="230"/>
      <c r="B125" s="231"/>
      <c r="C125" s="140" t="s">
        <v>31</v>
      </c>
      <c r="D125" s="67">
        <v>-23641.894709047665</v>
      </c>
    </row>
    <row r="126" spans="1:4" ht="14.25" customHeight="1" x14ac:dyDescent="0.2">
      <c r="A126" s="230"/>
      <c r="B126" s="231"/>
      <c r="C126" s="140" t="s">
        <v>37</v>
      </c>
      <c r="D126" s="67">
        <v>0</v>
      </c>
    </row>
    <row r="127" spans="1:4" ht="14.25" customHeight="1" x14ac:dyDescent="0.2">
      <c r="A127" s="230"/>
      <c r="B127" s="231"/>
      <c r="C127" s="140" t="s">
        <v>34</v>
      </c>
      <c r="D127" s="67">
        <v>0</v>
      </c>
    </row>
    <row r="128" spans="1:4" ht="14.25" customHeight="1" x14ac:dyDescent="0.2">
      <c r="A128" s="230"/>
      <c r="B128" s="61" t="s">
        <v>88</v>
      </c>
      <c r="C128" s="61"/>
      <c r="D128" s="67"/>
    </row>
    <row r="129" spans="1:4" ht="14.25" customHeight="1" x14ac:dyDescent="0.2">
      <c r="A129" s="62" t="s">
        <v>89</v>
      </c>
      <c r="B129" s="62"/>
      <c r="C129" s="62"/>
      <c r="D129" s="67"/>
    </row>
    <row r="130" spans="1:4" ht="14.25" customHeight="1" x14ac:dyDescent="0.2">
      <c r="A130" s="232"/>
      <c r="B130" s="233" t="s">
        <v>90</v>
      </c>
      <c r="C130" s="141" t="s">
        <v>6</v>
      </c>
      <c r="D130" s="67">
        <v>435260.52782827755</v>
      </c>
    </row>
    <row r="131" spans="1:4" ht="14.25" customHeight="1" x14ac:dyDescent="0.2">
      <c r="A131" s="232"/>
      <c r="B131" s="233"/>
      <c r="C131" s="141" t="s">
        <v>7</v>
      </c>
      <c r="D131" s="67">
        <v>423.21521649078863</v>
      </c>
    </row>
    <row r="132" spans="1:4" ht="14.25" customHeight="1" x14ac:dyDescent="0.2">
      <c r="A132" s="232"/>
      <c r="B132" s="233"/>
      <c r="C132" s="141" t="s">
        <v>8</v>
      </c>
      <c r="D132" s="67">
        <v>3440.6742180569049</v>
      </c>
    </row>
    <row r="133" spans="1:4" ht="14.25" customHeight="1" x14ac:dyDescent="0.2">
      <c r="A133" s="232"/>
      <c r="B133" s="233"/>
      <c r="C133" s="141" t="s">
        <v>10</v>
      </c>
      <c r="D133" s="67">
        <v>0</v>
      </c>
    </row>
    <row r="134" spans="1:4" ht="14.25" customHeight="1" x14ac:dyDescent="0.2">
      <c r="A134" s="232"/>
      <c r="B134" s="233"/>
      <c r="C134" s="141" t="s">
        <v>11</v>
      </c>
      <c r="D134" s="67">
        <v>-16263.4150221941</v>
      </c>
    </row>
    <row r="135" spans="1:4" ht="14.25" customHeight="1" x14ac:dyDescent="0.2">
      <c r="A135" s="232"/>
      <c r="B135" s="233"/>
      <c r="C135" s="141" t="s">
        <v>12</v>
      </c>
      <c r="D135" s="67">
        <v>6824.3184470497417</v>
      </c>
    </row>
    <row r="136" spans="1:4" ht="14.25" customHeight="1" x14ac:dyDescent="0.2">
      <c r="A136" s="232"/>
      <c r="B136" s="233"/>
      <c r="C136" s="141" t="s">
        <v>13</v>
      </c>
      <c r="D136" s="67">
        <v>0</v>
      </c>
    </row>
    <row r="137" spans="1:4" ht="14.25" customHeight="1" x14ac:dyDescent="0.2">
      <c r="A137" s="232"/>
      <c r="B137" s="233"/>
      <c r="C137" s="141" t="s">
        <v>14</v>
      </c>
      <c r="D137" s="67">
        <v>20502.838447369155</v>
      </c>
    </row>
    <row r="138" spans="1:4" ht="14.25" customHeight="1" x14ac:dyDescent="0.2">
      <c r="A138" s="232"/>
      <c r="B138" s="233"/>
      <c r="C138" s="141" t="s">
        <v>32</v>
      </c>
      <c r="D138" s="67">
        <v>20926.585707294122</v>
      </c>
    </row>
    <row r="139" spans="1:4" ht="14.25" customHeight="1" x14ac:dyDescent="0.2">
      <c r="A139" s="232"/>
      <c r="B139" s="233"/>
      <c r="C139" s="141" t="s">
        <v>15</v>
      </c>
      <c r="D139" s="67">
        <v>58311.871712529064</v>
      </c>
    </row>
    <row r="140" spans="1:4" ht="14.25" customHeight="1" x14ac:dyDescent="0.2">
      <c r="A140" s="232"/>
      <c r="B140" s="233"/>
      <c r="C140" s="141" t="s">
        <v>16</v>
      </c>
      <c r="D140" s="67">
        <v>55915.396072559968</v>
      </c>
    </row>
    <row r="141" spans="1:4" ht="14.25" customHeight="1" x14ac:dyDescent="0.2">
      <c r="A141" s="232"/>
      <c r="B141" s="233"/>
      <c r="C141" s="141" t="s">
        <v>17</v>
      </c>
      <c r="D141" s="67">
        <v>2742.4685522984919</v>
      </c>
    </row>
    <row r="142" spans="1:4" ht="14.25" customHeight="1" x14ac:dyDescent="0.2">
      <c r="A142" s="232"/>
      <c r="B142" s="233"/>
      <c r="C142" s="141" t="s">
        <v>18</v>
      </c>
      <c r="D142" s="67">
        <v>95805.795919943776</v>
      </c>
    </row>
    <row r="143" spans="1:4" ht="14.25" customHeight="1" x14ac:dyDescent="0.2">
      <c r="A143" s="232"/>
      <c r="B143" s="233"/>
      <c r="C143" s="141" t="s">
        <v>19</v>
      </c>
      <c r="D143" s="67">
        <v>5633.9852723730528</v>
      </c>
    </row>
    <row r="144" spans="1:4" ht="14.25" customHeight="1" x14ac:dyDescent="0.2">
      <c r="A144" s="232"/>
      <c r="B144" s="233"/>
      <c r="C144" s="141" t="s">
        <v>20</v>
      </c>
      <c r="D144" s="67">
        <v>3055.234085393095</v>
      </c>
    </row>
    <row r="145" spans="1:5" ht="14.25" customHeight="1" x14ac:dyDescent="0.2">
      <c r="A145" s="232"/>
      <c r="B145" s="233"/>
      <c r="C145" s="141" t="s">
        <v>21</v>
      </c>
      <c r="D145" s="67">
        <v>13317.503194824756</v>
      </c>
    </row>
    <row r="146" spans="1:5" ht="14.25" customHeight="1" x14ac:dyDescent="0.2">
      <c r="A146" s="232"/>
      <c r="B146" s="233"/>
      <c r="C146" s="141" t="s">
        <v>22</v>
      </c>
      <c r="D146" s="67">
        <v>79.515158008700681</v>
      </c>
    </row>
    <row r="147" spans="1:5" ht="14.25" customHeight="1" x14ac:dyDescent="0.2">
      <c r="A147" s="232"/>
      <c r="B147" s="233"/>
      <c r="C147" s="141" t="s">
        <v>23</v>
      </c>
      <c r="D147" s="67">
        <v>2351.4672989773912</v>
      </c>
    </row>
    <row r="148" spans="1:5" ht="14.25" customHeight="1" x14ac:dyDescent="0.2">
      <c r="A148" s="232"/>
      <c r="B148" s="233"/>
      <c r="C148" s="141" t="s">
        <v>24</v>
      </c>
      <c r="D148" s="67">
        <v>3720.9724339655427</v>
      </c>
    </row>
    <row r="149" spans="1:5" ht="14.25" customHeight="1" x14ac:dyDescent="0.2">
      <c r="A149" s="232"/>
      <c r="B149" s="233"/>
      <c r="C149" s="141" t="s">
        <v>25</v>
      </c>
      <c r="D149" s="67">
        <v>3116.7357728444636</v>
      </c>
    </row>
    <row r="150" spans="1:5" ht="14.25" customHeight="1" x14ac:dyDescent="0.2">
      <c r="A150" s="232"/>
      <c r="B150" s="233"/>
      <c r="C150" s="141" t="s">
        <v>26</v>
      </c>
      <c r="D150" s="67">
        <v>11691.933155584909</v>
      </c>
    </row>
    <row r="151" spans="1:5" ht="14.25" customHeight="1" x14ac:dyDescent="0.2">
      <c r="A151" s="232"/>
      <c r="B151" s="233"/>
      <c r="C151" s="141" t="s">
        <v>27</v>
      </c>
      <c r="D151" s="67">
        <v>3296.2370933770894</v>
      </c>
    </row>
    <row r="152" spans="1:5" ht="14.25" customHeight="1" x14ac:dyDescent="0.2">
      <c r="A152" s="232"/>
      <c r="B152" s="233"/>
      <c r="C152" s="141" t="s">
        <v>28</v>
      </c>
      <c r="D152" s="67">
        <v>-187157.59023062626</v>
      </c>
    </row>
    <row r="153" spans="1:5" ht="14.25" customHeight="1" x14ac:dyDescent="0.2">
      <c r="A153" s="232"/>
      <c r="B153" s="233"/>
      <c r="C153" s="141" t="s">
        <v>29</v>
      </c>
      <c r="D153" s="67">
        <v>-309.62394329276123</v>
      </c>
    </row>
    <row r="154" spans="1:5" ht="14.25" customHeight="1" x14ac:dyDescent="0.2">
      <c r="A154" s="232"/>
      <c r="B154" s="233"/>
      <c r="C154" s="141" t="s">
        <v>38</v>
      </c>
      <c r="D154" s="67">
        <v>-11414.04180283091</v>
      </c>
    </row>
    <row r="155" spans="1:5" ht="14.25" customHeight="1" x14ac:dyDescent="0.2">
      <c r="A155" s="232"/>
      <c r="B155" s="233"/>
      <c r="C155" s="141" t="s">
        <v>35</v>
      </c>
      <c r="D155" s="67">
        <v>0</v>
      </c>
    </row>
    <row r="156" spans="1:5" ht="14.25" customHeight="1" x14ac:dyDescent="0.2">
      <c r="A156" s="232"/>
      <c r="B156" s="233"/>
      <c r="C156" s="141" t="s">
        <v>30</v>
      </c>
      <c r="D156" s="67">
        <v>0</v>
      </c>
    </row>
    <row r="157" spans="1:5" ht="14.25" customHeight="1" x14ac:dyDescent="0.2">
      <c r="A157" s="232"/>
      <c r="B157" s="233"/>
      <c r="C157" s="141" t="s">
        <v>31</v>
      </c>
      <c r="D157" s="67">
        <v>-36712.225725592063</v>
      </c>
    </row>
    <row r="158" spans="1:5" ht="14.25" customHeight="1" x14ac:dyDescent="0.2">
      <c r="A158" s="232"/>
      <c r="B158" s="233"/>
      <c r="C158" s="141" t="s">
        <v>34</v>
      </c>
      <c r="D158" s="67">
        <v>0</v>
      </c>
    </row>
    <row r="159" spans="1:5" ht="14.25" customHeight="1" x14ac:dyDescent="0.2">
      <c r="A159" s="62" t="s">
        <v>91</v>
      </c>
      <c r="B159" s="62"/>
      <c r="C159" s="62"/>
      <c r="D159" s="67"/>
    </row>
    <row r="160" spans="1:5" ht="21" x14ac:dyDescent="0.2">
      <c r="A160" s="65" t="s">
        <v>93</v>
      </c>
      <c r="B160" s="64" t="s">
        <v>94</v>
      </c>
      <c r="C160" s="63" t="s">
        <v>6</v>
      </c>
      <c r="D160" s="67">
        <v>229285</v>
      </c>
      <c r="E160" s="66"/>
    </row>
    <row r="161" spans="1:5" x14ac:dyDescent="0.2">
      <c r="A161" s="63"/>
      <c r="B161" s="64"/>
      <c r="C161" s="63" t="s">
        <v>7</v>
      </c>
      <c r="D161" s="67">
        <v>266</v>
      </c>
      <c r="E161" s="66"/>
    </row>
    <row r="162" spans="1:5" x14ac:dyDescent="0.2">
      <c r="A162" s="63"/>
      <c r="B162" s="64"/>
      <c r="C162" s="63" t="s">
        <v>8</v>
      </c>
      <c r="D162" s="67">
        <v>3642</v>
      </c>
      <c r="E162" s="66"/>
    </row>
    <row r="163" spans="1:5" x14ac:dyDescent="0.2">
      <c r="A163" s="63"/>
      <c r="B163" s="64"/>
      <c r="C163" s="63" t="s">
        <v>9</v>
      </c>
      <c r="D163" s="67" t="s">
        <v>95</v>
      </c>
      <c r="E163" s="66"/>
    </row>
    <row r="164" spans="1:5" x14ac:dyDescent="0.2">
      <c r="A164" s="63"/>
      <c r="B164" s="64"/>
      <c r="C164" s="63" t="s">
        <v>10</v>
      </c>
      <c r="D164" s="67">
        <v>2209</v>
      </c>
      <c r="E164" s="66"/>
    </row>
    <row r="165" spans="1:5" x14ac:dyDescent="0.2">
      <c r="A165" s="63"/>
      <c r="B165" s="64"/>
      <c r="C165" s="63" t="s">
        <v>11</v>
      </c>
      <c r="D165" s="67">
        <v>1534</v>
      </c>
      <c r="E165" s="66"/>
    </row>
    <row r="166" spans="1:5" x14ac:dyDescent="0.2">
      <c r="A166" s="63"/>
      <c r="B166" s="64"/>
      <c r="C166" s="63" t="s">
        <v>12</v>
      </c>
      <c r="D166" s="67">
        <v>3080</v>
      </c>
      <c r="E166" s="66"/>
    </row>
    <row r="167" spans="1:5" x14ac:dyDescent="0.2">
      <c r="A167" s="63"/>
      <c r="B167" s="64"/>
      <c r="C167" s="63" t="s">
        <v>13</v>
      </c>
      <c r="D167" s="67" t="s">
        <v>95</v>
      </c>
      <c r="E167" s="66"/>
    </row>
    <row r="168" spans="1:5" x14ac:dyDescent="0.2">
      <c r="A168" s="63"/>
      <c r="B168" s="64"/>
      <c r="C168" s="63" t="s">
        <v>14</v>
      </c>
      <c r="D168" s="67">
        <v>1903</v>
      </c>
      <c r="E168" s="66"/>
    </row>
    <row r="169" spans="1:5" x14ac:dyDescent="0.2">
      <c r="A169" s="63"/>
      <c r="B169" s="64"/>
      <c r="C169" s="63" t="s">
        <v>32</v>
      </c>
      <c r="D169" s="67" t="s">
        <v>95</v>
      </c>
      <c r="E169" s="66"/>
    </row>
    <row r="170" spans="1:5" x14ac:dyDescent="0.2">
      <c r="A170" s="63"/>
      <c r="B170" s="64"/>
      <c r="C170" s="63" t="s">
        <v>15</v>
      </c>
      <c r="D170" s="67">
        <v>34583</v>
      </c>
      <c r="E170" s="66"/>
    </row>
    <row r="171" spans="1:5" x14ac:dyDescent="0.2">
      <c r="A171" s="63"/>
      <c r="B171" s="64"/>
      <c r="C171" s="63" t="s">
        <v>16</v>
      </c>
      <c r="D171" s="67">
        <v>30681</v>
      </c>
      <c r="E171" s="66"/>
    </row>
    <row r="172" spans="1:5" x14ac:dyDescent="0.2">
      <c r="A172" s="63"/>
      <c r="B172" s="64"/>
      <c r="C172" s="63" t="s">
        <v>17</v>
      </c>
      <c r="D172" s="67">
        <v>1115</v>
      </c>
      <c r="E172" s="66"/>
    </row>
    <row r="173" spans="1:5" x14ac:dyDescent="0.2">
      <c r="A173" s="63"/>
      <c r="B173" s="64"/>
      <c r="C173" s="63" t="s">
        <v>18</v>
      </c>
      <c r="D173" s="67">
        <v>36610</v>
      </c>
      <c r="E173" s="66"/>
    </row>
    <row r="174" spans="1:5" x14ac:dyDescent="0.2">
      <c r="A174" s="63"/>
      <c r="B174" s="64"/>
      <c r="C174" s="63" t="s">
        <v>19</v>
      </c>
      <c r="D174" s="67">
        <v>7854</v>
      </c>
      <c r="E174" s="66"/>
    </row>
    <row r="175" spans="1:5" x14ac:dyDescent="0.2">
      <c r="A175" s="63"/>
      <c r="B175" s="64"/>
      <c r="C175" s="63" t="s">
        <v>20</v>
      </c>
      <c r="D175" s="67">
        <v>2122</v>
      </c>
      <c r="E175" s="66"/>
    </row>
    <row r="176" spans="1:5" x14ac:dyDescent="0.2">
      <c r="A176" s="63"/>
      <c r="B176" s="64"/>
      <c r="C176" s="63" t="s">
        <v>21</v>
      </c>
      <c r="D176" s="67">
        <v>3406</v>
      </c>
      <c r="E176" s="66"/>
    </row>
    <row r="177" spans="1:5" x14ac:dyDescent="0.2">
      <c r="A177" s="63"/>
      <c r="B177" s="64"/>
      <c r="C177" s="63" t="s">
        <v>22</v>
      </c>
      <c r="D177" s="67" t="s">
        <v>95</v>
      </c>
      <c r="E177" s="66"/>
    </row>
    <row r="178" spans="1:5" x14ac:dyDescent="0.2">
      <c r="A178" s="63"/>
      <c r="B178" s="64"/>
      <c r="C178" s="63" t="s">
        <v>23</v>
      </c>
      <c r="D178" s="67">
        <v>393</v>
      </c>
      <c r="E178" s="66"/>
    </row>
    <row r="179" spans="1:5" x14ac:dyDescent="0.2">
      <c r="A179" s="63"/>
      <c r="B179" s="64"/>
      <c r="C179" s="63" t="s">
        <v>24</v>
      </c>
      <c r="D179" s="67">
        <v>3116</v>
      </c>
      <c r="E179" s="66"/>
    </row>
    <row r="180" spans="1:5" x14ac:dyDescent="0.2">
      <c r="A180" s="63"/>
      <c r="B180" s="64"/>
      <c r="C180" s="63" t="s">
        <v>25</v>
      </c>
      <c r="D180" s="67">
        <v>1263</v>
      </c>
      <c r="E180" s="66"/>
    </row>
    <row r="181" spans="1:5" x14ac:dyDescent="0.2">
      <c r="A181" s="63"/>
      <c r="B181" s="64"/>
      <c r="C181" s="63" t="s">
        <v>26</v>
      </c>
      <c r="D181" s="67">
        <v>25715</v>
      </c>
      <c r="E181" s="66"/>
    </row>
    <row r="182" spans="1:5" x14ac:dyDescent="0.2">
      <c r="A182" s="63"/>
      <c r="B182" s="64"/>
      <c r="C182" s="63" t="s">
        <v>27</v>
      </c>
      <c r="D182" s="67">
        <v>22802</v>
      </c>
      <c r="E182" s="66"/>
    </row>
    <row r="183" spans="1:5" x14ac:dyDescent="0.2">
      <c r="A183" s="63"/>
      <c r="B183" s="64"/>
      <c r="C183" s="63" t="s">
        <v>28</v>
      </c>
      <c r="D183" s="67">
        <v>66309</v>
      </c>
      <c r="E183" s="66"/>
    </row>
    <row r="184" spans="1:5" x14ac:dyDescent="0.2">
      <c r="A184" s="63"/>
      <c r="B184" s="64"/>
      <c r="C184" s="63" t="s">
        <v>29</v>
      </c>
      <c r="D184" s="67">
        <v>253</v>
      </c>
      <c r="E184" s="66"/>
    </row>
    <row r="185" spans="1:5" x14ac:dyDescent="0.2">
      <c r="A185" s="63"/>
      <c r="B185" s="64"/>
      <c r="C185" s="63" t="s">
        <v>33</v>
      </c>
      <c r="D185" s="67">
        <v>30681</v>
      </c>
      <c r="E185" s="66"/>
    </row>
    <row r="186" spans="1:5" x14ac:dyDescent="0.2">
      <c r="A186" s="63"/>
      <c r="B186" s="64"/>
      <c r="C186" s="63" t="s">
        <v>30</v>
      </c>
      <c r="D186" s="67">
        <v>365</v>
      </c>
      <c r="E186" s="66"/>
    </row>
    <row r="187" spans="1:5" x14ac:dyDescent="0.2">
      <c r="A187" s="63"/>
      <c r="B187" s="64"/>
      <c r="C187" s="63" t="s">
        <v>31</v>
      </c>
      <c r="D187" s="67">
        <v>95613</v>
      </c>
      <c r="E187" s="66"/>
    </row>
    <row r="188" spans="1:5" x14ac:dyDescent="0.2">
      <c r="A188" s="227" t="s">
        <v>94</v>
      </c>
      <c r="B188" s="227"/>
      <c r="C188" s="63" t="s">
        <v>34</v>
      </c>
      <c r="D188" s="67" t="s">
        <v>95</v>
      </c>
    </row>
    <row r="189" spans="1:5" x14ac:dyDescent="0.2">
      <c r="D189" s="66"/>
    </row>
    <row r="191" spans="1:5" x14ac:dyDescent="0.2">
      <c r="C191" t="s">
        <v>6</v>
      </c>
      <c r="E191" s="68">
        <f ca="1">SUMIF($C$5:$D$187,C191,$D$5:$D$187)</f>
        <v>1398116.9440573738</v>
      </c>
    </row>
    <row r="192" spans="1:5" x14ac:dyDescent="0.2">
      <c r="C192" t="s">
        <v>7</v>
      </c>
      <c r="E192" s="68">
        <f t="shared" ref="E192:E223" ca="1" si="0">SUMIF($C$5:$D$187,C192,$D$5:$D$187)</f>
        <v>2935.1985707910326</v>
      </c>
    </row>
    <row r="193" spans="3:5" x14ac:dyDescent="0.2">
      <c r="C193" t="s">
        <v>8</v>
      </c>
      <c r="E193" s="68">
        <f t="shared" ca="1" si="0"/>
        <v>26645.835286753536</v>
      </c>
    </row>
    <row r="194" spans="3:5" x14ac:dyDescent="0.2">
      <c r="C194" t="s">
        <v>9</v>
      </c>
      <c r="E194" s="68">
        <f t="shared" ca="1" si="0"/>
        <v>48879.615695824199</v>
      </c>
    </row>
    <row r="195" spans="3:5" x14ac:dyDescent="0.2">
      <c r="C195" t="s">
        <v>10</v>
      </c>
      <c r="E195" s="68">
        <f t="shared" ca="1" si="0"/>
        <v>9534.3893527426117</v>
      </c>
    </row>
    <row r="196" spans="3:5" x14ac:dyDescent="0.2">
      <c r="C196" t="s">
        <v>11</v>
      </c>
      <c r="E196" s="68">
        <f t="shared" ca="1" si="0"/>
        <v>-11359.198556063975</v>
      </c>
    </row>
    <row r="197" spans="3:5" x14ac:dyDescent="0.2">
      <c r="C197" t="s">
        <v>12</v>
      </c>
      <c r="E197" s="68">
        <f t="shared" ca="1" si="0"/>
        <v>24195.942499059944</v>
      </c>
    </row>
    <row r="198" spans="3:5" x14ac:dyDescent="0.2">
      <c r="C198" t="s">
        <v>13</v>
      </c>
      <c r="E198" s="68">
        <f t="shared" ca="1" si="0"/>
        <v>0</v>
      </c>
    </row>
    <row r="199" spans="3:5" x14ac:dyDescent="0.2">
      <c r="C199" t="s">
        <v>14</v>
      </c>
      <c r="E199" s="68">
        <f t="shared" ca="1" si="0"/>
        <v>31266.616477257627</v>
      </c>
    </row>
    <row r="200" spans="3:5" x14ac:dyDescent="0.2">
      <c r="C200" t="s">
        <v>15</v>
      </c>
      <c r="E200" s="68">
        <f t="shared" ca="1" si="0"/>
        <v>167102.66844664168</v>
      </c>
    </row>
    <row r="201" spans="3:5" x14ac:dyDescent="0.2">
      <c r="C201" t="s">
        <v>16</v>
      </c>
      <c r="E201" s="68">
        <f t="shared" ca="1" si="0"/>
        <v>134524.85745277427</v>
      </c>
    </row>
    <row r="202" spans="3:5" x14ac:dyDescent="0.2">
      <c r="C202" t="s">
        <v>17</v>
      </c>
      <c r="E202" s="68">
        <f t="shared" ca="1" si="0"/>
        <v>6073.3787848665943</v>
      </c>
    </row>
    <row r="203" spans="3:5" x14ac:dyDescent="0.2">
      <c r="C203" t="s">
        <v>18</v>
      </c>
      <c r="E203" s="68">
        <f t="shared" ca="1" si="0"/>
        <v>167768.53666189147</v>
      </c>
    </row>
    <row r="204" spans="3:5" x14ac:dyDescent="0.2">
      <c r="C204" t="s">
        <v>19</v>
      </c>
      <c r="E204" s="68">
        <f t="shared" ca="1" si="0"/>
        <v>38249.755404170624</v>
      </c>
    </row>
    <row r="205" spans="3:5" x14ac:dyDescent="0.2">
      <c r="C205" t="s">
        <v>20</v>
      </c>
      <c r="E205" s="68">
        <f t="shared" ca="1" si="0"/>
        <v>10215.774081009897</v>
      </c>
    </row>
    <row r="206" spans="3:5" x14ac:dyDescent="0.2">
      <c r="C206" t="s">
        <v>21</v>
      </c>
      <c r="E206" s="68">
        <f t="shared" ca="1" si="0"/>
        <v>33398.276465547853</v>
      </c>
    </row>
    <row r="207" spans="3:5" x14ac:dyDescent="0.2">
      <c r="C207" t="s">
        <v>22</v>
      </c>
      <c r="E207" s="68">
        <f t="shared" ca="1" si="0"/>
        <v>2704.2374312422144</v>
      </c>
    </row>
    <row r="208" spans="3:5" x14ac:dyDescent="0.2">
      <c r="C208" t="s">
        <v>23</v>
      </c>
      <c r="E208" s="68">
        <f t="shared" ca="1" si="0"/>
        <v>3915.8242578348923</v>
      </c>
    </row>
    <row r="209" spans="3:5" x14ac:dyDescent="0.2">
      <c r="C209" t="s">
        <v>24</v>
      </c>
      <c r="E209" s="68">
        <f t="shared" ca="1" si="0"/>
        <v>12220.263907231985</v>
      </c>
    </row>
    <row r="210" spans="3:5" x14ac:dyDescent="0.2">
      <c r="C210" t="s">
        <v>25</v>
      </c>
      <c r="E210" s="68">
        <f t="shared" ca="1" si="0"/>
        <v>9256.2052042485338</v>
      </c>
    </row>
    <row r="211" spans="3:5" x14ac:dyDescent="0.2">
      <c r="C211" t="s">
        <v>26</v>
      </c>
      <c r="E211" s="68">
        <f t="shared" ca="1" si="0"/>
        <v>79774.742583437677</v>
      </c>
    </row>
    <row r="212" spans="3:5" x14ac:dyDescent="0.2">
      <c r="C212" t="s">
        <v>27</v>
      </c>
      <c r="E212" s="68">
        <f t="shared" ca="1" si="0"/>
        <v>58447.592649362879</v>
      </c>
    </row>
    <row r="213" spans="3:5" x14ac:dyDescent="0.2">
      <c r="C213" t="s">
        <v>28</v>
      </c>
      <c r="E213" s="68">
        <f t="shared" ca="1" si="0"/>
        <v>-272882.83911334339</v>
      </c>
    </row>
    <row r="214" spans="3:5" x14ac:dyDescent="0.2">
      <c r="C214" t="s">
        <v>29</v>
      </c>
      <c r="E214" s="68">
        <f t="shared" ca="1" si="0"/>
        <v>-964.77141463954331</v>
      </c>
    </row>
    <row r="215" spans="3:5" x14ac:dyDescent="0.2">
      <c r="C215" t="s">
        <v>30</v>
      </c>
      <c r="E215" s="68">
        <f t="shared" ca="1" si="0"/>
        <v>365</v>
      </c>
    </row>
    <row r="216" spans="3:5" x14ac:dyDescent="0.2">
      <c r="C216" t="s">
        <v>31</v>
      </c>
      <c r="E216" s="68">
        <f t="shared" ca="1" si="0"/>
        <v>-90056.287397405627</v>
      </c>
    </row>
    <row r="217" spans="3:5" x14ac:dyDescent="0.2">
      <c r="C217" t="s">
        <v>32</v>
      </c>
      <c r="E217" s="68">
        <f t="shared" ca="1" si="0"/>
        <v>11877.400963200871</v>
      </c>
    </row>
    <row r="218" spans="3:5" x14ac:dyDescent="0.2">
      <c r="C218" t="s">
        <v>33</v>
      </c>
      <c r="E218" s="68">
        <f t="shared" ca="1" si="0"/>
        <v>40.998656437030149</v>
      </c>
    </row>
    <row r="219" spans="3:5" x14ac:dyDescent="0.2">
      <c r="C219" t="s">
        <v>34</v>
      </c>
      <c r="E219" s="68">
        <f t="shared" ca="1" si="0"/>
        <v>0</v>
      </c>
    </row>
    <row r="220" spans="3:5" x14ac:dyDescent="0.2">
      <c r="C220" t="s">
        <v>35</v>
      </c>
      <c r="E220" s="68">
        <f t="shared" ca="1" si="0"/>
        <v>0</v>
      </c>
    </row>
    <row r="221" spans="3:5" x14ac:dyDescent="0.2">
      <c r="C221" t="s">
        <v>36</v>
      </c>
      <c r="E221" s="68">
        <f t="shared" ca="1" si="0"/>
        <v>801.96680312487229</v>
      </c>
    </row>
    <row r="222" spans="3:5" x14ac:dyDescent="0.2">
      <c r="C222" t="s">
        <v>37</v>
      </c>
      <c r="E222" s="68">
        <f t="shared" ca="1" si="0"/>
        <v>0</v>
      </c>
    </row>
    <row r="223" spans="3:5" x14ac:dyDescent="0.2">
      <c r="C223" t="s">
        <v>38</v>
      </c>
      <c r="E223" s="68">
        <f t="shared" ca="1" si="0"/>
        <v>-11414.04180283091</v>
      </c>
    </row>
  </sheetData>
  <mergeCells count="13">
    <mergeCell ref="A5:A9"/>
    <mergeCell ref="B5:B8"/>
    <mergeCell ref="A11:A36"/>
    <mergeCell ref="B11:B35"/>
    <mergeCell ref="A38:A67"/>
    <mergeCell ref="B38:B66"/>
    <mergeCell ref="A188:B188"/>
    <mergeCell ref="A69:A96"/>
    <mergeCell ref="B69:B95"/>
    <mergeCell ref="A98:A128"/>
    <mergeCell ref="B98:B127"/>
    <mergeCell ref="A130:A158"/>
    <mergeCell ref="B130:B15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36F3AE-B663-44A3-8604-F2350A5CEB34}">
  <dimension ref="A1:J173"/>
  <sheetViews>
    <sheetView workbookViewId="0"/>
  </sheetViews>
  <sheetFormatPr defaultRowHeight="14.25" x14ac:dyDescent="0.2"/>
  <cols>
    <col min="1" max="1" width="16.125" bestFit="1" customWidth="1"/>
    <col min="2" max="2" width="13.25" bestFit="1" customWidth="1"/>
    <col min="3" max="3" width="23.375" bestFit="1" customWidth="1"/>
    <col min="4" max="4" width="14.625" bestFit="1" customWidth="1"/>
    <col min="5" max="5" width="13.125" bestFit="1" customWidth="1"/>
    <col min="6" max="6" width="22.375" bestFit="1" customWidth="1"/>
    <col min="8" max="8" width="17.5" bestFit="1" customWidth="1"/>
    <col min="9" max="9" width="11.375" bestFit="1" customWidth="1"/>
  </cols>
  <sheetData>
    <row r="1" spans="1:10" ht="15" x14ac:dyDescent="0.25">
      <c r="A1" s="147" t="s">
        <v>89</v>
      </c>
      <c r="B1" s="148" t="s">
        <v>323</v>
      </c>
      <c r="C1" s="148" t="s">
        <v>324</v>
      </c>
      <c r="D1" s="148" t="s">
        <v>325</v>
      </c>
      <c r="E1" s="148" t="s">
        <v>326</v>
      </c>
      <c r="F1" s="148" t="s">
        <v>327</v>
      </c>
      <c r="G1" s="148" t="s">
        <v>328</v>
      </c>
      <c r="H1" s="148" t="s">
        <v>834</v>
      </c>
      <c r="I1" s="148" t="s">
        <v>833</v>
      </c>
    </row>
    <row r="2" spans="1:10" ht="15" x14ac:dyDescent="0.25">
      <c r="A2" s="147"/>
      <c r="B2" s="148"/>
      <c r="C2" s="148"/>
      <c r="D2" s="148"/>
      <c r="E2" s="148"/>
      <c r="F2" s="148"/>
      <c r="G2" s="148"/>
      <c r="H2" s="195">
        <v>55</v>
      </c>
      <c r="I2" s="195">
        <v>44.66</v>
      </c>
      <c r="J2" t="s">
        <v>876</v>
      </c>
    </row>
    <row r="3" spans="1:10" x14ac:dyDescent="0.2">
      <c r="A3" s="149" t="s">
        <v>329</v>
      </c>
      <c r="B3" s="149" t="s">
        <v>561</v>
      </c>
      <c r="C3" s="149" t="s">
        <v>331</v>
      </c>
      <c r="D3" s="149" t="s">
        <v>365</v>
      </c>
      <c r="E3" s="149" t="s">
        <v>339</v>
      </c>
      <c r="F3" s="149" t="s">
        <v>853</v>
      </c>
      <c r="G3" s="149">
        <v>8.3000000000000007</v>
      </c>
      <c r="H3" s="84"/>
      <c r="I3" s="84"/>
    </row>
    <row r="4" spans="1:10" x14ac:dyDescent="0.2">
      <c r="A4" s="149"/>
      <c r="B4" s="149" t="s">
        <v>562</v>
      </c>
      <c r="C4" s="149" t="s">
        <v>563</v>
      </c>
      <c r="D4" s="149" t="s">
        <v>357</v>
      </c>
      <c r="E4" s="149" t="s">
        <v>339</v>
      </c>
      <c r="F4" s="149" t="s">
        <v>853</v>
      </c>
      <c r="G4" s="84">
        <v>99.5</v>
      </c>
      <c r="H4" s="84"/>
      <c r="I4" s="84"/>
    </row>
    <row r="5" spans="1:10" x14ac:dyDescent="0.2">
      <c r="A5" s="149"/>
      <c r="B5" s="149" t="s">
        <v>564</v>
      </c>
      <c r="C5" s="149" t="s">
        <v>331</v>
      </c>
      <c r="D5" s="149" t="s">
        <v>565</v>
      </c>
      <c r="E5" s="149" t="s">
        <v>339</v>
      </c>
      <c r="F5" s="149" t="s">
        <v>853</v>
      </c>
      <c r="G5" s="84">
        <v>306.60000000000002</v>
      </c>
      <c r="H5" s="84"/>
      <c r="I5" s="84"/>
    </row>
    <row r="6" spans="1:10" x14ac:dyDescent="0.2">
      <c r="A6" s="149"/>
      <c r="B6" s="149" t="s">
        <v>566</v>
      </c>
      <c r="C6" s="149" t="s">
        <v>858</v>
      </c>
      <c r="D6" s="149" t="s">
        <v>365</v>
      </c>
      <c r="E6" s="149" t="s">
        <v>339</v>
      </c>
      <c r="F6" s="149"/>
      <c r="G6" s="84">
        <v>20.399999999999999</v>
      </c>
      <c r="H6" s="84"/>
      <c r="I6" s="84"/>
    </row>
    <row r="7" spans="1:10" x14ac:dyDescent="0.2">
      <c r="A7" s="149"/>
      <c r="B7" s="149" t="s">
        <v>567</v>
      </c>
      <c r="C7" s="149" t="s">
        <v>568</v>
      </c>
      <c r="D7" s="149" t="s">
        <v>365</v>
      </c>
      <c r="E7" s="149" t="s">
        <v>339</v>
      </c>
      <c r="F7" s="149"/>
      <c r="G7" s="84">
        <v>10</v>
      </c>
      <c r="H7" s="84"/>
      <c r="I7" s="84"/>
    </row>
    <row r="8" spans="1:10" x14ac:dyDescent="0.2">
      <c r="A8" s="149"/>
      <c r="B8" s="149" t="s">
        <v>569</v>
      </c>
      <c r="C8" s="149" t="s">
        <v>570</v>
      </c>
      <c r="D8" s="149" t="s">
        <v>365</v>
      </c>
      <c r="E8" s="149" t="s">
        <v>339</v>
      </c>
      <c r="F8" s="149"/>
      <c r="G8" s="84">
        <v>6.2</v>
      </c>
      <c r="H8" s="84"/>
      <c r="I8" s="84"/>
    </row>
    <row r="9" spans="1:10" x14ac:dyDescent="0.2">
      <c r="A9" s="149"/>
      <c r="B9" s="149" t="s">
        <v>571</v>
      </c>
      <c r="C9" s="149" t="s">
        <v>331</v>
      </c>
      <c r="D9" s="149" t="s">
        <v>365</v>
      </c>
      <c r="E9" s="149" t="s">
        <v>339</v>
      </c>
      <c r="F9" s="149"/>
      <c r="G9" s="149">
        <v>1.9</v>
      </c>
      <c r="H9" s="84"/>
      <c r="I9" s="84"/>
    </row>
    <row r="10" spans="1:10" x14ac:dyDescent="0.2">
      <c r="A10" s="149"/>
      <c r="B10" s="149" t="s">
        <v>572</v>
      </c>
      <c r="C10" s="149" t="s">
        <v>341</v>
      </c>
      <c r="D10" s="149" t="s">
        <v>357</v>
      </c>
      <c r="E10" s="149" t="s">
        <v>339</v>
      </c>
      <c r="F10" s="149"/>
      <c r="G10" s="84">
        <v>2.5</v>
      </c>
      <c r="H10" s="84"/>
      <c r="I10" s="84"/>
    </row>
    <row r="11" spans="1:10" x14ac:dyDescent="0.2">
      <c r="A11" s="149"/>
      <c r="B11" s="149" t="s">
        <v>573</v>
      </c>
      <c r="C11" s="149" t="s">
        <v>334</v>
      </c>
      <c r="D11" s="149" t="s">
        <v>365</v>
      </c>
      <c r="E11" s="149" t="s">
        <v>339</v>
      </c>
      <c r="F11" s="149" t="s">
        <v>853</v>
      </c>
      <c r="G11" s="84">
        <v>36.6</v>
      </c>
      <c r="H11" s="84"/>
      <c r="I11" s="84"/>
    </row>
    <row r="12" spans="1:10" x14ac:dyDescent="0.2">
      <c r="A12" s="149"/>
      <c r="B12" s="149" t="s">
        <v>574</v>
      </c>
      <c r="C12" s="149" t="s">
        <v>351</v>
      </c>
      <c r="D12" s="149" t="s">
        <v>346</v>
      </c>
      <c r="E12" s="149" t="s">
        <v>339</v>
      </c>
      <c r="F12" s="149"/>
      <c r="G12" s="149">
        <v>5.2</v>
      </c>
      <c r="H12" s="84"/>
      <c r="I12" s="84"/>
    </row>
    <row r="13" spans="1:10" x14ac:dyDescent="0.2">
      <c r="A13" s="149"/>
      <c r="B13" s="149" t="s">
        <v>575</v>
      </c>
      <c r="C13" s="149" t="s">
        <v>351</v>
      </c>
      <c r="D13" s="149" t="s">
        <v>346</v>
      </c>
      <c r="E13" s="149" t="s">
        <v>339</v>
      </c>
      <c r="F13" s="149"/>
      <c r="G13" s="149">
        <v>5.2</v>
      </c>
      <c r="H13" s="84"/>
      <c r="I13" s="84"/>
    </row>
    <row r="14" spans="1:10" x14ac:dyDescent="0.2">
      <c r="A14" s="149"/>
      <c r="B14" s="149" t="s">
        <v>576</v>
      </c>
      <c r="C14" s="149" t="s">
        <v>577</v>
      </c>
      <c r="D14" s="149" t="s">
        <v>357</v>
      </c>
      <c r="E14" s="149" t="s">
        <v>339</v>
      </c>
      <c r="F14" s="149" t="s">
        <v>853</v>
      </c>
      <c r="G14" s="84">
        <v>64.8</v>
      </c>
      <c r="H14" s="84"/>
      <c r="I14" s="84"/>
    </row>
    <row r="15" spans="1:10" x14ac:dyDescent="0.2">
      <c r="A15" s="149"/>
      <c r="B15" s="149" t="s">
        <v>578</v>
      </c>
      <c r="C15" s="149" t="s">
        <v>341</v>
      </c>
      <c r="D15" s="149" t="s">
        <v>357</v>
      </c>
      <c r="E15" s="149" t="s">
        <v>339</v>
      </c>
      <c r="F15" s="149"/>
      <c r="G15" s="84">
        <v>3.3</v>
      </c>
      <c r="H15" s="84"/>
      <c r="I15" s="84"/>
    </row>
    <row r="16" spans="1:10" x14ac:dyDescent="0.2">
      <c r="A16" s="149"/>
      <c r="B16" s="149" t="s">
        <v>579</v>
      </c>
      <c r="C16" s="149" t="s">
        <v>577</v>
      </c>
      <c r="D16" s="149" t="s">
        <v>357</v>
      </c>
      <c r="E16" s="149" t="s">
        <v>339</v>
      </c>
      <c r="F16" s="149" t="s">
        <v>853</v>
      </c>
      <c r="G16" s="84">
        <v>89.8</v>
      </c>
      <c r="H16" s="84"/>
      <c r="I16" s="84"/>
    </row>
    <row r="17" spans="1:9" x14ac:dyDescent="0.2">
      <c r="A17" s="149"/>
      <c r="B17" s="149" t="s">
        <v>580</v>
      </c>
      <c r="C17" s="149" t="s">
        <v>577</v>
      </c>
      <c r="D17" s="149" t="s">
        <v>357</v>
      </c>
      <c r="E17" s="149" t="s">
        <v>339</v>
      </c>
      <c r="F17" s="149" t="s">
        <v>853</v>
      </c>
      <c r="G17" s="84">
        <v>88.7</v>
      </c>
      <c r="H17" s="84"/>
      <c r="I17" s="84"/>
    </row>
    <row r="18" spans="1:9" x14ac:dyDescent="0.2">
      <c r="A18" s="149"/>
      <c r="B18" s="149" t="s">
        <v>581</v>
      </c>
      <c r="C18" s="149" t="s">
        <v>341</v>
      </c>
      <c r="D18" s="149" t="s">
        <v>357</v>
      </c>
      <c r="E18" s="149" t="s">
        <v>339</v>
      </c>
      <c r="F18" s="149"/>
      <c r="G18" s="84">
        <v>2.2999999999999998</v>
      </c>
      <c r="H18" s="84"/>
      <c r="I18" s="84"/>
    </row>
    <row r="19" spans="1:9" x14ac:dyDescent="0.2">
      <c r="A19" s="149"/>
      <c r="B19" s="149" t="s">
        <v>582</v>
      </c>
      <c r="C19" s="149" t="s">
        <v>341</v>
      </c>
      <c r="D19" s="149" t="s">
        <v>357</v>
      </c>
      <c r="E19" s="149" t="s">
        <v>339</v>
      </c>
      <c r="F19" s="149"/>
      <c r="G19" s="84">
        <v>10</v>
      </c>
      <c r="H19" s="84"/>
      <c r="I19" s="84"/>
    </row>
    <row r="20" spans="1:9" x14ac:dyDescent="0.2">
      <c r="A20" s="149"/>
      <c r="B20" s="149" t="s">
        <v>583</v>
      </c>
      <c r="C20" s="149" t="s">
        <v>584</v>
      </c>
      <c r="D20" s="149" t="s">
        <v>357</v>
      </c>
      <c r="E20" s="149" t="s">
        <v>489</v>
      </c>
      <c r="F20" s="149" t="s">
        <v>337</v>
      </c>
      <c r="G20" s="84">
        <v>82.6</v>
      </c>
      <c r="H20" s="84" t="s">
        <v>855</v>
      </c>
      <c r="I20" s="84"/>
    </row>
    <row r="21" spans="1:9" x14ac:dyDescent="0.2">
      <c r="A21" s="149"/>
      <c r="B21" s="149" t="s">
        <v>585</v>
      </c>
      <c r="C21" s="149" t="s">
        <v>586</v>
      </c>
      <c r="D21" s="149" t="s">
        <v>357</v>
      </c>
      <c r="E21" s="149" t="s">
        <v>336</v>
      </c>
      <c r="F21" s="149" t="s">
        <v>362</v>
      </c>
      <c r="G21" s="84">
        <v>61.9</v>
      </c>
      <c r="H21" s="194">
        <f>G21*$H$2</f>
        <v>3404.5</v>
      </c>
      <c r="I21" s="84"/>
    </row>
    <row r="22" spans="1:9" x14ac:dyDescent="0.2">
      <c r="A22" s="149"/>
      <c r="B22" s="149" t="s">
        <v>587</v>
      </c>
      <c r="C22" s="149" t="s">
        <v>586</v>
      </c>
      <c r="D22" s="149" t="s">
        <v>357</v>
      </c>
      <c r="E22" s="149" t="s">
        <v>336</v>
      </c>
      <c r="F22" s="149" t="s">
        <v>362</v>
      </c>
      <c r="G22" s="84">
        <v>64.599999999999994</v>
      </c>
      <c r="H22" s="194">
        <f t="shared" ref="H22:H29" si="0">G22*$H$2</f>
        <v>3552.9999999999995</v>
      </c>
      <c r="I22" s="84"/>
    </row>
    <row r="23" spans="1:9" x14ac:dyDescent="0.2">
      <c r="A23" s="149"/>
      <c r="B23" s="149" t="s">
        <v>588</v>
      </c>
      <c r="C23" s="149" t="s">
        <v>351</v>
      </c>
      <c r="D23" s="149" t="s">
        <v>346</v>
      </c>
      <c r="E23" s="149" t="s">
        <v>336</v>
      </c>
      <c r="F23" s="149" t="s">
        <v>362</v>
      </c>
      <c r="G23" s="84">
        <v>10</v>
      </c>
      <c r="H23" s="194">
        <f t="shared" si="0"/>
        <v>550</v>
      </c>
      <c r="I23" s="84"/>
    </row>
    <row r="24" spans="1:9" x14ac:dyDescent="0.2">
      <c r="A24" s="149"/>
      <c r="B24" s="149" t="s">
        <v>589</v>
      </c>
      <c r="C24" s="149" t="s">
        <v>334</v>
      </c>
      <c r="D24" s="149" t="s">
        <v>357</v>
      </c>
      <c r="E24" s="149" t="s">
        <v>336</v>
      </c>
      <c r="F24" s="149" t="s">
        <v>362</v>
      </c>
      <c r="G24" s="84">
        <v>15.8</v>
      </c>
      <c r="H24" s="194">
        <f t="shared" si="0"/>
        <v>869</v>
      </c>
      <c r="I24" s="84"/>
    </row>
    <row r="25" spans="1:9" x14ac:dyDescent="0.2">
      <c r="A25" s="149"/>
      <c r="B25" s="149" t="s">
        <v>590</v>
      </c>
      <c r="C25" s="149" t="s">
        <v>331</v>
      </c>
      <c r="D25" s="149" t="s">
        <v>357</v>
      </c>
      <c r="E25" s="149" t="s">
        <v>336</v>
      </c>
      <c r="F25" s="149" t="s">
        <v>362</v>
      </c>
      <c r="G25" s="84">
        <v>14.3</v>
      </c>
      <c r="H25" s="194">
        <f t="shared" si="0"/>
        <v>786.5</v>
      </c>
      <c r="I25" s="84"/>
    </row>
    <row r="26" spans="1:9" x14ac:dyDescent="0.2">
      <c r="A26" s="149"/>
      <c r="B26" s="149" t="s">
        <v>592</v>
      </c>
      <c r="C26" s="149" t="s">
        <v>331</v>
      </c>
      <c r="D26" s="149" t="s">
        <v>365</v>
      </c>
      <c r="E26" s="149" t="s">
        <v>336</v>
      </c>
      <c r="F26" s="149" t="s">
        <v>362</v>
      </c>
      <c r="G26" s="84">
        <v>6.1</v>
      </c>
      <c r="H26" s="194">
        <f t="shared" si="0"/>
        <v>335.5</v>
      </c>
      <c r="I26" s="84"/>
    </row>
    <row r="27" spans="1:9" x14ac:dyDescent="0.2">
      <c r="A27" s="149"/>
      <c r="B27" s="149" t="s">
        <v>593</v>
      </c>
      <c r="C27" s="149" t="s">
        <v>577</v>
      </c>
      <c r="D27" s="149" t="s">
        <v>357</v>
      </c>
      <c r="E27" s="149" t="s">
        <v>336</v>
      </c>
      <c r="F27" s="149" t="s">
        <v>362</v>
      </c>
      <c r="G27" s="84">
        <v>57.8</v>
      </c>
      <c r="H27" s="194">
        <f t="shared" si="0"/>
        <v>3179</v>
      </c>
      <c r="I27" s="84"/>
    </row>
    <row r="28" spans="1:9" x14ac:dyDescent="0.2">
      <c r="A28" s="149"/>
      <c r="B28" s="149" t="s">
        <v>594</v>
      </c>
      <c r="C28" s="149" t="s">
        <v>341</v>
      </c>
      <c r="D28" s="149" t="s">
        <v>357</v>
      </c>
      <c r="E28" s="149" t="s">
        <v>336</v>
      </c>
      <c r="F28" s="149" t="s">
        <v>362</v>
      </c>
      <c r="G28" s="84">
        <v>11.8</v>
      </c>
      <c r="H28" s="194">
        <f t="shared" si="0"/>
        <v>649</v>
      </c>
      <c r="I28" s="84"/>
    </row>
    <row r="29" spans="1:9" x14ac:dyDescent="0.2">
      <c r="A29" s="149"/>
      <c r="B29" s="149" t="s">
        <v>595</v>
      </c>
      <c r="C29" s="149" t="s">
        <v>351</v>
      </c>
      <c r="D29" s="149" t="s">
        <v>346</v>
      </c>
      <c r="E29" s="149" t="s">
        <v>336</v>
      </c>
      <c r="F29" s="149" t="s">
        <v>362</v>
      </c>
      <c r="G29" s="84">
        <v>3.8</v>
      </c>
      <c r="H29" s="194">
        <f t="shared" si="0"/>
        <v>209</v>
      </c>
      <c r="I29" s="84"/>
    </row>
    <row r="30" spans="1:9" x14ac:dyDescent="0.2">
      <c r="A30" s="149"/>
      <c r="B30" s="149" t="s">
        <v>596</v>
      </c>
      <c r="C30" s="149" t="s">
        <v>341</v>
      </c>
      <c r="D30" s="149" t="s">
        <v>357</v>
      </c>
      <c r="E30" s="149" t="s">
        <v>339</v>
      </c>
      <c r="F30" s="149"/>
      <c r="G30" s="84">
        <v>17.5</v>
      </c>
      <c r="H30" s="84"/>
      <c r="I30" s="84"/>
    </row>
    <row r="31" spans="1:9" x14ac:dyDescent="0.2">
      <c r="A31" s="149"/>
      <c r="B31" s="149" t="s">
        <v>597</v>
      </c>
      <c r="C31" s="149" t="s">
        <v>351</v>
      </c>
      <c r="D31" s="149" t="s">
        <v>346</v>
      </c>
      <c r="E31" s="149" t="s">
        <v>339</v>
      </c>
      <c r="F31" s="149"/>
      <c r="G31" s="84">
        <v>3.7</v>
      </c>
      <c r="H31" s="84"/>
      <c r="I31" s="84"/>
    </row>
    <row r="32" spans="1:9" x14ac:dyDescent="0.2">
      <c r="A32" s="149"/>
      <c r="B32" s="149" t="s">
        <v>598</v>
      </c>
      <c r="C32" s="149" t="s">
        <v>551</v>
      </c>
      <c r="D32" s="149" t="s">
        <v>357</v>
      </c>
      <c r="E32" s="149" t="s">
        <v>339</v>
      </c>
      <c r="F32" s="149"/>
      <c r="G32" s="84">
        <v>13.1</v>
      </c>
      <c r="H32" s="84"/>
      <c r="I32" s="84"/>
    </row>
    <row r="33" spans="1:9" x14ac:dyDescent="0.2">
      <c r="A33" s="149"/>
      <c r="B33" s="149" t="s">
        <v>599</v>
      </c>
      <c r="C33" s="149" t="s">
        <v>341</v>
      </c>
      <c r="D33" s="149" t="s">
        <v>357</v>
      </c>
      <c r="E33" s="149" t="s">
        <v>339</v>
      </c>
      <c r="F33" s="149"/>
      <c r="G33" s="149">
        <v>17.399999999999999</v>
      </c>
      <c r="H33" s="84"/>
      <c r="I33" s="84"/>
    </row>
    <row r="34" spans="1:9" x14ac:dyDescent="0.2">
      <c r="A34" s="149"/>
      <c r="B34" s="149" t="s">
        <v>600</v>
      </c>
      <c r="C34" s="149" t="s">
        <v>351</v>
      </c>
      <c r="D34" s="149" t="s">
        <v>346</v>
      </c>
      <c r="E34" s="149" t="s">
        <v>336</v>
      </c>
      <c r="F34" s="149" t="s">
        <v>601</v>
      </c>
      <c r="G34" s="84">
        <v>5</v>
      </c>
      <c r="H34" s="84"/>
      <c r="I34" s="194">
        <f t="shared" ref="I34:I54" si="1">G34*$I$2</f>
        <v>223.29999999999998</v>
      </c>
    </row>
    <row r="35" spans="1:9" x14ac:dyDescent="0.2">
      <c r="A35" s="149"/>
      <c r="B35" s="149" t="s">
        <v>602</v>
      </c>
      <c r="C35" s="149" t="s">
        <v>351</v>
      </c>
      <c r="D35" s="149" t="s">
        <v>346</v>
      </c>
      <c r="E35" s="149" t="s">
        <v>336</v>
      </c>
      <c r="F35" s="149" t="s">
        <v>601</v>
      </c>
      <c r="G35" s="84">
        <v>3.3</v>
      </c>
      <c r="H35" s="84"/>
      <c r="I35" s="194">
        <f t="shared" si="1"/>
        <v>147.37799999999999</v>
      </c>
    </row>
    <row r="36" spans="1:9" x14ac:dyDescent="0.2">
      <c r="A36" s="149"/>
      <c r="B36" s="149" t="s">
        <v>603</v>
      </c>
      <c r="C36" s="149" t="s">
        <v>341</v>
      </c>
      <c r="D36" s="149" t="s">
        <v>357</v>
      </c>
      <c r="E36" s="149" t="s">
        <v>336</v>
      </c>
      <c r="F36" s="149" t="s">
        <v>601</v>
      </c>
      <c r="G36" s="84">
        <v>15</v>
      </c>
      <c r="H36" s="84"/>
      <c r="I36" s="194">
        <f t="shared" si="1"/>
        <v>669.9</v>
      </c>
    </row>
    <row r="37" spans="1:9" x14ac:dyDescent="0.2">
      <c r="A37" s="149"/>
      <c r="B37" s="149" t="s">
        <v>604</v>
      </c>
      <c r="C37" s="149" t="s">
        <v>334</v>
      </c>
      <c r="D37" s="149" t="s">
        <v>365</v>
      </c>
      <c r="E37" s="149" t="s">
        <v>336</v>
      </c>
      <c r="F37" s="149" t="s">
        <v>601</v>
      </c>
      <c r="G37" s="84">
        <v>20.8</v>
      </c>
      <c r="H37" s="84"/>
      <c r="I37" s="194">
        <f t="shared" si="1"/>
        <v>928.928</v>
      </c>
    </row>
    <row r="38" spans="1:9" x14ac:dyDescent="0.2">
      <c r="A38" s="149"/>
      <c r="B38" s="149" t="s">
        <v>605</v>
      </c>
      <c r="C38" s="149" t="s">
        <v>331</v>
      </c>
      <c r="D38" s="149" t="s">
        <v>357</v>
      </c>
      <c r="E38" s="149" t="s">
        <v>336</v>
      </c>
      <c r="F38" s="149" t="s">
        <v>601</v>
      </c>
      <c r="G38" s="84">
        <v>100</v>
      </c>
      <c r="H38" s="84"/>
      <c r="I38" s="194">
        <f t="shared" si="1"/>
        <v>4466</v>
      </c>
    </row>
    <row r="39" spans="1:9" x14ac:dyDescent="0.2">
      <c r="A39" s="149"/>
      <c r="B39" s="149" t="s">
        <v>606</v>
      </c>
      <c r="C39" s="149" t="s">
        <v>334</v>
      </c>
      <c r="D39" s="149" t="s">
        <v>365</v>
      </c>
      <c r="E39" s="149" t="s">
        <v>336</v>
      </c>
      <c r="F39" s="149" t="s">
        <v>601</v>
      </c>
      <c r="G39" s="84">
        <v>12.2</v>
      </c>
      <c r="H39" s="84"/>
      <c r="I39" s="194">
        <f t="shared" si="1"/>
        <v>544.85199999999998</v>
      </c>
    </row>
    <row r="40" spans="1:9" x14ac:dyDescent="0.2">
      <c r="A40" s="149"/>
      <c r="B40" s="149" t="s">
        <v>607</v>
      </c>
      <c r="C40" s="149" t="s">
        <v>522</v>
      </c>
      <c r="D40" s="149" t="s">
        <v>365</v>
      </c>
      <c r="E40" s="149" t="s">
        <v>336</v>
      </c>
      <c r="F40" s="149" t="s">
        <v>601</v>
      </c>
      <c r="G40" s="84">
        <v>58.8</v>
      </c>
      <c r="H40" s="84"/>
      <c r="I40" s="194">
        <f t="shared" si="1"/>
        <v>2626.0079999999998</v>
      </c>
    </row>
    <row r="41" spans="1:9" x14ac:dyDescent="0.2">
      <c r="A41" s="149"/>
      <c r="B41" s="149" t="s">
        <v>608</v>
      </c>
      <c r="C41" s="149" t="s">
        <v>331</v>
      </c>
      <c r="D41" s="149" t="s">
        <v>365</v>
      </c>
      <c r="E41" s="149" t="s">
        <v>336</v>
      </c>
      <c r="F41" s="149" t="s">
        <v>601</v>
      </c>
      <c r="G41" s="84">
        <v>11</v>
      </c>
      <c r="H41" s="84"/>
      <c r="I41" s="194">
        <f t="shared" si="1"/>
        <v>491.26</v>
      </c>
    </row>
    <row r="42" spans="1:9" x14ac:dyDescent="0.2">
      <c r="A42" s="149"/>
      <c r="B42" s="149" t="s">
        <v>609</v>
      </c>
      <c r="C42" s="149" t="s">
        <v>341</v>
      </c>
      <c r="D42" s="149" t="s">
        <v>357</v>
      </c>
      <c r="E42" s="149" t="s">
        <v>336</v>
      </c>
      <c r="F42" s="149" t="s">
        <v>601</v>
      </c>
      <c r="G42" s="84">
        <v>6.9</v>
      </c>
      <c r="H42" s="84"/>
      <c r="I42" s="194">
        <f t="shared" si="1"/>
        <v>308.154</v>
      </c>
    </row>
    <row r="43" spans="1:9" x14ac:dyDescent="0.2">
      <c r="A43" s="149"/>
      <c r="B43" s="149" t="s">
        <v>610</v>
      </c>
      <c r="C43" s="149" t="s">
        <v>522</v>
      </c>
      <c r="D43" s="149" t="s">
        <v>357</v>
      </c>
      <c r="E43" s="149" t="s">
        <v>336</v>
      </c>
      <c r="F43" s="149" t="s">
        <v>601</v>
      </c>
      <c r="G43" s="84">
        <v>63.7</v>
      </c>
      <c r="H43" s="84"/>
      <c r="I43" s="194">
        <f t="shared" si="1"/>
        <v>2844.8420000000001</v>
      </c>
    </row>
    <row r="44" spans="1:9" x14ac:dyDescent="0.2">
      <c r="A44" s="149"/>
      <c r="B44" s="149" t="s">
        <v>611</v>
      </c>
      <c r="C44" s="149" t="s">
        <v>522</v>
      </c>
      <c r="D44" s="149" t="s">
        <v>357</v>
      </c>
      <c r="E44" s="149" t="s">
        <v>336</v>
      </c>
      <c r="F44" s="149" t="s">
        <v>601</v>
      </c>
      <c r="G44" s="84">
        <v>59.6</v>
      </c>
      <c r="H44" s="84"/>
      <c r="I44" s="194">
        <f t="shared" si="1"/>
        <v>2661.7359999999999</v>
      </c>
    </row>
    <row r="45" spans="1:9" x14ac:dyDescent="0.2">
      <c r="A45" s="149"/>
      <c r="B45" s="149" t="s">
        <v>612</v>
      </c>
      <c r="C45" s="149" t="s">
        <v>522</v>
      </c>
      <c r="D45" s="149" t="s">
        <v>357</v>
      </c>
      <c r="E45" s="149" t="s">
        <v>336</v>
      </c>
      <c r="F45" s="149" t="s">
        <v>601</v>
      </c>
      <c r="G45" s="84">
        <v>64</v>
      </c>
      <c r="H45" s="84"/>
      <c r="I45" s="194">
        <f t="shared" si="1"/>
        <v>2858.24</v>
      </c>
    </row>
    <row r="46" spans="1:9" x14ac:dyDescent="0.2">
      <c r="A46" s="149"/>
      <c r="B46" s="149" t="s">
        <v>613</v>
      </c>
      <c r="C46" s="149" t="s">
        <v>522</v>
      </c>
      <c r="D46" s="149" t="s">
        <v>357</v>
      </c>
      <c r="E46" s="149" t="s">
        <v>336</v>
      </c>
      <c r="F46" s="149" t="s">
        <v>614</v>
      </c>
      <c r="G46" s="84">
        <v>64</v>
      </c>
      <c r="H46" s="84"/>
      <c r="I46" s="194">
        <f t="shared" si="1"/>
        <v>2858.24</v>
      </c>
    </row>
    <row r="47" spans="1:9" x14ac:dyDescent="0.2">
      <c r="A47" s="149"/>
      <c r="B47" s="149" t="s">
        <v>615</v>
      </c>
      <c r="C47" s="149" t="s">
        <v>616</v>
      </c>
      <c r="D47" s="149" t="s">
        <v>357</v>
      </c>
      <c r="E47" s="149" t="s">
        <v>336</v>
      </c>
      <c r="F47" s="149" t="s">
        <v>614</v>
      </c>
      <c r="G47" s="84">
        <v>23</v>
      </c>
      <c r="H47" s="84"/>
      <c r="I47" s="194">
        <f t="shared" si="1"/>
        <v>1027.1799999999998</v>
      </c>
    </row>
    <row r="48" spans="1:9" x14ac:dyDescent="0.2">
      <c r="A48" s="149"/>
      <c r="B48" s="149" t="s">
        <v>617</v>
      </c>
      <c r="C48" s="149" t="s">
        <v>331</v>
      </c>
      <c r="D48" s="149" t="s">
        <v>618</v>
      </c>
      <c r="E48" s="149" t="s">
        <v>336</v>
      </c>
      <c r="F48" s="149" t="s">
        <v>614</v>
      </c>
      <c r="G48" s="84">
        <v>57.6</v>
      </c>
      <c r="H48" s="84"/>
      <c r="I48" s="194">
        <f t="shared" si="1"/>
        <v>2572.4159999999997</v>
      </c>
    </row>
    <row r="49" spans="1:9" x14ac:dyDescent="0.2">
      <c r="A49" s="149"/>
      <c r="B49" s="149" t="s">
        <v>619</v>
      </c>
      <c r="C49" s="149" t="s">
        <v>351</v>
      </c>
      <c r="D49" s="149" t="s">
        <v>346</v>
      </c>
      <c r="E49" s="149" t="s">
        <v>336</v>
      </c>
      <c r="F49" s="149" t="s">
        <v>614</v>
      </c>
      <c r="G49" s="84">
        <v>3</v>
      </c>
      <c r="H49" s="84"/>
      <c r="I49" s="194">
        <f t="shared" si="1"/>
        <v>133.97999999999999</v>
      </c>
    </row>
    <row r="50" spans="1:9" x14ac:dyDescent="0.2">
      <c r="A50" s="149"/>
      <c r="B50" s="149" t="s">
        <v>620</v>
      </c>
      <c r="C50" s="149" t="s">
        <v>351</v>
      </c>
      <c r="D50" s="149" t="s">
        <v>346</v>
      </c>
      <c r="E50" s="149" t="s">
        <v>336</v>
      </c>
      <c r="F50" s="149" t="s">
        <v>614</v>
      </c>
      <c r="G50" s="84">
        <v>3</v>
      </c>
      <c r="H50" s="84"/>
      <c r="I50" s="194">
        <f t="shared" si="1"/>
        <v>133.97999999999999</v>
      </c>
    </row>
    <row r="51" spans="1:9" x14ac:dyDescent="0.2">
      <c r="A51" s="149"/>
      <c r="B51" s="149" t="s">
        <v>621</v>
      </c>
      <c r="C51" s="149" t="s">
        <v>341</v>
      </c>
      <c r="D51" s="149" t="s">
        <v>357</v>
      </c>
      <c r="E51" s="149" t="s">
        <v>336</v>
      </c>
      <c r="F51" s="149" t="s">
        <v>614</v>
      </c>
      <c r="G51" s="84">
        <v>6.8</v>
      </c>
      <c r="H51" s="84"/>
      <c r="I51" s="194">
        <f t="shared" si="1"/>
        <v>303.68799999999999</v>
      </c>
    </row>
    <row r="52" spans="1:9" x14ac:dyDescent="0.2">
      <c r="A52" s="149"/>
      <c r="B52" s="149" t="s">
        <v>622</v>
      </c>
      <c r="C52" s="149" t="s">
        <v>522</v>
      </c>
      <c r="D52" s="149" t="s">
        <v>357</v>
      </c>
      <c r="E52" s="149" t="s">
        <v>336</v>
      </c>
      <c r="F52" s="149" t="s">
        <v>614</v>
      </c>
      <c r="G52" s="84">
        <v>60.3</v>
      </c>
      <c r="H52" s="84"/>
      <c r="I52" s="194">
        <f t="shared" si="1"/>
        <v>2692.9979999999996</v>
      </c>
    </row>
    <row r="53" spans="1:9" x14ac:dyDescent="0.2">
      <c r="A53" s="149"/>
      <c r="B53" s="149" t="s">
        <v>623</v>
      </c>
      <c r="C53" s="149" t="s">
        <v>584</v>
      </c>
      <c r="D53" s="149" t="s">
        <v>357</v>
      </c>
      <c r="E53" s="149" t="s">
        <v>336</v>
      </c>
      <c r="F53" s="149" t="s">
        <v>614</v>
      </c>
      <c r="G53" s="84">
        <v>82</v>
      </c>
      <c r="H53" s="84"/>
      <c r="I53" s="194">
        <f t="shared" si="1"/>
        <v>3662.12</v>
      </c>
    </row>
    <row r="54" spans="1:9" x14ac:dyDescent="0.2">
      <c r="A54" s="149"/>
      <c r="B54" s="149" t="s">
        <v>624</v>
      </c>
      <c r="C54" s="149" t="s">
        <v>341</v>
      </c>
      <c r="D54" s="149" t="s">
        <v>357</v>
      </c>
      <c r="E54" s="149" t="s">
        <v>336</v>
      </c>
      <c r="F54" s="149" t="s">
        <v>614</v>
      </c>
      <c r="G54" s="84">
        <v>3.38</v>
      </c>
      <c r="H54" s="84"/>
      <c r="I54" s="194">
        <f t="shared" si="1"/>
        <v>150.95079999999999</v>
      </c>
    </row>
    <row r="55" spans="1:9" x14ac:dyDescent="0.2">
      <c r="A55" s="149"/>
      <c r="B55" s="149" t="s">
        <v>625</v>
      </c>
      <c r="C55" s="149" t="s">
        <v>331</v>
      </c>
      <c r="D55" s="149" t="s">
        <v>357</v>
      </c>
      <c r="E55" s="149" t="s">
        <v>591</v>
      </c>
      <c r="F55" s="149"/>
      <c r="G55" s="84">
        <v>60.5</v>
      </c>
      <c r="H55" s="84"/>
      <c r="I55" s="84"/>
    </row>
    <row r="56" spans="1:9" x14ac:dyDescent="0.2">
      <c r="A56" s="149"/>
      <c r="B56" s="149" t="s">
        <v>626</v>
      </c>
      <c r="C56" s="149" t="s">
        <v>331</v>
      </c>
      <c r="D56" s="149" t="s">
        <v>357</v>
      </c>
      <c r="E56" s="149" t="s">
        <v>336</v>
      </c>
      <c r="F56" s="149" t="s">
        <v>614</v>
      </c>
      <c r="G56" s="84">
        <v>63</v>
      </c>
      <c r="H56" s="84"/>
      <c r="I56" s="194">
        <f t="shared" ref="I56:I63" si="2">G56*$I$2</f>
        <v>2813.58</v>
      </c>
    </row>
    <row r="57" spans="1:9" x14ac:dyDescent="0.2">
      <c r="A57" s="149"/>
      <c r="B57" s="149" t="s">
        <v>627</v>
      </c>
      <c r="C57" s="149" t="s">
        <v>351</v>
      </c>
      <c r="D57" s="149" t="s">
        <v>346</v>
      </c>
      <c r="E57" s="149" t="s">
        <v>336</v>
      </c>
      <c r="F57" s="149" t="s">
        <v>614</v>
      </c>
      <c r="G57" s="84">
        <v>3.5</v>
      </c>
      <c r="H57" s="84"/>
      <c r="I57" s="194">
        <f t="shared" si="2"/>
        <v>156.31</v>
      </c>
    </row>
    <row r="58" spans="1:9" x14ac:dyDescent="0.2">
      <c r="A58" s="149"/>
      <c r="B58" s="149" t="s">
        <v>628</v>
      </c>
      <c r="C58" s="149" t="s">
        <v>341</v>
      </c>
      <c r="D58" s="149" t="s">
        <v>357</v>
      </c>
      <c r="E58" s="149" t="s">
        <v>336</v>
      </c>
      <c r="F58" s="149" t="s">
        <v>614</v>
      </c>
      <c r="G58" s="84">
        <v>24.2</v>
      </c>
      <c r="H58" s="84"/>
      <c r="I58" s="194">
        <f t="shared" si="2"/>
        <v>1080.7719999999999</v>
      </c>
    </row>
    <row r="59" spans="1:9" x14ac:dyDescent="0.2">
      <c r="A59" s="149"/>
      <c r="B59" s="149" t="s">
        <v>629</v>
      </c>
      <c r="C59" s="149" t="s">
        <v>522</v>
      </c>
      <c r="D59" s="149" t="s">
        <v>618</v>
      </c>
      <c r="E59" s="149" t="s">
        <v>336</v>
      </c>
      <c r="F59" s="149" t="s">
        <v>614</v>
      </c>
      <c r="G59" s="84">
        <v>61.6</v>
      </c>
      <c r="H59" s="84"/>
      <c r="I59" s="194">
        <f t="shared" si="2"/>
        <v>2751.056</v>
      </c>
    </row>
    <row r="60" spans="1:9" x14ac:dyDescent="0.2">
      <c r="A60" s="149"/>
      <c r="B60" s="149" t="s">
        <v>630</v>
      </c>
      <c r="C60" s="149" t="s">
        <v>522</v>
      </c>
      <c r="D60" s="149" t="s">
        <v>618</v>
      </c>
      <c r="E60" s="149" t="s">
        <v>336</v>
      </c>
      <c r="F60" s="149" t="s">
        <v>614</v>
      </c>
      <c r="G60" s="84">
        <v>58.2</v>
      </c>
      <c r="H60" s="84"/>
      <c r="I60" s="194">
        <f t="shared" si="2"/>
        <v>2599.212</v>
      </c>
    </row>
    <row r="61" spans="1:9" x14ac:dyDescent="0.2">
      <c r="A61" s="149"/>
      <c r="B61" s="149" t="s">
        <v>631</v>
      </c>
      <c r="C61" s="149" t="s">
        <v>351</v>
      </c>
      <c r="D61" s="149" t="s">
        <v>346</v>
      </c>
      <c r="E61" s="149" t="s">
        <v>336</v>
      </c>
      <c r="F61" s="149" t="s">
        <v>614</v>
      </c>
      <c r="G61" s="84">
        <v>11.2</v>
      </c>
      <c r="H61" s="84"/>
      <c r="I61" s="194">
        <f t="shared" si="2"/>
        <v>500.19199999999995</v>
      </c>
    </row>
    <row r="62" spans="1:9" x14ac:dyDescent="0.2">
      <c r="A62" s="149"/>
      <c r="B62" s="149" t="s">
        <v>632</v>
      </c>
      <c r="C62" s="149" t="s">
        <v>522</v>
      </c>
      <c r="D62" s="149" t="s">
        <v>618</v>
      </c>
      <c r="E62" s="149" t="s">
        <v>336</v>
      </c>
      <c r="F62" s="149" t="s">
        <v>614</v>
      </c>
      <c r="G62" s="84">
        <v>58.3</v>
      </c>
      <c r="H62" s="84"/>
      <c r="I62" s="194">
        <f t="shared" si="2"/>
        <v>2603.6779999999999</v>
      </c>
    </row>
    <row r="63" spans="1:9" x14ac:dyDescent="0.2">
      <c r="A63" s="149"/>
      <c r="B63" s="149" t="s">
        <v>633</v>
      </c>
      <c r="C63" s="149" t="s">
        <v>634</v>
      </c>
      <c r="D63" s="149" t="s">
        <v>365</v>
      </c>
      <c r="E63" s="149" t="s">
        <v>336</v>
      </c>
      <c r="F63" s="149" t="s">
        <v>614</v>
      </c>
      <c r="G63" s="84">
        <v>20.7</v>
      </c>
      <c r="H63" s="84"/>
      <c r="I63" s="194">
        <f t="shared" si="2"/>
        <v>924.46199999999988</v>
      </c>
    </row>
    <row r="64" spans="1:9" x14ac:dyDescent="0.2">
      <c r="A64" s="149"/>
      <c r="B64" s="149" t="s">
        <v>635</v>
      </c>
      <c r="C64" s="149" t="s">
        <v>334</v>
      </c>
      <c r="D64" s="149" t="s">
        <v>365</v>
      </c>
      <c r="E64" s="149" t="s">
        <v>336</v>
      </c>
      <c r="F64" s="149" t="s">
        <v>636</v>
      </c>
      <c r="G64" s="84">
        <v>30.5</v>
      </c>
      <c r="H64" s="194">
        <f t="shared" ref="H64:H71" si="3">G64*$H$2</f>
        <v>1677.5</v>
      </c>
      <c r="I64" s="84"/>
    </row>
    <row r="65" spans="1:9" x14ac:dyDescent="0.2">
      <c r="A65" s="149"/>
      <c r="B65" s="149" t="s">
        <v>637</v>
      </c>
      <c r="C65" s="149" t="s">
        <v>334</v>
      </c>
      <c r="D65" s="149" t="s">
        <v>365</v>
      </c>
      <c r="E65" s="149" t="s">
        <v>336</v>
      </c>
      <c r="F65" s="149" t="s">
        <v>636</v>
      </c>
      <c r="G65" s="84">
        <v>12.3</v>
      </c>
      <c r="H65" s="194">
        <f t="shared" si="3"/>
        <v>676.5</v>
      </c>
      <c r="I65" s="84"/>
    </row>
    <row r="66" spans="1:9" x14ac:dyDescent="0.2">
      <c r="A66" s="149"/>
      <c r="B66" s="149" t="s">
        <v>638</v>
      </c>
      <c r="C66" s="149" t="s">
        <v>331</v>
      </c>
      <c r="D66" s="149" t="s">
        <v>357</v>
      </c>
      <c r="E66" s="149" t="s">
        <v>336</v>
      </c>
      <c r="F66" s="149" t="s">
        <v>636</v>
      </c>
      <c r="G66" s="84">
        <v>24</v>
      </c>
      <c r="H66" s="194">
        <f t="shared" si="3"/>
        <v>1320</v>
      </c>
      <c r="I66" s="84"/>
    </row>
    <row r="67" spans="1:9" x14ac:dyDescent="0.2">
      <c r="A67" s="149"/>
      <c r="B67" s="149" t="s">
        <v>639</v>
      </c>
      <c r="C67" s="149" t="s">
        <v>334</v>
      </c>
      <c r="D67" s="149" t="s">
        <v>365</v>
      </c>
      <c r="E67" s="149" t="s">
        <v>336</v>
      </c>
      <c r="F67" s="149" t="s">
        <v>636</v>
      </c>
      <c r="G67" s="84">
        <v>19.5</v>
      </c>
      <c r="H67" s="194">
        <f t="shared" si="3"/>
        <v>1072.5</v>
      </c>
      <c r="I67" s="84"/>
    </row>
    <row r="68" spans="1:9" x14ac:dyDescent="0.2">
      <c r="A68" s="149"/>
      <c r="B68" s="149" t="s">
        <v>640</v>
      </c>
      <c r="C68" s="149" t="s">
        <v>334</v>
      </c>
      <c r="D68" s="149" t="s">
        <v>365</v>
      </c>
      <c r="E68" s="149" t="s">
        <v>336</v>
      </c>
      <c r="F68" s="149" t="s">
        <v>636</v>
      </c>
      <c r="G68" s="84">
        <v>37.5</v>
      </c>
      <c r="H68" s="194">
        <f t="shared" si="3"/>
        <v>2062.5</v>
      </c>
      <c r="I68" s="84"/>
    </row>
    <row r="69" spans="1:9" x14ac:dyDescent="0.2">
      <c r="A69" s="149"/>
      <c r="B69" s="149" t="s">
        <v>641</v>
      </c>
      <c r="C69" s="149" t="s">
        <v>334</v>
      </c>
      <c r="D69" s="149" t="s">
        <v>365</v>
      </c>
      <c r="E69" s="149" t="s">
        <v>336</v>
      </c>
      <c r="F69" s="149" t="s">
        <v>636</v>
      </c>
      <c r="G69" s="84">
        <v>16</v>
      </c>
      <c r="H69" s="194">
        <f t="shared" si="3"/>
        <v>880</v>
      </c>
      <c r="I69" s="84"/>
    </row>
    <row r="70" spans="1:9" x14ac:dyDescent="0.2">
      <c r="A70" s="149"/>
      <c r="B70" s="149" t="s">
        <v>642</v>
      </c>
      <c r="C70" s="149" t="s">
        <v>341</v>
      </c>
      <c r="D70" s="149" t="s">
        <v>357</v>
      </c>
      <c r="E70" s="149" t="s">
        <v>336</v>
      </c>
      <c r="F70" s="149" t="s">
        <v>636</v>
      </c>
      <c r="G70" s="84">
        <v>2</v>
      </c>
      <c r="H70" s="194">
        <f t="shared" si="3"/>
        <v>110</v>
      </c>
      <c r="I70" s="84"/>
    </row>
    <row r="71" spans="1:9" x14ac:dyDescent="0.2">
      <c r="A71" s="149"/>
      <c r="B71" s="149" t="s">
        <v>643</v>
      </c>
      <c r="C71" s="149" t="s">
        <v>341</v>
      </c>
      <c r="D71" s="149" t="s">
        <v>357</v>
      </c>
      <c r="E71" s="149" t="s">
        <v>336</v>
      </c>
      <c r="F71" s="149" t="s">
        <v>636</v>
      </c>
      <c r="G71" s="84">
        <v>2</v>
      </c>
      <c r="H71" s="194">
        <f t="shared" si="3"/>
        <v>110</v>
      </c>
      <c r="I71" s="84"/>
    </row>
    <row r="72" spans="1:9" x14ac:dyDescent="0.2">
      <c r="A72" s="149"/>
      <c r="B72" s="149" t="s">
        <v>644</v>
      </c>
      <c r="C72" s="149" t="s">
        <v>645</v>
      </c>
      <c r="D72" s="149" t="s">
        <v>346</v>
      </c>
      <c r="E72" s="149" t="s">
        <v>339</v>
      </c>
      <c r="F72" s="149"/>
      <c r="G72" s="84">
        <v>20.6</v>
      </c>
      <c r="H72" s="84"/>
      <c r="I72" s="84"/>
    </row>
    <row r="73" spans="1:9" x14ac:dyDescent="0.2">
      <c r="A73" s="149"/>
      <c r="B73" s="149" t="s">
        <v>646</v>
      </c>
      <c r="C73" s="149" t="s">
        <v>647</v>
      </c>
      <c r="D73" s="149" t="s">
        <v>346</v>
      </c>
      <c r="E73" s="149" t="s">
        <v>339</v>
      </c>
      <c r="F73" s="149"/>
      <c r="G73" s="84">
        <v>6.7</v>
      </c>
      <c r="H73" s="84"/>
      <c r="I73" s="84"/>
    </row>
    <row r="74" spans="1:9" x14ac:dyDescent="0.2">
      <c r="A74" s="149"/>
      <c r="B74" s="149" t="s">
        <v>648</v>
      </c>
      <c r="C74" s="149" t="s">
        <v>649</v>
      </c>
      <c r="D74" s="149" t="s">
        <v>346</v>
      </c>
      <c r="E74" s="149" t="s">
        <v>339</v>
      </c>
      <c r="F74" s="149"/>
      <c r="G74" s="84">
        <v>5.2</v>
      </c>
      <c r="H74" s="84"/>
      <c r="I74" s="84"/>
    </row>
    <row r="75" spans="1:9" x14ac:dyDescent="0.2">
      <c r="A75" s="149"/>
      <c r="B75" s="149" t="s">
        <v>650</v>
      </c>
      <c r="C75" s="149" t="s">
        <v>341</v>
      </c>
      <c r="D75" s="149" t="s">
        <v>357</v>
      </c>
      <c r="E75" s="149" t="s">
        <v>339</v>
      </c>
      <c r="F75" s="149"/>
      <c r="G75" s="84">
        <v>6.3</v>
      </c>
      <c r="H75" s="84"/>
      <c r="I75" s="84"/>
    </row>
    <row r="76" spans="1:9" x14ac:dyDescent="0.2">
      <c r="A76" s="149"/>
      <c r="B76" s="149" t="s">
        <v>651</v>
      </c>
      <c r="C76" s="149" t="s">
        <v>341</v>
      </c>
      <c r="D76" s="149" t="s">
        <v>357</v>
      </c>
      <c r="E76" s="149" t="s">
        <v>339</v>
      </c>
      <c r="F76" s="149"/>
      <c r="G76" s="84">
        <v>5.6</v>
      </c>
      <c r="H76" s="84"/>
      <c r="I76" s="84"/>
    </row>
    <row r="77" spans="1:9" x14ac:dyDescent="0.2">
      <c r="A77" s="149"/>
      <c r="B77" s="149" t="s">
        <v>652</v>
      </c>
      <c r="C77" s="149" t="s">
        <v>577</v>
      </c>
      <c r="D77" s="149" t="s">
        <v>357</v>
      </c>
      <c r="E77" s="149" t="s">
        <v>339</v>
      </c>
      <c r="F77" s="149" t="s">
        <v>853</v>
      </c>
      <c r="G77" s="84">
        <v>64.400000000000006</v>
      </c>
      <c r="H77" s="84"/>
      <c r="I77" s="84"/>
    </row>
    <row r="78" spans="1:9" x14ac:dyDescent="0.2">
      <c r="A78" s="149"/>
      <c r="B78" s="149" t="s">
        <v>653</v>
      </c>
      <c r="C78" s="149" t="s">
        <v>654</v>
      </c>
      <c r="D78" s="149" t="s">
        <v>346</v>
      </c>
      <c r="E78" s="149" t="s">
        <v>339</v>
      </c>
      <c r="F78" s="149" t="s">
        <v>853</v>
      </c>
      <c r="G78" s="84">
        <v>55.3</v>
      </c>
      <c r="H78" s="84"/>
      <c r="I78" s="84"/>
    </row>
    <row r="79" spans="1:9" x14ac:dyDescent="0.2">
      <c r="A79" s="149"/>
      <c r="B79" s="149" t="s">
        <v>655</v>
      </c>
      <c r="C79" s="149" t="s">
        <v>341</v>
      </c>
      <c r="D79" s="149" t="s">
        <v>346</v>
      </c>
      <c r="E79" s="149" t="s">
        <v>339</v>
      </c>
      <c r="F79" s="149"/>
      <c r="G79" s="84">
        <v>11.1</v>
      </c>
      <c r="H79" s="84"/>
      <c r="I79" s="84"/>
    </row>
    <row r="80" spans="1:9" x14ac:dyDescent="0.2">
      <c r="A80" s="149"/>
      <c r="B80" s="149" t="s">
        <v>656</v>
      </c>
      <c r="C80" s="149" t="s">
        <v>657</v>
      </c>
      <c r="D80" s="149" t="s">
        <v>658</v>
      </c>
      <c r="E80" s="149" t="s">
        <v>339</v>
      </c>
      <c r="F80" s="149"/>
      <c r="G80" s="84">
        <v>7.5</v>
      </c>
      <c r="H80" s="84"/>
      <c r="I80" s="84"/>
    </row>
    <row r="81" spans="1:9" s="147" customFormat="1" x14ac:dyDescent="0.2">
      <c r="A81" s="149" t="s">
        <v>659</v>
      </c>
      <c r="B81" s="149" t="s">
        <v>660</v>
      </c>
      <c r="C81" s="149" t="s">
        <v>331</v>
      </c>
      <c r="D81" s="149" t="s">
        <v>365</v>
      </c>
      <c r="E81" s="149" t="s">
        <v>336</v>
      </c>
      <c r="F81" s="149" t="s">
        <v>636</v>
      </c>
      <c r="G81" s="149">
        <v>10.9</v>
      </c>
      <c r="H81" s="194">
        <f t="shared" ref="H81:H87" si="4">G81*$H$2</f>
        <v>599.5</v>
      </c>
      <c r="I81" s="149"/>
    </row>
    <row r="82" spans="1:9" s="147" customFormat="1" x14ac:dyDescent="0.2">
      <c r="A82" s="149"/>
      <c r="B82" s="149" t="s">
        <v>661</v>
      </c>
      <c r="C82" s="149" t="s">
        <v>334</v>
      </c>
      <c r="D82" s="149" t="s">
        <v>365</v>
      </c>
      <c r="E82" s="149" t="s">
        <v>336</v>
      </c>
      <c r="F82" s="149" t="s">
        <v>636</v>
      </c>
      <c r="G82" s="149">
        <v>42.4</v>
      </c>
      <c r="H82" s="194">
        <f t="shared" si="4"/>
        <v>2332</v>
      </c>
      <c r="I82" s="149"/>
    </row>
    <row r="83" spans="1:9" s="147" customFormat="1" x14ac:dyDescent="0.2">
      <c r="A83" s="149"/>
      <c r="B83" s="149" t="s">
        <v>662</v>
      </c>
      <c r="C83" s="149" t="s">
        <v>334</v>
      </c>
      <c r="D83" s="149" t="s">
        <v>365</v>
      </c>
      <c r="E83" s="149" t="s">
        <v>336</v>
      </c>
      <c r="F83" s="149" t="s">
        <v>636</v>
      </c>
      <c r="G83" s="149">
        <v>13</v>
      </c>
      <c r="H83" s="194">
        <f t="shared" si="4"/>
        <v>715</v>
      </c>
      <c r="I83" s="149"/>
    </row>
    <row r="84" spans="1:9" s="147" customFormat="1" x14ac:dyDescent="0.2">
      <c r="A84" s="149"/>
      <c r="B84" s="149" t="s">
        <v>663</v>
      </c>
      <c r="C84" s="149" t="s">
        <v>334</v>
      </c>
      <c r="D84" s="149" t="s">
        <v>365</v>
      </c>
      <c r="E84" s="149" t="s">
        <v>336</v>
      </c>
      <c r="F84" s="149" t="s">
        <v>636</v>
      </c>
      <c r="G84" s="149">
        <v>13.5</v>
      </c>
      <c r="H84" s="194">
        <f t="shared" si="4"/>
        <v>742.5</v>
      </c>
      <c r="I84" s="149"/>
    </row>
    <row r="85" spans="1:9" s="147" customFormat="1" x14ac:dyDescent="0.2">
      <c r="A85" s="149"/>
      <c r="B85" s="149" t="s">
        <v>664</v>
      </c>
      <c r="C85" s="149" t="s">
        <v>334</v>
      </c>
      <c r="D85" s="149" t="s">
        <v>365</v>
      </c>
      <c r="E85" s="149" t="s">
        <v>336</v>
      </c>
      <c r="F85" s="149" t="s">
        <v>636</v>
      </c>
      <c r="G85" s="149">
        <v>37.700000000000003</v>
      </c>
      <c r="H85" s="194">
        <f t="shared" si="4"/>
        <v>2073.5</v>
      </c>
      <c r="I85" s="149"/>
    </row>
    <row r="86" spans="1:9" s="147" customFormat="1" x14ac:dyDescent="0.2">
      <c r="A86" s="149"/>
      <c r="B86" s="149" t="s">
        <v>665</v>
      </c>
      <c r="C86" s="149" t="s">
        <v>341</v>
      </c>
      <c r="D86" s="149" t="s">
        <v>357</v>
      </c>
      <c r="E86" s="149" t="s">
        <v>336</v>
      </c>
      <c r="F86" s="149" t="s">
        <v>636</v>
      </c>
      <c r="G86" s="149">
        <v>8.1999999999999993</v>
      </c>
      <c r="H86" s="194">
        <f t="shared" si="4"/>
        <v>450.99999999999994</v>
      </c>
      <c r="I86" s="149"/>
    </row>
    <row r="87" spans="1:9" s="147" customFormat="1" x14ac:dyDescent="0.2">
      <c r="A87" s="149"/>
      <c r="B87" s="149" t="s">
        <v>666</v>
      </c>
      <c r="C87" s="149" t="s">
        <v>667</v>
      </c>
      <c r="D87" s="149" t="s">
        <v>365</v>
      </c>
      <c r="E87" s="149" t="s">
        <v>336</v>
      </c>
      <c r="F87" s="149" t="s">
        <v>636</v>
      </c>
      <c r="G87" s="149">
        <v>14.1</v>
      </c>
      <c r="H87" s="194">
        <f t="shared" si="4"/>
        <v>775.5</v>
      </c>
      <c r="I87" s="149"/>
    </row>
    <row r="88" spans="1:9" x14ac:dyDescent="0.2">
      <c r="A88" s="149"/>
      <c r="B88" s="149" t="s">
        <v>668</v>
      </c>
      <c r="C88" s="149" t="s">
        <v>351</v>
      </c>
      <c r="D88" s="149" t="s">
        <v>346</v>
      </c>
      <c r="E88" s="149" t="s">
        <v>339</v>
      </c>
      <c r="F88" s="149"/>
      <c r="G88" s="149">
        <v>5.2</v>
      </c>
      <c r="H88" s="84"/>
      <c r="I88" s="84"/>
    </row>
    <row r="89" spans="1:9" x14ac:dyDescent="0.2">
      <c r="A89" s="149"/>
      <c r="B89" s="149" t="s">
        <v>669</v>
      </c>
      <c r="C89" s="149" t="s">
        <v>351</v>
      </c>
      <c r="D89" s="149" t="s">
        <v>346</v>
      </c>
      <c r="E89" s="149" t="s">
        <v>339</v>
      </c>
      <c r="F89" s="149"/>
      <c r="G89" s="149">
        <v>5.2</v>
      </c>
      <c r="H89" s="84"/>
      <c r="I89" s="84"/>
    </row>
    <row r="90" spans="1:9" x14ac:dyDescent="0.2">
      <c r="A90" s="149"/>
      <c r="B90" s="149" t="s">
        <v>670</v>
      </c>
      <c r="C90" s="149" t="s">
        <v>341</v>
      </c>
      <c r="D90" s="149" t="s">
        <v>357</v>
      </c>
      <c r="E90" s="149" t="s">
        <v>339</v>
      </c>
      <c r="F90" s="149"/>
      <c r="G90" s="149">
        <v>9.6999999999999993</v>
      </c>
      <c r="H90" s="84"/>
      <c r="I90" s="84"/>
    </row>
    <row r="91" spans="1:9" x14ac:dyDescent="0.2">
      <c r="A91" s="149" t="s">
        <v>671</v>
      </c>
      <c r="B91" s="149" t="s">
        <v>672</v>
      </c>
      <c r="C91" s="149" t="s">
        <v>331</v>
      </c>
      <c r="D91" s="149" t="s">
        <v>357</v>
      </c>
      <c r="E91" s="149" t="s">
        <v>857</v>
      </c>
      <c r="F91" s="149" t="s">
        <v>674</v>
      </c>
      <c r="G91" s="149">
        <v>20.3</v>
      </c>
      <c r="H91" s="194" t="s">
        <v>929</v>
      </c>
      <c r="I91" s="84"/>
    </row>
    <row r="92" spans="1:9" x14ac:dyDescent="0.2">
      <c r="A92" s="149"/>
      <c r="B92" s="149" t="s">
        <v>673</v>
      </c>
      <c r="C92" s="149" t="s">
        <v>399</v>
      </c>
      <c r="D92" s="149" t="s">
        <v>346</v>
      </c>
      <c r="E92" s="149" t="s">
        <v>857</v>
      </c>
      <c r="F92" s="149" t="s">
        <v>674</v>
      </c>
      <c r="G92" s="149">
        <v>24.8</v>
      </c>
      <c r="H92" s="194" t="s">
        <v>929</v>
      </c>
      <c r="I92" s="84"/>
    </row>
    <row r="93" spans="1:9" x14ac:dyDescent="0.2">
      <c r="A93" s="149"/>
      <c r="B93" s="149" t="s">
        <v>675</v>
      </c>
      <c r="C93" s="149" t="s">
        <v>676</v>
      </c>
      <c r="D93" s="149" t="s">
        <v>346</v>
      </c>
      <c r="E93" s="149" t="s">
        <v>857</v>
      </c>
      <c r="F93" s="149" t="s">
        <v>674</v>
      </c>
      <c r="G93" s="149">
        <v>13.9</v>
      </c>
      <c r="H93" s="194" t="s">
        <v>929</v>
      </c>
      <c r="I93" s="84"/>
    </row>
    <row r="94" spans="1:9" x14ac:dyDescent="0.2">
      <c r="A94" s="149"/>
      <c r="B94" s="149" t="s">
        <v>677</v>
      </c>
      <c r="C94" s="149" t="s">
        <v>399</v>
      </c>
      <c r="D94" s="149" t="s">
        <v>346</v>
      </c>
      <c r="E94" s="149" t="s">
        <v>857</v>
      </c>
      <c r="F94" s="149" t="s">
        <v>674</v>
      </c>
      <c r="G94" s="149">
        <v>24.8</v>
      </c>
      <c r="H94" s="194" t="s">
        <v>929</v>
      </c>
      <c r="I94" s="84"/>
    </row>
    <row r="95" spans="1:9" x14ac:dyDescent="0.2">
      <c r="A95" s="149"/>
      <c r="B95" s="149" t="s">
        <v>678</v>
      </c>
      <c r="C95" s="149" t="s">
        <v>676</v>
      </c>
      <c r="D95" s="149" t="s">
        <v>346</v>
      </c>
      <c r="E95" s="149" t="s">
        <v>857</v>
      </c>
      <c r="F95" s="149" t="s">
        <v>674</v>
      </c>
      <c r="G95" s="149">
        <v>14.7</v>
      </c>
      <c r="H95" s="194" t="s">
        <v>929</v>
      </c>
      <c r="I95" s="84"/>
    </row>
    <row r="96" spans="1:9" x14ac:dyDescent="0.2">
      <c r="A96" s="149"/>
      <c r="B96" s="149" t="s">
        <v>679</v>
      </c>
      <c r="C96" s="149" t="s">
        <v>680</v>
      </c>
      <c r="D96" s="149" t="s">
        <v>357</v>
      </c>
      <c r="E96" s="149" t="s">
        <v>857</v>
      </c>
      <c r="F96" s="149" t="s">
        <v>674</v>
      </c>
      <c r="G96" s="149">
        <v>20.2</v>
      </c>
      <c r="H96" s="194" t="s">
        <v>929</v>
      </c>
      <c r="I96" s="84"/>
    </row>
    <row r="97" spans="1:9" x14ac:dyDescent="0.2">
      <c r="A97" s="149"/>
      <c r="B97" s="149" t="s">
        <v>681</v>
      </c>
      <c r="C97" s="149" t="s">
        <v>331</v>
      </c>
      <c r="D97" s="149" t="s">
        <v>397</v>
      </c>
      <c r="E97" s="149" t="s">
        <v>857</v>
      </c>
      <c r="F97" s="149" t="s">
        <v>674</v>
      </c>
      <c r="G97" s="149">
        <v>1.5</v>
      </c>
      <c r="H97" s="194" t="s">
        <v>929</v>
      </c>
      <c r="I97" s="84"/>
    </row>
    <row r="98" spans="1:9" x14ac:dyDescent="0.2">
      <c r="A98" s="149"/>
      <c r="B98" s="149" t="s">
        <v>682</v>
      </c>
      <c r="C98" s="149" t="s">
        <v>551</v>
      </c>
      <c r="D98" s="149" t="s">
        <v>397</v>
      </c>
      <c r="E98" s="149" t="s">
        <v>857</v>
      </c>
      <c r="F98" s="149" t="s">
        <v>674</v>
      </c>
      <c r="G98" s="149">
        <v>24</v>
      </c>
      <c r="H98" s="194" t="s">
        <v>929</v>
      </c>
      <c r="I98" s="84"/>
    </row>
    <row r="99" spans="1:9" x14ac:dyDescent="0.2">
      <c r="A99" s="149"/>
      <c r="B99" s="149" t="s">
        <v>683</v>
      </c>
      <c r="C99" s="149" t="s">
        <v>341</v>
      </c>
      <c r="D99" s="149" t="s">
        <v>397</v>
      </c>
      <c r="E99" s="149" t="s">
        <v>857</v>
      </c>
      <c r="F99" s="149" t="s">
        <v>674</v>
      </c>
      <c r="G99" s="149">
        <v>3</v>
      </c>
      <c r="H99" s="194" t="s">
        <v>929</v>
      </c>
      <c r="I99" s="84"/>
    </row>
    <row r="100" spans="1:9" x14ac:dyDescent="0.2">
      <c r="A100" s="149"/>
      <c r="B100" s="149" t="s">
        <v>684</v>
      </c>
      <c r="C100" s="149" t="s">
        <v>341</v>
      </c>
      <c r="D100" s="149" t="s">
        <v>397</v>
      </c>
      <c r="E100" s="149" t="s">
        <v>857</v>
      </c>
      <c r="F100" s="149" t="s">
        <v>674</v>
      </c>
      <c r="G100" s="149">
        <v>3</v>
      </c>
      <c r="H100" s="194" t="s">
        <v>929</v>
      </c>
      <c r="I100" s="84"/>
    </row>
    <row r="101" spans="1:9" x14ac:dyDescent="0.2">
      <c r="A101" s="149"/>
      <c r="B101" s="149" t="s">
        <v>685</v>
      </c>
      <c r="C101" s="149" t="s">
        <v>341</v>
      </c>
      <c r="D101" s="149" t="s">
        <v>397</v>
      </c>
      <c r="E101" s="149" t="s">
        <v>857</v>
      </c>
      <c r="F101" s="149" t="s">
        <v>674</v>
      </c>
      <c r="G101" s="149">
        <v>55.3</v>
      </c>
      <c r="H101" s="194" t="s">
        <v>929</v>
      </c>
      <c r="I101" s="84"/>
    </row>
    <row r="102" spans="1:9" x14ac:dyDescent="0.2">
      <c r="A102" s="149"/>
      <c r="B102" s="149" t="s">
        <v>686</v>
      </c>
      <c r="C102" s="149" t="s">
        <v>396</v>
      </c>
      <c r="D102" s="149" t="s">
        <v>397</v>
      </c>
      <c r="E102" s="149" t="s">
        <v>857</v>
      </c>
      <c r="F102" s="149" t="s">
        <v>674</v>
      </c>
      <c r="G102" s="149">
        <v>292</v>
      </c>
      <c r="H102" s="194" t="s">
        <v>929</v>
      </c>
      <c r="I102" s="84"/>
    </row>
    <row r="103" spans="1:9" x14ac:dyDescent="0.2">
      <c r="A103" s="149"/>
      <c r="B103" s="149" t="s">
        <v>687</v>
      </c>
      <c r="C103" s="149" t="s">
        <v>351</v>
      </c>
      <c r="D103" s="149" t="s">
        <v>346</v>
      </c>
      <c r="E103" s="149" t="s">
        <v>857</v>
      </c>
      <c r="F103" s="149" t="s">
        <v>674</v>
      </c>
      <c r="G103" s="149">
        <v>6</v>
      </c>
      <c r="H103" s="194" t="s">
        <v>929</v>
      </c>
      <c r="I103" s="84"/>
    </row>
    <row r="104" spans="1:9" x14ac:dyDescent="0.2">
      <c r="A104" s="149"/>
      <c r="B104" s="149" t="s">
        <v>688</v>
      </c>
      <c r="C104" s="149" t="s">
        <v>331</v>
      </c>
      <c r="D104" s="149" t="s">
        <v>357</v>
      </c>
      <c r="E104" s="149" t="s">
        <v>857</v>
      </c>
      <c r="F104" s="149" t="s">
        <v>674</v>
      </c>
      <c r="G104" s="149">
        <v>4</v>
      </c>
      <c r="H104" s="194" t="s">
        <v>929</v>
      </c>
      <c r="I104" s="84"/>
    </row>
    <row r="105" spans="1:9" x14ac:dyDescent="0.2">
      <c r="A105" s="149"/>
      <c r="B105" s="149" t="s">
        <v>689</v>
      </c>
      <c r="C105" s="149" t="s">
        <v>676</v>
      </c>
      <c r="D105" s="149" t="s">
        <v>346</v>
      </c>
      <c r="E105" s="149" t="s">
        <v>857</v>
      </c>
      <c r="F105" s="149" t="s">
        <v>674</v>
      </c>
      <c r="G105" s="149">
        <v>1.9</v>
      </c>
      <c r="H105" s="194" t="s">
        <v>929</v>
      </c>
      <c r="I105" s="84"/>
    </row>
    <row r="106" spans="1:9" x14ac:dyDescent="0.2">
      <c r="A106" s="149"/>
      <c r="B106" s="149" t="s">
        <v>690</v>
      </c>
      <c r="C106" s="149" t="s">
        <v>691</v>
      </c>
      <c r="D106" s="149" t="s">
        <v>357</v>
      </c>
      <c r="E106" s="149" t="s">
        <v>857</v>
      </c>
      <c r="F106" s="149" t="s">
        <v>674</v>
      </c>
      <c r="G106" s="149">
        <v>13.5</v>
      </c>
      <c r="H106" s="194" t="s">
        <v>929</v>
      </c>
      <c r="I106" s="84"/>
    </row>
    <row r="107" spans="1:9" x14ac:dyDescent="0.2">
      <c r="A107" s="149"/>
      <c r="B107" s="149" t="s">
        <v>692</v>
      </c>
      <c r="C107" s="149" t="s">
        <v>331</v>
      </c>
      <c r="D107" s="149" t="s">
        <v>693</v>
      </c>
      <c r="E107" s="149" t="s">
        <v>339</v>
      </c>
      <c r="F107" s="149"/>
      <c r="G107" s="149">
        <v>179.3</v>
      </c>
      <c r="H107" s="84"/>
      <c r="I107" s="84"/>
    </row>
    <row r="108" spans="1:9" x14ac:dyDescent="0.2">
      <c r="A108" s="149"/>
      <c r="B108" s="149" t="s">
        <v>694</v>
      </c>
      <c r="C108" s="149" t="s">
        <v>856</v>
      </c>
      <c r="D108" s="149" t="s">
        <v>365</v>
      </c>
      <c r="E108" s="149" t="s">
        <v>336</v>
      </c>
      <c r="F108" s="149" t="s">
        <v>558</v>
      </c>
      <c r="G108" s="149">
        <v>140</v>
      </c>
      <c r="H108" s="84" t="s">
        <v>855</v>
      </c>
      <c r="I108" s="84"/>
    </row>
    <row r="109" spans="1:9" x14ac:dyDescent="0.2">
      <c r="A109" s="149"/>
      <c r="B109" s="149" t="s">
        <v>695</v>
      </c>
      <c r="C109" s="149" t="s">
        <v>341</v>
      </c>
      <c r="D109" s="149" t="s">
        <v>357</v>
      </c>
      <c r="E109" s="149" t="s">
        <v>489</v>
      </c>
      <c r="F109" s="149" t="s">
        <v>601</v>
      </c>
      <c r="G109" s="84">
        <v>4.5999999999999996</v>
      </c>
      <c r="H109" s="84"/>
      <c r="I109" s="194">
        <f>G109*$I$2</f>
        <v>205.43599999999998</v>
      </c>
    </row>
    <row r="110" spans="1:9" x14ac:dyDescent="0.2">
      <c r="A110" s="149"/>
      <c r="B110" s="149" t="s">
        <v>696</v>
      </c>
      <c r="C110" s="149" t="s">
        <v>351</v>
      </c>
      <c r="D110" s="149" t="s">
        <v>346</v>
      </c>
      <c r="E110" s="149" t="s">
        <v>336</v>
      </c>
      <c r="F110" s="149" t="s">
        <v>601</v>
      </c>
      <c r="G110" s="149">
        <v>1.8</v>
      </c>
      <c r="H110" s="84"/>
      <c r="I110" s="194">
        <f>G110*$I$2</f>
        <v>80.387999999999991</v>
      </c>
    </row>
    <row r="111" spans="1:9" x14ac:dyDescent="0.2">
      <c r="A111" s="149"/>
      <c r="B111" s="149" t="s">
        <v>697</v>
      </c>
      <c r="C111" s="149" t="s">
        <v>351</v>
      </c>
      <c r="D111" s="149" t="s">
        <v>346</v>
      </c>
      <c r="E111" s="149" t="s">
        <v>489</v>
      </c>
      <c r="F111" s="149" t="s">
        <v>601</v>
      </c>
      <c r="G111" s="149">
        <v>9.36</v>
      </c>
      <c r="H111" s="84"/>
      <c r="I111" s="194">
        <f>G111*$I$2</f>
        <v>418.01759999999996</v>
      </c>
    </row>
    <row r="112" spans="1:9" x14ac:dyDescent="0.2">
      <c r="A112" s="149"/>
      <c r="B112" s="149" t="s">
        <v>698</v>
      </c>
      <c r="C112" s="149" t="s">
        <v>341</v>
      </c>
      <c r="D112" s="149" t="s">
        <v>357</v>
      </c>
      <c r="E112" s="149" t="s">
        <v>489</v>
      </c>
      <c r="F112" s="149" t="s">
        <v>601</v>
      </c>
      <c r="G112" s="149">
        <v>10.199999999999999</v>
      </c>
      <c r="H112" s="84"/>
      <c r="I112" s="194">
        <f>G112*$I$2</f>
        <v>455.53199999999993</v>
      </c>
    </row>
    <row r="113" spans="1:9" x14ac:dyDescent="0.2">
      <c r="A113" s="149"/>
      <c r="B113" s="149" t="s">
        <v>699</v>
      </c>
      <c r="C113" s="149" t="s">
        <v>331</v>
      </c>
      <c r="D113" s="149" t="s">
        <v>357</v>
      </c>
      <c r="E113" s="149" t="s">
        <v>489</v>
      </c>
      <c r="F113" s="149" t="s">
        <v>601</v>
      </c>
      <c r="G113" s="149">
        <v>70</v>
      </c>
      <c r="H113" s="84"/>
      <c r="I113" s="194">
        <f>G113*$I$2</f>
        <v>3126.2</v>
      </c>
    </row>
    <row r="114" spans="1:9" x14ac:dyDescent="0.2">
      <c r="A114" s="149"/>
      <c r="B114" s="149" t="s">
        <v>700</v>
      </c>
      <c r="C114" s="149" t="s">
        <v>854</v>
      </c>
      <c r="D114" s="149" t="s">
        <v>357</v>
      </c>
      <c r="E114" s="149" t="s">
        <v>591</v>
      </c>
      <c r="F114" s="149"/>
      <c r="G114" s="149">
        <v>12.4</v>
      </c>
      <c r="H114" s="84"/>
      <c r="I114" s="84"/>
    </row>
    <row r="115" spans="1:9" x14ac:dyDescent="0.2">
      <c r="A115" s="149"/>
      <c r="B115" s="149" t="s">
        <v>701</v>
      </c>
      <c r="C115" s="149" t="s">
        <v>702</v>
      </c>
      <c r="D115" s="149" t="s">
        <v>365</v>
      </c>
      <c r="E115" s="149" t="s">
        <v>489</v>
      </c>
      <c r="F115" s="149" t="s">
        <v>601</v>
      </c>
      <c r="G115" s="149">
        <v>14.3</v>
      </c>
      <c r="H115" s="84"/>
      <c r="I115" s="194">
        <f t="shared" ref="I115:I131" si="5">G115*$I$2</f>
        <v>638.63800000000003</v>
      </c>
    </row>
    <row r="116" spans="1:9" x14ac:dyDescent="0.2">
      <c r="A116" s="149"/>
      <c r="B116" s="149" t="s">
        <v>703</v>
      </c>
      <c r="C116" s="149" t="s">
        <v>522</v>
      </c>
      <c r="D116" s="149" t="s">
        <v>357</v>
      </c>
      <c r="E116" s="149" t="s">
        <v>336</v>
      </c>
      <c r="F116" s="149" t="s">
        <v>601</v>
      </c>
      <c r="G116" s="149">
        <v>59.2</v>
      </c>
      <c r="H116" s="84"/>
      <c r="I116" s="194">
        <f t="shared" si="5"/>
        <v>2643.8719999999998</v>
      </c>
    </row>
    <row r="117" spans="1:9" x14ac:dyDescent="0.2">
      <c r="A117" s="149"/>
      <c r="B117" s="149" t="s">
        <v>704</v>
      </c>
      <c r="C117" s="149" t="s">
        <v>634</v>
      </c>
      <c r="D117" s="149" t="s">
        <v>357</v>
      </c>
      <c r="E117" s="149" t="s">
        <v>489</v>
      </c>
      <c r="F117" s="149" t="s">
        <v>601</v>
      </c>
      <c r="G117" s="149">
        <v>32.200000000000003</v>
      </c>
      <c r="H117" s="84"/>
      <c r="I117" s="194">
        <f t="shared" si="5"/>
        <v>1438.0519999999999</v>
      </c>
    </row>
    <row r="118" spans="1:9" x14ac:dyDescent="0.2">
      <c r="A118" s="149"/>
      <c r="B118" s="149" t="s">
        <v>705</v>
      </c>
      <c r="C118" s="149" t="s">
        <v>522</v>
      </c>
      <c r="D118" s="149" t="s">
        <v>357</v>
      </c>
      <c r="E118" s="149" t="s">
        <v>489</v>
      </c>
      <c r="F118" s="149" t="s">
        <v>601</v>
      </c>
      <c r="G118" s="149">
        <v>55.4</v>
      </c>
      <c r="H118" s="84"/>
      <c r="I118" s="194">
        <f t="shared" si="5"/>
        <v>2474.1639999999998</v>
      </c>
    </row>
    <row r="119" spans="1:9" x14ac:dyDescent="0.2">
      <c r="A119" s="149"/>
      <c r="B119" s="149" t="s">
        <v>706</v>
      </c>
      <c r="C119" s="149" t="s">
        <v>522</v>
      </c>
      <c r="D119" s="149" t="s">
        <v>357</v>
      </c>
      <c r="E119" s="149" t="s">
        <v>489</v>
      </c>
      <c r="F119" s="149" t="s">
        <v>601</v>
      </c>
      <c r="G119" s="149">
        <v>55.4</v>
      </c>
      <c r="H119" s="84"/>
      <c r="I119" s="194">
        <f t="shared" si="5"/>
        <v>2474.1639999999998</v>
      </c>
    </row>
    <row r="120" spans="1:9" x14ac:dyDescent="0.2">
      <c r="A120" s="149"/>
      <c r="B120" s="149" t="s">
        <v>707</v>
      </c>
      <c r="C120" s="149" t="s">
        <v>522</v>
      </c>
      <c r="D120" s="149" t="s">
        <v>357</v>
      </c>
      <c r="E120" s="149" t="s">
        <v>489</v>
      </c>
      <c r="F120" s="149" t="s">
        <v>601</v>
      </c>
      <c r="G120" s="149">
        <v>55.5</v>
      </c>
      <c r="H120" s="84"/>
      <c r="I120" s="194">
        <f t="shared" si="5"/>
        <v>2478.6299999999997</v>
      </c>
    </row>
    <row r="121" spans="1:9" x14ac:dyDescent="0.2">
      <c r="A121" s="149"/>
      <c r="B121" s="149" t="s">
        <v>708</v>
      </c>
      <c r="C121" s="149" t="s">
        <v>522</v>
      </c>
      <c r="D121" s="149" t="s">
        <v>357</v>
      </c>
      <c r="E121" s="149" t="s">
        <v>489</v>
      </c>
      <c r="F121" s="149" t="s">
        <v>614</v>
      </c>
      <c r="G121" s="149">
        <v>60.4</v>
      </c>
      <c r="H121" s="84"/>
      <c r="I121" s="194">
        <f t="shared" si="5"/>
        <v>2697.4639999999999</v>
      </c>
    </row>
    <row r="122" spans="1:9" x14ac:dyDescent="0.2">
      <c r="A122" s="149"/>
      <c r="B122" s="149" t="s">
        <v>709</v>
      </c>
      <c r="C122" s="149" t="s">
        <v>341</v>
      </c>
      <c r="D122" s="149" t="s">
        <v>357</v>
      </c>
      <c r="E122" s="149" t="s">
        <v>336</v>
      </c>
      <c r="F122" s="149" t="s">
        <v>614</v>
      </c>
      <c r="G122" s="149">
        <v>3.9</v>
      </c>
      <c r="H122" s="84"/>
      <c r="I122" s="194">
        <f t="shared" si="5"/>
        <v>174.17399999999998</v>
      </c>
    </row>
    <row r="123" spans="1:9" x14ac:dyDescent="0.2">
      <c r="A123" s="149"/>
      <c r="B123" s="149" t="s">
        <v>710</v>
      </c>
      <c r="C123" s="149" t="s">
        <v>351</v>
      </c>
      <c r="D123" s="149" t="s">
        <v>346</v>
      </c>
      <c r="E123" s="149" t="s">
        <v>336</v>
      </c>
      <c r="F123" s="149" t="s">
        <v>614</v>
      </c>
      <c r="G123" s="149">
        <v>15</v>
      </c>
      <c r="H123" s="84"/>
      <c r="I123" s="194">
        <f t="shared" si="5"/>
        <v>669.9</v>
      </c>
    </row>
    <row r="124" spans="1:9" x14ac:dyDescent="0.2">
      <c r="A124" s="149"/>
      <c r="B124" s="149" t="s">
        <v>711</v>
      </c>
      <c r="C124" s="149" t="s">
        <v>331</v>
      </c>
      <c r="D124" s="149" t="s">
        <v>357</v>
      </c>
      <c r="E124" s="149" t="s">
        <v>336</v>
      </c>
      <c r="F124" s="149" t="s">
        <v>614</v>
      </c>
      <c r="G124" s="149">
        <v>37.6</v>
      </c>
      <c r="H124" s="84"/>
      <c r="I124" s="194">
        <f t="shared" si="5"/>
        <v>1679.2159999999999</v>
      </c>
    </row>
    <row r="125" spans="1:9" x14ac:dyDescent="0.2">
      <c r="A125" s="149"/>
      <c r="B125" s="149" t="s">
        <v>712</v>
      </c>
      <c r="C125" s="149" t="s">
        <v>334</v>
      </c>
      <c r="D125" s="149" t="s">
        <v>357</v>
      </c>
      <c r="E125" s="149" t="s">
        <v>336</v>
      </c>
      <c r="F125" s="149" t="s">
        <v>614</v>
      </c>
      <c r="G125" s="149">
        <v>31.1</v>
      </c>
      <c r="H125" s="84"/>
      <c r="I125" s="194">
        <f t="shared" si="5"/>
        <v>1388.9259999999999</v>
      </c>
    </row>
    <row r="126" spans="1:9" x14ac:dyDescent="0.2">
      <c r="A126" s="149"/>
      <c r="B126" s="149" t="s">
        <v>713</v>
      </c>
      <c r="C126" s="149" t="s">
        <v>714</v>
      </c>
      <c r="D126" s="149" t="s">
        <v>357</v>
      </c>
      <c r="E126" s="149" t="s">
        <v>336</v>
      </c>
      <c r="F126" s="149" t="s">
        <v>614</v>
      </c>
      <c r="G126" s="149">
        <v>14.2</v>
      </c>
      <c r="H126" s="84"/>
      <c r="I126" s="194">
        <f t="shared" si="5"/>
        <v>634.17199999999991</v>
      </c>
    </row>
    <row r="127" spans="1:9" x14ac:dyDescent="0.2">
      <c r="A127" s="149"/>
      <c r="B127" s="149" t="s">
        <v>715</v>
      </c>
      <c r="C127" s="149" t="s">
        <v>522</v>
      </c>
      <c r="D127" s="149" t="s">
        <v>357</v>
      </c>
      <c r="E127" s="149" t="s">
        <v>336</v>
      </c>
      <c r="F127" s="149" t="s">
        <v>614</v>
      </c>
      <c r="G127" s="149">
        <v>61.1</v>
      </c>
      <c r="H127" s="84"/>
      <c r="I127" s="194">
        <f t="shared" si="5"/>
        <v>2728.7259999999997</v>
      </c>
    </row>
    <row r="128" spans="1:9" x14ac:dyDescent="0.2">
      <c r="A128" s="149"/>
      <c r="B128" s="149" t="s">
        <v>716</v>
      </c>
      <c r="C128" s="149" t="s">
        <v>522</v>
      </c>
      <c r="D128" s="149" t="s">
        <v>365</v>
      </c>
      <c r="E128" s="149" t="s">
        <v>336</v>
      </c>
      <c r="F128" s="149" t="s">
        <v>614</v>
      </c>
      <c r="G128" s="149">
        <v>73.2</v>
      </c>
      <c r="H128" s="84"/>
      <c r="I128" s="194">
        <f t="shared" si="5"/>
        <v>3269.1120000000001</v>
      </c>
    </row>
    <row r="129" spans="1:9" x14ac:dyDescent="0.2">
      <c r="A129" s="149"/>
      <c r="B129" s="149" t="s">
        <v>717</v>
      </c>
      <c r="C129" s="149" t="s">
        <v>341</v>
      </c>
      <c r="D129" s="149" t="s">
        <v>357</v>
      </c>
      <c r="E129" s="149" t="s">
        <v>336</v>
      </c>
      <c r="F129" s="149" t="s">
        <v>614</v>
      </c>
      <c r="G129" s="149">
        <v>12.9</v>
      </c>
      <c r="H129" s="84"/>
      <c r="I129" s="194">
        <f t="shared" si="5"/>
        <v>576.11399999999992</v>
      </c>
    </row>
    <row r="130" spans="1:9" x14ac:dyDescent="0.2">
      <c r="A130" s="149"/>
      <c r="B130" s="149" t="s">
        <v>718</v>
      </c>
      <c r="C130" s="149" t="s">
        <v>522</v>
      </c>
      <c r="D130" s="149" t="s">
        <v>365</v>
      </c>
      <c r="E130" s="149" t="s">
        <v>336</v>
      </c>
      <c r="F130" s="149" t="s">
        <v>614</v>
      </c>
      <c r="G130" s="149">
        <v>68.400000000000006</v>
      </c>
      <c r="H130" s="84"/>
      <c r="I130" s="194">
        <f t="shared" si="5"/>
        <v>3054.7440000000001</v>
      </c>
    </row>
    <row r="131" spans="1:9" x14ac:dyDescent="0.2">
      <c r="A131" s="149"/>
      <c r="B131" s="149" t="s">
        <v>719</v>
      </c>
      <c r="C131" s="149" t="s">
        <v>341</v>
      </c>
      <c r="D131" s="149" t="s">
        <v>357</v>
      </c>
      <c r="E131" s="149" t="s">
        <v>336</v>
      </c>
      <c r="F131" s="149" t="s">
        <v>614</v>
      </c>
      <c r="G131" s="149">
        <v>5.2</v>
      </c>
      <c r="H131" s="84"/>
      <c r="I131" s="194">
        <f t="shared" si="5"/>
        <v>232.232</v>
      </c>
    </row>
    <row r="132" spans="1:9" x14ac:dyDescent="0.2">
      <c r="A132" s="149"/>
      <c r="B132" s="149" t="s">
        <v>720</v>
      </c>
      <c r="C132" s="149" t="s">
        <v>551</v>
      </c>
      <c r="D132" s="149" t="s">
        <v>357</v>
      </c>
      <c r="E132" s="149" t="s">
        <v>591</v>
      </c>
      <c r="F132" s="149"/>
      <c r="G132" s="149">
        <v>10.199999999999999</v>
      </c>
      <c r="H132" s="84"/>
      <c r="I132" s="84"/>
    </row>
    <row r="133" spans="1:9" x14ac:dyDescent="0.2">
      <c r="A133" s="149"/>
      <c r="B133" s="149" t="s">
        <v>721</v>
      </c>
      <c r="C133" s="149" t="s">
        <v>331</v>
      </c>
      <c r="D133" s="149" t="s">
        <v>357</v>
      </c>
      <c r="E133" s="149" t="s">
        <v>336</v>
      </c>
      <c r="F133" s="149" t="s">
        <v>614</v>
      </c>
      <c r="G133" s="149">
        <v>53.2</v>
      </c>
      <c r="H133" s="84"/>
      <c r="I133" s="194">
        <f t="shared" ref="I133:I139" si="6">G133*$I$2</f>
        <v>2375.9119999999998</v>
      </c>
    </row>
    <row r="134" spans="1:9" x14ac:dyDescent="0.2">
      <c r="A134" s="149"/>
      <c r="B134" s="149" t="s">
        <v>722</v>
      </c>
      <c r="C134" s="149" t="s">
        <v>702</v>
      </c>
      <c r="D134" s="149" t="s">
        <v>365</v>
      </c>
      <c r="E134" s="149" t="s">
        <v>336</v>
      </c>
      <c r="F134" s="149" t="s">
        <v>614</v>
      </c>
      <c r="G134" s="149">
        <v>13.9</v>
      </c>
      <c r="H134" s="84"/>
      <c r="I134" s="194">
        <f t="shared" si="6"/>
        <v>620.774</v>
      </c>
    </row>
    <row r="135" spans="1:9" x14ac:dyDescent="0.2">
      <c r="A135" s="149"/>
      <c r="B135" s="149" t="s">
        <v>723</v>
      </c>
      <c r="C135" s="149" t="s">
        <v>522</v>
      </c>
      <c r="D135" s="149" t="s">
        <v>365</v>
      </c>
      <c r="E135" s="149" t="s">
        <v>336</v>
      </c>
      <c r="F135" s="149" t="s">
        <v>614</v>
      </c>
      <c r="G135" s="149">
        <v>55.4</v>
      </c>
      <c r="H135" s="84"/>
      <c r="I135" s="194">
        <f t="shared" si="6"/>
        <v>2474.1639999999998</v>
      </c>
    </row>
    <row r="136" spans="1:9" x14ac:dyDescent="0.2">
      <c r="A136" s="149"/>
      <c r="B136" s="149" t="s">
        <v>724</v>
      </c>
      <c r="C136" s="149" t="s">
        <v>522</v>
      </c>
      <c r="D136" s="149" t="s">
        <v>365</v>
      </c>
      <c r="E136" s="149" t="s">
        <v>336</v>
      </c>
      <c r="F136" s="149" t="s">
        <v>614</v>
      </c>
      <c r="G136" s="149">
        <v>54.8</v>
      </c>
      <c r="H136" s="84"/>
      <c r="I136" s="194">
        <f t="shared" si="6"/>
        <v>2447.3679999999995</v>
      </c>
    </row>
    <row r="137" spans="1:9" x14ac:dyDescent="0.2">
      <c r="A137" s="149"/>
      <c r="B137" s="149" t="s">
        <v>725</v>
      </c>
      <c r="C137" s="149" t="s">
        <v>334</v>
      </c>
      <c r="D137" s="149" t="s">
        <v>365</v>
      </c>
      <c r="E137" s="149" t="s">
        <v>336</v>
      </c>
      <c r="F137" s="149" t="s">
        <v>614</v>
      </c>
      <c r="G137" s="149">
        <v>23.3</v>
      </c>
      <c r="H137" s="84"/>
      <c r="I137" s="194">
        <f t="shared" si="6"/>
        <v>1040.578</v>
      </c>
    </row>
    <row r="138" spans="1:9" x14ac:dyDescent="0.2">
      <c r="A138" s="149"/>
      <c r="B138" s="149" t="s">
        <v>726</v>
      </c>
      <c r="C138" s="149" t="s">
        <v>351</v>
      </c>
      <c r="D138" s="149" t="s">
        <v>346</v>
      </c>
      <c r="E138" s="149" t="s">
        <v>336</v>
      </c>
      <c r="F138" s="149" t="s">
        <v>614</v>
      </c>
      <c r="G138" s="149">
        <v>15</v>
      </c>
      <c r="H138" s="84"/>
      <c r="I138" s="194">
        <f t="shared" si="6"/>
        <v>669.9</v>
      </c>
    </row>
    <row r="139" spans="1:9" x14ac:dyDescent="0.2">
      <c r="A139" s="149"/>
      <c r="B139" s="149" t="s">
        <v>727</v>
      </c>
      <c r="C139" s="149" t="s">
        <v>341</v>
      </c>
      <c r="D139" s="149" t="s">
        <v>357</v>
      </c>
      <c r="E139" s="149" t="s">
        <v>336</v>
      </c>
      <c r="F139" s="149" t="s">
        <v>614</v>
      </c>
      <c r="G139" s="149">
        <v>3.9</v>
      </c>
      <c r="H139" s="84"/>
      <c r="I139" s="194">
        <f t="shared" si="6"/>
        <v>174.17399999999998</v>
      </c>
    </row>
    <row r="140" spans="1:9" x14ac:dyDescent="0.2">
      <c r="A140" s="149"/>
      <c r="B140" s="149" t="s">
        <v>728</v>
      </c>
      <c r="C140" s="149" t="s">
        <v>331</v>
      </c>
      <c r="D140" s="149" t="s">
        <v>357</v>
      </c>
      <c r="E140" s="149" t="s">
        <v>339</v>
      </c>
      <c r="F140" s="149"/>
      <c r="G140" s="149">
        <v>63.2</v>
      </c>
      <c r="H140" s="84"/>
      <c r="I140" s="84"/>
    </row>
    <row r="141" spans="1:9" x14ac:dyDescent="0.2">
      <c r="A141" s="149"/>
      <c r="B141" s="149" t="s">
        <v>729</v>
      </c>
      <c r="C141" s="149" t="s">
        <v>334</v>
      </c>
      <c r="D141" s="149" t="s">
        <v>365</v>
      </c>
      <c r="E141" s="149" t="s">
        <v>489</v>
      </c>
      <c r="F141" s="149" t="s">
        <v>337</v>
      </c>
      <c r="G141" s="149">
        <v>12</v>
      </c>
      <c r="H141" s="84" t="s">
        <v>855</v>
      </c>
      <c r="I141" s="84"/>
    </row>
    <row r="142" spans="1:9" x14ac:dyDescent="0.2">
      <c r="A142" s="149"/>
      <c r="B142" s="149" t="s">
        <v>730</v>
      </c>
      <c r="C142" s="149" t="s">
        <v>341</v>
      </c>
      <c r="D142" s="149" t="s">
        <v>357</v>
      </c>
      <c r="E142" s="149" t="s">
        <v>336</v>
      </c>
      <c r="F142" s="149" t="s">
        <v>337</v>
      </c>
      <c r="G142" s="149">
        <v>7.9</v>
      </c>
      <c r="H142" s="84" t="s">
        <v>855</v>
      </c>
      <c r="I142" s="84"/>
    </row>
    <row r="143" spans="1:9" x14ac:dyDescent="0.2">
      <c r="A143" s="149"/>
      <c r="B143" s="149" t="s">
        <v>731</v>
      </c>
      <c r="C143" s="149" t="s">
        <v>334</v>
      </c>
      <c r="D143" s="149" t="s">
        <v>365</v>
      </c>
      <c r="E143" s="149" t="s">
        <v>336</v>
      </c>
      <c r="F143" s="149" t="s">
        <v>337</v>
      </c>
      <c r="G143" s="149">
        <v>36</v>
      </c>
      <c r="H143" s="84" t="s">
        <v>855</v>
      </c>
      <c r="I143" s="84"/>
    </row>
    <row r="144" spans="1:9" x14ac:dyDescent="0.2">
      <c r="A144" s="149"/>
      <c r="B144" s="149" t="s">
        <v>732</v>
      </c>
      <c r="C144" s="149" t="s">
        <v>334</v>
      </c>
      <c r="D144" s="149" t="s">
        <v>365</v>
      </c>
      <c r="E144" s="149" t="s">
        <v>336</v>
      </c>
      <c r="F144" s="149" t="s">
        <v>337</v>
      </c>
      <c r="G144" s="149">
        <v>45.6</v>
      </c>
      <c r="H144" s="84" t="s">
        <v>855</v>
      </c>
      <c r="I144" s="84"/>
    </row>
    <row r="145" spans="1:9" x14ac:dyDescent="0.2">
      <c r="A145" s="149"/>
      <c r="B145" s="149" t="s">
        <v>733</v>
      </c>
      <c r="C145" s="149" t="s">
        <v>334</v>
      </c>
      <c r="D145" s="149" t="s">
        <v>365</v>
      </c>
      <c r="E145" s="149" t="s">
        <v>336</v>
      </c>
      <c r="F145" s="149" t="s">
        <v>337</v>
      </c>
      <c r="G145" s="149">
        <v>11.8</v>
      </c>
      <c r="H145" s="84" t="s">
        <v>855</v>
      </c>
      <c r="I145" s="84"/>
    </row>
    <row r="146" spans="1:9" x14ac:dyDescent="0.2">
      <c r="A146" s="149"/>
      <c r="B146" s="149" t="s">
        <v>734</v>
      </c>
      <c r="C146" s="149" t="s">
        <v>334</v>
      </c>
      <c r="D146" s="149" t="s">
        <v>365</v>
      </c>
      <c r="E146" s="149" t="s">
        <v>336</v>
      </c>
      <c r="F146" s="149" t="s">
        <v>337</v>
      </c>
      <c r="G146" s="149">
        <v>18.8</v>
      </c>
      <c r="H146" s="84" t="s">
        <v>855</v>
      </c>
      <c r="I146" s="84"/>
    </row>
    <row r="147" spans="1:9" x14ac:dyDescent="0.2">
      <c r="A147" s="149"/>
      <c r="B147" s="149" t="s">
        <v>735</v>
      </c>
      <c r="C147" s="149" t="s">
        <v>341</v>
      </c>
      <c r="D147" s="149" t="s">
        <v>357</v>
      </c>
      <c r="E147" s="149" t="s">
        <v>336</v>
      </c>
      <c r="F147" s="149" t="s">
        <v>337</v>
      </c>
      <c r="G147" s="149">
        <v>4.5999999999999996</v>
      </c>
      <c r="H147" s="84" t="s">
        <v>855</v>
      </c>
      <c r="I147" s="84"/>
    </row>
    <row r="148" spans="1:9" x14ac:dyDescent="0.2">
      <c r="A148" s="149"/>
      <c r="B148" s="149" t="s">
        <v>736</v>
      </c>
      <c r="C148" s="149" t="s">
        <v>551</v>
      </c>
      <c r="D148" s="149" t="s">
        <v>357</v>
      </c>
      <c r="E148" s="149" t="s">
        <v>339</v>
      </c>
      <c r="F148" s="149"/>
      <c r="G148" s="149">
        <v>11.2</v>
      </c>
      <c r="H148" s="84"/>
      <c r="I148" s="84"/>
    </row>
    <row r="149" spans="1:9" x14ac:dyDescent="0.2">
      <c r="A149" s="149"/>
      <c r="B149" s="149" t="s">
        <v>737</v>
      </c>
      <c r="C149" s="149" t="s">
        <v>351</v>
      </c>
      <c r="D149" s="149" t="s">
        <v>346</v>
      </c>
      <c r="E149" s="149" t="s">
        <v>336</v>
      </c>
      <c r="F149" s="149" t="s">
        <v>337</v>
      </c>
      <c r="G149" s="149">
        <v>8.3000000000000007</v>
      </c>
      <c r="H149" s="84" t="s">
        <v>855</v>
      </c>
      <c r="I149" s="84"/>
    </row>
    <row r="150" spans="1:9" x14ac:dyDescent="0.2">
      <c r="A150" s="149"/>
      <c r="B150" s="149" t="s">
        <v>738</v>
      </c>
      <c r="C150" s="149" t="s">
        <v>331</v>
      </c>
      <c r="D150" s="149" t="s">
        <v>357</v>
      </c>
      <c r="E150" s="149" t="s">
        <v>336</v>
      </c>
      <c r="F150" s="149" t="s">
        <v>337</v>
      </c>
      <c r="G150" s="149">
        <v>16.8</v>
      </c>
      <c r="H150" s="84" t="s">
        <v>855</v>
      </c>
      <c r="I150" s="84"/>
    </row>
    <row r="151" spans="1:9" x14ac:dyDescent="0.2">
      <c r="A151" s="149"/>
      <c r="B151" s="149" t="s">
        <v>739</v>
      </c>
      <c r="C151" s="149" t="s">
        <v>351</v>
      </c>
      <c r="D151" s="149" t="s">
        <v>346</v>
      </c>
      <c r="E151" s="149" t="s">
        <v>336</v>
      </c>
      <c r="F151" s="149" t="s">
        <v>337</v>
      </c>
      <c r="G151" s="149">
        <v>8.3000000000000007</v>
      </c>
      <c r="H151" s="84" t="s">
        <v>855</v>
      </c>
      <c r="I151" s="84"/>
    </row>
    <row r="152" spans="1:9" x14ac:dyDescent="0.2">
      <c r="A152" s="149"/>
      <c r="B152" s="149" t="s">
        <v>740</v>
      </c>
      <c r="C152" s="149" t="s">
        <v>741</v>
      </c>
      <c r="D152" s="149" t="s">
        <v>357</v>
      </c>
      <c r="E152" s="149" t="s">
        <v>336</v>
      </c>
      <c r="F152" s="149" t="s">
        <v>337</v>
      </c>
      <c r="G152" s="149">
        <v>86.4</v>
      </c>
      <c r="H152" s="84" t="s">
        <v>855</v>
      </c>
      <c r="I152" s="84"/>
    </row>
    <row r="153" spans="1:9" x14ac:dyDescent="0.2">
      <c r="A153" s="149"/>
      <c r="B153" s="149" t="s">
        <v>742</v>
      </c>
      <c r="C153" s="149" t="s">
        <v>743</v>
      </c>
      <c r="D153" s="149" t="s">
        <v>357</v>
      </c>
      <c r="E153" s="149" t="s">
        <v>336</v>
      </c>
      <c r="F153" s="149" t="s">
        <v>337</v>
      </c>
      <c r="G153" s="149">
        <v>7.8</v>
      </c>
      <c r="H153" s="84" t="s">
        <v>855</v>
      </c>
      <c r="I153" s="84"/>
    </row>
    <row r="154" spans="1:9" x14ac:dyDescent="0.2">
      <c r="A154" s="149"/>
      <c r="B154" s="149" t="s">
        <v>744</v>
      </c>
      <c r="C154" s="149" t="s">
        <v>341</v>
      </c>
      <c r="D154" s="149" t="s">
        <v>357</v>
      </c>
      <c r="E154" s="149" t="s">
        <v>336</v>
      </c>
      <c r="F154" s="149" t="s">
        <v>337</v>
      </c>
      <c r="G154" s="149">
        <v>6</v>
      </c>
      <c r="H154" s="84" t="s">
        <v>855</v>
      </c>
      <c r="I154" s="84"/>
    </row>
    <row r="155" spans="1:9" x14ac:dyDescent="0.2">
      <c r="A155" s="149"/>
      <c r="B155" s="149" t="s">
        <v>745</v>
      </c>
      <c r="C155" s="149" t="s">
        <v>331</v>
      </c>
      <c r="D155" s="149" t="s">
        <v>357</v>
      </c>
      <c r="E155" s="149" t="s">
        <v>591</v>
      </c>
      <c r="F155" s="149"/>
      <c r="G155" s="149">
        <v>4</v>
      </c>
      <c r="H155" s="84"/>
      <c r="I155" s="84"/>
    </row>
    <row r="156" spans="1:9" s="147" customFormat="1" x14ac:dyDescent="0.2">
      <c r="A156" s="149"/>
      <c r="B156" s="149" t="s">
        <v>746</v>
      </c>
      <c r="C156" s="149" t="s">
        <v>586</v>
      </c>
      <c r="D156" s="149" t="s">
        <v>357</v>
      </c>
      <c r="E156" s="149" t="s">
        <v>336</v>
      </c>
      <c r="F156" s="149" t="s">
        <v>337</v>
      </c>
      <c r="G156" s="149">
        <v>20.2</v>
      </c>
      <c r="H156" s="149" t="s">
        <v>855</v>
      </c>
      <c r="I156" s="149"/>
    </row>
    <row r="157" spans="1:9" x14ac:dyDescent="0.2">
      <c r="A157" s="149"/>
      <c r="B157" s="149" t="s">
        <v>747</v>
      </c>
      <c r="C157" s="149" t="s">
        <v>586</v>
      </c>
      <c r="D157" s="149" t="s">
        <v>357</v>
      </c>
      <c r="E157" s="149" t="s">
        <v>339</v>
      </c>
      <c r="F157" s="149" t="s">
        <v>853</v>
      </c>
      <c r="G157" s="149">
        <v>30</v>
      </c>
      <c r="H157" s="84"/>
      <c r="I157" s="84"/>
    </row>
    <row r="158" spans="1:9" x14ac:dyDescent="0.2">
      <c r="A158" s="149"/>
      <c r="B158" s="149" t="s">
        <v>748</v>
      </c>
      <c r="C158" s="149" t="s">
        <v>586</v>
      </c>
      <c r="D158" s="149" t="s">
        <v>357</v>
      </c>
      <c r="E158" s="149" t="s">
        <v>339</v>
      </c>
      <c r="F158" s="149" t="s">
        <v>853</v>
      </c>
      <c r="G158" s="149">
        <v>47.2</v>
      </c>
      <c r="H158" s="84"/>
      <c r="I158" s="84"/>
    </row>
    <row r="159" spans="1:9" x14ac:dyDescent="0.2">
      <c r="A159" s="149" t="s">
        <v>749</v>
      </c>
      <c r="B159" s="149" t="s">
        <v>750</v>
      </c>
      <c r="C159" s="149" t="s">
        <v>854</v>
      </c>
      <c r="D159" s="149" t="s">
        <v>357</v>
      </c>
      <c r="E159" s="149" t="s">
        <v>339</v>
      </c>
      <c r="F159" s="149"/>
      <c r="G159" s="149">
        <v>13</v>
      </c>
      <c r="H159" s="84"/>
      <c r="I159" s="84"/>
    </row>
    <row r="160" spans="1:9" x14ac:dyDescent="0.2">
      <c r="A160" s="149"/>
      <c r="B160" s="149" t="s">
        <v>751</v>
      </c>
      <c r="C160" s="149" t="s">
        <v>752</v>
      </c>
      <c r="D160" s="149" t="s">
        <v>357</v>
      </c>
      <c r="E160" s="149" t="s">
        <v>339</v>
      </c>
      <c r="F160" s="149"/>
      <c r="G160" s="149">
        <v>16</v>
      </c>
      <c r="H160" s="84"/>
      <c r="I160" s="84"/>
    </row>
    <row r="161" spans="1:9" x14ac:dyDescent="0.2">
      <c r="A161" s="149"/>
      <c r="B161" s="149" t="s">
        <v>753</v>
      </c>
      <c r="C161" s="149" t="s">
        <v>331</v>
      </c>
      <c r="D161" s="149" t="s">
        <v>357</v>
      </c>
      <c r="E161" s="149" t="s">
        <v>591</v>
      </c>
      <c r="F161" s="149"/>
      <c r="G161" s="149">
        <v>12.3</v>
      </c>
      <c r="H161" s="84"/>
      <c r="I161" s="84"/>
    </row>
    <row r="162" spans="1:9" x14ac:dyDescent="0.2">
      <c r="A162" s="149"/>
      <c r="B162" s="149" t="s">
        <v>754</v>
      </c>
      <c r="C162" s="149" t="s">
        <v>351</v>
      </c>
      <c r="D162" s="149" t="s">
        <v>346</v>
      </c>
      <c r="E162" s="149" t="s">
        <v>339</v>
      </c>
      <c r="F162" s="149" t="s">
        <v>853</v>
      </c>
      <c r="G162" s="149">
        <v>11.2</v>
      </c>
      <c r="H162" s="84"/>
      <c r="I162" s="84"/>
    </row>
    <row r="163" spans="1:9" x14ac:dyDescent="0.2">
      <c r="A163" s="149"/>
      <c r="B163" s="149" t="s">
        <v>755</v>
      </c>
      <c r="C163" s="149" t="s">
        <v>351</v>
      </c>
      <c r="D163" s="149" t="s">
        <v>346</v>
      </c>
      <c r="E163" s="149" t="s">
        <v>339</v>
      </c>
      <c r="F163" s="149" t="s">
        <v>853</v>
      </c>
      <c r="G163" s="149">
        <v>11.2</v>
      </c>
      <c r="H163" s="84"/>
      <c r="I163" s="84"/>
    </row>
    <row r="164" spans="1:9" x14ac:dyDescent="0.2">
      <c r="A164" s="149"/>
      <c r="B164" s="149" t="s">
        <v>756</v>
      </c>
      <c r="C164" s="149" t="s">
        <v>522</v>
      </c>
      <c r="D164" s="149" t="s">
        <v>357</v>
      </c>
      <c r="E164" s="149" t="s">
        <v>336</v>
      </c>
      <c r="F164" s="149" t="s">
        <v>614</v>
      </c>
      <c r="G164" s="149">
        <v>56.5</v>
      </c>
      <c r="H164" s="84"/>
      <c r="I164" s="194">
        <f>G164*$I$2</f>
        <v>2523.29</v>
      </c>
    </row>
    <row r="165" spans="1:9" x14ac:dyDescent="0.2">
      <c r="A165" s="149"/>
      <c r="B165" s="149" t="s">
        <v>757</v>
      </c>
      <c r="C165" s="149" t="s">
        <v>522</v>
      </c>
      <c r="D165" s="149" t="s">
        <v>357</v>
      </c>
      <c r="E165" s="149" t="s">
        <v>336</v>
      </c>
      <c r="F165" s="149" t="s">
        <v>614</v>
      </c>
      <c r="G165" s="149">
        <v>56.4</v>
      </c>
      <c r="H165" s="84"/>
      <c r="I165" s="194">
        <f>G165*$I$2</f>
        <v>2518.8239999999996</v>
      </c>
    </row>
    <row r="166" spans="1:9" x14ac:dyDescent="0.2">
      <c r="A166" s="149"/>
      <c r="B166" s="149" t="s">
        <v>758</v>
      </c>
      <c r="C166" s="149" t="s">
        <v>341</v>
      </c>
      <c r="D166" s="149" t="s">
        <v>357</v>
      </c>
      <c r="E166" s="149" t="s">
        <v>339</v>
      </c>
      <c r="F166" s="149" t="s">
        <v>853</v>
      </c>
      <c r="G166" s="149">
        <v>5</v>
      </c>
      <c r="H166" s="84"/>
      <c r="I166" s="84"/>
    </row>
    <row r="167" spans="1:9" x14ac:dyDescent="0.2">
      <c r="A167" s="149"/>
      <c r="B167" s="149" t="s">
        <v>759</v>
      </c>
      <c r="C167" s="149" t="s">
        <v>331</v>
      </c>
      <c r="D167" s="149" t="s">
        <v>357</v>
      </c>
      <c r="E167" s="149" t="s">
        <v>591</v>
      </c>
      <c r="F167" s="149"/>
      <c r="G167" s="149">
        <v>96.4</v>
      </c>
      <c r="H167" s="84"/>
      <c r="I167" s="84"/>
    </row>
    <row r="168" spans="1:9" x14ac:dyDescent="0.2">
      <c r="A168" s="149"/>
      <c r="B168" s="149" t="s">
        <v>760</v>
      </c>
      <c r="C168" s="149" t="s">
        <v>586</v>
      </c>
      <c r="D168" s="149" t="s">
        <v>357</v>
      </c>
      <c r="E168" s="149" t="s">
        <v>339</v>
      </c>
      <c r="F168" s="149" t="s">
        <v>853</v>
      </c>
      <c r="G168" s="149">
        <v>56.4</v>
      </c>
      <c r="H168" s="84"/>
      <c r="I168" s="84"/>
    </row>
    <row r="169" spans="1:9" x14ac:dyDescent="0.2">
      <c r="A169" s="149"/>
      <c r="B169" s="149" t="s">
        <v>761</v>
      </c>
      <c r="C169" s="149" t="s">
        <v>586</v>
      </c>
      <c r="D169" s="149" t="s">
        <v>357</v>
      </c>
      <c r="E169" s="149" t="s">
        <v>339</v>
      </c>
      <c r="F169" s="149" t="s">
        <v>853</v>
      </c>
      <c r="G169" s="149">
        <v>54.9</v>
      </c>
      <c r="H169" s="84"/>
      <c r="I169" s="84"/>
    </row>
    <row r="170" spans="1:9" x14ac:dyDescent="0.2">
      <c r="A170" s="149"/>
      <c r="B170" s="149" t="s">
        <v>762</v>
      </c>
      <c r="C170" s="149" t="s">
        <v>586</v>
      </c>
      <c r="D170" s="149" t="s">
        <v>357</v>
      </c>
      <c r="E170" s="149" t="s">
        <v>339</v>
      </c>
      <c r="F170" s="149" t="s">
        <v>853</v>
      </c>
      <c r="G170" s="149">
        <v>56.4</v>
      </c>
      <c r="H170" s="84"/>
      <c r="I170" s="84"/>
    </row>
    <row r="172" spans="1:9" x14ac:dyDescent="0.2">
      <c r="F172" s="147" t="s">
        <v>835</v>
      </c>
      <c r="G172">
        <f>SUM(G3:G171)</f>
        <v>5439.7399999999961</v>
      </c>
      <c r="H172" s="68">
        <f>SUM(H3:H170)</f>
        <v>29133.5</v>
      </c>
      <c r="I172" s="68">
        <f>SUM(I3:I170)</f>
        <v>94118.270399999965</v>
      </c>
    </row>
    <row r="173" spans="1:9" x14ac:dyDescent="0.2">
      <c r="F173" s="147" t="s">
        <v>877</v>
      </c>
      <c r="H173" s="196">
        <f>SUM(H172:I172)</f>
        <v>123251.77039999996</v>
      </c>
    </row>
  </sheetData>
  <autoFilter ref="A1:I170" xr:uid="{320DE63D-FC0B-4E81-8DDA-9E7CFDA14316}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757F39-111F-4397-B3BC-92777FA90557}">
  <sheetPr>
    <tabColor rgb="FF92D050"/>
  </sheetPr>
  <dimension ref="A1:W42"/>
  <sheetViews>
    <sheetView zoomScale="90" zoomScaleNormal="90" workbookViewId="0"/>
  </sheetViews>
  <sheetFormatPr defaultRowHeight="14.25" x14ac:dyDescent="0.2"/>
  <cols>
    <col min="1" max="1" width="35.875" customWidth="1"/>
    <col min="2" max="2" width="9.125" customWidth="1"/>
    <col min="3" max="3" width="10.25" customWidth="1"/>
    <col min="5" max="5" width="9.875" customWidth="1"/>
    <col min="6" max="6" width="12.125" customWidth="1"/>
    <col min="7" max="7" width="11.375" customWidth="1"/>
    <col min="12" max="12" width="8.625" customWidth="1"/>
    <col min="13" max="13" width="12.25" customWidth="1"/>
    <col min="23" max="23" width="10.25" customWidth="1"/>
  </cols>
  <sheetData>
    <row r="1" spans="1:23" x14ac:dyDescent="0.2">
      <c r="A1" s="96" t="s">
        <v>778</v>
      </c>
      <c r="B1" s="70"/>
      <c r="C1" s="70"/>
      <c r="D1" s="70" t="s">
        <v>763</v>
      </c>
      <c r="E1" s="70" t="s">
        <v>764</v>
      </c>
      <c r="F1" s="70"/>
    </row>
    <row r="2" spans="1:23" x14ac:dyDescent="0.2">
      <c r="A2" s="70"/>
      <c r="B2" s="70"/>
      <c r="C2" s="70"/>
      <c r="D2" s="70"/>
      <c r="E2" s="70"/>
      <c r="F2" s="70"/>
    </row>
    <row r="3" spans="1:23" x14ac:dyDescent="0.2">
      <c r="A3" s="214" t="s">
        <v>765</v>
      </c>
      <c r="B3" s="214"/>
      <c r="C3" s="70"/>
      <c r="D3" s="70">
        <v>26567</v>
      </c>
      <c r="E3" s="77">
        <f>D3/D7*100</f>
        <v>65.010032790094456</v>
      </c>
      <c r="F3" s="70" t="s">
        <v>158</v>
      </c>
    </row>
    <row r="4" spans="1:23" x14ac:dyDescent="0.2">
      <c r="A4" s="215" t="s">
        <v>766</v>
      </c>
      <c r="B4" s="215"/>
      <c r="C4" s="70"/>
      <c r="D4" s="70">
        <v>12997</v>
      </c>
      <c r="E4" s="78">
        <f>D4/D7*100</f>
        <v>31.803944599422501</v>
      </c>
      <c r="F4" s="70" t="s">
        <v>158</v>
      </c>
    </row>
    <row r="5" spans="1:23" x14ac:dyDescent="0.2">
      <c r="A5" s="216" t="s">
        <v>767</v>
      </c>
      <c r="B5" s="216"/>
      <c r="C5" s="70"/>
      <c r="D5" s="70">
        <v>1302</v>
      </c>
      <c r="E5" s="79">
        <f>D5/D7*100</f>
        <v>3.1860226104830422</v>
      </c>
      <c r="F5" s="70" t="s">
        <v>158</v>
      </c>
    </row>
    <row r="6" spans="1:23" x14ac:dyDescent="0.2">
      <c r="A6" s="70"/>
      <c r="B6" s="70"/>
      <c r="C6" s="70"/>
      <c r="D6" s="70"/>
      <c r="E6" s="70"/>
      <c r="F6" s="70"/>
    </row>
    <row r="7" spans="1:23" x14ac:dyDescent="0.2">
      <c r="A7" s="217" t="s">
        <v>312</v>
      </c>
      <c r="B7" s="217"/>
      <c r="C7" s="70"/>
      <c r="D7" s="70">
        <f>+D3+D4+D5</f>
        <v>40866</v>
      </c>
      <c r="E7" s="70"/>
      <c r="F7" s="70"/>
    </row>
    <row r="11" spans="1:23" x14ac:dyDescent="0.2">
      <c r="A11" s="96" t="s">
        <v>275</v>
      </c>
    </row>
    <row r="13" spans="1:23" x14ac:dyDescent="0.2">
      <c r="A13" t="s">
        <v>161</v>
      </c>
      <c r="B13" t="s">
        <v>162</v>
      </c>
      <c r="E13" t="s">
        <v>163</v>
      </c>
      <c r="H13" t="s">
        <v>164</v>
      </c>
      <c r="K13" t="s">
        <v>165</v>
      </c>
      <c r="N13" t="s">
        <v>166</v>
      </c>
      <c r="Q13" t="s">
        <v>167</v>
      </c>
      <c r="T13" t="s">
        <v>168</v>
      </c>
    </row>
    <row r="14" spans="1:23" ht="28.5" x14ac:dyDescent="0.2">
      <c r="A14" s="84" t="s">
        <v>96</v>
      </c>
      <c r="B14" s="84" t="s">
        <v>169</v>
      </c>
      <c r="C14" s="84" t="s">
        <v>170</v>
      </c>
      <c r="D14" s="84" t="s">
        <v>171</v>
      </c>
      <c r="E14" s="84" t="s">
        <v>169</v>
      </c>
      <c r="F14" s="84" t="s">
        <v>170</v>
      </c>
      <c r="G14" s="84" t="s">
        <v>171</v>
      </c>
      <c r="H14" s="84" t="s">
        <v>169</v>
      </c>
      <c r="I14" s="84" t="s">
        <v>170</v>
      </c>
      <c r="J14" s="84" t="s">
        <v>171</v>
      </c>
      <c r="K14" s="84" t="s">
        <v>169</v>
      </c>
      <c r="L14" s="84" t="s">
        <v>170</v>
      </c>
      <c r="M14" s="84" t="s">
        <v>171</v>
      </c>
      <c r="N14" s="84" t="s">
        <v>169</v>
      </c>
      <c r="O14" s="84" t="s">
        <v>170</v>
      </c>
      <c r="P14" s="84" t="s">
        <v>171</v>
      </c>
      <c r="Q14" s="84" t="s">
        <v>169</v>
      </c>
      <c r="R14" s="84" t="s">
        <v>170</v>
      </c>
      <c r="S14" s="84" t="s">
        <v>171</v>
      </c>
      <c r="T14" s="84" t="s">
        <v>169</v>
      </c>
      <c r="U14" s="84" t="s">
        <v>170</v>
      </c>
      <c r="V14" s="84" t="s">
        <v>171</v>
      </c>
      <c r="W14" s="94" t="s">
        <v>191</v>
      </c>
    </row>
    <row r="15" spans="1:23" ht="57" x14ac:dyDescent="0.2">
      <c r="A15" s="85" t="s">
        <v>276</v>
      </c>
      <c r="B15" s="86" t="s">
        <v>933</v>
      </c>
      <c r="C15" s="86" t="s">
        <v>934</v>
      </c>
      <c r="D15" s="86"/>
      <c r="E15" s="86" t="s">
        <v>277</v>
      </c>
      <c r="F15" s="86" t="s">
        <v>278</v>
      </c>
      <c r="G15" s="86" t="s">
        <v>279</v>
      </c>
      <c r="H15" s="86"/>
      <c r="I15" s="86" t="s">
        <v>936</v>
      </c>
      <c r="J15" s="86" t="s">
        <v>280</v>
      </c>
      <c r="K15" s="86"/>
      <c r="L15" s="86" t="s">
        <v>935</v>
      </c>
      <c r="M15" s="86" t="s">
        <v>937</v>
      </c>
      <c r="N15" s="86" t="s">
        <v>938</v>
      </c>
      <c r="O15" s="86" t="s">
        <v>939</v>
      </c>
      <c r="P15" s="86" t="s">
        <v>940</v>
      </c>
      <c r="Q15" s="86"/>
      <c r="R15" s="86"/>
      <c r="S15" s="86" t="s">
        <v>941</v>
      </c>
      <c r="T15" s="86"/>
      <c r="U15" s="86"/>
      <c r="V15" s="86" t="s">
        <v>937</v>
      </c>
      <c r="W15" s="87">
        <f>(14/21)*100</f>
        <v>66.666666666666657</v>
      </c>
    </row>
    <row r="16" spans="1:23" x14ac:dyDescent="0.2">
      <c r="A16" s="85" t="s">
        <v>281</v>
      </c>
      <c r="B16" s="86" t="s">
        <v>131</v>
      </c>
      <c r="C16" s="86" t="s">
        <v>131</v>
      </c>
      <c r="D16" s="86" t="s">
        <v>131</v>
      </c>
      <c r="E16" s="86" t="s">
        <v>131</v>
      </c>
      <c r="F16" s="86" t="s">
        <v>131</v>
      </c>
      <c r="G16" s="86" t="s">
        <v>131</v>
      </c>
      <c r="H16" s="86" t="s">
        <v>131</v>
      </c>
      <c r="I16" s="86" t="s">
        <v>131</v>
      </c>
      <c r="J16" s="86" t="s">
        <v>131</v>
      </c>
      <c r="K16" s="86" t="s">
        <v>131</v>
      </c>
      <c r="L16" s="86" t="s">
        <v>131</v>
      </c>
      <c r="M16" s="86" t="s">
        <v>131</v>
      </c>
      <c r="N16" s="86" t="s">
        <v>131</v>
      </c>
      <c r="O16" s="86" t="s">
        <v>131</v>
      </c>
      <c r="P16" s="86" t="s">
        <v>131</v>
      </c>
      <c r="Q16" s="86" t="s">
        <v>131</v>
      </c>
      <c r="R16" s="86" t="s">
        <v>131</v>
      </c>
      <c r="S16" s="86" t="s">
        <v>131</v>
      </c>
      <c r="T16" s="86" t="s">
        <v>131</v>
      </c>
      <c r="U16" s="86" t="s">
        <v>131</v>
      </c>
      <c r="V16" s="86" t="s">
        <v>131</v>
      </c>
      <c r="W16" s="87">
        <f>(21/21)*100</f>
        <v>100</v>
      </c>
    </row>
    <row r="17" spans="1:23" ht="28.5" x14ac:dyDescent="0.2">
      <c r="A17" s="85" t="s">
        <v>282</v>
      </c>
      <c r="B17" s="86" t="s">
        <v>131</v>
      </c>
      <c r="C17" s="86" t="s">
        <v>131</v>
      </c>
      <c r="D17" s="86" t="s">
        <v>131</v>
      </c>
      <c r="E17" s="86" t="s">
        <v>131</v>
      </c>
      <c r="F17" s="86" t="s">
        <v>131</v>
      </c>
      <c r="G17" s="86" t="s">
        <v>283</v>
      </c>
      <c r="H17" s="86" t="s">
        <v>131</v>
      </c>
      <c r="I17" s="86" t="s">
        <v>284</v>
      </c>
      <c r="J17" s="86" t="s">
        <v>285</v>
      </c>
      <c r="K17" s="86" t="s">
        <v>131</v>
      </c>
      <c r="L17" s="86" t="s">
        <v>131</v>
      </c>
      <c r="M17" s="86" t="s">
        <v>131</v>
      </c>
      <c r="N17" s="86" t="s">
        <v>131</v>
      </c>
      <c r="O17" s="86" t="s">
        <v>131</v>
      </c>
      <c r="P17" s="86" t="s">
        <v>131</v>
      </c>
      <c r="Q17" s="86" t="s">
        <v>131</v>
      </c>
      <c r="R17" s="86" t="s">
        <v>131</v>
      </c>
      <c r="S17" s="86" t="s">
        <v>131</v>
      </c>
      <c r="T17" s="86" t="s">
        <v>131</v>
      </c>
      <c r="U17" s="86" t="s">
        <v>131</v>
      </c>
      <c r="V17" s="86" t="s">
        <v>131</v>
      </c>
      <c r="W17" s="87">
        <f t="shared" ref="W17:W19" si="0">(21/21)*100</f>
        <v>100</v>
      </c>
    </row>
    <row r="18" spans="1:23" ht="42.75" x14ac:dyDescent="0.2">
      <c r="A18" s="85" t="s">
        <v>942</v>
      </c>
      <c r="B18" s="86" t="s">
        <v>131</v>
      </c>
      <c r="C18" s="86" t="s">
        <v>131</v>
      </c>
      <c r="D18" s="86" t="s">
        <v>131</v>
      </c>
      <c r="E18" s="86" t="s">
        <v>131</v>
      </c>
      <c r="F18" s="86" t="s">
        <v>131</v>
      </c>
      <c r="G18" s="86" t="s">
        <v>131</v>
      </c>
      <c r="H18" s="86" t="s">
        <v>131</v>
      </c>
      <c r="I18" s="86" t="s">
        <v>131</v>
      </c>
      <c r="J18" s="86" t="s">
        <v>131</v>
      </c>
      <c r="K18" s="86" t="s">
        <v>131</v>
      </c>
      <c r="L18" s="86" t="s">
        <v>131</v>
      </c>
      <c r="M18" s="86" t="s">
        <v>131</v>
      </c>
      <c r="N18" s="86" t="s">
        <v>131</v>
      </c>
      <c r="O18" s="86" t="s">
        <v>131</v>
      </c>
      <c r="P18" s="86" t="s">
        <v>131</v>
      </c>
      <c r="Q18" s="86" t="s">
        <v>131</v>
      </c>
      <c r="R18" s="86" t="s">
        <v>131</v>
      </c>
      <c r="S18" s="86" t="s">
        <v>131</v>
      </c>
      <c r="T18" s="86" t="s">
        <v>131</v>
      </c>
      <c r="U18" s="86" t="s">
        <v>131</v>
      </c>
      <c r="V18" s="86" t="s">
        <v>131</v>
      </c>
      <c r="W18" s="87">
        <f t="shared" si="0"/>
        <v>100</v>
      </c>
    </row>
    <row r="19" spans="1:23" ht="28.5" x14ac:dyDescent="0.2">
      <c r="A19" s="85" t="s">
        <v>286</v>
      </c>
      <c r="B19" s="86" t="s">
        <v>131</v>
      </c>
      <c r="C19" s="86" t="s">
        <v>131</v>
      </c>
      <c r="D19" s="86" t="s">
        <v>131</v>
      </c>
      <c r="E19" s="86" t="s">
        <v>131</v>
      </c>
      <c r="F19" s="86" t="s">
        <v>131</v>
      </c>
      <c r="G19" s="86" t="s">
        <v>131</v>
      </c>
      <c r="H19" s="86" t="s">
        <v>131</v>
      </c>
      <c r="I19" s="86" t="s">
        <v>131</v>
      </c>
      <c r="J19" s="86" t="s">
        <v>131</v>
      </c>
      <c r="K19" s="86" t="s">
        <v>131</v>
      </c>
      <c r="L19" s="86" t="s">
        <v>131</v>
      </c>
      <c r="M19" s="86" t="s">
        <v>131</v>
      </c>
      <c r="N19" s="86" t="s">
        <v>131</v>
      </c>
      <c r="O19" s="86" t="s">
        <v>131</v>
      </c>
      <c r="P19" s="86" t="s">
        <v>131</v>
      </c>
      <c r="Q19" s="86" t="s">
        <v>131</v>
      </c>
      <c r="R19" s="86" t="s">
        <v>131</v>
      </c>
      <c r="S19" s="86" t="s">
        <v>131</v>
      </c>
      <c r="T19" s="86" t="s">
        <v>131</v>
      </c>
      <c r="U19" s="86" t="s">
        <v>131</v>
      </c>
      <c r="V19" s="86" t="s">
        <v>131</v>
      </c>
      <c r="W19" s="87">
        <f t="shared" si="0"/>
        <v>100</v>
      </c>
    </row>
    <row r="20" spans="1:23" ht="57" x14ac:dyDescent="0.2">
      <c r="A20" s="85" t="s">
        <v>287</v>
      </c>
      <c r="B20" s="86"/>
      <c r="C20" s="86"/>
      <c r="D20" s="86"/>
      <c r="E20" s="86" t="s">
        <v>288</v>
      </c>
      <c r="F20" s="86" t="s">
        <v>289</v>
      </c>
      <c r="G20" s="86"/>
      <c r="H20" s="86"/>
      <c r="I20" s="86"/>
      <c r="J20" s="86"/>
      <c r="K20" s="86"/>
      <c r="L20" s="84"/>
      <c r="M20" s="86" t="s">
        <v>290</v>
      </c>
      <c r="N20" s="86"/>
      <c r="O20" s="86"/>
      <c r="P20" s="86"/>
      <c r="Q20" s="86"/>
      <c r="R20" s="86"/>
      <c r="S20" s="86"/>
      <c r="T20" s="86"/>
      <c r="U20" s="86"/>
      <c r="V20" s="86"/>
      <c r="W20" s="87">
        <f>(3/21)*100</f>
        <v>14.285714285714285</v>
      </c>
    </row>
    <row r="21" spans="1:23" ht="57" x14ac:dyDescent="0.2">
      <c r="A21" s="89" t="s">
        <v>291</v>
      </c>
      <c r="B21" s="86" t="s">
        <v>943</v>
      </c>
      <c r="C21" s="86" t="s">
        <v>944</v>
      </c>
      <c r="D21" s="86" t="s">
        <v>945</v>
      </c>
      <c r="E21" s="86" t="s">
        <v>943</v>
      </c>
      <c r="F21" s="86" t="s">
        <v>946</v>
      </c>
      <c r="G21" s="86"/>
      <c r="H21" s="86" t="s">
        <v>947</v>
      </c>
      <c r="I21" s="86"/>
      <c r="J21" s="86"/>
      <c r="K21" s="86" t="s">
        <v>947</v>
      </c>
      <c r="L21" s="84"/>
      <c r="M21" s="86" t="s">
        <v>292</v>
      </c>
      <c r="N21" s="86" t="s">
        <v>947</v>
      </c>
      <c r="O21" s="86"/>
      <c r="P21" s="86"/>
      <c r="Q21" s="86"/>
      <c r="R21" s="86"/>
      <c r="S21" s="86"/>
      <c r="T21" s="86"/>
      <c r="U21" s="86"/>
      <c r="V21" s="86"/>
      <c r="W21" s="87">
        <f>(9/21)*100</f>
        <v>42.857142857142854</v>
      </c>
    </row>
    <row r="22" spans="1:23" ht="57" x14ac:dyDescent="0.2">
      <c r="A22" s="90" t="s">
        <v>293</v>
      </c>
      <c r="B22" s="86"/>
      <c r="C22" s="86"/>
      <c r="D22" s="86"/>
      <c r="E22" s="86" t="s">
        <v>294</v>
      </c>
      <c r="F22" s="86" t="s">
        <v>295</v>
      </c>
      <c r="G22" s="86" t="s">
        <v>296</v>
      </c>
      <c r="H22" s="86"/>
      <c r="I22" s="86"/>
      <c r="J22" s="86"/>
      <c r="K22" s="86" t="s">
        <v>948</v>
      </c>
      <c r="L22" s="86" t="s">
        <v>297</v>
      </c>
      <c r="M22" s="86" t="s">
        <v>298</v>
      </c>
      <c r="N22" s="86"/>
      <c r="O22" s="86"/>
      <c r="P22" s="86"/>
      <c r="Q22" s="86"/>
      <c r="R22" s="86"/>
      <c r="S22" s="86"/>
      <c r="T22" s="86"/>
      <c r="U22" s="86"/>
      <c r="V22" s="86"/>
      <c r="W22" s="87">
        <f>(4/21)*100</f>
        <v>19.047619047619047</v>
      </c>
    </row>
    <row r="23" spans="1:23" ht="42.75" x14ac:dyDescent="0.2">
      <c r="A23" s="85" t="s">
        <v>299</v>
      </c>
      <c r="B23" s="86" t="s">
        <v>131</v>
      </c>
      <c r="C23" s="86" t="s">
        <v>131</v>
      </c>
      <c r="D23" s="86" t="s">
        <v>131</v>
      </c>
      <c r="E23" s="86" t="s">
        <v>131</v>
      </c>
      <c r="F23" s="86" t="s">
        <v>131</v>
      </c>
      <c r="G23" s="86" t="s">
        <v>131</v>
      </c>
      <c r="H23" s="86" t="s">
        <v>131</v>
      </c>
      <c r="I23" s="86" t="s">
        <v>131</v>
      </c>
      <c r="J23" s="86" t="s">
        <v>131</v>
      </c>
      <c r="K23" s="86" t="s">
        <v>131</v>
      </c>
      <c r="L23" s="86" t="s">
        <v>131</v>
      </c>
      <c r="M23" s="86" t="s">
        <v>131</v>
      </c>
      <c r="N23" s="86" t="s">
        <v>131</v>
      </c>
      <c r="O23" s="86" t="s">
        <v>131</v>
      </c>
      <c r="P23" s="86" t="s">
        <v>131</v>
      </c>
      <c r="Q23" s="86" t="s">
        <v>131</v>
      </c>
      <c r="R23" s="86" t="s">
        <v>131</v>
      </c>
      <c r="S23" s="86" t="s">
        <v>131</v>
      </c>
      <c r="T23" s="86" t="s">
        <v>131</v>
      </c>
      <c r="U23" s="86" t="s">
        <v>131</v>
      </c>
      <c r="V23" s="86" t="s">
        <v>131</v>
      </c>
      <c r="W23" s="87">
        <f>(21/21)*100</f>
        <v>100</v>
      </c>
    </row>
    <row r="24" spans="1:23" ht="42.75" x14ac:dyDescent="0.2">
      <c r="A24" s="85" t="s">
        <v>949</v>
      </c>
      <c r="B24" s="86" t="s">
        <v>131</v>
      </c>
      <c r="C24" s="86" t="s">
        <v>131</v>
      </c>
      <c r="D24" s="86" t="s">
        <v>131</v>
      </c>
      <c r="E24" s="86" t="s">
        <v>131</v>
      </c>
      <c r="F24" s="86" t="s">
        <v>131</v>
      </c>
      <c r="G24" s="86" t="s">
        <v>131</v>
      </c>
      <c r="H24" s="86" t="s">
        <v>131</v>
      </c>
      <c r="I24" s="86" t="s">
        <v>131</v>
      </c>
      <c r="J24" s="86" t="s">
        <v>131</v>
      </c>
      <c r="K24" s="86" t="s">
        <v>131</v>
      </c>
      <c r="L24" s="86" t="s">
        <v>131</v>
      </c>
      <c r="M24" s="86" t="s">
        <v>131</v>
      </c>
      <c r="N24" s="86" t="s">
        <v>131</v>
      </c>
      <c r="O24" s="86" t="s">
        <v>131</v>
      </c>
      <c r="P24" s="86" t="s">
        <v>131</v>
      </c>
      <c r="Q24" s="86" t="s">
        <v>131</v>
      </c>
      <c r="R24" s="86" t="s">
        <v>131</v>
      </c>
      <c r="S24" s="86" t="s">
        <v>131</v>
      </c>
      <c r="T24" s="86" t="s">
        <v>131</v>
      </c>
      <c r="U24" s="86" t="s">
        <v>131</v>
      </c>
      <c r="V24" s="86" t="s">
        <v>131</v>
      </c>
      <c r="W24" s="87">
        <f t="shared" ref="W24:W27" si="1">(21/21)*100</f>
        <v>100</v>
      </c>
    </row>
    <row r="25" spans="1:23" x14ac:dyDescent="0.2">
      <c r="A25" s="89" t="s">
        <v>300</v>
      </c>
      <c r="B25" s="86" t="s">
        <v>131</v>
      </c>
      <c r="C25" s="86" t="s">
        <v>131</v>
      </c>
      <c r="D25" s="86" t="s">
        <v>131</v>
      </c>
      <c r="E25" s="86" t="s">
        <v>131</v>
      </c>
      <c r="F25" s="86" t="s">
        <v>131</v>
      </c>
      <c r="G25" s="86" t="s">
        <v>131</v>
      </c>
      <c r="H25" s="86" t="s">
        <v>131</v>
      </c>
      <c r="I25" s="86" t="s">
        <v>131</v>
      </c>
      <c r="J25" s="86" t="s">
        <v>131</v>
      </c>
      <c r="K25" s="86" t="s">
        <v>131</v>
      </c>
      <c r="L25" s="86" t="s">
        <v>131</v>
      </c>
      <c r="M25" s="86" t="s">
        <v>131</v>
      </c>
      <c r="N25" s="86" t="s">
        <v>131</v>
      </c>
      <c r="O25" s="86" t="s">
        <v>131</v>
      </c>
      <c r="P25" s="86" t="s">
        <v>131</v>
      </c>
      <c r="Q25" s="86" t="s">
        <v>131</v>
      </c>
      <c r="R25" s="86" t="s">
        <v>131</v>
      </c>
      <c r="S25" s="86" t="s">
        <v>131</v>
      </c>
      <c r="T25" s="86" t="s">
        <v>131</v>
      </c>
      <c r="U25" s="86" t="s">
        <v>131</v>
      </c>
      <c r="V25" s="86" t="s">
        <v>131</v>
      </c>
      <c r="W25" s="87">
        <f t="shared" si="1"/>
        <v>100</v>
      </c>
    </row>
    <row r="26" spans="1:23" ht="42.75" x14ac:dyDescent="0.2">
      <c r="A26" s="89" t="s">
        <v>301</v>
      </c>
      <c r="B26" s="86" t="s">
        <v>131</v>
      </c>
      <c r="C26" s="86" t="s">
        <v>131</v>
      </c>
      <c r="D26" s="86" t="s">
        <v>131</v>
      </c>
      <c r="E26" s="86" t="s">
        <v>950</v>
      </c>
      <c r="F26" s="86" t="s">
        <v>302</v>
      </c>
      <c r="G26" s="86" t="s">
        <v>303</v>
      </c>
      <c r="H26" s="86" t="s">
        <v>131</v>
      </c>
      <c r="I26" s="86" t="s">
        <v>131</v>
      </c>
      <c r="J26" s="86" t="s">
        <v>131</v>
      </c>
      <c r="K26" s="86" t="s">
        <v>131</v>
      </c>
      <c r="L26" s="86" t="s">
        <v>131</v>
      </c>
      <c r="M26" s="86" t="s">
        <v>951</v>
      </c>
      <c r="N26" s="86" t="s">
        <v>952</v>
      </c>
      <c r="O26" s="86" t="s">
        <v>953</v>
      </c>
      <c r="P26" s="86" t="s">
        <v>951</v>
      </c>
      <c r="Q26" s="86" t="s">
        <v>131</v>
      </c>
      <c r="R26" s="86" t="s">
        <v>131</v>
      </c>
      <c r="S26" s="86" t="s">
        <v>951</v>
      </c>
      <c r="T26" s="86" t="s">
        <v>131</v>
      </c>
      <c r="U26" s="86" t="s">
        <v>131</v>
      </c>
      <c r="V26" s="86" t="s">
        <v>951</v>
      </c>
      <c r="W26" s="87">
        <f t="shared" si="1"/>
        <v>100</v>
      </c>
    </row>
    <row r="27" spans="1:23" ht="42.75" x14ac:dyDescent="0.2">
      <c r="A27" s="85" t="s">
        <v>932</v>
      </c>
      <c r="B27" s="86" t="s">
        <v>131</v>
      </c>
      <c r="C27" s="86" t="s">
        <v>131</v>
      </c>
      <c r="D27" s="86" t="s">
        <v>131</v>
      </c>
      <c r="E27" s="86" t="s">
        <v>131</v>
      </c>
      <c r="F27" s="86" t="s">
        <v>131</v>
      </c>
      <c r="G27" s="86" t="s">
        <v>131</v>
      </c>
      <c r="H27" s="86" t="s">
        <v>131</v>
      </c>
      <c r="I27" s="86" t="s">
        <v>131</v>
      </c>
      <c r="J27" s="86" t="s">
        <v>131</v>
      </c>
      <c r="K27" s="86" t="s">
        <v>131</v>
      </c>
      <c r="L27" s="86" t="s">
        <v>131</v>
      </c>
      <c r="M27" s="86" t="s">
        <v>131</v>
      </c>
      <c r="N27" s="86" t="s">
        <v>131</v>
      </c>
      <c r="O27" s="86" t="s">
        <v>131</v>
      </c>
      <c r="P27" s="86" t="s">
        <v>131</v>
      </c>
      <c r="Q27" s="86" t="s">
        <v>131</v>
      </c>
      <c r="R27" s="86" t="s">
        <v>131</v>
      </c>
      <c r="S27" s="86" t="s">
        <v>131</v>
      </c>
      <c r="T27" s="86" t="s">
        <v>131</v>
      </c>
      <c r="U27" s="86" t="s">
        <v>131</v>
      </c>
      <c r="V27" s="86" t="s">
        <v>131</v>
      </c>
      <c r="W27" s="87">
        <f t="shared" si="1"/>
        <v>100</v>
      </c>
    </row>
    <row r="28" spans="1:23" x14ac:dyDescent="0.2">
      <c r="A28" s="89" t="s">
        <v>304</v>
      </c>
      <c r="B28" s="87">
        <f>(11/13)*100</f>
        <v>84.615384615384613</v>
      </c>
      <c r="C28" s="87">
        <f t="shared" ref="C28:N28" si="2">(11/13)*100</f>
        <v>84.615384615384613</v>
      </c>
      <c r="D28" s="87">
        <f>(10/13)*100</f>
        <v>76.923076923076934</v>
      </c>
      <c r="E28" s="87">
        <f>(12/13)*100</f>
        <v>92.307692307692307</v>
      </c>
      <c r="F28" s="87">
        <f>(13/13)*100</f>
        <v>100</v>
      </c>
      <c r="G28" s="87">
        <f t="shared" si="2"/>
        <v>84.615384615384613</v>
      </c>
      <c r="H28" s="87">
        <f>(10/13)*100</f>
        <v>76.923076923076934</v>
      </c>
      <c r="I28" s="87">
        <f>(10/13)*100</f>
        <v>76.923076923076934</v>
      </c>
      <c r="J28" s="87">
        <f>(10/13)*100</f>
        <v>76.923076923076934</v>
      </c>
      <c r="K28" s="87">
        <f>(10/13)*100</f>
        <v>76.923076923076934</v>
      </c>
      <c r="L28" s="87">
        <f>(13/13)*100</f>
        <v>100</v>
      </c>
      <c r="M28" s="87">
        <f t="shared" si="2"/>
        <v>84.615384615384613</v>
      </c>
      <c r="N28" s="87">
        <f t="shared" si="2"/>
        <v>84.615384615384613</v>
      </c>
      <c r="O28" s="87">
        <f>(10/13)*100</f>
        <v>76.923076923076934</v>
      </c>
      <c r="P28" s="87">
        <f>(10/13)*100</f>
        <v>76.923076923076934</v>
      </c>
      <c r="Q28" s="87">
        <f>(9/13)*100</f>
        <v>69.230769230769226</v>
      </c>
      <c r="R28" s="87">
        <f>(9/13)*100</f>
        <v>69.230769230769226</v>
      </c>
      <c r="S28" s="87">
        <f>(10/13)*100</f>
        <v>76.923076923076934</v>
      </c>
      <c r="T28" s="87">
        <f>(9/13)*100</f>
        <v>69.230769230769226</v>
      </c>
      <c r="U28" s="87">
        <f>(9/13)*100</f>
        <v>69.230769230769226</v>
      </c>
      <c r="V28" s="87">
        <f>(10/13)*100</f>
        <v>76.923076923076934</v>
      </c>
      <c r="W28" s="84"/>
    </row>
    <row r="29" spans="1:23" x14ac:dyDescent="0.2">
      <c r="A29" s="72"/>
    </row>
    <row r="30" spans="1:23" x14ac:dyDescent="0.2">
      <c r="A30" s="72" t="s">
        <v>305</v>
      </c>
      <c r="B30" s="81">
        <f>(B28+C28+D28+E28+F28+G28+H28+I28+J28+K28+L28+M28+N28+O28+P28+Q28+R28+S28+T28+U28+V28)/21</f>
        <v>80.219780219780233</v>
      </c>
    </row>
    <row r="31" spans="1:23" x14ac:dyDescent="0.2">
      <c r="A31" s="72" t="s">
        <v>306</v>
      </c>
      <c r="B31" s="81">
        <f>(W15+W16+W17+W18+W19+W20+W21+W22+W23+W24+W25+W26+W27)/13</f>
        <v>80.219780219780205</v>
      </c>
    </row>
    <row r="32" spans="1:23" x14ac:dyDescent="0.2">
      <c r="A32" s="72"/>
    </row>
    <row r="33" spans="1:22" x14ac:dyDescent="0.2">
      <c r="A33" s="72"/>
      <c r="B33" s="82"/>
      <c r="C33" s="82"/>
      <c r="D33" s="82"/>
      <c r="E33" s="82"/>
      <c r="F33" s="82"/>
      <c r="G33" s="82"/>
      <c r="H33" s="82"/>
      <c r="I33" s="82"/>
      <c r="J33" s="82"/>
      <c r="K33" s="82"/>
      <c r="L33" s="82"/>
      <c r="M33" s="82"/>
      <c r="N33" s="82"/>
      <c r="O33" s="82"/>
      <c r="P33" s="82"/>
      <c r="Q33" s="82"/>
      <c r="R33" s="82"/>
      <c r="S33" s="82"/>
      <c r="T33" s="82"/>
      <c r="U33" s="82"/>
      <c r="V33" s="82"/>
    </row>
    <row r="34" spans="1:22" x14ac:dyDescent="0.2">
      <c r="A34" s="72"/>
      <c r="B34" s="82"/>
      <c r="C34" s="82"/>
      <c r="D34" s="82"/>
      <c r="E34" s="82"/>
      <c r="F34" s="82"/>
      <c r="G34" s="82"/>
      <c r="H34" s="82"/>
      <c r="I34" s="82"/>
      <c r="J34" s="82"/>
      <c r="K34" s="82"/>
      <c r="L34" s="82"/>
      <c r="M34" s="82"/>
      <c r="N34" s="82"/>
      <c r="O34" s="82"/>
      <c r="P34" s="82"/>
      <c r="Q34" s="82"/>
      <c r="R34" s="82"/>
      <c r="S34" s="82"/>
      <c r="T34" s="82"/>
      <c r="U34" s="82"/>
      <c r="V34" s="82"/>
    </row>
    <row r="35" spans="1:22" x14ac:dyDescent="0.2">
      <c r="A35" s="72"/>
      <c r="B35" s="83"/>
      <c r="C35" s="82"/>
      <c r="D35" s="83"/>
      <c r="E35" s="83"/>
      <c r="F35" s="82"/>
      <c r="G35" s="83"/>
      <c r="I35" s="82"/>
      <c r="J35" s="83"/>
      <c r="K35" s="83"/>
      <c r="L35" s="82"/>
      <c r="M35" s="83"/>
      <c r="N35" s="83"/>
      <c r="O35" s="82"/>
      <c r="P35" s="83"/>
      <c r="Q35" s="83"/>
      <c r="R35" s="82"/>
      <c r="S35" s="83"/>
      <c r="T35" s="83"/>
      <c r="U35" s="83"/>
      <c r="V35" s="83"/>
    </row>
    <row r="36" spans="1:22" x14ac:dyDescent="0.2">
      <c r="A36" s="72"/>
      <c r="B36" s="82"/>
      <c r="C36" s="82"/>
      <c r="E36" s="82"/>
      <c r="F36" s="82"/>
      <c r="G36" s="83"/>
      <c r="H36" s="82"/>
      <c r="I36" s="82"/>
      <c r="J36" s="83"/>
      <c r="K36" s="83"/>
      <c r="L36" s="82"/>
      <c r="M36" s="83"/>
      <c r="N36" s="83"/>
      <c r="O36" s="82"/>
      <c r="P36" s="83"/>
      <c r="Q36" s="83"/>
      <c r="R36" s="83"/>
      <c r="S36" s="83"/>
      <c r="T36" s="83"/>
      <c r="U36" s="83"/>
      <c r="V36" s="83"/>
    </row>
    <row r="37" spans="1:22" x14ac:dyDescent="0.2">
      <c r="A37" s="72"/>
      <c r="B37" s="83"/>
      <c r="C37" s="82"/>
      <c r="D37" s="83"/>
      <c r="E37" s="83"/>
      <c r="F37" s="82"/>
      <c r="H37" s="83"/>
      <c r="I37" s="82"/>
      <c r="J37" s="83"/>
      <c r="K37" s="83"/>
      <c r="L37" s="82"/>
      <c r="M37" s="83"/>
      <c r="N37" s="83"/>
      <c r="O37" s="82"/>
      <c r="P37" s="83"/>
      <c r="Q37" s="83"/>
      <c r="R37" s="83"/>
      <c r="S37" s="83"/>
      <c r="T37" s="83"/>
      <c r="U37" s="83"/>
      <c r="V37" s="83"/>
    </row>
    <row r="38" spans="1:22" s="75" customFormat="1" x14ac:dyDescent="0.2">
      <c r="A38" s="73"/>
      <c r="B38" s="82"/>
      <c r="C38" s="82"/>
      <c r="D38" s="82"/>
      <c r="E38" s="82"/>
      <c r="F38" s="82"/>
      <c r="G38" s="82"/>
      <c r="I38" s="82"/>
      <c r="J38" s="82"/>
      <c r="K38" s="82"/>
      <c r="L38" s="82"/>
      <c r="M38" s="82"/>
      <c r="N38" s="82"/>
      <c r="O38" s="82"/>
      <c r="P38" s="82"/>
      <c r="Q38" s="82"/>
      <c r="R38" s="82"/>
      <c r="S38" s="82"/>
      <c r="T38" s="82"/>
      <c r="U38" s="82"/>
      <c r="V38" s="82"/>
    </row>
    <row r="39" spans="1:22" x14ac:dyDescent="0.2">
      <c r="A39" s="72"/>
      <c r="B39" s="83"/>
      <c r="C39" s="82"/>
      <c r="D39" s="83"/>
      <c r="E39" s="83"/>
      <c r="F39" s="82"/>
      <c r="G39" s="83"/>
      <c r="H39" s="83"/>
      <c r="I39" s="83"/>
      <c r="J39" s="83"/>
      <c r="K39" s="83"/>
      <c r="L39" s="82"/>
      <c r="M39" s="83"/>
      <c r="N39" s="83"/>
      <c r="O39" s="82"/>
      <c r="P39" s="83"/>
      <c r="Q39" s="83"/>
      <c r="R39" s="83"/>
      <c r="S39" s="83"/>
      <c r="T39" s="83"/>
      <c r="U39" s="83"/>
      <c r="V39" s="83"/>
    </row>
    <row r="40" spans="1:22" x14ac:dyDescent="0.2">
      <c r="A40" s="72"/>
      <c r="C40" s="82"/>
      <c r="E40" s="82"/>
      <c r="F40" s="82"/>
      <c r="L40" s="82"/>
      <c r="O40" s="82"/>
    </row>
    <row r="41" spans="1:22" x14ac:dyDescent="0.2">
      <c r="A41" s="72"/>
      <c r="E41" s="83"/>
      <c r="F41" s="83"/>
      <c r="G41" s="83"/>
      <c r="H41" s="83"/>
      <c r="I41" s="83"/>
      <c r="K41" s="83"/>
    </row>
    <row r="42" spans="1:22" x14ac:dyDescent="0.2">
      <c r="A42" s="72"/>
    </row>
  </sheetData>
  <mergeCells count="4">
    <mergeCell ref="A3:B3"/>
    <mergeCell ref="A4:B4"/>
    <mergeCell ref="A5:B5"/>
    <mergeCell ref="A7:B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EAB990-F1D9-4795-AD60-67BEDF009480}">
  <dimension ref="A1:I58"/>
  <sheetViews>
    <sheetView topLeftCell="A43" workbookViewId="0">
      <selection activeCell="F58" sqref="F58"/>
    </sheetView>
  </sheetViews>
  <sheetFormatPr defaultRowHeight="14.25" x14ac:dyDescent="0.2"/>
  <cols>
    <col min="1" max="1" width="13.5" bestFit="1" customWidth="1"/>
    <col min="2" max="2" width="13.25" bestFit="1" customWidth="1"/>
    <col min="3" max="3" width="16.125" bestFit="1" customWidth="1"/>
    <col min="4" max="4" width="13" bestFit="1" customWidth="1"/>
    <col min="5" max="5" width="8.25" bestFit="1" customWidth="1"/>
    <col min="6" max="6" width="15.25" bestFit="1" customWidth="1"/>
    <col min="8" max="8" width="13.625" bestFit="1" customWidth="1"/>
    <col min="9" max="9" width="11" bestFit="1" customWidth="1"/>
  </cols>
  <sheetData>
    <row r="1" spans="1:9" ht="15" x14ac:dyDescent="0.25">
      <c r="A1" t="s">
        <v>512</v>
      </c>
      <c r="B1" s="106" t="s">
        <v>323</v>
      </c>
      <c r="C1" s="106" t="s">
        <v>324</v>
      </c>
      <c r="D1" s="106" t="s">
        <v>325</v>
      </c>
      <c r="E1" s="106" t="s">
        <v>326</v>
      </c>
      <c r="F1" s="106" t="s">
        <v>327</v>
      </c>
      <c r="G1" s="106" t="s">
        <v>328</v>
      </c>
      <c r="H1" s="148" t="s">
        <v>834</v>
      </c>
      <c r="I1" s="148" t="s">
        <v>833</v>
      </c>
    </row>
    <row r="2" spans="1:9" ht="15" x14ac:dyDescent="0.25">
      <c r="B2" s="106"/>
      <c r="C2" s="106"/>
      <c r="D2" s="106"/>
      <c r="E2" s="106"/>
      <c r="F2" s="106"/>
      <c r="G2" s="106"/>
      <c r="H2" s="195">
        <v>55</v>
      </c>
      <c r="I2" s="148"/>
    </row>
    <row r="3" spans="1:9" x14ac:dyDescent="0.2">
      <c r="A3" s="84" t="s">
        <v>329</v>
      </c>
      <c r="B3" s="84" t="s">
        <v>513</v>
      </c>
      <c r="C3" s="84" t="s">
        <v>331</v>
      </c>
      <c r="D3" s="84" t="s">
        <v>365</v>
      </c>
      <c r="E3" s="84" t="s">
        <v>339</v>
      </c>
      <c r="F3" s="84"/>
      <c r="G3" s="84">
        <v>20</v>
      </c>
      <c r="H3" s="84"/>
      <c r="I3" s="84"/>
    </row>
    <row r="4" spans="1:9" x14ac:dyDescent="0.2">
      <c r="A4" s="84"/>
      <c r="B4" s="84" t="s">
        <v>514</v>
      </c>
      <c r="C4" s="84" t="s">
        <v>331</v>
      </c>
      <c r="D4" s="84" t="s">
        <v>357</v>
      </c>
      <c r="E4" s="84" t="s">
        <v>339</v>
      </c>
      <c r="F4" s="84"/>
      <c r="G4" s="84">
        <v>36</v>
      </c>
      <c r="H4" s="84"/>
      <c r="I4" s="84"/>
    </row>
    <row r="5" spans="1:9" x14ac:dyDescent="0.2">
      <c r="A5" s="84"/>
      <c r="B5" s="84" t="s">
        <v>515</v>
      </c>
      <c r="C5" s="84" t="s">
        <v>334</v>
      </c>
      <c r="D5" s="84" t="s">
        <v>365</v>
      </c>
      <c r="E5" s="84" t="s">
        <v>339</v>
      </c>
      <c r="F5" s="84" t="s">
        <v>866</v>
      </c>
      <c r="G5" s="84">
        <v>12</v>
      </c>
      <c r="H5" s="84"/>
      <c r="I5" s="84"/>
    </row>
    <row r="6" spans="1:9" x14ac:dyDescent="0.2">
      <c r="A6" s="84"/>
      <c r="B6" s="84" t="s">
        <v>516</v>
      </c>
      <c r="C6" s="84" t="s">
        <v>858</v>
      </c>
      <c r="D6" s="84" t="s">
        <v>346</v>
      </c>
      <c r="E6" s="84" t="s">
        <v>339</v>
      </c>
      <c r="F6" s="84"/>
      <c r="G6" s="84">
        <v>22</v>
      </c>
      <c r="H6" s="84"/>
      <c r="I6" s="84"/>
    </row>
    <row r="7" spans="1:9" x14ac:dyDescent="0.2">
      <c r="A7" s="84"/>
      <c r="B7" s="84" t="s">
        <v>443</v>
      </c>
      <c r="C7" s="84" t="s">
        <v>334</v>
      </c>
      <c r="D7" s="84" t="s">
        <v>357</v>
      </c>
      <c r="E7" s="84" t="s">
        <v>339</v>
      </c>
      <c r="F7" s="84" t="s">
        <v>866</v>
      </c>
      <c r="G7" s="84">
        <v>12</v>
      </c>
      <c r="H7" s="84"/>
      <c r="I7" s="84"/>
    </row>
    <row r="8" spans="1:9" x14ac:dyDescent="0.2">
      <c r="A8" s="84"/>
      <c r="B8" s="84" t="s">
        <v>488</v>
      </c>
      <c r="C8" s="84" t="s">
        <v>351</v>
      </c>
      <c r="D8" s="84" t="s">
        <v>352</v>
      </c>
      <c r="E8" s="84" t="s">
        <v>339</v>
      </c>
      <c r="F8" s="84"/>
      <c r="G8" s="84">
        <v>2</v>
      </c>
      <c r="H8" s="84"/>
      <c r="I8" s="84"/>
    </row>
    <row r="9" spans="1:9" x14ac:dyDescent="0.2">
      <c r="A9" s="84"/>
      <c r="B9" s="84" t="s">
        <v>487</v>
      </c>
      <c r="C9" s="84" t="s">
        <v>351</v>
      </c>
      <c r="D9" s="84" t="s">
        <v>352</v>
      </c>
      <c r="E9" s="84" t="s">
        <v>339</v>
      </c>
      <c r="F9" s="84"/>
      <c r="G9" s="84">
        <v>1</v>
      </c>
      <c r="H9" s="84"/>
      <c r="I9" s="84"/>
    </row>
    <row r="10" spans="1:9" x14ac:dyDescent="0.2">
      <c r="A10" s="84"/>
      <c r="B10" s="84" t="s">
        <v>484</v>
      </c>
      <c r="C10" s="84" t="s">
        <v>867</v>
      </c>
      <c r="D10" s="84" t="s">
        <v>342</v>
      </c>
      <c r="E10" s="84" t="s">
        <v>339</v>
      </c>
      <c r="F10" s="84"/>
      <c r="G10" s="84" t="s">
        <v>440</v>
      </c>
      <c r="H10" s="84"/>
      <c r="I10" s="84"/>
    </row>
    <row r="11" spans="1:9" x14ac:dyDescent="0.2">
      <c r="A11" s="84"/>
      <c r="B11" s="84" t="s">
        <v>483</v>
      </c>
      <c r="C11" s="84" t="s">
        <v>334</v>
      </c>
      <c r="D11" s="84" t="s">
        <v>357</v>
      </c>
      <c r="E11" s="84" t="s">
        <v>336</v>
      </c>
      <c r="F11" s="84" t="s">
        <v>868</v>
      </c>
      <c r="G11" s="84">
        <v>38</v>
      </c>
      <c r="H11" s="194">
        <f>G11*$H$2</f>
        <v>2090</v>
      </c>
      <c r="I11" s="84"/>
    </row>
    <row r="12" spans="1:9" x14ac:dyDescent="0.2">
      <c r="A12" s="84"/>
      <c r="B12" s="84" t="s">
        <v>481</v>
      </c>
      <c r="C12" s="84" t="s">
        <v>331</v>
      </c>
      <c r="D12" s="84" t="s">
        <v>365</v>
      </c>
      <c r="E12" s="84" t="s">
        <v>336</v>
      </c>
      <c r="F12" s="84" t="s">
        <v>868</v>
      </c>
      <c r="G12" s="84">
        <v>4</v>
      </c>
      <c r="H12" s="194">
        <f>G12*$H$2</f>
        <v>220</v>
      </c>
      <c r="I12" s="84"/>
    </row>
    <row r="13" spans="1:9" x14ac:dyDescent="0.2">
      <c r="A13" s="84"/>
      <c r="B13" s="84" t="s">
        <v>491</v>
      </c>
      <c r="C13" s="84" t="s">
        <v>331</v>
      </c>
      <c r="D13" s="84" t="s">
        <v>357</v>
      </c>
      <c r="E13" s="84" t="s">
        <v>339</v>
      </c>
      <c r="F13" s="84"/>
      <c r="G13" s="84">
        <v>20</v>
      </c>
      <c r="H13" s="84"/>
      <c r="I13" s="84"/>
    </row>
    <row r="14" spans="1:9" x14ac:dyDescent="0.2">
      <c r="A14" s="84"/>
      <c r="B14" s="84" t="s">
        <v>448</v>
      </c>
      <c r="C14" s="84" t="s">
        <v>334</v>
      </c>
      <c r="D14" s="84" t="s">
        <v>357</v>
      </c>
      <c r="E14" s="84" t="s">
        <v>339</v>
      </c>
      <c r="F14" s="84" t="s">
        <v>866</v>
      </c>
      <c r="G14" s="84">
        <v>10</v>
      </c>
      <c r="H14" s="84"/>
      <c r="I14" s="84"/>
    </row>
    <row r="15" spans="1:9" x14ac:dyDescent="0.2">
      <c r="A15" s="84"/>
      <c r="B15" s="84" t="s">
        <v>447</v>
      </c>
      <c r="C15" s="84" t="s">
        <v>334</v>
      </c>
      <c r="D15" s="84" t="s">
        <v>357</v>
      </c>
      <c r="E15" s="84" t="s">
        <v>339</v>
      </c>
      <c r="F15" s="84" t="s">
        <v>866</v>
      </c>
      <c r="G15" s="84">
        <v>14</v>
      </c>
      <c r="H15" s="84"/>
      <c r="I15" s="84"/>
    </row>
    <row r="16" spans="1:9" x14ac:dyDescent="0.2">
      <c r="A16" s="84"/>
      <c r="B16" s="84" t="s">
        <v>493</v>
      </c>
      <c r="C16" s="84" t="s">
        <v>334</v>
      </c>
      <c r="D16" s="84" t="s">
        <v>357</v>
      </c>
      <c r="E16" s="84" t="s">
        <v>339</v>
      </c>
      <c r="F16" s="84" t="s">
        <v>866</v>
      </c>
      <c r="G16" s="84">
        <v>11</v>
      </c>
      <c r="H16" s="84"/>
      <c r="I16" s="84"/>
    </row>
    <row r="17" spans="1:9" x14ac:dyDescent="0.2">
      <c r="A17" s="84"/>
      <c r="B17" s="84" t="s">
        <v>517</v>
      </c>
      <c r="C17" s="84" t="s">
        <v>351</v>
      </c>
      <c r="D17" s="84" t="s">
        <v>352</v>
      </c>
      <c r="E17" s="84" t="s">
        <v>339</v>
      </c>
      <c r="F17" s="84"/>
      <c r="G17" s="84">
        <v>9</v>
      </c>
      <c r="H17" s="84"/>
      <c r="I17" s="84"/>
    </row>
    <row r="18" spans="1:9" x14ac:dyDescent="0.2">
      <c r="A18" s="84"/>
      <c r="B18" s="84" t="s">
        <v>518</v>
      </c>
      <c r="C18" s="84" t="s">
        <v>351</v>
      </c>
      <c r="D18" s="84" t="s">
        <v>352</v>
      </c>
      <c r="E18" s="84" t="s">
        <v>339</v>
      </c>
      <c r="F18" s="84"/>
      <c r="G18" s="84">
        <v>3</v>
      </c>
      <c r="H18" s="84"/>
      <c r="I18" s="84"/>
    </row>
    <row r="19" spans="1:9" x14ac:dyDescent="0.2">
      <c r="A19" s="84"/>
      <c r="B19" s="84" t="s">
        <v>519</v>
      </c>
      <c r="C19" s="84" t="s">
        <v>351</v>
      </c>
      <c r="D19" s="84" t="s">
        <v>352</v>
      </c>
      <c r="E19" s="84" t="s">
        <v>339</v>
      </c>
      <c r="F19" s="84"/>
      <c r="G19" s="84">
        <v>11</v>
      </c>
      <c r="H19" s="84"/>
      <c r="I19" s="84"/>
    </row>
    <row r="20" spans="1:9" x14ac:dyDescent="0.2">
      <c r="A20" s="84"/>
      <c r="B20" s="84" t="s">
        <v>520</v>
      </c>
      <c r="C20" s="84" t="s">
        <v>331</v>
      </c>
      <c r="D20" s="84" t="s">
        <v>357</v>
      </c>
      <c r="E20" s="84" t="s">
        <v>339</v>
      </c>
      <c r="F20" s="84"/>
      <c r="G20" s="84">
        <v>50</v>
      </c>
      <c r="H20" s="84"/>
      <c r="I20" s="84"/>
    </row>
    <row r="21" spans="1:9" x14ac:dyDescent="0.2">
      <c r="A21" s="84"/>
      <c r="B21" s="84" t="s">
        <v>521</v>
      </c>
      <c r="C21" s="84" t="s">
        <v>522</v>
      </c>
      <c r="D21" s="84" t="s">
        <v>346</v>
      </c>
      <c r="E21" s="84" t="s">
        <v>339</v>
      </c>
      <c r="F21" s="84" t="s">
        <v>866</v>
      </c>
      <c r="G21" s="84">
        <v>52</v>
      </c>
      <c r="H21" s="84"/>
      <c r="I21" s="84"/>
    </row>
    <row r="22" spans="1:9" x14ac:dyDescent="0.2">
      <c r="A22" s="84"/>
      <c r="B22" s="84" t="s">
        <v>523</v>
      </c>
      <c r="C22" s="84" t="s">
        <v>522</v>
      </c>
      <c r="D22" s="84" t="s">
        <v>357</v>
      </c>
      <c r="E22" s="84" t="s">
        <v>339</v>
      </c>
      <c r="F22" s="84" t="s">
        <v>866</v>
      </c>
      <c r="G22" s="84">
        <v>44</v>
      </c>
      <c r="H22" s="84"/>
      <c r="I22" s="84"/>
    </row>
    <row r="23" spans="1:9" x14ac:dyDescent="0.2">
      <c r="A23" s="84"/>
      <c r="B23" s="84" t="s">
        <v>506</v>
      </c>
      <c r="C23" s="84" t="s">
        <v>334</v>
      </c>
      <c r="D23" s="84" t="s">
        <v>365</v>
      </c>
      <c r="E23" s="84" t="s">
        <v>339</v>
      </c>
      <c r="F23" s="84" t="s">
        <v>866</v>
      </c>
      <c r="G23" s="84">
        <v>14</v>
      </c>
      <c r="H23" s="84"/>
      <c r="I23" s="84"/>
    </row>
    <row r="24" spans="1:9" x14ac:dyDescent="0.2">
      <c r="A24" s="84"/>
      <c r="B24" s="84" t="s">
        <v>508</v>
      </c>
      <c r="C24" s="84" t="s">
        <v>334</v>
      </c>
      <c r="D24" s="84" t="s">
        <v>346</v>
      </c>
      <c r="E24" s="84" t="s">
        <v>339</v>
      </c>
      <c r="F24" s="84" t="s">
        <v>866</v>
      </c>
      <c r="G24" s="84">
        <v>23</v>
      </c>
      <c r="H24" s="84"/>
      <c r="I24" s="84"/>
    </row>
    <row r="25" spans="1:9" x14ac:dyDescent="0.2">
      <c r="A25" s="84"/>
      <c r="B25" s="84" t="s">
        <v>524</v>
      </c>
      <c r="C25" s="84" t="s">
        <v>341</v>
      </c>
      <c r="D25" s="84" t="s">
        <v>352</v>
      </c>
      <c r="E25" s="84" t="s">
        <v>339</v>
      </c>
      <c r="F25" s="84"/>
      <c r="G25" s="84">
        <v>3</v>
      </c>
      <c r="H25" s="84"/>
      <c r="I25" s="84"/>
    </row>
    <row r="26" spans="1:9" x14ac:dyDescent="0.2">
      <c r="A26" s="84"/>
      <c r="B26" s="84" t="s">
        <v>525</v>
      </c>
      <c r="C26" s="84" t="s">
        <v>526</v>
      </c>
      <c r="D26" s="84" t="s">
        <v>346</v>
      </c>
      <c r="E26" s="84" t="s">
        <v>339</v>
      </c>
      <c r="F26" s="84" t="s">
        <v>866</v>
      </c>
      <c r="G26" s="84">
        <v>63</v>
      </c>
      <c r="H26" s="84"/>
      <c r="I26" s="84"/>
    </row>
    <row r="27" spans="1:9" x14ac:dyDescent="0.2">
      <c r="A27" s="84"/>
      <c r="B27" s="84" t="s">
        <v>527</v>
      </c>
      <c r="C27" s="84" t="s">
        <v>528</v>
      </c>
      <c r="D27" s="84" t="s">
        <v>346</v>
      </c>
      <c r="E27" s="84" t="s">
        <v>339</v>
      </c>
      <c r="F27" s="84" t="s">
        <v>866</v>
      </c>
      <c r="G27" s="84">
        <v>40</v>
      </c>
      <c r="H27" s="84"/>
      <c r="I27" s="84"/>
    </row>
    <row r="28" spans="1:9" x14ac:dyDescent="0.2">
      <c r="A28" s="84"/>
      <c r="B28" s="84" t="s">
        <v>510</v>
      </c>
      <c r="C28" s="84" t="s">
        <v>526</v>
      </c>
      <c r="D28" s="84" t="s">
        <v>346</v>
      </c>
      <c r="E28" s="84" t="s">
        <v>339</v>
      </c>
      <c r="F28" s="84" t="s">
        <v>866</v>
      </c>
      <c r="G28" s="84">
        <v>82</v>
      </c>
      <c r="H28" s="84"/>
      <c r="I28" s="84"/>
    </row>
    <row r="29" spans="1:9" x14ac:dyDescent="0.2">
      <c r="A29" s="84"/>
      <c r="B29" s="84" t="s">
        <v>509</v>
      </c>
      <c r="C29" s="84" t="s">
        <v>435</v>
      </c>
      <c r="D29" s="84" t="s">
        <v>357</v>
      </c>
      <c r="E29" s="84" t="s">
        <v>339</v>
      </c>
      <c r="F29" s="84" t="s">
        <v>866</v>
      </c>
      <c r="G29" s="84">
        <v>30</v>
      </c>
      <c r="H29" s="84"/>
      <c r="I29" s="84"/>
    </row>
    <row r="30" spans="1:9" x14ac:dyDescent="0.2">
      <c r="A30" s="84"/>
      <c r="B30" s="84" t="s">
        <v>529</v>
      </c>
      <c r="C30" s="84" t="s">
        <v>399</v>
      </c>
      <c r="D30" s="84" t="s">
        <v>357</v>
      </c>
      <c r="E30" s="84" t="s">
        <v>339</v>
      </c>
      <c r="F30" s="84"/>
      <c r="G30" s="84">
        <v>9</v>
      </c>
      <c r="H30" s="84"/>
      <c r="I30" s="84"/>
    </row>
    <row r="31" spans="1:9" x14ac:dyDescent="0.2">
      <c r="A31" s="84"/>
      <c r="B31" s="84" t="s">
        <v>530</v>
      </c>
      <c r="C31" s="84" t="s">
        <v>414</v>
      </c>
      <c r="D31" s="84" t="s">
        <v>352</v>
      </c>
      <c r="E31" s="84" t="s">
        <v>339</v>
      </c>
      <c r="F31" s="84" t="s">
        <v>866</v>
      </c>
      <c r="G31" s="84">
        <v>10</v>
      </c>
      <c r="H31" s="84"/>
      <c r="I31" s="84"/>
    </row>
    <row r="32" spans="1:9" x14ac:dyDescent="0.2">
      <c r="A32" s="84"/>
      <c r="B32" s="84" t="s">
        <v>531</v>
      </c>
      <c r="C32" s="84" t="s">
        <v>341</v>
      </c>
      <c r="D32" s="84" t="s">
        <v>352</v>
      </c>
      <c r="E32" s="84" t="s">
        <v>339</v>
      </c>
      <c r="F32" s="84"/>
      <c r="G32" s="84">
        <v>12</v>
      </c>
      <c r="H32" s="84"/>
      <c r="I32" s="84"/>
    </row>
    <row r="33" spans="1:9" x14ac:dyDescent="0.2">
      <c r="A33" s="84"/>
      <c r="B33" s="84" t="s">
        <v>511</v>
      </c>
      <c r="C33" s="84" t="s">
        <v>416</v>
      </c>
      <c r="D33" s="84" t="s">
        <v>352</v>
      </c>
      <c r="E33" s="84" t="s">
        <v>339</v>
      </c>
      <c r="F33" s="84" t="s">
        <v>866</v>
      </c>
      <c r="G33" s="84">
        <v>24</v>
      </c>
      <c r="H33" s="84"/>
      <c r="I33" s="84"/>
    </row>
    <row r="34" spans="1:9" x14ac:dyDescent="0.2">
      <c r="A34" s="84"/>
      <c r="B34" s="84" t="s">
        <v>507</v>
      </c>
      <c r="C34" s="84" t="s">
        <v>532</v>
      </c>
      <c r="D34" s="84" t="s">
        <v>352</v>
      </c>
      <c r="E34" s="84" t="s">
        <v>339</v>
      </c>
      <c r="F34" s="84" t="s">
        <v>866</v>
      </c>
      <c r="G34" s="84">
        <v>24</v>
      </c>
      <c r="H34" s="84"/>
      <c r="I34" s="84"/>
    </row>
    <row r="35" spans="1:9" x14ac:dyDescent="0.2">
      <c r="A35" s="84"/>
      <c r="B35" s="84" t="s">
        <v>533</v>
      </c>
      <c r="C35" s="84" t="s">
        <v>534</v>
      </c>
      <c r="D35" s="84" t="s">
        <v>342</v>
      </c>
      <c r="E35" s="84" t="s">
        <v>339</v>
      </c>
      <c r="F35" s="84"/>
      <c r="G35" s="84">
        <v>7</v>
      </c>
      <c r="H35" s="84"/>
      <c r="I35" s="84"/>
    </row>
    <row r="36" spans="1:9" ht="15" x14ac:dyDescent="0.25">
      <c r="A36" s="84" t="s">
        <v>354</v>
      </c>
      <c r="B36" s="146" t="s">
        <v>423</v>
      </c>
      <c r="C36" s="146" t="s">
        <v>331</v>
      </c>
      <c r="D36" s="146" t="s">
        <v>427</v>
      </c>
      <c r="E36" s="84" t="s">
        <v>427</v>
      </c>
      <c r="F36" s="84" t="s">
        <v>865</v>
      </c>
      <c r="G36" s="146" t="s">
        <v>440</v>
      </c>
      <c r="H36" s="84"/>
      <c r="I36" s="84"/>
    </row>
    <row r="37" spans="1:9" ht="15" x14ac:dyDescent="0.25">
      <c r="A37" s="84"/>
      <c r="B37" s="146" t="s">
        <v>422</v>
      </c>
      <c r="C37" s="146" t="s">
        <v>404</v>
      </c>
      <c r="D37" s="146" t="s">
        <v>427</v>
      </c>
      <c r="E37" s="84" t="s">
        <v>427</v>
      </c>
      <c r="F37" s="84" t="s">
        <v>865</v>
      </c>
      <c r="G37" s="84">
        <v>4</v>
      </c>
      <c r="H37" s="84"/>
      <c r="I37" s="84"/>
    </row>
    <row r="38" spans="1:9" ht="15" x14ac:dyDescent="0.25">
      <c r="A38" s="84"/>
      <c r="B38" s="146" t="s">
        <v>420</v>
      </c>
      <c r="C38" s="146" t="s">
        <v>444</v>
      </c>
      <c r="D38" s="146" t="s">
        <v>427</v>
      </c>
      <c r="E38" s="84" t="s">
        <v>427</v>
      </c>
      <c r="F38" s="84" t="s">
        <v>865</v>
      </c>
      <c r="G38" s="146" t="s">
        <v>440</v>
      </c>
      <c r="H38" s="84"/>
      <c r="I38" s="84"/>
    </row>
    <row r="39" spans="1:9" ht="15" x14ac:dyDescent="0.25">
      <c r="A39" s="84"/>
      <c r="B39" s="146" t="s">
        <v>432</v>
      </c>
      <c r="C39" s="146" t="s">
        <v>377</v>
      </c>
      <c r="D39" s="146" t="s">
        <v>427</v>
      </c>
      <c r="E39" s="84" t="s">
        <v>427</v>
      </c>
      <c r="F39" s="84" t="s">
        <v>865</v>
      </c>
      <c r="G39" s="146" t="s">
        <v>440</v>
      </c>
      <c r="H39" s="84"/>
      <c r="I39" s="84"/>
    </row>
    <row r="40" spans="1:9" ht="15" x14ac:dyDescent="0.25">
      <c r="A40" s="84"/>
      <c r="B40" s="146" t="s">
        <v>403</v>
      </c>
      <c r="C40" s="146" t="s">
        <v>331</v>
      </c>
      <c r="D40" s="146" t="s">
        <v>427</v>
      </c>
      <c r="E40" s="84" t="s">
        <v>427</v>
      </c>
      <c r="F40" s="84" t="s">
        <v>865</v>
      </c>
      <c r="G40" s="84">
        <v>8</v>
      </c>
      <c r="H40" s="84"/>
      <c r="I40" s="84"/>
    </row>
    <row r="41" spans="1:9" ht="15" x14ac:dyDescent="0.25">
      <c r="A41" s="84"/>
      <c r="B41" s="146" t="s">
        <v>407</v>
      </c>
      <c r="C41" s="146" t="s">
        <v>334</v>
      </c>
      <c r="D41" s="146" t="s">
        <v>427</v>
      </c>
      <c r="E41" s="84" t="s">
        <v>427</v>
      </c>
      <c r="F41" s="84" t="s">
        <v>865</v>
      </c>
      <c r="G41" s="84">
        <v>22</v>
      </c>
      <c r="H41" s="84"/>
      <c r="I41" s="84"/>
    </row>
    <row r="42" spans="1:9" ht="15" x14ac:dyDescent="0.25">
      <c r="A42" s="84"/>
      <c r="B42" s="146" t="s">
        <v>402</v>
      </c>
      <c r="C42" s="146" t="s">
        <v>331</v>
      </c>
      <c r="D42" s="146" t="s">
        <v>427</v>
      </c>
      <c r="E42" s="84" t="s">
        <v>427</v>
      </c>
      <c r="F42" s="84" t="s">
        <v>865</v>
      </c>
      <c r="G42" s="84">
        <v>44</v>
      </c>
      <c r="H42" s="84"/>
      <c r="I42" s="84"/>
    </row>
    <row r="43" spans="1:9" ht="15" x14ac:dyDescent="0.25">
      <c r="A43" s="84"/>
      <c r="B43" s="146" t="s">
        <v>411</v>
      </c>
      <c r="C43" s="146" t="s">
        <v>354</v>
      </c>
      <c r="D43" s="146" t="s">
        <v>427</v>
      </c>
      <c r="E43" s="84" t="s">
        <v>427</v>
      </c>
      <c r="F43" s="84" t="s">
        <v>865</v>
      </c>
      <c r="G43" s="84">
        <v>45</v>
      </c>
      <c r="H43" s="84"/>
      <c r="I43" s="84"/>
    </row>
    <row r="44" spans="1:9" ht="15" x14ac:dyDescent="0.25">
      <c r="A44" s="84"/>
      <c r="B44" s="146" t="s">
        <v>409</v>
      </c>
      <c r="C44" s="146" t="s">
        <v>341</v>
      </c>
      <c r="D44" s="146" t="s">
        <v>427</v>
      </c>
      <c r="E44" s="84" t="s">
        <v>427</v>
      </c>
      <c r="F44" s="84" t="s">
        <v>865</v>
      </c>
      <c r="G44" s="84">
        <v>5</v>
      </c>
      <c r="H44" s="84"/>
      <c r="I44" s="84"/>
    </row>
    <row r="45" spans="1:9" ht="15" x14ac:dyDescent="0.25">
      <c r="A45" s="84"/>
      <c r="B45" s="146" t="s">
        <v>415</v>
      </c>
      <c r="C45" s="146" t="s">
        <v>351</v>
      </c>
      <c r="D45" s="146" t="s">
        <v>427</v>
      </c>
      <c r="E45" s="84" t="s">
        <v>427</v>
      </c>
      <c r="F45" s="84" t="s">
        <v>865</v>
      </c>
      <c r="G45" s="84">
        <v>9</v>
      </c>
      <c r="H45" s="84"/>
      <c r="I45" s="84"/>
    </row>
    <row r="46" spans="1:9" ht="15" x14ac:dyDescent="0.25">
      <c r="A46" s="84"/>
      <c r="B46" s="146" t="s">
        <v>426</v>
      </c>
      <c r="C46" s="146" t="s">
        <v>354</v>
      </c>
      <c r="D46" s="146" t="s">
        <v>427</v>
      </c>
      <c r="E46" s="84" t="s">
        <v>427</v>
      </c>
      <c r="F46" s="84" t="s">
        <v>865</v>
      </c>
      <c r="G46" s="84">
        <v>45</v>
      </c>
      <c r="H46" s="84"/>
      <c r="I46" s="84"/>
    </row>
    <row r="47" spans="1:9" ht="15" x14ac:dyDescent="0.25">
      <c r="A47" s="84"/>
      <c r="B47" s="146" t="s">
        <v>413</v>
      </c>
      <c r="C47" s="146" t="s">
        <v>341</v>
      </c>
      <c r="D47" s="146" t="s">
        <v>427</v>
      </c>
      <c r="E47" s="84" t="s">
        <v>427</v>
      </c>
      <c r="F47" s="84" t="s">
        <v>865</v>
      </c>
      <c r="G47" s="84">
        <v>5</v>
      </c>
      <c r="H47" s="84"/>
      <c r="I47" s="84"/>
    </row>
    <row r="48" spans="1:9" ht="15" x14ac:dyDescent="0.25">
      <c r="A48" s="84"/>
      <c r="B48" s="146" t="s">
        <v>429</v>
      </c>
      <c r="C48" s="146" t="s">
        <v>331</v>
      </c>
      <c r="D48" s="146" t="s">
        <v>427</v>
      </c>
      <c r="E48" s="84" t="s">
        <v>427</v>
      </c>
      <c r="F48" s="84" t="s">
        <v>865</v>
      </c>
      <c r="G48" s="84">
        <v>5</v>
      </c>
      <c r="H48" s="84"/>
      <c r="I48" s="84"/>
    </row>
    <row r="49" spans="1:9" ht="15" x14ac:dyDescent="0.25">
      <c r="A49" s="84"/>
      <c r="B49" s="146" t="s">
        <v>430</v>
      </c>
      <c r="C49" s="146" t="s">
        <v>354</v>
      </c>
      <c r="D49" s="146" t="s">
        <v>427</v>
      </c>
      <c r="E49" s="84" t="s">
        <v>427</v>
      </c>
      <c r="F49" s="84" t="s">
        <v>865</v>
      </c>
      <c r="G49" s="84">
        <v>48</v>
      </c>
      <c r="H49" s="84"/>
      <c r="I49" s="84"/>
    </row>
    <row r="50" spans="1:9" ht="15" x14ac:dyDescent="0.25">
      <c r="A50" s="84"/>
      <c r="B50" s="146" t="s">
        <v>418</v>
      </c>
      <c r="C50" s="146" t="s">
        <v>341</v>
      </c>
      <c r="D50" s="146" t="s">
        <v>427</v>
      </c>
      <c r="E50" s="84" t="s">
        <v>427</v>
      </c>
      <c r="F50" s="84" t="s">
        <v>865</v>
      </c>
      <c r="G50" s="84">
        <v>8</v>
      </c>
      <c r="H50" s="84"/>
      <c r="I50" s="84"/>
    </row>
    <row r="51" spans="1:9" ht="15" x14ac:dyDescent="0.25">
      <c r="A51" s="84"/>
      <c r="B51" s="146" t="s">
        <v>417</v>
      </c>
      <c r="C51" s="146" t="s">
        <v>341</v>
      </c>
      <c r="D51" s="146" t="s">
        <v>427</v>
      </c>
      <c r="E51" s="84" t="s">
        <v>427</v>
      </c>
      <c r="F51" s="84" t="s">
        <v>865</v>
      </c>
      <c r="G51" s="84">
        <v>7</v>
      </c>
      <c r="H51" s="84"/>
      <c r="I51" s="84"/>
    </row>
    <row r="52" spans="1:9" ht="15" x14ac:dyDescent="0.25">
      <c r="A52" s="84"/>
      <c r="B52" s="146" t="s">
        <v>431</v>
      </c>
      <c r="C52" s="146" t="s">
        <v>535</v>
      </c>
      <c r="D52" s="146" t="s">
        <v>427</v>
      </c>
      <c r="E52" s="84" t="s">
        <v>427</v>
      </c>
      <c r="F52" s="84" t="s">
        <v>865</v>
      </c>
      <c r="G52" s="84">
        <v>4</v>
      </c>
      <c r="H52" s="84"/>
      <c r="I52" s="84"/>
    </row>
    <row r="53" spans="1:9" ht="15" x14ac:dyDescent="0.25">
      <c r="A53" s="84"/>
      <c r="B53" s="146" t="s">
        <v>419</v>
      </c>
      <c r="C53" s="146" t="s">
        <v>444</v>
      </c>
      <c r="D53" s="146" t="s">
        <v>427</v>
      </c>
      <c r="E53" s="84" t="s">
        <v>427</v>
      </c>
      <c r="F53" s="84" t="s">
        <v>865</v>
      </c>
      <c r="G53" s="84">
        <v>3</v>
      </c>
      <c r="H53" s="84"/>
      <c r="I53" s="84"/>
    </row>
    <row r="54" spans="1:9" x14ac:dyDescent="0.2">
      <c r="A54" s="84" t="s">
        <v>536</v>
      </c>
      <c r="B54" s="84" t="s">
        <v>484</v>
      </c>
      <c r="C54" s="84" t="s">
        <v>331</v>
      </c>
      <c r="D54" s="84" t="s">
        <v>359</v>
      </c>
      <c r="E54" s="84" t="s">
        <v>336</v>
      </c>
      <c r="F54" s="84" t="s">
        <v>337</v>
      </c>
      <c r="G54" s="84">
        <v>9</v>
      </c>
      <c r="H54" s="84" t="s">
        <v>855</v>
      </c>
      <c r="I54" s="84"/>
    </row>
    <row r="55" spans="1:9" x14ac:dyDescent="0.2">
      <c r="A55" s="84"/>
      <c r="B55" s="84" t="s">
        <v>483</v>
      </c>
      <c r="C55" s="84" t="s">
        <v>341</v>
      </c>
      <c r="D55" s="84" t="s">
        <v>342</v>
      </c>
      <c r="E55" s="84" t="s">
        <v>336</v>
      </c>
      <c r="F55" s="84" t="s">
        <v>337</v>
      </c>
      <c r="G55" s="84">
        <v>6</v>
      </c>
      <c r="H55" s="84" t="s">
        <v>855</v>
      </c>
      <c r="I55" s="84"/>
    </row>
    <row r="56" spans="1:9" x14ac:dyDescent="0.2">
      <c r="A56" s="84"/>
      <c r="B56" s="84" t="s">
        <v>481</v>
      </c>
      <c r="C56" s="84" t="s">
        <v>537</v>
      </c>
      <c r="D56" s="84" t="s">
        <v>359</v>
      </c>
      <c r="E56" s="84" t="s">
        <v>336</v>
      </c>
      <c r="F56" s="84" t="s">
        <v>337</v>
      </c>
      <c r="G56" s="84">
        <v>62</v>
      </c>
      <c r="H56" s="84" t="s">
        <v>855</v>
      </c>
      <c r="I56" s="84"/>
    </row>
    <row r="57" spans="1:9" x14ac:dyDescent="0.2">
      <c r="F57" t="s">
        <v>835</v>
      </c>
      <c r="G57">
        <f>SUM(G3:G56)</f>
        <v>1051</v>
      </c>
    </row>
    <row r="58" spans="1:9" x14ac:dyDescent="0.2">
      <c r="F58" s="147" t="s">
        <v>877</v>
      </c>
      <c r="H58" s="68">
        <f>SUM(H3:H56)</f>
        <v>2310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265D1D-98DB-41D1-9814-FEC1BB177283}">
  <sheetPr>
    <tabColor rgb="FF92D050"/>
  </sheetPr>
  <dimension ref="A1:AD67"/>
  <sheetViews>
    <sheetView zoomScale="90" zoomScaleNormal="90" workbookViewId="0"/>
  </sheetViews>
  <sheetFormatPr defaultRowHeight="14.25" x14ac:dyDescent="0.2"/>
  <cols>
    <col min="1" max="1" width="35.125" customWidth="1"/>
    <col min="2" max="2" width="2" customWidth="1"/>
    <col min="3" max="3" width="11.5" customWidth="1"/>
    <col min="4" max="4" width="7.5" customWidth="1"/>
    <col min="5" max="5" width="6.625" customWidth="1"/>
    <col min="6" max="6" width="3.25" customWidth="1"/>
    <col min="7" max="7" width="6.5" customWidth="1"/>
    <col min="8" max="8" width="6.375" customWidth="1"/>
    <col min="9" max="9" width="8.125" customWidth="1"/>
    <col min="10" max="10" width="5.875" bestFit="1" customWidth="1"/>
    <col min="11" max="11" width="7.875" customWidth="1"/>
    <col min="12" max="12" width="5.875" bestFit="1" customWidth="1"/>
    <col min="13" max="13" width="7.625" customWidth="1"/>
    <col min="14" max="14" width="5.875" bestFit="1" customWidth="1"/>
    <col min="15" max="15" width="6.625" customWidth="1"/>
    <col min="16" max="16" width="5.25" customWidth="1"/>
    <col min="17" max="17" width="7" customWidth="1"/>
    <col min="18" max="18" width="3.25" customWidth="1"/>
    <col min="19" max="19" width="7.5" customWidth="1"/>
    <col min="20" max="20" width="6.875" customWidth="1"/>
    <col min="21" max="21" width="6.25" customWidth="1"/>
    <col min="22" max="22" width="3.25" customWidth="1"/>
    <col min="23" max="23" width="5.25" customWidth="1"/>
    <col min="24" max="24" width="6.125" customWidth="1"/>
    <col min="25" max="25" width="6" customWidth="1"/>
    <col min="26" max="26" width="3.25" customWidth="1"/>
    <col min="27" max="27" width="8.25" customWidth="1"/>
    <col min="28" max="28" width="8.125" customWidth="1"/>
    <col min="29" max="29" width="5" customWidth="1"/>
  </cols>
  <sheetData>
    <row r="1" spans="1:30" x14ac:dyDescent="0.2">
      <c r="A1" s="96" t="s">
        <v>777</v>
      </c>
      <c r="B1" s="70"/>
      <c r="C1" s="70"/>
      <c r="D1" s="70" t="s">
        <v>763</v>
      </c>
      <c r="E1" s="70"/>
      <c r="F1" s="70"/>
      <c r="G1" s="70" t="s">
        <v>764</v>
      </c>
      <c r="H1" s="70"/>
      <c r="I1" s="70"/>
      <c r="J1" s="217" t="s">
        <v>772</v>
      </c>
      <c r="K1" s="217"/>
      <c r="L1" s="217"/>
      <c r="M1" s="217"/>
      <c r="N1" s="217"/>
    </row>
    <row r="2" spans="1:30" x14ac:dyDescent="0.2">
      <c r="A2" s="70"/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30" x14ac:dyDescent="0.2">
      <c r="A3" s="214" t="s">
        <v>773</v>
      </c>
      <c r="B3" s="214"/>
      <c r="C3" s="70"/>
      <c r="D3" s="93">
        <v>46526</v>
      </c>
      <c r="E3" s="70"/>
      <c r="F3" s="70"/>
      <c r="G3" s="77">
        <f>D3/D7*100</f>
        <v>53.488612717427543</v>
      </c>
      <c r="H3" s="70" t="s">
        <v>158</v>
      </c>
      <c r="I3" s="71" t="s">
        <v>774</v>
      </c>
      <c r="J3" s="111">
        <v>18830</v>
      </c>
      <c r="K3" s="71" t="s">
        <v>775</v>
      </c>
      <c r="L3" s="111">
        <v>11372</v>
      </c>
      <c r="M3" s="71" t="s">
        <v>776</v>
      </c>
      <c r="N3" s="111">
        <v>16324</v>
      </c>
    </row>
    <row r="4" spans="1:30" x14ac:dyDescent="0.2">
      <c r="A4" s="215" t="s">
        <v>766</v>
      </c>
      <c r="B4" s="215"/>
      <c r="C4" s="70"/>
      <c r="D4" s="93">
        <v>37856</v>
      </c>
      <c r="E4" s="70"/>
      <c r="F4" s="70"/>
      <c r="G4" s="78">
        <f>D4/D7*100</f>
        <v>43.521147810491705</v>
      </c>
      <c r="H4" s="70" t="s">
        <v>158</v>
      </c>
      <c r="I4" s="71" t="s">
        <v>774</v>
      </c>
      <c r="J4" s="112">
        <v>13296</v>
      </c>
      <c r="K4" s="71" t="s">
        <v>775</v>
      </c>
      <c r="L4" s="112">
        <v>11368</v>
      </c>
      <c r="M4" s="71" t="s">
        <v>776</v>
      </c>
      <c r="N4" s="112">
        <v>13192</v>
      </c>
    </row>
    <row r="5" spans="1:30" x14ac:dyDescent="0.2">
      <c r="A5" s="216" t="s">
        <v>767</v>
      </c>
      <c r="B5" s="216"/>
      <c r="C5" s="70"/>
      <c r="D5" s="93">
        <v>2601</v>
      </c>
      <c r="E5" s="70"/>
      <c r="F5" s="70"/>
      <c r="G5" s="79">
        <f>D5/D7*100</f>
        <v>2.9902394720807512</v>
      </c>
      <c r="H5" s="70" t="s">
        <v>158</v>
      </c>
      <c r="I5" s="71" t="s">
        <v>774</v>
      </c>
      <c r="J5" s="113">
        <v>1269</v>
      </c>
      <c r="K5" s="71" t="s">
        <v>775</v>
      </c>
      <c r="L5" s="113">
        <v>730</v>
      </c>
      <c r="M5" s="71" t="s">
        <v>776</v>
      </c>
      <c r="N5" s="113">
        <v>602</v>
      </c>
    </row>
    <row r="6" spans="1:30" x14ac:dyDescent="0.2">
      <c r="A6" s="70"/>
      <c r="B6" s="70"/>
      <c r="C6" s="70"/>
      <c r="D6" s="93"/>
      <c r="E6" s="70"/>
      <c r="F6" s="70"/>
      <c r="G6" s="70"/>
      <c r="H6" s="70"/>
      <c r="I6" s="70"/>
      <c r="J6" s="70"/>
      <c r="K6" s="70"/>
      <c r="L6" s="70"/>
      <c r="M6" s="70"/>
      <c r="N6" s="70"/>
    </row>
    <row r="7" spans="1:30" x14ac:dyDescent="0.2">
      <c r="A7" s="217" t="s">
        <v>312</v>
      </c>
      <c r="B7" s="217"/>
      <c r="C7" s="70"/>
      <c r="D7" s="93">
        <f>+D3+D4+D5</f>
        <v>86983</v>
      </c>
      <c r="E7" s="70"/>
      <c r="F7" s="70"/>
      <c r="G7" s="74" t="s">
        <v>319</v>
      </c>
      <c r="H7" s="70"/>
      <c r="I7" s="71" t="s">
        <v>774</v>
      </c>
      <c r="J7" s="70">
        <f>SUM(J3:J5)</f>
        <v>33395</v>
      </c>
      <c r="K7" s="71" t="s">
        <v>775</v>
      </c>
      <c r="L7" s="70">
        <f>SUM(L3:L5)</f>
        <v>23470</v>
      </c>
      <c r="M7" s="71" t="s">
        <v>776</v>
      </c>
      <c r="N7" s="70">
        <f>SUM(N3:N5)</f>
        <v>30118</v>
      </c>
    </row>
    <row r="10" spans="1:30" ht="137.25" customHeight="1" x14ac:dyDescent="0.25">
      <c r="A10" s="96" t="s">
        <v>307</v>
      </c>
      <c r="D10" s="102" t="s">
        <v>97</v>
      </c>
      <c r="G10" s="103"/>
      <c r="H10" s="102" t="s">
        <v>98</v>
      </c>
      <c r="L10" s="102" t="s">
        <v>99</v>
      </c>
      <c r="P10" s="102" t="s">
        <v>100</v>
      </c>
      <c r="T10" s="102" t="s">
        <v>101</v>
      </c>
      <c r="X10" s="104" t="s">
        <v>102</v>
      </c>
      <c r="AB10" s="104" t="s">
        <v>103</v>
      </c>
      <c r="AD10" s="108" t="s">
        <v>104</v>
      </c>
    </row>
    <row r="11" spans="1:30" x14ac:dyDescent="0.2">
      <c r="A11" s="84"/>
      <c r="B11" s="84"/>
      <c r="C11" s="84" t="s">
        <v>105</v>
      </c>
      <c r="D11" s="84" t="s">
        <v>106</v>
      </c>
      <c r="E11" s="84" t="s">
        <v>107</v>
      </c>
      <c r="F11" s="84"/>
      <c r="G11" s="84" t="s">
        <v>105</v>
      </c>
      <c r="H11" s="84" t="s">
        <v>106</v>
      </c>
      <c r="I11" s="84" t="s">
        <v>107</v>
      </c>
      <c r="J11" s="84"/>
      <c r="K11" s="84" t="s">
        <v>105</v>
      </c>
      <c r="L11" s="84" t="s">
        <v>106</v>
      </c>
      <c r="M11" s="84" t="s">
        <v>107</v>
      </c>
      <c r="N11" s="84"/>
      <c r="O11" s="84" t="s">
        <v>105</v>
      </c>
      <c r="P11" s="84" t="s">
        <v>106</v>
      </c>
      <c r="Q11" s="84" t="s">
        <v>107</v>
      </c>
      <c r="R11" s="84"/>
      <c r="S11" s="84" t="s">
        <v>105</v>
      </c>
      <c r="T11" s="84" t="s">
        <v>106</v>
      </c>
      <c r="U11" s="84" t="s">
        <v>107</v>
      </c>
      <c r="V11" s="84"/>
      <c r="W11" s="84" t="s">
        <v>105</v>
      </c>
      <c r="X11" s="84" t="s">
        <v>106</v>
      </c>
      <c r="Y11" s="84" t="s">
        <v>107</v>
      </c>
      <c r="Z11" s="84"/>
      <c r="AA11" s="84" t="s">
        <v>105</v>
      </c>
      <c r="AB11" s="84" t="s">
        <v>106</v>
      </c>
      <c r="AC11" s="84" t="s">
        <v>107</v>
      </c>
      <c r="AD11" s="84"/>
    </row>
    <row r="12" spans="1:30" ht="43.5" customHeight="1" x14ac:dyDescent="0.2">
      <c r="A12" s="94" t="s">
        <v>108</v>
      </c>
      <c r="B12" s="84"/>
      <c r="C12" s="109" t="s">
        <v>109</v>
      </c>
      <c r="D12" s="109" t="s">
        <v>109</v>
      </c>
      <c r="E12" s="109" t="s">
        <v>109</v>
      </c>
      <c r="F12" s="109"/>
      <c r="G12" s="109" t="s">
        <v>109</v>
      </c>
      <c r="H12" s="109" t="s">
        <v>109</v>
      </c>
      <c r="I12" s="109" t="s">
        <v>109</v>
      </c>
      <c r="J12" s="109"/>
      <c r="K12" s="109" t="s">
        <v>109</v>
      </c>
      <c r="L12" s="109" t="s">
        <v>109</v>
      </c>
      <c r="M12" s="109" t="s">
        <v>109</v>
      </c>
      <c r="N12" s="109"/>
      <c r="O12" s="109" t="s">
        <v>109</v>
      </c>
      <c r="P12" s="109" t="s">
        <v>109</v>
      </c>
      <c r="Q12" s="109" t="s">
        <v>109</v>
      </c>
      <c r="R12" s="109"/>
      <c r="S12" s="109" t="s">
        <v>109</v>
      </c>
      <c r="T12" s="109" t="s">
        <v>109</v>
      </c>
      <c r="U12" s="109" t="s">
        <v>109</v>
      </c>
      <c r="V12" s="109"/>
      <c r="W12" s="109" t="s">
        <v>109</v>
      </c>
      <c r="X12" s="109" t="s">
        <v>109</v>
      </c>
      <c r="Y12" s="109" t="s">
        <v>109</v>
      </c>
      <c r="Z12" s="109"/>
      <c r="AA12" s="109" t="s">
        <v>109</v>
      </c>
      <c r="AB12" s="109" t="s">
        <v>109</v>
      </c>
      <c r="AC12" s="109" t="s">
        <v>109</v>
      </c>
      <c r="AD12" s="87">
        <f>(21/21)*100</f>
        <v>100</v>
      </c>
    </row>
    <row r="13" spans="1:30" ht="48.75" customHeight="1" x14ac:dyDescent="0.2">
      <c r="A13" s="94" t="s">
        <v>110</v>
      </c>
      <c r="B13" s="84"/>
      <c r="C13" s="109"/>
      <c r="D13" s="109" t="s">
        <v>111</v>
      </c>
      <c r="E13" s="109" t="s">
        <v>112</v>
      </c>
      <c r="F13" s="109"/>
      <c r="G13" s="109" t="s">
        <v>113</v>
      </c>
      <c r="H13" s="84"/>
      <c r="I13" s="109" t="s">
        <v>954</v>
      </c>
      <c r="J13" s="109"/>
      <c r="K13" s="109" t="s">
        <v>114</v>
      </c>
      <c r="L13" s="109"/>
      <c r="M13" s="109"/>
      <c r="N13" s="109"/>
      <c r="O13" s="109"/>
      <c r="P13" s="109" t="s">
        <v>115</v>
      </c>
      <c r="Q13" s="109"/>
      <c r="R13" s="109"/>
      <c r="S13" s="109" t="s">
        <v>116</v>
      </c>
      <c r="T13" s="109"/>
      <c r="U13" s="109" t="s">
        <v>117</v>
      </c>
      <c r="V13" s="109"/>
      <c r="W13" s="109"/>
      <c r="X13" s="109"/>
      <c r="Y13" s="109"/>
      <c r="Z13" s="109"/>
      <c r="AA13" s="109"/>
      <c r="AB13" s="109"/>
      <c r="AC13" s="109"/>
      <c r="AD13" s="87">
        <f>(8/21)*100</f>
        <v>38.095238095238095</v>
      </c>
    </row>
    <row r="14" spans="1:30" ht="36" customHeight="1" x14ac:dyDescent="0.2">
      <c r="A14" s="94" t="s">
        <v>118</v>
      </c>
      <c r="B14" s="84"/>
      <c r="C14" s="109" t="s">
        <v>955</v>
      </c>
      <c r="D14" s="109"/>
      <c r="E14" s="109" t="s">
        <v>956</v>
      </c>
      <c r="F14" s="109"/>
      <c r="G14" s="109" t="s">
        <v>957</v>
      </c>
      <c r="H14" s="109"/>
      <c r="I14" s="109" t="s">
        <v>958</v>
      </c>
      <c r="J14" s="109"/>
      <c r="K14" s="109" t="s">
        <v>959</v>
      </c>
      <c r="L14" s="109"/>
      <c r="M14" s="109" t="s">
        <v>119</v>
      </c>
      <c r="N14" s="109"/>
      <c r="O14" s="109"/>
      <c r="P14" s="109" t="s">
        <v>120</v>
      </c>
      <c r="Q14" s="109"/>
      <c r="R14" s="109"/>
      <c r="S14" s="109"/>
      <c r="T14" s="109"/>
      <c r="U14" s="109" t="s">
        <v>117</v>
      </c>
      <c r="V14" s="109"/>
      <c r="W14" s="109"/>
      <c r="X14" s="109"/>
      <c r="Y14" s="109"/>
      <c r="Z14" s="109"/>
      <c r="AA14" s="109"/>
      <c r="AB14" s="109"/>
      <c r="AC14" s="109"/>
      <c r="AD14" s="87">
        <f>(8/21)*100</f>
        <v>38.095238095238095</v>
      </c>
    </row>
    <row r="15" spans="1:30" ht="38.25" customHeight="1" x14ac:dyDescent="0.2">
      <c r="A15" s="94" t="s">
        <v>121</v>
      </c>
      <c r="B15" s="84"/>
      <c r="C15" s="109"/>
      <c r="D15" s="109" t="s">
        <v>111</v>
      </c>
      <c r="E15" s="109" t="s">
        <v>960</v>
      </c>
      <c r="F15" s="109"/>
      <c r="G15" s="109"/>
      <c r="H15" s="109" t="s">
        <v>122</v>
      </c>
      <c r="I15" s="109" t="s">
        <v>123</v>
      </c>
      <c r="J15" s="109"/>
      <c r="K15" s="109" t="s">
        <v>961</v>
      </c>
      <c r="L15" s="109"/>
      <c r="M15" s="109" t="s">
        <v>962</v>
      </c>
      <c r="N15" s="109"/>
      <c r="O15" s="109" t="s">
        <v>963</v>
      </c>
      <c r="P15" s="109" t="s">
        <v>964</v>
      </c>
      <c r="Q15" s="109" t="s">
        <v>965</v>
      </c>
      <c r="R15" s="109"/>
      <c r="S15" s="109" t="s">
        <v>124</v>
      </c>
      <c r="T15" s="109"/>
      <c r="U15" s="109" t="s">
        <v>125</v>
      </c>
      <c r="V15" s="109"/>
      <c r="W15" s="109"/>
      <c r="X15" s="109"/>
      <c r="Y15" s="109"/>
      <c r="Z15" s="109"/>
      <c r="AA15" s="109"/>
      <c r="AB15" s="109"/>
      <c r="AC15" s="109"/>
      <c r="AD15" s="87">
        <f>(11/21)*100</f>
        <v>52.380952380952387</v>
      </c>
    </row>
    <row r="16" spans="1:30" ht="47.25" customHeight="1" x14ac:dyDescent="0.2">
      <c r="A16" s="94" t="s">
        <v>966</v>
      </c>
      <c r="B16" s="84"/>
      <c r="C16" s="109" t="s">
        <v>109</v>
      </c>
      <c r="D16" s="109" t="s">
        <v>109</v>
      </c>
      <c r="E16" s="109" t="s">
        <v>109</v>
      </c>
      <c r="F16" s="109"/>
      <c r="G16" s="109" t="s">
        <v>109</v>
      </c>
      <c r="H16" s="109" t="s">
        <v>109</v>
      </c>
      <c r="I16" s="109" t="s">
        <v>109</v>
      </c>
      <c r="J16" s="109"/>
      <c r="K16" s="109" t="s">
        <v>109</v>
      </c>
      <c r="L16" s="109" t="s">
        <v>109</v>
      </c>
      <c r="M16" s="109" t="s">
        <v>109</v>
      </c>
      <c r="N16" s="109"/>
      <c r="O16" s="109" t="s">
        <v>109</v>
      </c>
      <c r="P16" s="109" t="s">
        <v>109</v>
      </c>
      <c r="Q16" s="109" t="s">
        <v>109</v>
      </c>
      <c r="R16" s="109"/>
      <c r="S16" s="109" t="s">
        <v>109</v>
      </c>
      <c r="T16" s="109" t="s">
        <v>109</v>
      </c>
      <c r="U16" s="109" t="s">
        <v>109</v>
      </c>
      <c r="V16" s="109"/>
      <c r="W16" s="109" t="s">
        <v>109</v>
      </c>
      <c r="X16" s="109" t="s">
        <v>109</v>
      </c>
      <c r="Y16" s="109" t="s">
        <v>109</v>
      </c>
      <c r="Z16" s="109"/>
      <c r="AA16" s="109" t="s">
        <v>109</v>
      </c>
      <c r="AB16" s="109" t="s">
        <v>109</v>
      </c>
      <c r="AC16" s="109" t="s">
        <v>109</v>
      </c>
      <c r="AD16" s="87">
        <f t="shared" ref="AD16:AD36" si="0">(21/21)*100</f>
        <v>100</v>
      </c>
    </row>
    <row r="17" spans="1:30" ht="45.75" customHeight="1" x14ac:dyDescent="0.2">
      <c r="A17" s="94" t="s">
        <v>967</v>
      </c>
      <c r="B17" s="84"/>
      <c r="C17" s="109" t="s">
        <v>109</v>
      </c>
      <c r="D17" s="109" t="s">
        <v>109</v>
      </c>
      <c r="E17" s="109" t="s">
        <v>109</v>
      </c>
      <c r="F17" s="109"/>
      <c r="G17" s="109" t="s">
        <v>109</v>
      </c>
      <c r="H17" s="109" t="s">
        <v>109</v>
      </c>
      <c r="I17" s="109" t="s">
        <v>109</v>
      </c>
      <c r="J17" s="109"/>
      <c r="K17" s="109" t="s">
        <v>109</v>
      </c>
      <c r="L17" s="109" t="s">
        <v>109</v>
      </c>
      <c r="M17" s="109" t="s">
        <v>109</v>
      </c>
      <c r="N17" s="109"/>
      <c r="O17" s="109" t="s">
        <v>109</v>
      </c>
      <c r="P17" s="109" t="s">
        <v>109</v>
      </c>
      <c r="Q17" s="109" t="s">
        <v>109</v>
      </c>
      <c r="R17" s="109"/>
      <c r="S17" s="109" t="s">
        <v>109</v>
      </c>
      <c r="T17" s="109" t="s">
        <v>109</v>
      </c>
      <c r="U17" s="109" t="s">
        <v>109</v>
      </c>
      <c r="V17" s="109"/>
      <c r="W17" s="109" t="s">
        <v>109</v>
      </c>
      <c r="X17" s="109" t="s">
        <v>109</v>
      </c>
      <c r="Y17" s="109" t="s">
        <v>109</v>
      </c>
      <c r="Z17" s="109"/>
      <c r="AA17" s="109" t="s">
        <v>109</v>
      </c>
      <c r="AB17" s="109" t="s">
        <v>109</v>
      </c>
      <c r="AC17" s="109" t="s">
        <v>109</v>
      </c>
      <c r="AD17" s="87">
        <f t="shared" si="0"/>
        <v>100</v>
      </c>
    </row>
    <row r="18" spans="1:30" ht="58.5" customHeight="1" x14ac:dyDescent="0.2">
      <c r="A18" s="94" t="s">
        <v>126</v>
      </c>
      <c r="B18" s="84"/>
      <c r="C18" s="109"/>
      <c r="D18" s="109" t="s">
        <v>111</v>
      </c>
      <c r="E18" s="109"/>
      <c r="F18" s="109"/>
      <c r="G18" s="109" t="s">
        <v>968</v>
      </c>
      <c r="H18" s="109"/>
      <c r="I18" s="109"/>
      <c r="J18" s="109"/>
      <c r="K18" s="109" t="s">
        <v>116</v>
      </c>
      <c r="L18" s="109"/>
      <c r="M18" s="109" t="s">
        <v>962</v>
      </c>
      <c r="N18" s="109"/>
      <c r="O18" s="109" t="s">
        <v>127</v>
      </c>
      <c r="P18" s="109"/>
      <c r="Q18" s="109"/>
      <c r="R18" s="109"/>
      <c r="S18" s="109"/>
      <c r="T18" s="95" t="s">
        <v>969</v>
      </c>
      <c r="U18" s="109"/>
      <c r="V18" s="109"/>
      <c r="W18" s="109"/>
      <c r="X18" s="109"/>
      <c r="Y18" s="109"/>
      <c r="Z18" s="109"/>
      <c r="AA18" s="109"/>
      <c r="AB18" s="109"/>
      <c r="AC18" s="109"/>
      <c r="AD18" s="87">
        <f>(6/21)*100</f>
        <v>28.571428571428569</v>
      </c>
    </row>
    <row r="19" spans="1:30" ht="45" customHeight="1" x14ac:dyDescent="0.2">
      <c r="A19" s="94" t="s">
        <v>128</v>
      </c>
      <c r="B19" s="84"/>
      <c r="C19" s="109" t="s">
        <v>109</v>
      </c>
      <c r="D19" s="109" t="s">
        <v>109</v>
      </c>
      <c r="E19" s="109" t="s">
        <v>109</v>
      </c>
      <c r="F19" s="109"/>
      <c r="G19" s="109" t="s">
        <v>109</v>
      </c>
      <c r="H19" s="109" t="s">
        <v>109</v>
      </c>
      <c r="I19" s="109" t="s">
        <v>109</v>
      </c>
      <c r="J19" s="109"/>
      <c r="K19" s="109" t="s">
        <v>109</v>
      </c>
      <c r="L19" s="109" t="s">
        <v>109</v>
      </c>
      <c r="M19" s="109" t="s">
        <v>109</v>
      </c>
      <c r="N19" s="109"/>
      <c r="O19" s="109" t="s">
        <v>109</v>
      </c>
      <c r="P19" s="109" t="s">
        <v>109</v>
      </c>
      <c r="Q19" s="109" t="s">
        <v>109</v>
      </c>
      <c r="R19" s="109"/>
      <c r="S19" s="109" t="s">
        <v>109</v>
      </c>
      <c r="T19" s="109" t="s">
        <v>109</v>
      </c>
      <c r="U19" s="109" t="s">
        <v>109</v>
      </c>
      <c r="V19" s="109"/>
      <c r="W19" s="109" t="s">
        <v>109</v>
      </c>
      <c r="X19" s="109" t="s">
        <v>109</v>
      </c>
      <c r="Y19" s="109" t="s">
        <v>109</v>
      </c>
      <c r="Z19" s="109"/>
      <c r="AA19" s="109" t="s">
        <v>109</v>
      </c>
      <c r="AB19" s="109" t="s">
        <v>109</v>
      </c>
      <c r="AC19" s="109" t="s">
        <v>109</v>
      </c>
      <c r="AD19" s="87">
        <f t="shared" si="0"/>
        <v>100</v>
      </c>
    </row>
    <row r="20" spans="1:30" ht="48.75" customHeight="1" x14ac:dyDescent="0.2">
      <c r="A20" s="94" t="s">
        <v>970</v>
      </c>
      <c r="B20" s="84"/>
      <c r="C20" s="109" t="s">
        <v>109</v>
      </c>
      <c r="D20" s="109" t="s">
        <v>109</v>
      </c>
      <c r="E20" s="109" t="s">
        <v>109</v>
      </c>
      <c r="F20" s="109"/>
      <c r="G20" s="109" t="s">
        <v>109</v>
      </c>
      <c r="H20" s="109" t="s">
        <v>109</v>
      </c>
      <c r="I20" s="109" t="s">
        <v>109</v>
      </c>
      <c r="J20" s="109"/>
      <c r="K20" s="109" t="s">
        <v>109</v>
      </c>
      <c r="L20" s="109" t="s">
        <v>109</v>
      </c>
      <c r="M20" s="109" t="s">
        <v>109</v>
      </c>
      <c r="N20" s="109"/>
      <c r="O20" s="109" t="s">
        <v>109</v>
      </c>
      <c r="P20" s="109" t="s">
        <v>109</v>
      </c>
      <c r="Q20" s="109" t="s">
        <v>109</v>
      </c>
      <c r="R20" s="109"/>
      <c r="S20" s="109" t="s">
        <v>109</v>
      </c>
      <c r="T20" s="109" t="s">
        <v>109</v>
      </c>
      <c r="U20" s="109" t="s">
        <v>109</v>
      </c>
      <c r="V20" s="109"/>
      <c r="W20" s="109" t="s">
        <v>109</v>
      </c>
      <c r="X20" s="109" t="s">
        <v>109</v>
      </c>
      <c r="Y20" s="109" t="s">
        <v>109</v>
      </c>
      <c r="Z20" s="109"/>
      <c r="AA20" s="109" t="s">
        <v>109</v>
      </c>
      <c r="AB20" s="109" t="s">
        <v>109</v>
      </c>
      <c r="AC20" s="109" t="s">
        <v>109</v>
      </c>
      <c r="AD20" s="87">
        <f t="shared" si="0"/>
        <v>100</v>
      </c>
    </row>
    <row r="21" spans="1:30" ht="47.25" customHeight="1" x14ac:dyDescent="0.2">
      <c r="A21" s="94" t="s">
        <v>129</v>
      </c>
      <c r="B21" s="84"/>
      <c r="C21" s="109" t="s">
        <v>130</v>
      </c>
      <c r="D21" s="109" t="s">
        <v>131</v>
      </c>
      <c r="E21" s="109" t="s">
        <v>132</v>
      </c>
      <c r="F21" s="109"/>
      <c r="G21" s="109" t="s">
        <v>971</v>
      </c>
      <c r="H21" s="109" t="s">
        <v>972</v>
      </c>
      <c r="I21" s="109"/>
      <c r="J21" s="109"/>
      <c r="K21" s="109" t="s">
        <v>133</v>
      </c>
      <c r="L21" s="109" t="s">
        <v>134</v>
      </c>
      <c r="M21" s="109" t="s">
        <v>135</v>
      </c>
      <c r="N21" s="109"/>
      <c r="O21" s="109"/>
      <c r="P21" s="109"/>
      <c r="Q21" s="109" t="s">
        <v>136</v>
      </c>
      <c r="R21" s="109"/>
      <c r="S21" s="109"/>
      <c r="T21" s="109"/>
      <c r="U21" s="109"/>
      <c r="V21" s="109"/>
      <c r="W21" s="109"/>
      <c r="X21" s="109"/>
      <c r="Y21" s="109"/>
      <c r="Z21" s="109"/>
      <c r="AA21" s="109"/>
      <c r="AB21" s="109"/>
      <c r="AC21" s="109"/>
      <c r="AD21" s="87">
        <f>(9/21)*100</f>
        <v>42.857142857142854</v>
      </c>
    </row>
    <row r="22" spans="1:30" ht="36.75" customHeight="1" x14ac:dyDescent="0.2">
      <c r="A22" s="94" t="s">
        <v>137</v>
      </c>
      <c r="B22" s="84"/>
      <c r="C22" s="109" t="s">
        <v>131</v>
      </c>
      <c r="D22" s="109" t="s">
        <v>131</v>
      </c>
      <c r="E22" s="109" t="s">
        <v>131</v>
      </c>
      <c r="F22" s="109"/>
      <c r="G22" s="109" t="s">
        <v>131</v>
      </c>
      <c r="H22" s="109" t="s">
        <v>131</v>
      </c>
      <c r="I22" s="109" t="s">
        <v>138</v>
      </c>
      <c r="J22" s="109"/>
      <c r="K22" s="109" t="s">
        <v>131</v>
      </c>
      <c r="L22" s="109" t="s">
        <v>131</v>
      </c>
      <c r="M22" s="109" t="s">
        <v>131</v>
      </c>
      <c r="N22" s="109"/>
      <c r="O22" s="109" t="s">
        <v>131</v>
      </c>
      <c r="P22" s="109" t="s">
        <v>131</v>
      </c>
      <c r="Q22" s="109" t="s">
        <v>131</v>
      </c>
      <c r="R22" s="109"/>
      <c r="S22" s="109" t="s">
        <v>131</v>
      </c>
      <c r="T22" s="109" t="s">
        <v>131</v>
      </c>
      <c r="U22" s="109" t="s">
        <v>131</v>
      </c>
      <c r="V22" s="109"/>
      <c r="W22" s="109" t="s">
        <v>131</v>
      </c>
      <c r="X22" s="109" t="s">
        <v>131</v>
      </c>
      <c r="Y22" s="109" t="s">
        <v>131</v>
      </c>
      <c r="Z22" s="109"/>
      <c r="AA22" s="109" t="s">
        <v>973</v>
      </c>
      <c r="AB22" s="109" t="s">
        <v>974</v>
      </c>
      <c r="AC22" s="109" t="s">
        <v>131</v>
      </c>
      <c r="AD22" s="87">
        <f t="shared" si="0"/>
        <v>100</v>
      </c>
    </row>
    <row r="23" spans="1:30" ht="29.25" customHeight="1" x14ac:dyDescent="0.2">
      <c r="A23" s="94" t="s">
        <v>139</v>
      </c>
      <c r="B23" s="84"/>
      <c r="C23" s="109"/>
      <c r="D23" s="109"/>
      <c r="E23" s="109"/>
      <c r="F23" s="109"/>
      <c r="G23" s="109"/>
      <c r="H23" s="109"/>
      <c r="I23" s="109"/>
      <c r="J23" s="109"/>
      <c r="K23" s="109"/>
      <c r="L23" s="109"/>
      <c r="M23" s="109"/>
      <c r="N23" s="109"/>
      <c r="O23" s="109"/>
      <c r="P23" s="109"/>
      <c r="Q23" s="109"/>
      <c r="R23" s="109"/>
      <c r="S23" s="109"/>
      <c r="T23" s="109"/>
      <c r="U23" s="109"/>
      <c r="V23" s="109"/>
      <c r="W23" s="109"/>
      <c r="X23" s="109"/>
      <c r="Y23" s="109"/>
      <c r="Z23" s="109"/>
      <c r="AA23" s="109"/>
      <c r="AB23" s="109"/>
      <c r="AC23" s="109"/>
      <c r="AD23" s="87">
        <f>(0/21)*100</f>
        <v>0</v>
      </c>
    </row>
    <row r="24" spans="1:30" ht="29.25" customHeight="1" x14ac:dyDescent="0.2">
      <c r="A24" s="94" t="s">
        <v>140</v>
      </c>
      <c r="B24" s="84"/>
      <c r="C24" s="109"/>
      <c r="D24" s="109"/>
      <c r="E24" s="109"/>
      <c r="F24" s="109"/>
      <c r="G24" s="109"/>
      <c r="H24" s="109"/>
      <c r="I24" s="109"/>
      <c r="J24" s="109"/>
      <c r="K24" s="109"/>
      <c r="L24" s="109"/>
      <c r="M24" s="109"/>
      <c r="N24" s="109"/>
      <c r="O24" s="109"/>
      <c r="P24" s="109"/>
      <c r="Q24" s="109"/>
      <c r="R24" s="109"/>
      <c r="S24" s="109"/>
      <c r="T24" s="109"/>
      <c r="U24" s="109"/>
      <c r="V24" s="109"/>
      <c r="W24" s="109"/>
      <c r="X24" s="109"/>
      <c r="Y24" s="109"/>
      <c r="Z24" s="109"/>
      <c r="AA24" s="109"/>
      <c r="AB24" s="109"/>
      <c r="AC24" s="109"/>
      <c r="AD24" s="87">
        <f>(0/21)*100</f>
        <v>0</v>
      </c>
    </row>
    <row r="25" spans="1:30" ht="30" customHeight="1" x14ac:dyDescent="0.2">
      <c r="A25" s="94" t="s">
        <v>141</v>
      </c>
      <c r="B25" s="84"/>
      <c r="C25" s="109" t="s">
        <v>109</v>
      </c>
      <c r="D25" s="109" t="s">
        <v>109</v>
      </c>
      <c r="E25" s="109" t="s">
        <v>109</v>
      </c>
      <c r="F25" s="109"/>
      <c r="G25" s="109" t="s">
        <v>109</v>
      </c>
      <c r="H25" s="109" t="s">
        <v>109</v>
      </c>
      <c r="I25" s="109" t="s">
        <v>109</v>
      </c>
      <c r="J25" s="109"/>
      <c r="K25" s="109" t="s">
        <v>109</v>
      </c>
      <c r="L25" s="109" t="s">
        <v>109</v>
      </c>
      <c r="M25" s="109" t="s">
        <v>109</v>
      </c>
      <c r="N25" s="109"/>
      <c r="O25" s="109" t="s">
        <v>109</v>
      </c>
      <c r="P25" s="109" t="s">
        <v>109</v>
      </c>
      <c r="Q25" s="109" t="s">
        <v>109</v>
      </c>
      <c r="R25" s="109"/>
      <c r="S25" s="109" t="s">
        <v>109</v>
      </c>
      <c r="T25" s="109" t="s">
        <v>109</v>
      </c>
      <c r="U25" s="109" t="s">
        <v>109</v>
      </c>
      <c r="V25" s="109"/>
      <c r="W25" s="109" t="s">
        <v>109</v>
      </c>
      <c r="X25" s="109" t="s">
        <v>109</v>
      </c>
      <c r="Y25" s="109" t="s">
        <v>109</v>
      </c>
      <c r="Z25" s="109"/>
      <c r="AA25" s="109" t="s">
        <v>109</v>
      </c>
      <c r="AB25" s="109" t="s">
        <v>109</v>
      </c>
      <c r="AC25" s="109" t="s">
        <v>109</v>
      </c>
      <c r="AD25" s="87">
        <f t="shared" si="0"/>
        <v>100</v>
      </c>
    </row>
    <row r="26" spans="1:30" ht="45.75" customHeight="1" x14ac:dyDescent="0.2">
      <c r="A26" s="94" t="s">
        <v>975</v>
      </c>
      <c r="B26" s="84"/>
      <c r="C26" s="109" t="s">
        <v>109</v>
      </c>
      <c r="D26" s="109" t="s">
        <v>109</v>
      </c>
      <c r="E26" s="109" t="s">
        <v>109</v>
      </c>
      <c r="F26" s="109"/>
      <c r="G26" s="109" t="s">
        <v>109</v>
      </c>
      <c r="H26" s="109" t="s">
        <v>109</v>
      </c>
      <c r="I26" s="109" t="s">
        <v>109</v>
      </c>
      <c r="J26" s="109"/>
      <c r="K26" s="109" t="s">
        <v>109</v>
      </c>
      <c r="L26" s="109" t="s">
        <v>109</v>
      </c>
      <c r="M26" s="109" t="s">
        <v>109</v>
      </c>
      <c r="N26" s="109"/>
      <c r="O26" s="109" t="s">
        <v>109</v>
      </c>
      <c r="P26" s="109" t="s">
        <v>109</v>
      </c>
      <c r="Q26" s="109" t="s">
        <v>109</v>
      </c>
      <c r="R26" s="109"/>
      <c r="S26" s="109" t="s">
        <v>109</v>
      </c>
      <c r="T26" s="109" t="s">
        <v>109</v>
      </c>
      <c r="U26" s="109" t="s">
        <v>109</v>
      </c>
      <c r="V26" s="109"/>
      <c r="W26" s="109" t="s">
        <v>109</v>
      </c>
      <c r="X26" s="109" t="s">
        <v>109</v>
      </c>
      <c r="Y26" s="109" t="s">
        <v>109</v>
      </c>
      <c r="Z26" s="109"/>
      <c r="AA26" s="109" t="s">
        <v>109</v>
      </c>
      <c r="AB26" s="109" t="s">
        <v>109</v>
      </c>
      <c r="AC26" s="109" t="s">
        <v>109</v>
      </c>
      <c r="AD26" s="87">
        <f t="shared" si="0"/>
        <v>100</v>
      </c>
    </row>
    <row r="27" spans="1:30" ht="51" customHeight="1" x14ac:dyDescent="0.2">
      <c r="A27" s="94" t="s">
        <v>142</v>
      </c>
      <c r="B27" s="84"/>
      <c r="C27" s="109"/>
      <c r="D27" s="109"/>
      <c r="E27" s="109" t="s">
        <v>976</v>
      </c>
      <c r="F27" s="109"/>
      <c r="G27" s="109"/>
      <c r="H27" s="109"/>
      <c r="I27" s="109" t="s">
        <v>976</v>
      </c>
      <c r="J27" s="109"/>
      <c r="K27" s="109" t="s">
        <v>977</v>
      </c>
      <c r="L27" s="109"/>
      <c r="M27" s="109" t="s">
        <v>978</v>
      </c>
      <c r="N27" s="109"/>
      <c r="O27" s="109" t="s">
        <v>979</v>
      </c>
      <c r="P27" s="109"/>
      <c r="Q27" s="109" t="s">
        <v>980</v>
      </c>
      <c r="R27" s="109"/>
      <c r="S27" s="109"/>
      <c r="T27" s="109"/>
      <c r="U27" s="109"/>
      <c r="V27" s="109"/>
      <c r="W27" s="109"/>
      <c r="X27" s="109"/>
      <c r="Y27" s="109"/>
      <c r="Z27" s="109"/>
      <c r="AA27" s="109"/>
      <c r="AB27" s="109"/>
      <c r="AC27" s="109"/>
      <c r="AD27" s="87">
        <f>(6/21)*100</f>
        <v>28.571428571428569</v>
      </c>
    </row>
    <row r="28" spans="1:30" ht="50.25" customHeight="1" x14ac:dyDescent="0.2">
      <c r="A28" s="94" t="s">
        <v>143</v>
      </c>
      <c r="B28" s="84"/>
      <c r="C28" s="109"/>
      <c r="D28" s="109"/>
      <c r="E28" s="109" t="s">
        <v>144</v>
      </c>
      <c r="F28" s="109"/>
      <c r="G28" s="109" t="s">
        <v>145</v>
      </c>
      <c r="H28" s="109"/>
      <c r="I28" s="109"/>
      <c r="J28" s="109"/>
      <c r="K28" s="84"/>
      <c r="L28" s="109"/>
      <c r="M28" s="109" t="s">
        <v>981</v>
      </c>
      <c r="N28" s="109"/>
      <c r="O28" s="109" t="s">
        <v>146</v>
      </c>
      <c r="P28" s="109"/>
      <c r="Q28" s="109"/>
      <c r="R28" s="109"/>
      <c r="S28" s="109"/>
      <c r="T28" s="109"/>
      <c r="U28" s="109"/>
      <c r="V28" s="109"/>
      <c r="W28" s="109"/>
      <c r="X28" s="109"/>
      <c r="Y28" s="109"/>
      <c r="Z28" s="109"/>
      <c r="AA28" s="109"/>
      <c r="AB28" s="109"/>
      <c r="AC28" s="109"/>
      <c r="AD28" s="87">
        <f>(4/21)*100</f>
        <v>19.047619047619047</v>
      </c>
    </row>
    <row r="29" spans="1:30" ht="47.25" customHeight="1" x14ac:dyDescent="0.2">
      <c r="A29" s="94" t="s">
        <v>147</v>
      </c>
      <c r="B29" s="84"/>
      <c r="C29" s="109" t="s">
        <v>131</v>
      </c>
      <c r="D29" s="109" t="s">
        <v>148</v>
      </c>
      <c r="E29" s="109" t="s">
        <v>131</v>
      </c>
      <c r="F29" s="109"/>
      <c r="G29" s="109" t="s">
        <v>131</v>
      </c>
      <c r="H29" s="109" t="s">
        <v>131</v>
      </c>
      <c r="I29" s="109" t="s">
        <v>131</v>
      </c>
      <c r="J29" s="109"/>
      <c r="K29" s="109" t="s">
        <v>131</v>
      </c>
      <c r="L29" s="109" t="s">
        <v>131</v>
      </c>
      <c r="M29" s="109" t="s">
        <v>131</v>
      </c>
      <c r="N29" s="109"/>
      <c r="O29" s="109" t="s">
        <v>131</v>
      </c>
      <c r="P29" s="109" t="s">
        <v>131</v>
      </c>
      <c r="Q29" s="109" t="s">
        <v>938</v>
      </c>
      <c r="R29" s="109"/>
      <c r="S29" s="109" t="s">
        <v>131</v>
      </c>
      <c r="T29" s="109" t="s">
        <v>131</v>
      </c>
      <c r="U29" s="109" t="s">
        <v>131</v>
      </c>
      <c r="V29" s="109"/>
      <c r="W29" s="109" t="s">
        <v>131</v>
      </c>
      <c r="X29" s="109" t="s">
        <v>131</v>
      </c>
      <c r="Y29" s="109" t="s">
        <v>131</v>
      </c>
      <c r="Z29" s="109"/>
      <c r="AA29" s="109" t="s">
        <v>131</v>
      </c>
      <c r="AB29" s="109" t="s">
        <v>131</v>
      </c>
      <c r="AC29" s="109" t="s">
        <v>131</v>
      </c>
      <c r="AD29" s="87">
        <f t="shared" si="0"/>
        <v>100</v>
      </c>
    </row>
    <row r="30" spans="1:30" ht="30" customHeight="1" x14ac:dyDescent="0.2">
      <c r="A30" s="94" t="s">
        <v>982</v>
      </c>
      <c r="B30" s="84"/>
      <c r="C30" s="109" t="s">
        <v>131</v>
      </c>
      <c r="D30" s="109" t="s">
        <v>131</v>
      </c>
      <c r="E30" s="109" t="s">
        <v>131</v>
      </c>
      <c r="F30" s="109"/>
      <c r="G30" s="109" t="s">
        <v>131</v>
      </c>
      <c r="H30" s="109" t="s">
        <v>131</v>
      </c>
      <c r="I30" s="109" t="s">
        <v>131</v>
      </c>
      <c r="J30" s="109"/>
      <c r="K30" s="109" t="s">
        <v>131</v>
      </c>
      <c r="L30" s="109" t="s">
        <v>131</v>
      </c>
      <c r="M30" s="109" t="s">
        <v>131</v>
      </c>
      <c r="N30" s="109"/>
      <c r="O30" s="109" t="s">
        <v>131</v>
      </c>
      <c r="P30" s="109" t="s">
        <v>131</v>
      </c>
      <c r="Q30" s="109" t="s">
        <v>131</v>
      </c>
      <c r="R30" s="109"/>
      <c r="S30" s="109" t="s">
        <v>131</v>
      </c>
      <c r="T30" s="109" t="s">
        <v>131</v>
      </c>
      <c r="U30" s="109" t="s">
        <v>131</v>
      </c>
      <c r="V30" s="109"/>
      <c r="W30" s="109" t="s">
        <v>131</v>
      </c>
      <c r="X30" s="109" t="s">
        <v>131</v>
      </c>
      <c r="Y30" s="109" t="s">
        <v>131</v>
      </c>
      <c r="Z30" s="109"/>
      <c r="AA30" s="109" t="s">
        <v>131</v>
      </c>
      <c r="AB30" s="109" t="s">
        <v>131</v>
      </c>
      <c r="AC30" s="109" t="s">
        <v>131</v>
      </c>
      <c r="AD30" s="87">
        <f t="shared" si="0"/>
        <v>100</v>
      </c>
    </row>
    <row r="31" spans="1:30" ht="45" customHeight="1" x14ac:dyDescent="0.2">
      <c r="A31" s="94" t="s">
        <v>983</v>
      </c>
      <c r="B31" s="84"/>
      <c r="C31" s="109" t="s">
        <v>131</v>
      </c>
      <c r="D31" s="109" t="s">
        <v>131</v>
      </c>
      <c r="E31" s="109" t="s">
        <v>131</v>
      </c>
      <c r="F31" s="109"/>
      <c r="G31" s="109" t="s">
        <v>131</v>
      </c>
      <c r="H31" s="109" t="s">
        <v>131</v>
      </c>
      <c r="I31" s="109" t="s">
        <v>131</v>
      </c>
      <c r="J31" s="109"/>
      <c r="K31" s="109" t="s">
        <v>131</v>
      </c>
      <c r="L31" s="109" t="s">
        <v>131</v>
      </c>
      <c r="M31" s="109" t="s">
        <v>131</v>
      </c>
      <c r="N31" s="109"/>
      <c r="O31" s="109" t="s">
        <v>131</v>
      </c>
      <c r="P31" s="109" t="s">
        <v>131</v>
      </c>
      <c r="Q31" s="109" t="s">
        <v>131</v>
      </c>
      <c r="R31" s="109"/>
      <c r="S31" s="109" t="s">
        <v>131</v>
      </c>
      <c r="T31" s="109" t="s">
        <v>131</v>
      </c>
      <c r="U31" s="109" t="s">
        <v>131</v>
      </c>
      <c r="V31" s="109"/>
      <c r="W31" s="109" t="s">
        <v>131</v>
      </c>
      <c r="X31" s="109" t="s">
        <v>131</v>
      </c>
      <c r="Y31" s="109" t="s">
        <v>131</v>
      </c>
      <c r="Z31" s="109"/>
      <c r="AA31" s="109" t="s">
        <v>131</v>
      </c>
      <c r="AB31" s="109" t="s">
        <v>131</v>
      </c>
      <c r="AC31" s="109" t="s">
        <v>131</v>
      </c>
      <c r="AD31" s="87">
        <f t="shared" si="0"/>
        <v>100</v>
      </c>
    </row>
    <row r="32" spans="1:30" ht="30" customHeight="1" x14ac:dyDescent="0.2">
      <c r="A32" s="94" t="s">
        <v>984</v>
      </c>
      <c r="B32" s="84"/>
      <c r="C32" s="109" t="s">
        <v>131</v>
      </c>
      <c r="D32" s="109" t="s">
        <v>131</v>
      </c>
      <c r="E32" s="109" t="s">
        <v>131</v>
      </c>
      <c r="F32" s="109"/>
      <c r="G32" s="109" t="s">
        <v>131</v>
      </c>
      <c r="H32" s="109" t="s">
        <v>131</v>
      </c>
      <c r="I32" s="109" t="s">
        <v>131</v>
      </c>
      <c r="J32" s="109"/>
      <c r="K32" s="109" t="s">
        <v>131</v>
      </c>
      <c r="L32" s="109" t="s">
        <v>131</v>
      </c>
      <c r="M32" s="109" t="s">
        <v>131</v>
      </c>
      <c r="N32" s="109"/>
      <c r="O32" s="109" t="s">
        <v>131</v>
      </c>
      <c r="P32" s="109" t="s">
        <v>131</v>
      </c>
      <c r="Q32" s="109" t="s">
        <v>131</v>
      </c>
      <c r="R32" s="109"/>
      <c r="S32" s="109" t="s">
        <v>131</v>
      </c>
      <c r="T32" s="109" t="s">
        <v>131</v>
      </c>
      <c r="U32" s="109" t="s">
        <v>131</v>
      </c>
      <c r="V32" s="109"/>
      <c r="W32" s="109" t="s">
        <v>131</v>
      </c>
      <c r="X32" s="109" t="s">
        <v>131</v>
      </c>
      <c r="Y32" s="109" t="s">
        <v>131</v>
      </c>
      <c r="Z32" s="109"/>
      <c r="AA32" s="109" t="s">
        <v>131</v>
      </c>
      <c r="AB32" s="109" t="s">
        <v>131</v>
      </c>
      <c r="AC32" s="109" t="s">
        <v>131</v>
      </c>
      <c r="AD32" s="87">
        <f t="shared" si="0"/>
        <v>100</v>
      </c>
    </row>
    <row r="33" spans="1:30" ht="29.25" customHeight="1" x14ac:dyDescent="0.2">
      <c r="A33" s="94" t="s">
        <v>149</v>
      </c>
      <c r="B33" s="84"/>
      <c r="C33" s="109" t="s">
        <v>131</v>
      </c>
      <c r="D33" s="109" t="s">
        <v>131</v>
      </c>
      <c r="E33" s="109" t="s">
        <v>131</v>
      </c>
      <c r="F33" s="109"/>
      <c r="G33" s="109" t="s">
        <v>131</v>
      </c>
      <c r="H33" s="109" t="s">
        <v>131</v>
      </c>
      <c r="I33" s="109" t="s">
        <v>131</v>
      </c>
      <c r="J33" s="109"/>
      <c r="K33" s="109" t="s">
        <v>131</v>
      </c>
      <c r="L33" s="109" t="s">
        <v>131</v>
      </c>
      <c r="M33" s="109" t="s">
        <v>131</v>
      </c>
      <c r="N33" s="109"/>
      <c r="O33" s="109" t="s">
        <v>131</v>
      </c>
      <c r="P33" s="109" t="s">
        <v>131</v>
      </c>
      <c r="Q33" s="109" t="s">
        <v>131</v>
      </c>
      <c r="R33" s="109"/>
      <c r="S33" s="109" t="s">
        <v>131</v>
      </c>
      <c r="T33" s="109" t="s">
        <v>131</v>
      </c>
      <c r="U33" s="109" t="s">
        <v>131</v>
      </c>
      <c r="V33" s="109"/>
      <c r="W33" s="109" t="s">
        <v>131</v>
      </c>
      <c r="X33" s="109" t="s">
        <v>131</v>
      </c>
      <c r="Y33" s="109" t="s">
        <v>131</v>
      </c>
      <c r="Z33" s="109"/>
      <c r="AA33" s="109" t="s">
        <v>131</v>
      </c>
      <c r="AB33" s="109" t="s">
        <v>131</v>
      </c>
      <c r="AC33" s="109" t="s">
        <v>131</v>
      </c>
      <c r="AD33" s="87">
        <f t="shared" si="0"/>
        <v>100</v>
      </c>
    </row>
    <row r="34" spans="1:30" ht="30.75" customHeight="1" x14ac:dyDescent="0.2">
      <c r="A34" s="94" t="s">
        <v>150</v>
      </c>
      <c r="B34" s="84"/>
      <c r="C34" s="95"/>
      <c r="D34" s="95"/>
      <c r="E34" s="95"/>
      <c r="F34" s="95"/>
      <c r="G34" s="95"/>
      <c r="H34" s="95"/>
      <c r="I34" s="95"/>
      <c r="J34" s="95"/>
      <c r="K34" s="109"/>
      <c r="L34" s="109"/>
      <c r="M34" s="109"/>
      <c r="N34" s="95"/>
      <c r="O34" s="109"/>
      <c r="P34" s="109"/>
      <c r="Q34" s="109"/>
      <c r="R34" s="95"/>
      <c r="S34" s="109"/>
      <c r="T34" s="109"/>
      <c r="U34" s="109"/>
      <c r="V34" s="95"/>
      <c r="W34" s="109"/>
      <c r="X34" s="109"/>
      <c r="Y34" s="109"/>
      <c r="Z34" s="95"/>
      <c r="AA34" s="109"/>
      <c r="AB34" s="109"/>
      <c r="AC34" s="109"/>
      <c r="AD34" s="87">
        <f>(0/21)*100</f>
        <v>0</v>
      </c>
    </row>
    <row r="35" spans="1:30" ht="44.25" customHeight="1" x14ac:dyDescent="0.2">
      <c r="A35" s="94" t="s">
        <v>985</v>
      </c>
      <c r="B35" s="84"/>
      <c r="C35" s="109" t="s">
        <v>109</v>
      </c>
      <c r="D35" s="109" t="s">
        <v>109</v>
      </c>
      <c r="E35" s="109" t="s">
        <v>109</v>
      </c>
      <c r="F35" s="109"/>
      <c r="G35" s="109" t="s">
        <v>109</v>
      </c>
      <c r="H35" s="109" t="s">
        <v>109</v>
      </c>
      <c r="I35" s="109" t="s">
        <v>109</v>
      </c>
      <c r="J35" s="109"/>
      <c r="K35" s="109" t="s">
        <v>109</v>
      </c>
      <c r="L35" s="109" t="s">
        <v>109</v>
      </c>
      <c r="M35" s="109" t="s">
        <v>109</v>
      </c>
      <c r="N35" s="109"/>
      <c r="O35" s="109" t="s">
        <v>109</v>
      </c>
      <c r="P35" s="109" t="s">
        <v>109</v>
      </c>
      <c r="Q35" s="109" t="s">
        <v>109</v>
      </c>
      <c r="R35" s="109"/>
      <c r="S35" s="109" t="s">
        <v>109</v>
      </c>
      <c r="T35" s="109" t="s">
        <v>109</v>
      </c>
      <c r="U35" s="109" t="s">
        <v>109</v>
      </c>
      <c r="V35" s="109"/>
      <c r="W35" s="109" t="s">
        <v>109</v>
      </c>
      <c r="X35" s="109" t="s">
        <v>109</v>
      </c>
      <c r="Y35" s="109" t="s">
        <v>109</v>
      </c>
      <c r="Z35" s="109"/>
      <c r="AA35" s="109" t="s">
        <v>109</v>
      </c>
      <c r="AB35" s="109" t="s">
        <v>109</v>
      </c>
      <c r="AC35" s="109" t="s">
        <v>109</v>
      </c>
      <c r="AD35" s="87">
        <f t="shared" si="0"/>
        <v>100</v>
      </c>
    </row>
    <row r="36" spans="1:30" ht="45" x14ac:dyDescent="0.2">
      <c r="A36" s="94" t="s">
        <v>986</v>
      </c>
      <c r="B36" s="84"/>
      <c r="C36" s="95" t="s">
        <v>131</v>
      </c>
      <c r="D36" s="95" t="s">
        <v>151</v>
      </c>
      <c r="E36" s="95" t="s">
        <v>131</v>
      </c>
      <c r="F36" s="95"/>
      <c r="G36" s="95" t="s">
        <v>131</v>
      </c>
      <c r="H36" s="95" t="s">
        <v>152</v>
      </c>
      <c r="I36" s="95" t="s">
        <v>131</v>
      </c>
      <c r="J36" s="95"/>
      <c r="K36" s="109" t="s">
        <v>131</v>
      </c>
      <c r="L36" s="109" t="s">
        <v>131</v>
      </c>
      <c r="M36" s="109" t="s">
        <v>131</v>
      </c>
      <c r="N36" s="95"/>
      <c r="O36" s="109" t="s">
        <v>131</v>
      </c>
      <c r="P36" s="109" t="s">
        <v>153</v>
      </c>
      <c r="Q36" s="109" t="s">
        <v>131</v>
      </c>
      <c r="R36" s="95"/>
      <c r="S36" s="109" t="s">
        <v>131</v>
      </c>
      <c r="T36" s="109" t="s">
        <v>154</v>
      </c>
      <c r="U36" s="109" t="s">
        <v>155</v>
      </c>
      <c r="V36" s="95"/>
      <c r="W36" s="109" t="s">
        <v>131</v>
      </c>
      <c r="X36" s="109" t="s">
        <v>131</v>
      </c>
      <c r="Y36" s="109" t="s">
        <v>131</v>
      </c>
      <c r="Z36" s="95"/>
      <c r="AA36" s="109" t="s">
        <v>131</v>
      </c>
      <c r="AB36" s="109" t="s">
        <v>131</v>
      </c>
      <c r="AC36" s="109" t="s">
        <v>131</v>
      </c>
      <c r="AD36" s="87">
        <f t="shared" si="0"/>
        <v>100</v>
      </c>
    </row>
    <row r="37" spans="1:30" ht="15" x14ac:dyDescent="0.25">
      <c r="A37" s="84"/>
      <c r="B37" s="84"/>
      <c r="C37" s="84"/>
      <c r="D37" s="84"/>
      <c r="E37" s="84"/>
      <c r="F37" s="84"/>
      <c r="G37" s="84"/>
      <c r="H37" s="84"/>
      <c r="I37" s="84"/>
      <c r="J37" s="84"/>
      <c r="K37" s="110"/>
      <c r="L37" s="110"/>
      <c r="M37" s="110"/>
      <c r="N37" s="84"/>
      <c r="O37" s="110"/>
      <c r="P37" s="110"/>
      <c r="Q37" s="110"/>
      <c r="R37" s="84"/>
      <c r="S37" s="110"/>
      <c r="T37" s="110"/>
      <c r="U37" s="110"/>
      <c r="V37" s="84"/>
      <c r="W37" s="110"/>
      <c r="X37" s="110"/>
      <c r="Y37" s="110"/>
      <c r="Z37" s="84"/>
      <c r="AA37" s="110"/>
      <c r="AB37" s="110"/>
      <c r="AC37" s="110"/>
      <c r="AD37" s="87"/>
    </row>
    <row r="38" spans="1:30" x14ac:dyDescent="0.2">
      <c r="A38" s="84" t="s">
        <v>156</v>
      </c>
      <c r="B38" s="84"/>
      <c r="C38" s="87">
        <f>(17/25)*100</f>
        <v>68</v>
      </c>
      <c r="D38" s="87">
        <f>(19/25)*100</f>
        <v>76</v>
      </c>
      <c r="E38" s="87">
        <f>(21/25)*100</f>
        <v>84</v>
      </c>
      <c r="F38" s="87"/>
      <c r="G38" s="87">
        <f>(20/25)*100</f>
        <v>80</v>
      </c>
      <c r="H38" s="87">
        <f>(17/25)*100</f>
        <v>68</v>
      </c>
      <c r="I38" s="87">
        <f>(19/25)*100</f>
        <v>76</v>
      </c>
      <c r="J38" s="87"/>
      <c r="K38" s="87">
        <f>(21/25)*100</f>
        <v>84</v>
      </c>
      <c r="L38" s="87">
        <f>(16/25)*100</f>
        <v>64</v>
      </c>
      <c r="M38" s="87">
        <f>(21/25)*100</f>
        <v>84</v>
      </c>
      <c r="N38" s="87"/>
      <c r="O38" s="87">
        <f>(19/25)*100</f>
        <v>76</v>
      </c>
      <c r="P38" s="87">
        <f>(18/25)*100</f>
        <v>72</v>
      </c>
      <c r="Q38" s="87">
        <f>(18/25)*100</f>
        <v>72</v>
      </c>
      <c r="R38" s="87"/>
      <c r="S38" s="87">
        <f>(17/25)*100</f>
        <v>68</v>
      </c>
      <c r="T38" s="87">
        <f>(16/25)*100</f>
        <v>64</v>
      </c>
      <c r="U38" s="87">
        <f>(18/25)*100</f>
        <v>72</v>
      </c>
      <c r="V38" s="87"/>
      <c r="W38" s="87">
        <f>(15/25)*100</f>
        <v>60</v>
      </c>
      <c r="X38" s="87">
        <f>(15/25)*100</f>
        <v>60</v>
      </c>
      <c r="Y38" s="87">
        <f>(15/25)*100</f>
        <v>60</v>
      </c>
      <c r="Z38" s="87"/>
      <c r="AA38" s="87">
        <f>(15/25)*100</f>
        <v>60</v>
      </c>
      <c r="AB38" s="87">
        <f>(15/25)*100</f>
        <v>60</v>
      </c>
      <c r="AC38" s="87">
        <f>(15/25)*100</f>
        <v>60</v>
      </c>
      <c r="AD38" s="84"/>
    </row>
    <row r="39" spans="1:30" ht="15" x14ac:dyDescent="0.25">
      <c r="K39" s="105"/>
      <c r="L39" s="105"/>
      <c r="M39" s="105"/>
      <c r="O39" s="105"/>
      <c r="P39" s="105"/>
      <c r="Q39" s="105"/>
      <c r="S39" s="105"/>
      <c r="T39" s="105"/>
      <c r="U39" s="105"/>
      <c r="W39" s="105"/>
      <c r="X39" s="105"/>
      <c r="Y39" s="105"/>
      <c r="AA39" s="105"/>
      <c r="AB39" s="105"/>
      <c r="AC39" s="105"/>
    </row>
    <row r="40" spans="1:30" ht="15" x14ac:dyDescent="0.25">
      <c r="A40" s="106" t="s">
        <v>157</v>
      </c>
      <c r="B40" s="106"/>
      <c r="C40" s="107">
        <f>(C38+D38+E38+G38+H38+I38+K38+L38+M38+O38+P38+Q38+S38+T38+U38+W38+X38+Y38+AA38+AB38+AC38)/21</f>
        <v>69.904761904761898</v>
      </c>
      <c r="D40" s="106" t="s">
        <v>158</v>
      </c>
      <c r="K40" s="105"/>
      <c r="L40" s="105"/>
      <c r="M40" s="105"/>
      <c r="O40" s="105"/>
      <c r="P40" s="105"/>
      <c r="Q40" s="105"/>
      <c r="S40" s="105"/>
      <c r="T40" s="105"/>
      <c r="U40" s="105"/>
      <c r="W40" s="105"/>
      <c r="X40" s="105"/>
      <c r="Y40" s="105"/>
      <c r="AA40" s="105"/>
      <c r="AB40" s="105"/>
      <c r="AC40" s="105"/>
    </row>
    <row r="41" spans="1:30" ht="15" x14ac:dyDescent="0.25">
      <c r="A41" s="106" t="s">
        <v>159</v>
      </c>
      <c r="B41" s="106"/>
      <c r="C41" s="107">
        <f>(AD12+AD13+AD14+AD15+AD16+AD17+AD18+AD19+AD20+AD21+AD22+AD23+AD24+AD25+AD26+AD27+AD28+AD29+AD30+AD31+AD32+AD33+AD34+AD35+AD36)/25</f>
        <v>69.904761904761912</v>
      </c>
      <c r="D41" s="106" t="s">
        <v>158</v>
      </c>
      <c r="K41" s="105"/>
      <c r="L41" s="105"/>
      <c r="M41" s="105"/>
      <c r="O41" s="105"/>
      <c r="P41" s="105"/>
      <c r="Q41" s="105"/>
      <c r="S41" s="105"/>
      <c r="T41" s="105"/>
      <c r="U41" s="105"/>
      <c r="W41" s="105"/>
      <c r="X41" s="105"/>
      <c r="Y41" s="105"/>
      <c r="AA41" s="105"/>
      <c r="AB41" s="105"/>
      <c r="AC41" s="105"/>
    </row>
    <row r="42" spans="1:30" ht="15" x14ac:dyDescent="0.25">
      <c r="K42" s="105"/>
      <c r="L42" s="105"/>
      <c r="M42" s="105"/>
      <c r="O42" s="105"/>
      <c r="P42" s="105"/>
      <c r="Q42" s="105"/>
      <c r="S42" s="105"/>
      <c r="T42" s="105"/>
      <c r="U42" s="105"/>
      <c r="W42" s="105"/>
      <c r="X42" s="105"/>
      <c r="Y42" s="105"/>
      <c r="AA42" s="105"/>
      <c r="AB42" s="105"/>
      <c r="AC42" s="105"/>
    </row>
    <row r="43" spans="1:30" ht="15" x14ac:dyDescent="0.25">
      <c r="K43" s="105"/>
      <c r="L43" s="105"/>
      <c r="M43" s="105"/>
      <c r="O43" s="105"/>
      <c r="P43" s="105"/>
      <c r="Q43" s="105"/>
      <c r="S43" s="105"/>
      <c r="T43" s="105"/>
      <c r="U43" s="105"/>
      <c r="W43" s="105"/>
      <c r="X43" s="105"/>
      <c r="Y43" s="105"/>
      <c r="AA43" s="105"/>
      <c r="AB43" s="105"/>
      <c r="AC43" s="105"/>
    </row>
    <row r="44" spans="1:30" ht="15" x14ac:dyDescent="0.25">
      <c r="K44" s="105"/>
      <c r="L44" s="105"/>
      <c r="M44" s="105"/>
      <c r="O44" s="105"/>
      <c r="P44" s="105"/>
      <c r="Q44" s="105"/>
      <c r="S44" s="105"/>
      <c r="T44" s="105"/>
      <c r="U44" s="105"/>
      <c r="W44" s="105"/>
      <c r="X44" s="105"/>
      <c r="Y44" s="105"/>
      <c r="AA44" s="105"/>
      <c r="AB44" s="105"/>
      <c r="AC44" s="105"/>
    </row>
    <row r="45" spans="1:30" ht="15" x14ac:dyDescent="0.25">
      <c r="K45" s="105"/>
      <c r="L45" s="105"/>
      <c r="M45" s="105"/>
      <c r="O45" s="105"/>
      <c r="P45" s="105"/>
      <c r="Q45" s="105"/>
      <c r="S45" s="105"/>
      <c r="T45" s="105"/>
      <c r="U45" s="105"/>
      <c r="W45" s="105"/>
      <c r="X45" s="105"/>
      <c r="Y45" s="105"/>
      <c r="AA45" s="105"/>
      <c r="AB45" s="105"/>
      <c r="AC45" s="105"/>
    </row>
    <row r="46" spans="1:30" ht="15" x14ac:dyDescent="0.25">
      <c r="K46" s="105"/>
      <c r="L46" s="105"/>
      <c r="M46" s="105"/>
      <c r="O46" s="105"/>
      <c r="P46" s="105"/>
      <c r="Q46" s="105"/>
      <c r="S46" s="105"/>
      <c r="T46" s="105"/>
      <c r="U46" s="105"/>
      <c r="W46" s="105"/>
      <c r="X46" s="105"/>
      <c r="Y46" s="105"/>
      <c r="AA46" s="105"/>
      <c r="AB46" s="105"/>
      <c r="AC46" s="105"/>
    </row>
    <row r="47" spans="1:30" ht="15" x14ac:dyDescent="0.25">
      <c r="K47" s="105"/>
      <c r="L47" s="105"/>
      <c r="M47" s="105"/>
      <c r="O47" s="105"/>
      <c r="P47" s="105"/>
      <c r="Q47" s="105"/>
      <c r="S47" s="105"/>
      <c r="T47" s="105"/>
      <c r="U47" s="105"/>
      <c r="W47" s="105"/>
      <c r="X47" s="105"/>
      <c r="Y47" s="105"/>
      <c r="AA47" s="105"/>
      <c r="AB47" s="105"/>
      <c r="AC47" s="105"/>
    </row>
    <row r="48" spans="1:30" ht="15" x14ac:dyDescent="0.25">
      <c r="K48" s="105"/>
      <c r="L48" s="105"/>
      <c r="M48" s="105"/>
      <c r="O48" s="105"/>
      <c r="P48" s="105"/>
      <c r="Q48" s="105"/>
      <c r="S48" s="105"/>
      <c r="T48" s="105"/>
      <c r="U48" s="105"/>
      <c r="W48" s="105"/>
      <c r="X48" s="105"/>
      <c r="Y48" s="105"/>
      <c r="AA48" s="105"/>
      <c r="AB48" s="105"/>
      <c r="AC48" s="105"/>
    </row>
    <row r="49" spans="11:29" ht="15" x14ac:dyDescent="0.25">
      <c r="K49" s="105"/>
      <c r="L49" s="105"/>
      <c r="M49" s="105"/>
      <c r="O49" s="105"/>
      <c r="P49" s="105"/>
      <c r="Q49" s="105"/>
      <c r="S49" s="105"/>
      <c r="T49" s="105"/>
      <c r="U49" s="105"/>
      <c r="W49" s="105"/>
      <c r="X49" s="105"/>
      <c r="Y49" s="105"/>
      <c r="AA49" s="105"/>
      <c r="AB49" s="105"/>
      <c r="AC49" s="105"/>
    </row>
    <row r="50" spans="11:29" ht="15" x14ac:dyDescent="0.25">
      <c r="K50" s="105"/>
      <c r="L50" s="105"/>
      <c r="M50" s="105"/>
      <c r="O50" s="105"/>
      <c r="P50" s="105"/>
      <c r="Q50" s="105"/>
      <c r="S50" s="105"/>
      <c r="T50" s="105"/>
      <c r="U50" s="105"/>
      <c r="W50" s="105"/>
      <c r="X50" s="105"/>
      <c r="Y50" s="105"/>
      <c r="AA50" s="105"/>
      <c r="AB50" s="105"/>
      <c r="AC50" s="105"/>
    </row>
    <row r="51" spans="11:29" ht="15" x14ac:dyDescent="0.25">
      <c r="K51" s="105"/>
      <c r="L51" s="105"/>
      <c r="M51" s="105"/>
      <c r="O51" s="105"/>
      <c r="P51" s="105"/>
      <c r="Q51" s="105"/>
      <c r="S51" s="105"/>
      <c r="T51" s="105"/>
      <c r="U51" s="105"/>
      <c r="W51" s="105"/>
      <c r="X51" s="105"/>
      <c r="Y51" s="105"/>
      <c r="AA51" s="105"/>
      <c r="AB51" s="105"/>
      <c r="AC51" s="105"/>
    </row>
    <row r="52" spans="11:29" ht="15" x14ac:dyDescent="0.25">
      <c r="K52" s="105"/>
      <c r="L52" s="105"/>
      <c r="M52" s="105"/>
      <c r="O52" s="105"/>
      <c r="P52" s="105"/>
      <c r="Q52" s="105"/>
      <c r="S52" s="105"/>
      <c r="T52" s="105"/>
      <c r="U52" s="105"/>
      <c r="W52" s="105"/>
      <c r="X52" s="105"/>
      <c r="Y52" s="105"/>
      <c r="AA52" s="105"/>
      <c r="AB52" s="105"/>
      <c r="AC52" s="105"/>
    </row>
    <row r="53" spans="11:29" ht="15" x14ac:dyDescent="0.25">
      <c r="K53" s="105"/>
      <c r="L53" s="105"/>
      <c r="M53" s="105"/>
      <c r="O53" s="105"/>
      <c r="P53" s="105"/>
      <c r="Q53" s="105"/>
      <c r="S53" s="105"/>
      <c r="T53" s="105"/>
      <c r="U53" s="105"/>
      <c r="W53" s="105"/>
      <c r="X53" s="105"/>
      <c r="Y53" s="105"/>
      <c r="AA53" s="105"/>
      <c r="AB53" s="105"/>
      <c r="AC53" s="105"/>
    </row>
    <row r="54" spans="11:29" ht="15" x14ac:dyDescent="0.25">
      <c r="K54" s="105"/>
      <c r="L54" s="105"/>
      <c r="M54" s="105"/>
      <c r="O54" s="105"/>
      <c r="P54" s="105"/>
      <c r="Q54" s="105"/>
      <c r="S54" s="105"/>
      <c r="T54" s="105"/>
      <c r="U54" s="105"/>
      <c r="W54" s="105"/>
      <c r="X54" s="105"/>
      <c r="Y54" s="105"/>
      <c r="AA54" s="105"/>
      <c r="AB54" s="105"/>
      <c r="AC54" s="105"/>
    </row>
    <row r="55" spans="11:29" ht="15" x14ac:dyDescent="0.25">
      <c r="K55" s="105"/>
      <c r="L55" s="105"/>
      <c r="M55" s="105"/>
      <c r="O55" s="105"/>
      <c r="P55" s="105"/>
      <c r="Q55" s="105"/>
      <c r="S55" s="105"/>
      <c r="T55" s="105"/>
      <c r="U55" s="105"/>
      <c r="W55" s="105"/>
      <c r="X55" s="105"/>
      <c r="Y55" s="105"/>
      <c r="AA55" s="105"/>
      <c r="AB55" s="105"/>
      <c r="AC55" s="105"/>
    </row>
    <row r="56" spans="11:29" ht="15" x14ac:dyDescent="0.25">
      <c r="K56" s="105"/>
      <c r="L56" s="105"/>
      <c r="M56" s="105"/>
      <c r="O56" s="105"/>
      <c r="P56" s="105"/>
      <c r="Q56" s="105"/>
      <c r="S56" s="105"/>
      <c r="T56" s="105"/>
      <c r="U56" s="105"/>
      <c r="W56" s="105"/>
      <c r="X56" s="105"/>
      <c r="Y56" s="105"/>
      <c r="AA56" s="105"/>
      <c r="AB56" s="105"/>
      <c r="AC56" s="105"/>
    </row>
    <row r="57" spans="11:29" ht="15" x14ac:dyDescent="0.25">
      <c r="K57" s="105"/>
      <c r="L57" s="105"/>
      <c r="M57" s="105"/>
      <c r="O57" s="105"/>
      <c r="P57" s="105"/>
      <c r="Q57" s="105"/>
      <c r="S57" s="105"/>
      <c r="T57" s="105"/>
      <c r="U57" s="105"/>
      <c r="W57" s="105"/>
      <c r="X57" s="105"/>
      <c r="Y57" s="105"/>
      <c r="AA57" s="105"/>
      <c r="AB57" s="105"/>
      <c r="AC57" s="105"/>
    </row>
    <row r="58" spans="11:29" ht="15" x14ac:dyDescent="0.25">
      <c r="K58" s="105"/>
      <c r="L58" s="105"/>
      <c r="M58" s="105"/>
      <c r="O58" s="105"/>
      <c r="P58" s="105"/>
      <c r="Q58" s="105"/>
      <c r="S58" s="105"/>
      <c r="T58" s="105"/>
      <c r="U58" s="105"/>
      <c r="W58" s="105"/>
      <c r="X58" s="105"/>
      <c r="Y58" s="105"/>
      <c r="AA58" s="105"/>
      <c r="AB58" s="105"/>
      <c r="AC58" s="105"/>
    </row>
    <row r="59" spans="11:29" ht="15" x14ac:dyDescent="0.25">
      <c r="K59" s="105"/>
      <c r="L59" s="105"/>
      <c r="M59" s="105"/>
      <c r="O59" s="105"/>
      <c r="P59" s="105"/>
      <c r="Q59" s="105"/>
      <c r="S59" s="105"/>
      <c r="T59" s="105"/>
      <c r="U59" s="105"/>
      <c r="W59" s="105"/>
      <c r="X59" s="105"/>
      <c r="Y59" s="105"/>
      <c r="AA59" s="105"/>
      <c r="AB59" s="105"/>
      <c r="AC59" s="105"/>
    </row>
    <row r="60" spans="11:29" ht="15" x14ac:dyDescent="0.25">
      <c r="K60" s="105"/>
      <c r="L60" s="105"/>
      <c r="M60" s="105"/>
      <c r="O60" s="105"/>
      <c r="P60" s="105"/>
      <c r="Q60" s="105"/>
      <c r="S60" s="105"/>
      <c r="T60" s="105"/>
      <c r="U60" s="105"/>
      <c r="W60" s="105"/>
      <c r="X60" s="105"/>
      <c r="Y60" s="105"/>
      <c r="AA60" s="105"/>
      <c r="AB60" s="105"/>
      <c r="AC60" s="105"/>
    </row>
    <row r="61" spans="11:29" ht="15" x14ac:dyDescent="0.25">
      <c r="K61" s="105"/>
      <c r="L61" s="105"/>
      <c r="M61" s="105"/>
      <c r="O61" s="105"/>
      <c r="P61" s="105"/>
      <c r="Q61" s="105"/>
      <c r="S61" s="105"/>
      <c r="T61" s="105"/>
      <c r="U61" s="105"/>
      <c r="W61" s="105"/>
      <c r="X61" s="105"/>
      <c r="Y61" s="105"/>
      <c r="AA61" s="105"/>
      <c r="AB61" s="105"/>
      <c r="AC61" s="105"/>
    </row>
    <row r="62" spans="11:29" ht="15" x14ac:dyDescent="0.25">
      <c r="K62" s="105"/>
      <c r="L62" s="105"/>
      <c r="M62" s="105"/>
      <c r="O62" s="105"/>
      <c r="P62" s="105"/>
      <c r="Q62" s="105"/>
      <c r="S62" s="105"/>
      <c r="T62" s="105"/>
      <c r="U62" s="105"/>
      <c r="W62" s="105"/>
      <c r="X62" s="105"/>
      <c r="Y62" s="105"/>
      <c r="AA62" s="105"/>
      <c r="AB62" s="105"/>
      <c r="AC62" s="105"/>
    </row>
    <row r="63" spans="11:29" ht="15" x14ac:dyDescent="0.25">
      <c r="K63" s="105"/>
      <c r="L63" s="105"/>
      <c r="M63" s="105"/>
      <c r="O63" s="105"/>
      <c r="P63" s="105"/>
      <c r="Q63" s="105"/>
      <c r="S63" s="105"/>
      <c r="T63" s="105"/>
      <c r="U63" s="105"/>
      <c r="W63" s="105"/>
      <c r="X63" s="105"/>
      <c r="Y63" s="105"/>
      <c r="AA63" s="105"/>
      <c r="AB63" s="105"/>
      <c r="AC63" s="105"/>
    </row>
    <row r="64" spans="11:29" ht="15" x14ac:dyDescent="0.25">
      <c r="K64" s="105"/>
      <c r="L64" s="105"/>
      <c r="M64" s="105"/>
      <c r="O64" s="105"/>
      <c r="P64" s="105"/>
      <c r="Q64" s="105"/>
      <c r="S64" s="105"/>
      <c r="T64" s="105"/>
      <c r="U64" s="105"/>
      <c r="W64" s="105"/>
      <c r="X64" s="105"/>
      <c r="Y64" s="105"/>
      <c r="AA64" s="105"/>
      <c r="AB64" s="105"/>
      <c r="AC64" s="105"/>
    </row>
    <row r="65" spans="11:29" ht="15" x14ac:dyDescent="0.25">
      <c r="K65" s="105"/>
      <c r="L65" s="105"/>
      <c r="M65" s="105"/>
      <c r="O65" s="105"/>
      <c r="P65" s="105"/>
      <c r="Q65" s="105"/>
      <c r="S65" s="105"/>
      <c r="T65" s="105"/>
      <c r="U65" s="105"/>
      <c r="W65" s="105"/>
      <c r="X65" s="105"/>
      <c r="Y65" s="105"/>
      <c r="AA65" s="105"/>
      <c r="AB65" s="105"/>
      <c r="AC65" s="105"/>
    </row>
    <row r="66" spans="11:29" ht="15" x14ac:dyDescent="0.25">
      <c r="K66" s="105"/>
      <c r="L66" s="105"/>
      <c r="M66" s="105"/>
      <c r="O66" s="105"/>
      <c r="P66" s="105"/>
      <c r="Q66" s="105"/>
      <c r="S66" s="105"/>
      <c r="T66" s="105"/>
      <c r="U66" s="105"/>
      <c r="W66" s="105"/>
      <c r="X66" s="105"/>
      <c r="Y66" s="105"/>
      <c r="AA66" s="105"/>
      <c r="AB66" s="105"/>
      <c r="AC66" s="105"/>
    </row>
    <row r="67" spans="11:29" ht="15" x14ac:dyDescent="0.25">
      <c r="K67" s="105"/>
      <c r="L67" s="105"/>
      <c r="M67" s="105"/>
      <c r="O67" s="105"/>
      <c r="P67" s="105"/>
      <c r="Q67" s="105"/>
      <c r="S67" s="105"/>
      <c r="T67" s="105"/>
      <c r="U67" s="105"/>
      <c r="W67" s="105"/>
      <c r="X67" s="105"/>
      <c r="Y67" s="105"/>
      <c r="AA67" s="105"/>
      <c r="AB67" s="105"/>
      <c r="AC67" s="105"/>
    </row>
  </sheetData>
  <mergeCells count="5">
    <mergeCell ref="J1:N1"/>
    <mergeCell ref="A3:B3"/>
    <mergeCell ref="A4:B4"/>
    <mergeCell ref="A5:B5"/>
    <mergeCell ref="A7:B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AD0C1-D116-4C8E-8536-FDE12E7FEA1C}">
  <dimension ref="A1:I100"/>
  <sheetViews>
    <sheetView topLeftCell="A77" workbookViewId="0">
      <selection activeCell="F100" sqref="F100"/>
    </sheetView>
  </sheetViews>
  <sheetFormatPr defaultRowHeight="14.25" x14ac:dyDescent="0.2"/>
  <cols>
    <col min="1" max="2" width="13.25" bestFit="1" customWidth="1"/>
    <col min="3" max="3" width="16.5" bestFit="1" customWidth="1"/>
    <col min="4" max="4" width="21.25" bestFit="1" customWidth="1"/>
    <col min="5" max="5" width="14.875" bestFit="1" customWidth="1"/>
    <col min="6" max="6" width="15.75" bestFit="1" customWidth="1"/>
    <col min="8" max="8" width="13.625" bestFit="1" customWidth="1"/>
    <col min="9" max="9" width="11" bestFit="1" customWidth="1"/>
  </cols>
  <sheetData>
    <row r="1" spans="1:9" ht="15" x14ac:dyDescent="0.25">
      <c r="A1" s="106" t="s">
        <v>322</v>
      </c>
      <c r="B1" s="106" t="s">
        <v>323</v>
      </c>
      <c r="C1" s="106" t="s">
        <v>324</v>
      </c>
      <c r="D1" s="106" t="s">
        <v>325</v>
      </c>
      <c r="E1" s="106" t="s">
        <v>326</v>
      </c>
      <c r="F1" s="106" t="s">
        <v>327</v>
      </c>
      <c r="G1" s="106" t="s">
        <v>328</v>
      </c>
      <c r="H1" s="148" t="s">
        <v>834</v>
      </c>
      <c r="I1" s="148" t="s">
        <v>833</v>
      </c>
    </row>
    <row r="2" spans="1:9" ht="15" x14ac:dyDescent="0.25">
      <c r="A2" s="106"/>
      <c r="B2" s="106"/>
      <c r="C2" s="106"/>
      <c r="D2" s="106"/>
      <c r="E2" s="106"/>
      <c r="F2" s="106"/>
      <c r="G2" s="106"/>
      <c r="H2" s="193">
        <v>55</v>
      </c>
      <c r="I2" s="148"/>
    </row>
    <row r="3" spans="1:9" x14ac:dyDescent="0.2">
      <c r="A3" s="84" t="s">
        <v>329</v>
      </c>
      <c r="B3" s="84" t="s">
        <v>330</v>
      </c>
      <c r="C3" s="84" t="s">
        <v>331</v>
      </c>
      <c r="D3" s="84" t="s">
        <v>332</v>
      </c>
      <c r="E3" s="84"/>
      <c r="F3" s="84"/>
      <c r="G3" s="84">
        <v>36</v>
      </c>
      <c r="H3" s="84"/>
      <c r="I3" s="84"/>
    </row>
    <row r="4" spans="1:9" x14ac:dyDescent="0.2">
      <c r="A4" s="84"/>
      <c r="B4" s="84" t="s">
        <v>333</v>
      </c>
      <c r="C4" s="84" t="s">
        <v>334</v>
      </c>
      <c r="D4" s="84" t="s">
        <v>335</v>
      </c>
      <c r="E4" s="84" t="s">
        <v>339</v>
      </c>
      <c r="F4" s="84" t="s">
        <v>861</v>
      </c>
      <c r="G4" s="84">
        <v>27</v>
      </c>
      <c r="H4" s="84"/>
      <c r="I4" s="84"/>
    </row>
    <row r="5" spans="1:9" x14ac:dyDescent="0.2">
      <c r="A5" s="84"/>
      <c r="B5" s="84" t="s">
        <v>338</v>
      </c>
      <c r="C5" s="84" t="s">
        <v>331</v>
      </c>
      <c r="D5" s="84" t="s">
        <v>332</v>
      </c>
      <c r="E5" s="84" t="s">
        <v>339</v>
      </c>
      <c r="F5" s="84"/>
      <c r="G5" s="84">
        <v>87</v>
      </c>
      <c r="H5" s="84"/>
      <c r="I5" s="84"/>
    </row>
    <row r="6" spans="1:9" x14ac:dyDescent="0.2">
      <c r="A6" s="84"/>
      <c r="B6" s="84" t="s">
        <v>340</v>
      </c>
      <c r="C6" s="84" t="s">
        <v>341</v>
      </c>
      <c r="D6" s="84" t="s">
        <v>342</v>
      </c>
      <c r="E6" s="84" t="s">
        <v>339</v>
      </c>
      <c r="F6" s="84" t="s">
        <v>861</v>
      </c>
      <c r="G6" s="84">
        <v>10</v>
      </c>
      <c r="H6" s="84"/>
      <c r="I6" s="84"/>
    </row>
    <row r="7" spans="1:9" x14ac:dyDescent="0.2">
      <c r="A7" s="84"/>
      <c r="B7" s="84" t="s">
        <v>343</v>
      </c>
      <c r="C7" s="84" t="s">
        <v>344</v>
      </c>
      <c r="D7" s="84" t="s">
        <v>335</v>
      </c>
      <c r="E7" s="84" t="s">
        <v>339</v>
      </c>
      <c r="F7" s="84" t="s">
        <v>861</v>
      </c>
      <c r="G7" s="84">
        <v>316</v>
      </c>
      <c r="H7" s="84"/>
      <c r="I7" s="84"/>
    </row>
    <row r="8" spans="1:9" x14ac:dyDescent="0.2">
      <c r="A8" s="84"/>
      <c r="B8" s="84" t="s">
        <v>345</v>
      </c>
      <c r="C8" s="84" t="s">
        <v>344</v>
      </c>
      <c r="D8" s="84" t="s">
        <v>346</v>
      </c>
      <c r="E8" s="84" t="s">
        <v>339</v>
      </c>
      <c r="F8" s="84" t="s">
        <v>861</v>
      </c>
      <c r="G8" s="84">
        <v>151</v>
      </c>
      <c r="H8" s="84"/>
      <c r="I8" s="84"/>
    </row>
    <row r="9" spans="1:9" x14ac:dyDescent="0.2">
      <c r="A9" s="84"/>
      <c r="B9" s="84" t="s">
        <v>347</v>
      </c>
      <c r="C9" s="84" t="s">
        <v>348</v>
      </c>
      <c r="D9" s="84" t="s">
        <v>349</v>
      </c>
      <c r="E9" s="84" t="s">
        <v>339</v>
      </c>
      <c r="F9" s="84" t="s">
        <v>861</v>
      </c>
      <c r="G9" s="84">
        <v>2</v>
      </c>
      <c r="H9" s="84"/>
      <c r="I9" s="84"/>
    </row>
    <row r="10" spans="1:9" x14ac:dyDescent="0.2">
      <c r="A10" s="84"/>
      <c r="B10" s="84" t="s">
        <v>350</v>
      </c>
      <c r="C10" s="84" t="s">
        <v>351</v>
      </c>
      <c r="D10" s="84" t="s">
        <v>352</v>
      </c>
      <c r="E10" s="84" t="s">
        <v>339</v>
      </c>
      <c r="F10" s="84" t="s">
        <v>861</v>
      </c>
      <c r="G10" s="84">
        <v>2</v>
      </c>
      <c r="H10" s="84"/>
      <c r="I10" s="84"/>
    </row>
    <row r="11" spans="1:9" x14ac:dyDescent="0.2">
      <c r="A11" s="84"/>
      <c r="B11" s="84" t="s">
        <v>353</v>
      </c>
      <c r="C11" s="84" t="s">
        <v>354</v>
      </c>
      <c r="D11" s="84" t="s">
        <v>355</v>
      </c>
      <c r="E11" s="84" t="s">
        <v>336</v>
      </c>
      <c r="F11" s="84" t="s">
        <v>362</v>
      </c>
      <c r="G11" s="84">
        <v>54</v>
      </c>
      <c r="H11" s="84"/>
      <c r="I11" s="84"/>
    </row>
    <row r="12" spans="1:9" x14ac:dyDescent="0.2">
      <c r="A12" s="84"/>
      <c r="B12" s="84" t="s">
        <v>356</v>
      </c>
      <c r="C12" s="84" t="s">
        <v>341</v>
      </c>
      <c r="D12" s="84" t="s">
        <v>357</v>
      </c>
      <c r="E12" s="84" t="s">
        <v>336</v>
      </c>
      <c r="F12" s="84" t="s">
        <v>362</v>
      </c>
      <c r="G12" s="84">
        <v>5</v>
      </c>
      <c r="H12" s="84"/>
      <c r="I12" s="84"/>
    </row>
    <row r="13" spans="1:9" x14ac:dyDescent="0.2">
      <c r="A13" s="84"/>
      <c r="B13" s="84" t="s">
        <v>358</v>
      </c>
      <c r="C13" s="84" t="s">
        <v>351</v>
      </c>
      <c r="D13" s="84" t="s">
        <v>359</v>
      </c>
      <c r="E13" s="84" t="s">
        <v>336</v>
      </c>
      <c r="F13" s="84" t="s">
        <v>362</v>
      </c>
      <c r="G13" s="84">
        <v>12</v>
      </c>
      <c r="H13" s="84"/>
      <c r="I13" s="84"/>
    </row>
    <row r="14" spans="1:9" x14ac:dyDescent="0.2">
      <c r="A14" s="84"/>
      <c r="B14" s="84" t="s">
        <v>360</v>
      </c>
      <c r="C14" s="84" t="s">
        <v>331</v>
      </c>
      <c r="D14" s="84" t="s">
        <v>357</v>
      </c>
      <c r="E14" s="84" t="s">
        <v>336</v>
      </c>
      <c r="F14" s="84" t="s">
        <v>362</v>
      </c>
      <c r="G14" s="84">
        <v>11</v>
      </c>
      <c r="H14" s="84"/>
      <c r="I14" s="84"/>
    </row>
    <row r="15" spans="1:9" x14ac:dyDescent="0.2">
      <c r="A15" s="84"/>
      <c r="B15" s="84" t="s">
        <v>361</v>
      </c>
      <c r="C15" s="84" t="s">
        <v>121</v>
      </c>
      <c r="D15" s="84" t="s">
        <v>357</v>
      </c>
      <c r="E15" s="84" t="s">
        <v>339</v>
      </c>
      <c r="F15" s="84" t="s">
        <v>861</v>
      </c>
      <c r="G15" s="84">
        <v>90</v>
      </c>
      <c r="H15" s="84"/>
      <c r="I15" s="84"/>
    </row>
    <row r="16" spans="1:9" x14ac:dyDescent="0.2">
      <c r="A16" s="84"/>
      <c r="B16" s="84" t="s">
        <v>363</v>
      </c>
      <c r="C16" s="84" t="s">
        <v>364</v>
      </c>
      <c r="D16" s="84" t="s">
        <v>365</v>
      </c>
      <c r="E16" s="84" t="s">
        <v>336</v>
      </c>
      <c r="F16" s="84" t="s">
        <v>362</v>
      </c>
      <c r="G16" s="84">
        <v>23</v>
      </c>
      <c r="H16" s="194">
        <f>G16*$H$2</f>
        <v>1265</v>
      </c>
      <c r="I16" s="84"/>
    </row>
    <row r="17" spans="1:9" x14ac:dyDescent="0.2">
      <c r="A17" s="84"/>
      <c r="B17" s="84" t="s">
        <v>366</v>
      </c>
      <c r="C17" s="84" t="s">
        <v>331</v>
      </c>
      <c r="D17" s="84" t="s">
        <v>332</v>
      </c>
      <c r="E17" s="84" t="s">
        <v>339</v>
      </c>
      <c r="F17" s="84"/>
      <c r="G17" s="84">
        <v>33</v>
      </c>
      <c r="H17" s="84"/>
      <c r="I17" s="84"/>
    </row>
    <row r="18" spans="1:9" x14ac:dyDescent="0.2">
      <c r="A18" s="84"/>
      <c r="B18" s="84" t="s">
        <v>367</v>
      </c>
      <c r="C18" s="84" t="s">
        <v>368</v>
      </c>
      <c r="D18" s="84" t="s">
        <v>357</v>
      </c>
      <c r="E18" s="84" t="s">
        <v>339</v>
      </c>
      <c r="F18" s="84" t="s">
        <v>861</v>
      </c>
      <c r="G18" s="84">
        <v>66</v>
      </c>
      <c r="H18" s="84"/>
      <c r="I18" s="84"/>
    </row>
    <row r="19" spans="1:9" x14ac:dyDescent="0.2">
      <c r="A19" s="84"/>
      <c r="B19" s="84" t="s">
        <v>369</v>
      </c>
      <c r="C19" s="84" t="s">
        <v>331</v>
      </c>
      <c r="D19" s="84" t="s">
        <v>332</v>
      </c>
      <c r="E19" s="84" t="s">
        <v>339</v>
      </c>
      <c r="F19" s="84"/>
      <c r="G19" s="84">
        <v>47</v>
      </c>
      <c r="H19" s="84"/>
      <c r="I19" s="84"/>
    </row>
    <row r="20" spans="1:9" x14ac:dyDescent="0.2">
      <c r="A20" s="84"/>
      <c r="B20" s="84" t="s">
        <v>370</v>
      </c>
      <c r="C20" s="84" t="s">
        <v>334</v>
      </c>
      <c r="D20" s="84" t="s">
        <v>371</v>
      </c>
      <c r="E20" s="84" t="s">
        <v>336</v>
      </c>
      <c r="F20" s="84" t="s">
        <v>372</v>
      </c>
      <c r="G20" s="84">
        <v>16</v>
      </c>
      <c r="H20" s="194">
        <f t="shared" ref="H20:H23" si="0">G20*$H$2</f>
        <v>880</v>
      </c>
      <c r="I20" s="84"/>
    </row>
    <row r="21" spans="1:9" x14ac:dyDescent="0.2">
      <c r="A21" s="84"/>
      <c r="B21" s="84" t="s">
        <v>373</v>
      </c>
      <c r="C21" s="84" t="s">
        <v>334</v>
      </c>
      <c r="D21" s="84" t="s">
        <v>371</v>
      </c>
      <c r="E21" s="84" t="s">
        <v>336</v>
      </c>
      <c r="F21" s="84" t="s">
        <v>372</v>
      </c>
      <c r="G21" s="84">
        <v>14</v>
      </c>
      <c r="H21" s="194">
        <f t="shared" si="0"/>
        <v>770</v>
      </c>
      <c r="I21" s="84"/>
    </row>
    <row r="22" spans="1:9" x14ac:dyDescent="0.2">
      <c r="A22" s="84"/>
      <c r="B22" s="84" t="s">
        <v>374</v>
      </c>
      <c r="C22" s="84" t="s">
        <v>331</v>
      </c>
      <c r="D22" s="84" t="s">
        <v>371</v>
      </c>
      <c r="E22" s="84" t="s">
        <v>336</v>
      </c>
      <c r="F22" s="84" t="s">
        <v>372</v>
      </c>
      <c r="G22" s="84">
        <v>11</v>
      </c>
      <c r="H22" s="194">
        <f t="shared" si="0"/>
        <v>605</v>
      </c>
      <c r="I22" s="84"/>
    </row>
    <row r="23" spans="1:9" x14ac:dyDescent="0.2">
      <c r="A23" s="84"/>
      <c r="B23" s="84" t="s">
        <v>375</v>
      </c>
      <c r="C23" s="84" t="s">
        <v>334</v>
      </c>
      <c r="D23" s="84" t="s">
        <v>371</v>
      </c>
      <c r="E23" s="84" t="s">
        <v>336</v>
      </c>
      <c r="F23" s="84" t="s">
        <v>372</v>
      </c>
      <c r="G23" s="84">
        <v>32</v>
      </c>
      <c r="H23" s="194">
        <f t="shared" si="0"/>
        <v>1760</v>
      </c>
      <c r="I23" s="84"/>
    </row>
    <row r="24" spans="1:9" x14ac:dyDescent="0.2">
      <c r="A24" s="84"/>
      <c r="B24" s="84" t="s">
        <v>376</v>
      </c>
      <c r="C24" s="84" t="s">
        <v>377</v>
      </c>
      <c r="D24" s="84" t="s">
        <v>371</v>
      </c>
      <c r="E24" s="84" t="s">
        <v>336</v>
      </c>
      <c r="F24" s="84" t="s">
        <v>372</v>
      </c>
      <c r="G24" s="84">
        <v>7</v>
      </c>
      <c r="H24" s="84"/>
      <c r="I24" s="84"/>
    </row>
    <row r="25" spans="1:9" x14ac:dyDescent="0.2">
      <c r="A25" s="84"/>
      <c r="B25" s="84" t="s">
        <v>378</v>
      </c>
      <c r="C25" s="84" t="s">
        <v>351</v>
      </c>
      <c r="D25" s="84" t="s">
        <v>352</v>
      </c>
      <c r="E25" s="84" t="s">
        <v>339</v>
      </c>
      <c r="F25" s="84"/>
      <c r="G25" s="84">
        <v>5</v>
      </c>
      <c r="H25" s="84"/>
      <c r="I25" s="84"/>
    </row>
    <row r="26" spans="1:9" x14ac:dyDescent="0.2">
      <c r="A26" s="84"/>
      <c r="B26" s="84" t="s">
        <v>379</v>
      </c>
      <c r="C26" s="84" t="s">
        <v>351</v>
      </c>
      <c r="D26" s="84" t="s">
        <v>352</v>
      </c>
      <c r="E26" s="84" t="s">
        <v>339</v>
      </c>
      <c r="F26" s="84"/>
      <c r="G26" s="84">
        <v>8</v>
      </c>
      <c r="H26" s="84"/>
      <c r="I26" s="84"/>
    </row>
    <row r="27" spans="1:9" x14ac:dyDescent="0.2">
      <c r="A27" s="84"/>
      <c r="B27" s="84" t="s">
        <v>380</v>
      </c>
      <c r="C27" s="84" t="s">
        <v>351</v>
      </c>
      <c r="D27" s="84" t="s">
        <v>352</v>
      </c>
      <c r="E27" s="84" t="s">
        <v>339</v>
      </c>
      <c r="F27" s="84"/>
      <c r="G27" s="84">
        <v>6</v>
      </c>
      <c r="H27" s="84"/>
      <c r="I27" s="84"/>
    </row>
    <row r="28" spans="1:9" x14ac:dyDescent="0.2">
      <c r="A28" s="84"/>
      <c r="B28" s="84" t="s">
        <v>381</v>
      </c>
      <c r="C28" s="84" t="s">
        <v>341</v>
      </c>
      <c r="D28" s="84" t="s">
        <v>371</v>
      </c>
      <c r="E28" s="84" t="s">
        <v>339</v>
      </c>
      <c r="F28" s="84"/>
      <c r="G28" s="84">
        <v>3</v>
      </c>
      <c r="H28" s="84"/>
      <c r="I28" s="84"/>
    </row>
    <row r="29" spans="1:9" x14ac:dyDescent="0.2">
      <c r="A29" s="84"/>
      <c r="B29" s="84" t="s">
        <v>382</v>
      </c>
      <c r="C29" s="84" t="s">
        <v>383</v>
      </c>
      <c r="D29" s="84" t="s">
        <v>371</v>
      </c>
      <c r="E29" s="84" t="s">
        <v>339</v>
      </c>
      <c r="F29" s="84" t="s">
        <v>861</v>
      </c>
      <c r="G29" s="84">
        <v>44</v>
      </c>
      <c r="H29" s="84"/>
      <c r="I29" s="84"/>
    </row>
    <row r="30" spans="1:9" x14ac:dyDescent="0.2">
      <c r="A30" s="84"/>
      <c r="B30" s="84" t="s">
        <v>384</v>
      </c>
      <c r="C30" s="84" t="s">
        <v>331</v>
      </c>
      <c r="D30" s="84" t="s">
        <v>332</v>
      </c>
      <c r="E30" s="84" t="s">
        <v>339</v>
      </c>
      <c r="F30" s="84"/>
      <c r="G30" s="84">
        <v>7</v>
      </c>
      <c r="H30" s="84"/>
      <c r="I30" s="84"/>
    </row>
    <row r="31" spans="1:9" x14ac:dyDescent="0.2">
      <c r="A31" s="84"/>
      <c r="B31" s="84" t="s">
        <v>385</v>
      </c>
      <c r="C31" s="84" t="s">
        <v>331</v>
      </c>
      <c r="D31" s="84" t="s">
        <v>332</v>
      </c>
      <c r="E31" s="84" t="s">
        <v>339</v>
      </c>
      <c r="F31" s="84"/>
      <c r="G31" s="84">
        <v>85</v>
      </c>
      <c r="H31" s="84"/>
      <c r="I31" s="84"/>
    </row>
    <row r="32" spans="1:9" x14ac:dyDescent="0.2">
      <c r="A32" s="84"/>
      <c r="B32" s="84" t="s">
        <v>386</v>
      </c>
      <c r="C32" s="84" t="s">
        <v>334</v>
      </c>
      <c r="D32" s="84" t="s">
        <v>357</v>
      </c>
      <c r="E32" s="84" t="s">
        <v>336</v>
      </c>
      <c r="F32" s="84" t="s">
        <v>862</v>
      </c>
      <c r="G32" s="84">
        <v>15</v>
      </c>
      <c r="H32" s="194">
        <f t="shared" ref="H32:H34" si="1">G32*$H$2</f>
        <v>825</v>
      </c>
      <c r="I32" s="84"/>
    </row>
    <row r="33" spans="1:9" x14ac:dyDescent="0.2">
      <c r="A33" s="84"/>
      <c r="B33" s="84" t="s">
        <v>387</v>
      </c>
      <c r="C33" s="84" t="s">
        <v>334</v>
      </c>
      <c r="D33" s="84" t="s">
        <v>357</v>
      </c>
      <c r="E33" s="84" t="s">
        <v>336</v>
      </c>
      <c r="F33" s="84" t="s">
        <v>862</v>
      </c>
      <c r="G33" s="84">
        <v>43</v>
      </c>
      <c r="H33" s="194">
        <f t="shared" si="1"/>
        <v>2365</v>
      </c>
      <c r="I33" s="84"/>
    </row>
    <row r="34" spans="1:9" x14ac:dyDescent="0.2">
      <c r="A34" s="84"/>
      <c r="B34" s="84" t="s">
        <v>388</v>
      </c>
      <c r="C34" s="84" t="s">
        <v>334</v>
      </c>
      <c r="D34" s="84" t="s">
        <v>357</v>
      </c>
      <c r="E34" s="84" t="s">
        <v>336</v>
      </c>
      <c r="F34" s="84" t="s">
        <v>862</v>
      </c>
      <c r="G34" s="84">
        <v>12</v>
      </c>
      <c r="H34" s="194">
        <f t="shared" si="1"/>
        <v>660</v>
      </c>
      <c r="I34" s="84"/>
    </row>
    <row r="35" spans="1:9" x14ac:dyDescent="0.2">
      <c r="A35" s="84"/>
      <c r="B35" s="84" t="s">
        <v>389</v>
      </c>
      <c r="C35" s="84" t="s">
        <v>341</v>
      </c>
      <c r="D35" s="84" t="s">
        <v>390</v>
      </c>
      <c r="E35" s="84" t="s">
        <v>339</v>
      </c>
      <c r="F35" s="84"/>
      <c r="G35" s="84">
        <v>2</v>
      </c>
      <c r="H35" s="84"/>
      <c r="I35" s="84"/>
    </row>
    <row r="36" spans="1:9" x14ac:dyDescent="0.2">
      <c r="A36" s="84"/>
      <c r="B36" s="84" t="s">
        <v>391</v>
      </c>
      <c r="C36" s="84" t="s">
        <v>341</v>
      </c>
      <c r="D36" s="84" t="s">
        <v>371</v>
      </c>
      <c r="E36" s="84" t="s">
        <v>339</v>
      </c>
      <c r="F36" s="84"/>
      <c r="G36" s="84">
        <v>9</v>
      </c>
      <c r="H36" s="84"/>
      <c r="I36" s="84"/>
    </row>
    <row r="37" spans="1:9" x14ac:dyDescent="0.2">
      <c r="A37" s="84"/>
      <c r="B37" s="84" t="s">
        <v>392</v>
      </c>
      <c r="C37" s="84" t="s">
        <v>341</v>
      </c>
      <c r="D37" s="84" t="s">
        <v>371</v>
      </c>
      <c r="E37" s="84" t="s">
        <v>339</v>
      </c>
      <c r="F37" s="84"/>
      <c r="G37" s="84">
        <v>9</v>
      </c>
      <c r="H37" s="84"/>
      <c r="I37" s="84"/>
    </row>
    <row r="38" spans="1:9" x14ac:dyDescent="0.2">
      <c r="A38" s="84"/>
      <c r="B38" s="84" t="s">
        <v>393</v>
      </c>
      <c r="C38" s="84" t="s">
        <v>341</v>
      </c>
      <c r="D38" s="84" t="s">
        <v>371</v>
      </c>
      <c r="E38" s="84" t="s">
        <v>339</v>
      </c>
      <c r="F38" s="84"/>
      <c r="G38" s="84">
        <v>3</v>
      </c>
      <c r="H38" s="84"/>
      <c r="I38" s="84"/>
    </row>
    <row r="39" spans="1:9" x14ac:dyDescent="0.2">
      <c r="A39" s="84"/>
      <c r="B39" s="84" t="s">
        <v>394</v>
      </c>
      <c r="C39" s="84" t="s">
        <v>341</v>
      </c>
      <c r="D39" s="84" t="s">
        <v>371</v>
      </c>
      <c r="E39" s="84" t="s">
        <v>339</v>
      </c>
      <c r="F39" s="84"/>
      <c r="G39" s="84">
        <v>10</v>
      </c>
      <c r="H39" s="84"/>
      <c r="I39" s="84"/>
    </row>
    <row r="40" spans="1:9" x14ac:dyDescent="0.2">
      <c r="A40" s="84"/>
      <c r="B40" s="84" t="s">
        <v>395</v>
      </c>
      <c r="C40" s="84" t="s">
        <v>396</v>
      </c>
      <c r="D40" s="84" t="s">
        <v>397</v>
      </c>
      <c r="E40" s="84" t="s">
        <v>339</v>
      </c>
      <c r="F40" s="84" t="s">
        <v>861</v>
      </c>
      <c r="G40" s="84">
        <v>68</v>
      </c>
      <c r="H40" s="84"/>
      <c r="I40" s="84"/>
    </row>
    <row r="41" spans="1:9" x14ac:dyDescent="0.2">
      <c r="A41" s="84"/>
      <c r="B41" s="84" t="s">
        <v>398</v>
      </c>
      <c r="C41" s="84" t="s">
        <v>399</v>
      </c>
      <c r="D41" s="84" t="s">
        <v>332</v>
      </c>
      <c r="E41" s="84" t="s">
        <v>339</v>
      </c>
      <c r="F41" s="84" t="s">
        <v>861</v>
      </c>
      <c r="G41" s="84">
        <v>14</v>
      </c>
      <c r="H41" s="84"/>
      <c r="I41" s="84"/>
    </row>
    <row r="42" spans="1:9" x14ac:dyDescent="0.2">
      <c r="A42" s="84"/>
      <c r="B42" s="84" t="s">
        <v>400</v>
      </c>
      <c r="C42" s="84" t="s">
        <v>341</v>
      </c>
      <c r="D42" s="84" t="s">
        <v>371</v>
      </c>
      <c r="E42" s="84" t="s">
        <v>339</v>
      </c>
      <c r="F42" s="84"/>
      <c r="G42" s="84">
        <v>4</v>
      </c>
      <c r="H42" s="84"/>
      <c r="I42" s="84"/>
    </row>
    <row r="43" spans="1:9" x14ac:dyDescent="0.2">
      <c r="A43" s="84"/>
      <c r="B43" s="84" t="s">
        <v>401</v>
      </c>
      <c r="C43" s="84" t="s">
        <v>351</v>
      </c>
      <c r="D43" s="84" t="s">
        <v>352</v>
      </c>
      <c r="E43" s="84" t="s">
        <v>339</v>
      </c>
      <c r="F43" s="84"/>
      <c r="G43" s="84">
        <v>2</v>
      </c>
      <c r="H43" s="84"/>
      <c r="I43" s="84"/>
    </row>
    <row r="44" spans="1:9" x14ac:dyDescent="0.2">
      <c r="A44" s="84"/>
      <c r="B44" s="84" t="s">
        <v>402</v>
      </c>
      <c r="C44" s="84" t="s">
        <v>334</v>
      </c>
      <c r="D44" s="84" t="s">
        <v>365</v>
      </c>
      <c r="E44" s="84" t="s">
        <v>339</v>
      </c>
      <c r="F44" s="84" t="s">
        <v>861</v>
      </c>
      <c r="G44" s="84">
        <v>10</v>
      </c>
      <c r="H44" s="84"/>
      <c r="I44" s="84"/>
    </row>
    <row r="45" spans="1:9" x14ac:dyDescent="0.2">
      <c r="A45" s="84"/>
      <c r="B45" s="84" t="s">
        <v>403</v>
      </c>
      <c r="C45" s="84" t="s">
        <v>404</v>
      </c>
      <c r="D45" s="84" t="s">
        <v>365</v>
      </c>
      <c r="E45" s="84" t="s">
        <v>339</v>
      </c>
      <c r="F45" s="84"/>
      <c r="G45" s="84">
        <v>4</v>
      </c>
      <c r="H45" s="84"/>
      <c r="I45" s="84"/>
    </row>
    <row r="46" spans="1:9" x14ac:dyDescent="0.2">
      <c r="A46" s="84"/>
      <c r="B46" s="84" t="s">
        <v>405</v>
      </c>
      <c r="C46" s="84" t="s">
        <v>858</v>
      </c>
      <c r="D46" s="84" t="s">
        <v>365</v>
      </c>
      <c r="E46" s="84" t="s">
        <v>339</v>
      </c>
      <c r="F46" s="84"/>
      <c r="G46" s="84">
        <v>17</v>
      </c>
      <c r="H46" s="84"/>
      <c r="I46" s="84"/>
    </row>
    <row r="47" spans="1:9" x14ac:dyDescent="0.2">
      <c r="A47" s="84"/>
      <c r="B47" s="84" t="s">
        <v>406</v>
      </c>
      <c r="C47" s="84" t="s">
        <v>331</v>
      </c>
      <c r="D47" s="84" t="s">
        <v>332</v>
      </c>
      <c r="E47" s="84" t="s">
        <v>339</v>
      </c>
      <c r="F47" s="84"/>
      <c r="G47" s="84">
        <v>13</v>
      </c>
      <c r="H47" s="84"/>
      <c r="I47" s="84"/>
    </row>
    <row r="48" spans="1:9" x14ac:dyDescent="0.2">
      <c r="A48" s="84"/>
      <c r="B48" s="84" t="s">
        <v>407</v>
      </c>
      <c r="C48" s="84" t="s">
        <v>331</v>
      </c>
      <c r="D48" s="84" t="s">
        <v>332</v>
      </c>
      <c r="E48" s="84" t="s">
        <v>339</v>
      </c>
      <c r="F48" s="84"/>
      <c r="G48" s="84">
        <v>5</v>
      </c>
      <c r="H48" s="84"/>
      <c r="I48" s="84"/>
    </row>
    <row r="49" spans="1:9" x14ac:dyDescent="0.2">
      <c r="A49" s="84"/>
      <c r="B49" s="84" t="s">
        <v>408</v>
      </c>
      <c r="C49" s="84" t="s">
        <v>331</v>
      </c>
      <c r="D49" s="84" t="s">
        <v>352</v>
      </c>
      <c r="E49" s="84" t="s">
        <v>339</v>
      </c>
      <c r="F49" s="84" t="s">
        <v>861</v>
      </c>
      <c r="G49" s="84">
        <v>250</v>
      </c>
      <c r="H49" s="84"/>
      <c r="I49" s="84"/>
    </row>
    <row r="50" spans="1:9" x14ac:dyDescent="0.2">
      <c r="A50" s="84"/>
      <c r="B50" s="84" t="s">
        <v>409</v>
      </c>
      <c r="C50" s="84" t="s">
        <v>410</v>
      </c>
      <c r="D50" s="84" t="s">
        <v>371</v>
      </c>
      <c r="E50" s="84" t="s">
        <v>339</v>
      </c>
      <c r="F50" s="84"/>
      <c r="G50" s="84">
        <v>2</v>
      </c>
      <c r="H50" s="84"/>
      <c r="I50" s="84"/>
    </row>
    <row r="51" spans="1:9" x14ac:dyDescent="0.2">
      <c r="A51" s="84"/>
      <c r="B51" s="84" t="s">
        <v>411</v>
      </c>
      <c r="C51" s="84" t="s">
        <v>412</v>
      </c>
      <c r="D51" s="84" t="s">
        <v>371</v>
      </c>
      <c r="E51" s="84" t="s">
        <v>339</v>
      </c>
      <c r="F51" s="84"/>
      <c r="G51" s="84">
        <v>8</v>
      </c>
      <c r="H51" s="84"/>
      <c r="I51" s="84"/>
    </row>
    <row r="52" spans="1:9" x14ac:dyDescent="0.2">
      <c r="A52" s="84"/>
      <c r="B52" s="84" t="s">
        <v>413</v>
      </c>
      <c r="C52" s="84" t="s">
        <v>414</v>
      </c>
      <c r="D52" s="84" t="s">
        <v>352</v>
      </c>
      <c r="E52" s="84" t="s">
        <v>339</v>
      </c>
      <c r="F52" s="84" t="s">
        <v>861</v>
      </c>
      <c r="G52" s="84">
        <v>63</v>
      </c>
      <c r="H52" s="84"/>
      <c r="I52" s="84"/>
    </row>
    <row r="53" spans="1:9" x14ac:dyDescent="0.2">
      <c r="A53" s="84"/>
      <c r="B53" s="84" t="s">
        <v>415</v>
      </c>
      <c r="C53" s="84" t="s">
        <v>416</v>
      </c>
      <c r="D53" s="84" t="s">
        <v>352</v>
      </c>
      <c r="E53" s="84" t="s">
        <v>339</v>
      </c>
      <c r="F53" s="84"/>
      <c r="G53" s="84">
        <v>23</v>
      </c>
      <c r="H53" s="84"/>
      <c r="I53" s="84"/>
    </row>
    <row r="54" spans="1:9" x14ac:dyDescent="0.2">
      <c r="A54" s="84"/>
      <c r="B54" s="84" t="s">
        <v>417</v>
      </c>
      <c r="C54" s="84" t="s">
        <v>351</v>
      </c>
      <c r="D54" s="84" t="s">
        <v>352</v>
      </c>
      <c r="E54" s="84" t="s">
        <v>339</v>
      </c>
      <c r="F54" s="84"/>
      <c r="G54" s="84">
        <v>8</v>
      </c>
      <c r="H54" s="84"/>
      <c r="I54" s="84"/>
    </row>
    <row r="55" spans="1:9" x14ac:dyDescent="0.2">
      <c r="A55" s="84"/>
      <c r="B55" s="84" t="s">
        <v>418</v>
      </c>
      <c r="C55" s="84" t="s">
        <v>351</v>
      </c>
      <c r="D55" s="84" t="s">
        <v>352</v>
      </c>
      <c r="E55" s="84" t="s">
        <v>339</v>
      </c>
      <c r="F55" s="84"/>
      <c r="G55" s="84">
        <v>11</v>
      </c>
      <c r="H55" s="84"/>
      <c r="I55" s="84"/>
    </row>
    <row r="56" spans="1:9" x14ac:dyDescent="0.2">
      <c r="A56" s="84"/>
      <c r="B56" s="84" t="s">
        <v>419</v>
      </c>
      <c r="C56" s="84" t="s">
        <v>351</v>
      </c>
      <c r="D56" s="84" t="s">
        <v>352</v>
      </c>
      <c r="E56" s="84" t="s">
        <v>339</v>
      </c>
      <c r="F56" s="84"/>
      <c r="G56" s="84">
        <v>4</v>
      </c>
      <c r="H56" s="84"/>
      <c r="I56" s="84"/>
    </row>
    <row r="57" spans="1:9" x14ac:dyDescent="0.2">
      <c r="A57" s="84"/>
      <c r="B57" s="84" t="s">
        <v>420</v>
      </c>
      <c r="C57" s="84" t="s">
        <v>421</v>
      </c>
      <c r="D57" s="84" t="s">
        <v>332</v>
      </c>
      <c r="E57" s="84" t="s">
        <v>339</v>
      </c>
      <c r="F57" s="84"/>
      <c r="G57" s="84">
        <v>6</v>
      </c>
      <c r="H57" s="84"/>
      <c r="I57" s="84"/>
    </row>
    <row r="58" spans="1:9" x14ac:dyDescent="0.2">
      <c r="A58" s="84"/>
      <c r="B58" s="84" t="s">
        <v>422</v>
      </c>
      <c r="C58" s="84" t="s">
        <v>421</v>
      </c>
      <c r="D58" s="84" t="s">
        <v>332</v>
      </c>
      <c r="E58" s="84" t="s">
        <v>339</v>
      </c>
      <c r="F58" s="84"/>
      <c r="G58" s="84">
        <v>6</v>
      </c>
      <c r="H58" s="84"/>
      <c r="I58" s="84"/>
    </row>
    <row r="59" spans="1:9" x14ac:dyDescent="0.2">
      <c r="A59" s="84"/>
      <c r="B59" s="84" t="s">
        <v>423</v>
      </c>
      <c r="C59" s="84" t="s">
        <v>331</v>
      </c>
      <c r="D59" s="84" t="s">
        <v>332</v>
      </c>
      <c r="E59" s="84" t="s">
        <v>339</v>
      </c>
      <c r="F59" s="84"/>
      <c r="G59" s="84">
        <v>51</v>
      </c>
      <c r="H59" s="84"/>
      <c r="I59" s="84"/>
    </row>
    <row r="60" spans="1:9" x14ac:dyDescent="0.2">
      <c r="A60" s="84"/>
      <c r="B60" s="84" t="s">
        <v>424</v>
      </c>
      <c r="C60" s="84" t="s">
        <v>331</v>
      </c>
      <c r="D60" s="84" t="s">
        <v>332</v>
      </c>
      <c r="E60" s="84" t="s">
        <v>339</v>
      </c>
      <c r="F60" s="84"/>
      <c r="G60" s="84">
        <v>24</v>
      </c>
      <c r="H60" s="84"/>
      <c r="I60" s="84"/>
    </row>
    <row r="61" spans="1:9" ht="15" x14ac:dyDescent="0.25">
      <c r="A61" s="146" t="s">
        <v>425</v>
      </c>
      <c r="B61" s="146" t="s">
        <v>426</v>
      </c>
      <c r="C61" s="146" t="s">
        <v>331</v>
      </c>
      <c r="D61" s="146" t="s">
        <v>427</v>
      </c>
      <c r="E61" s="146" t="s">
        <v>428</v>
      </c>
      <c r="F61" s="84"/>
      <c r="G61" s="84">
        <v>8</v>
      </c>
      <c r="H61" s="84"/>
      <c r="I61" s="84"/>
    </row>
    <row r="62" spans="1:9" ht="15" x14ac:dyDescent="0.25">
      <c r="A62" s="146"/>
      <c r="B62" s="146" t="s">
        <v>429</v>
      </c>
      <c r="C62" s="146" t="s">
        <v>351</v>
      </c>
      <c r="D62" s="146" t="s">
        <v>427</v>
      </c>
      <c r="E62" s="146" t="s">
        <v>428</v>
      </c>
      <c r="F62" s="84"/>
      <c r="G62" s="84">
        <v>4</v>
      </c>
      <c r="H62" s="84"/>
      <c r="I62" s="84"/>
    </row>
    <row r="63" spans="1:9" ht="15" x14ac:dyDescent="0.25">
      <c r="A63" s="146"/>
      <c r="B63" s="146" t="s">
        <v>430</v>
      </c>
      <c r="C63" s="146" t="s">
        <v>377</v>
      </c>
      <c r="D63" s="146" t="s">
        <v>427</v>
      </c>
      <c r="E63" s="146" t="s">
        <v>428</v>
      </c>
      <c r="F63" s="84"/>
      <c r="G63" s="84">
        <v>11</v>
      </c>
      <c r="H63" s="84"/>
      <c r="I63" s="84"/>
    </row>
    <row r="64" spans="1:9" ht="15" x14ac:dyDescent="0.25">
      <c r="A64" s="146"/>
      <c r="B64" s="146" t="s">
        <v>431</v>
      </c>
      <c r="C64" s="146" t="s">
        <v>341</v>
      </c>
      <c r="D64" s="146" t="s">
        <v>427</v>
      </c>
      <c r="E64" s="146" t="s">
        <v>428</v>
      </c>
      <c r="F64" s="84"/>
      <c r="G64" s="84">
        <v>7</v>
      </c>
      <c r="H64" s="84"/>
      <c r="I64" s="84"/>
    </row>
    <row r="65" spans="1:9" ht="15" x14ac:dyDescent="0.25">
      <c r="A65" s="146"/>
      <c r="B65" s="146" t="s">
        <v>432</v>
      </c>
      <c r="C65" s="146" t="s">
        <v>433</v>
      </c>
      <c r="D65" s="146" t="s">
        <v>427</v>
      </c>
      <c r="E65" s="146" t="s">
        <v>428</v>
      </c>
      <c r="F65" s="84"/>
      <c r="G65" s="84">
        <v>261</v>
      </c>
      <c r="H65" s="84"/>
      <c r="I65" s="84"/>
    </row>
    <row r="66" spans="1:9" ht="15" x14ac:dyDescent="0.25">
      <c r="A66" s="146"/>
      <c r="B66" s="146" t="s">
        <v>434</v>
      </c>
      <c r="C66" s="146" t="s">
        <v>435</v>
      </c>
      <c r="D66" s="146" t="s">
        <v>427</v>
      </c>
      <c r="E66" s="146" t="s">
        <v>428</v>
      </c>
      <c r="F66" s="84"/>
      <c r="G66" s="84">
        <v>58</v>
      </c>
      <c r="H66" s="84"/>
      <c r="I66" s="84"/>
    </row>
    <row r="67" spans="1:9" ht="15" x14ac:dyDescent="0.25">
      <c r="A67" s="84"/>
      <c r="B67" s="191" t="s">
        <v>447</v>
      </c>
      <c r="C67" s="191" t="s">
        <v>334</v>
      </c>
      <c r="D67" s="146" t="s">
        <v>427</v>
      </c>
      <c r="E67" s="146" t="s">
        <v>428</v>
      </c>
      <c r="F67" s="84"/>
      <c r="G67" s="84">
        <v>44</v>
      </c>
      <c r="H67" s="84"/>
      <c r="I67" s="84"/>
    </row>
    <row r="68" spans="1:9" x14ac:dyDescent="0.2">
      <c r="A68" s="84"/>
      <c r="B68" s="84" t="s">
        <v>436</v>
      </c>
      <c r="C68" s="84" t="s">
        <v>118</v>
      </c>
      <c r="D68" s="84" t="s">
        <v>371</v>
      </c>
      <c r="E68" s="84" t="s">
        <v>339</v>
      </c>
      <c r="F68" s="84" t="s">
        <v>861</v>
      </c>
      <c r="G68" s="84">
        <v>80</v>
      </c>
      <c r="H68" s="84"/>
      <c r="I68" s="84"/>
    </row>
    <row r="69" spans="1:9" x14ac:dyDescent="0.2">
      <c r="A69" s="84"/>
      <c r="B69" s="84" t="s">
        <v>437</v>
      </c>
      <c r="C69" s="84" t="s">
        <v>341</v>
      </c>
      <c r="D69" s="84" t="s">
        <v>371</v>
      </c>
      <c r="E69" s="84" t="s">
        <v>339</v>
      </c>
      <c r="F69" s="84"/>
      <c r="G69" s="84">
        <v>12</v>
      </c>
      <c r="H69" s="84"/>
      <c r="I69" s="84"/>
    </row>
    <row r="70" spans="1:9" x14ac:dyDescent="0.2">
      <c r="A70" s="84"/>
      <c r="B70" s="84" t="s">
        <v>438</v>
      </c>
      <c r="C70" s="84" t="s">
        <v>341</v>
      </c>
      <c r="D70" s="84" t="s">
        <v>352</v>
      </c>
      <c r="E70" s="84" t="s">
        <v>339</v>
      </c>
      <c r="F70" s="84"/>
      <c r="G70" s="84">
        <v>9</v>
      </c>
      <c r="H70" s="84"/>
      <c r="I70" s="84"/>
    </row>
    <row r="71" spans="1:9" x14ac:dyDescent="0.2">
      <c r="A71" s="84"/>
      <c r="B71" s="84" t="s">
        <v>439</v>
      </c>
      <c r="C71" s="84" t="s">
        <v>341</v>
      </c>
      <c r="D71" s="84" t="s">
        <v>371</v>
      </c>
      <c r="E71" s="84" t="s">
        <v>339</v>
      </c>
      <c r="F71" s="84"/>
      <c r="G71" s="84" t="s">
        <v>440</v>
      </c>
      <c r="H71" s="84"/>
      <c r="I71" s="84"/>
    </row>
    <row r="72" spans="1:9" x14ac:dyDescent="0.2">
      <c r="A72" s="84"/>
      <c r="B72" s="84" t="s">
        <v>441</v>
      </c>
      <c r="C72" s="84" t="s">
        <v>442</v>
      </c>
      <c r="D72" s="84" t="s">
        <v>371</v>
      </c>
      <c r="E72" s="84" t="s">
        <v>339</v>
      </c>
      <c r="F72" s="84"/>
      <c r="G72" s="84">
        <v>6</v>
      </c>
      <c r="H72" s="84"/>
      <c r="I72" s="84"/>
    </row>
    <row r="73" spans="1:9" x14ac:dyDescent="0.2">
      <c r="A73" s="84"/>
      <c r="B73" s="84" t="s">
        <v>443</v>
      </c>
      <c r="C73" s="84" t="s">
        <v>444</v>
      </c>
      <c r="D73" s="84" t="s">
        <v>371</v>
      </c>
      <c r="E73" s="84" t="s">
        <v>339</v>
      </c>
      <c r="F73" s="84"/>
      <c r="G73" s="84">
        <v>2</v>
      </c>
      <c r="H73" s="84"/>
      <c r="I73" s="84"/>
    </row>
    <row r="74" spans="1:9" x14ac:dyDescent="0.2">
      <c r="A74" s="84"/>
      <c r="B74" s="84" t="s">
        <v>445</v>
      </c>
      <c r="C74" s="84" t="s">
        <v>110</v>
      </c>
      <c r="D74" s="84" t="s">
        <v>371</v>
      </c>
      <c r="E74" s="84" t="s">
        <v>339</v>
      </c>
      <c r="F74" s="84" t="s">
        <v>861</v>
      </c>
      <c r="G74" s="84">
        <v>38</v>
      </c>
      <c r="H74" s="84"/>
      <c r="I74" s="84"/>
    </row>
    <row r="75" spans="1:9" x14ac:dyDescent="0.2">
      <c r="A75" s="84"/>
      <c r="B75" s="84" t="s">
        <v>446</v>
      </c>
      <c r="C75" s="84" t="s">
        <v>341</v>
      </c>
      <c r="D75" s="84" t="s">
        <v>371</v>
      </c>
      <c r="E75" s="84" t="s">
        <v>339</v>
      </c>
      <c r="F75" s="84"/>
      <c r="G75" s="84">
        <v>5</v>
      </c>
      <c r="H75" s="84"/>
      <c r="I75" s="84"/>
    </row>
    <row r="76" spans="1:9" x14ac:dyDescent="0.2">
      <c r="A76" s="84"/>
      <c r="B76" s="84" t="s">
        <v>448</v>
      </c>
      <c r="C76" s="84" t="s">
        <v>341</v>
      </c>
      <c r="D76" s="84" t="s">
        <v>371</v>
      </c>
      <c r="E76" s="84" t="s">
        <v>339</v>
      </c>
      <c r="F76" s="84"/>
      <c r="G76" s="84">
        <v>9</v>
      </c>
      <c r="H76" s="84"/>
      <c r="I76" s="84"/>
    </row>
    <row r="77" spans="1:9" x14ac:dyDescent="0.2">
      <c r="A77" s="139" t="s">
        <v>449</v>
      </c>
      <c r="B77" s="139" t="s">
        <v>450</v>
      </c>
      <c r="C77" s="84" t="s">
        <v>354</v>
      </c>
      <c r="D77" s="84" t="s">
        <v>371</v>
      </c>
      <c r="E77" s="84" t="s">
        <v>336</v>
      </c>
      <c r="F77" s="84" t="s">
        <v>362</v>
      </c>
      <c r="G77" s="84">
        <v>30</v>
      </c>
      <c r="H77" s="194">
        <f t="shared" ref="H77:H80" si="2">G77*$H$2</f>
        <v>1650</v>
      </c>
      <c r="I77" s="84"/>
    </row>
    <row r="78" spans="1:9" x14ac:dyDescent="0.2">
      <c r="A78" s="84"/>
      <c r="B78" s="139" t="s">
        <v>451</v>
      </c>
      <c r="C78" s="84" t="s">
        <v>354</v>
      </c>
      <c r="D78" s="84" t="s">
        <v>452</v>
      </c>
      <c r="E78" s="84" t="s">
        <v>336</v>
      </c>
      <c r="F78" s="84" t="s">
        <v>362</v>
      </c>
      <c r="G78" s="84">
        <v>68</v>
      </c>
      <c r="H78" s="194">
        <f t="shared" si="2"/>
        <v>3740</v>
      </c>
      <c r="I78" s="84"/>
    </row>
    <row r="79" spans="1:9" x14ac:dyDescent="0.2">
      <c r="A79" s="84"/>
      <c r="B79" s="139" t="s">
        <v>453</v>
      </c>
      <c r="C79" s="84" t="s">
        <v>341</v>
      </c>
      <c r="D79" s="84" t="s">
        <v>371</v>
      </c>
      <c r="E79" s="84" t="s">
        <v>336</v>
      </c>
      <c r="F79" s="84" t="s">
        <v>362</v>
      </c>
      <c r="G79" s="84">
        <v>10</v>
      </c>
      <c r="H79" s="194">
        <f t="shared" si="2"/>
        <v>550</v>
      </c>
      <c r="I79" s="84"/>
    </row>
    <row r="80" spans="1:9" x14ac:dyDescent="0.2">
      <c r="A80" s="84"/>
      <c r="B80" s="139" t="s">
        <v>454</v>
      </c>
      <c r="C80" s="84" t="s">
        <v>341</v>
      </c>
      <c r="D80" s="84" t="s">
        <v>371</v>
      </c>
      <c r="E80" s="84" t="s">
        <v>336</v>
      </c>
      <c r="F80" s="84" t="s">
        <v>362</v>
      </c>
      <c r="G80" s="84">
        <v>8</v>
      </c>
      <c r="H80" s="194">
        <f t="shared" si="2"/>
        <v>440</v>
      </c>
      <c r="I80" s="84"/>
    </row>
    <row r="81" spans="1:9" x14ac:dyDescent="0.2">
      <c r="A81" s="84"/>
      <c r="B81" s="139" t="s">
        <v>455</v>
      </c>
      <c r="C81" s="84" t="s">
        <v>341</v>
      </c>
      <c r="D81" s="84" t="s">
        <v>371</v>
      </c>
      <c r="E81" s="84" t="s">
        <v>339</v>
      </c>
      <c r="F81" s="84"/>
      <c r="G81" s="84">
        <v>5</v>
      </c>
      <c r="H81" s="84"/>
      <c r="I81" s="84"/>
    </row>
    <row r="82" spans="1:9" x14ac:dyDescent="0.2">
      <c r="A82" s="84"/>
      <c r="B82" s="139" t="s">
        <v>456</v>
      </c>
      <c r="C82" s="84" t="s">
        <v>351</v>
      </c>
      <c r="D82" s="84" t="s">
        <v>352</v>
      </c>
      <c r="E82" s="84" t="s">
        <v>339</v>
      </c>
      <c r="F82" s="84"/>
      <c r="G82" s="84">
        <v>7</v>
      </c>
      <c r="H82" s="84"/>
      <c r="I82" s="84"/>
    </row>
    <row r="83" spans="1:9" x14ac:dyDescent="0.2">
      <c r="A83" s="84"/>
      <c r="B83" s="139" t="s">
        <v>457</v>
      </c>
      <c r="C83" s="84" t="s">
        <v>351</v>
      </c>
      <c r="D83" s="84" t="s">
        <v>352</v>
      </c>
      <c r="E83" s="84" t="s">
        <v>339</v>
      </c>
      <c r="F83" s="84"/>
      <c r="G83" s="84">
        <v>7</v>
      </c>
      <c r="H83" s="84"/>
      <c r="I83" s="84"/>
    </row>
    <row r="84" spans="1:9" x14ac:dyDescent="0.2">
      <c r="A84" s="84"/>
      <c r="B84" s="139" t="s">
        <v>458</v>
      </c>
      <c r="C84" s="84" t="s">
        <v>351</v>
      </c>
      <c r="D84" s="84" t="s">
        <v>352</v>
      </c>
      <c r="E84" s="84" t="s">
        <v>339</v>
      </c>
      <c r="F84" s="84"/>
      <c r="G84" s="84">
        <v>11</v>
      </c>
      <c r="H84" s="84"/>
      <c r="I84" s="84"/>
    </row>
    <row r="85" spans="1:9" x14ac:dyDescent="0.2">
      <c r="A85" s="84"/>
      <c r="B85" s="139" t="s">
        <v>459</v>
      </c>
      <c r="C85" s="84" t="s">
        <v>331</v>
      </c>
      <c r="D85" s="84" t="s">
        <v>332</v>
      </c>
      <c r="E85" s="84" t="s">
        <v>339</v>
      </c>
      <c r="F85" s="84"/>
      <c r="G85" s="84">
        <v>67</v>
      </c>
      <c r="H85" s="84"/>
      <c r="I85" s="84"/>
    </row>
    <row r="86" spans="1:9" x14ac:dyDescent="0.2">
      <c r="A86" s="84"/>
      <c r="B86" s="139" t="s">
        <v>460</v>
      </c>
      <c r="C86" s="84" t="s">
        <v>368</v>
      </c>
      <c r="D86" s="84" t="s">
        <v>461</v>
      </c>
      <c r="E86" s="84" t="s">
        <v>489</v>
      </c>
      <c r="F86" s="84" t="s">
        <v>863</v>
      </c>
      <c r="G86" s="84">
        <v>50</v>
      </c>
      <c r="H86" s="194">
        <f t="shared" ref="H86:H88" si="3">G86*$H$2</f>
        <v>2750</v>
      </c>
      <c r="I86" s="84"/>
    </row>
    <row r="87" spans="1:9" x14ac:dyDescent="0.2">
      <c r="A87" s="84"/>
      <c r="B87" s="139" t="s">
        <v>462</v>
      </c>
      <c r="C87" s="84" t="s">
        <v>368</v>
      </c>
      <c r="D87" s="84" t="s">
        <v>461</v>
      </c>
      <c r="E87" s="84" t="s">
        <v>489</v>
      </c>
      <c r="F87" s="84" t="s">
        <v>863</v>
      </c>
      <c r="G87" s="84">
        <v>20</v>
      </c>
      <c r="H87" s="194">
        <f t="shared" si="3"/>
        <v>1100</v>
      </c>
      <c r="I87" s="84"/>
    </row>
    <row r="88" spans="1:9" x14ac:dyDescent="0.2">
      <c r="A88" s="84"/>
      <c r="B88" s="139" t="s">
        <v>463</v>
      </c>
      <c r="C88" s="84" t="s">
        <v>368</v>
      </c>
      <c r="D88" s="84" t="s">
        <v>461</v>
      </c>
      <c r="E88" s="84" t="s">
        <v>489</v>
      </c>
      <c r="F88" s="84" t="s">
        <v>863</v>
      </c>
      <c r="G88" s="84">
        <v>51</v>
      </c>
      <c r="H88" s="194">
        <f t="shared" si="3"/>
        <v>2805</v>
      </c>
      <c r="I88" s="84"/>
    </row>
    <row r="89" spans="1:9" x14ac:dyDescent="0.2">
      <c r="A89" s="84"/>
      <c r="B89" s="139" t="s">
        <v>464</v>
      </c>
      <c r="C89" s="84" t="s">
        <v>341</v>
      </c>
      <c r="D89" s="84" t="s">
        <v>342</v>
      </c>
      <c r="E89" s="84" t="s">
        <v>336</v>
      </c>
      <c r="F89" s="84" t="s">
        <v>337</v>
      </c>
      <c r="G89" s="84">
        <v>14</v>
      </c>
      <c r="H89" s="84" t="s">
        <v>855</v>
      </c>
      <c r="I89" s="84"/>
    </row>
    <row r="90" spans="1:9" x14ac:dyDescent="0.2">
      <c r="A90" s="84"/>
      <c r="B90" s="139" t="s">
        <v>465</v>
      </c>
      <c r="C90" s="84" t="s">
        <v>466</v>
      </c>
      <c r="D90" s="84" t="s">
        <v>359</v>
      </c>
      <c r="E90" s="84" t="s">
        <v>336</v>
      </c>
      <c r="F90" s="84" t="s">
        <v>337</v>
      </c>
      <c r="G90" s="84">
        <v>116</v>
      </c>
      <c r="H90" s="84" t="s">
        <v>855</v>
      </c>
      <c r="I90" s="84"/>
    </row>
    <row r="91" spans="1:9" x14ac:dyDescent="0.2">
      <c r="A91" s="84"/>
      <c r="B91" s="139" t="s">
        <v>467</v>
      </c>
      <c r="C91" s="84" t="s">
        <v>468</v>
      </c>
      <c r="D91" s="84" t="s">
        <v>342</v>
      </c>
      <c r="E91" s="84" t="s">
        <v>336</v>
      </c>
      <c r="F91" s="84" t="s">
        <v>362</v>
      </c>
      <c r="G91" s="84">
        <v>34</v>
      </c>
      <c r="H91" s="194">
        <f t="shared" ref="H91:H92" si="4">G91*$H$2</f>
        <v>1870</v>
      </c>
      <c r="I91" s="84"/>
    </row>
    <row r="92" spans="1:9" x14ac:dyDescent="0.2">
      <c r="A92" s="84"/>
      <c r="B92" s="139" t="s">
        <v>469</v>
      </c>
      <c r="C92" s="84" t="s">
        <v>354</v>
      </c>
      <c r="D92" s="84" t="s">
        <v>357</v>
      </c>
      <c r="E92" s="84" t="s">
        <v>336</v>
      </c>
      <c r="F92" s="84" t="s">
        <v>362</v>
      </c>
      <c r="G92" s="84">
        <v>65</v>
      </c>
      <c r="H92" s="194">
        <f t="shared" si="4"/>
        <v>3575</v>
      </c>
      <c r="I92" s="84"/>
    </row>
    <row r="93" spans="1:9" x14ac:dyDescent="0.2">
      <c r="A93" s="84"/>
      <c r="B93" s="139" t="s">
        <v>470</v>
      </c>
      <c r="C93" s="84" t="s">
        <v>471</v>
      </c>
      <c r="D93" s="84" t="s">
        <v>357</v>
      </c>
      <c r="E93" s="84" t="s">
        <v>339</v>
      </c>
      <c r="F93" s="84"/>
      <c r="G93" s="84">
        <v>6</v>
      </c>
      <c r="H93" s="84"/>
      <c r="I93" s="84"/>
    </row>
    <row r="94" spans="1:9" x14ac:dyDescent="0.2">
      <c r="A94" s="84"/>
      <c r="B94" s="139" t="s">
        <v>472</v>
      </c>
      <c r="C94" s="84" t="s">
        <v>473</v>
      </c>
      <c r="D94" s="84" t="s">
        <v>357</v>
      </c>
      <c r="E94" s="84" t="s">
        <v>339</v>
      </c>
      <c r="F94" s="84"/>
      <c r="G94" s="84">
        <v>5</v>
      </c>
      <c r="H94" s="84"/>
      <c r="I94" s="84"/>
    </row>
    <row r="95" spans="1:9" x14ac:dyDescent="0.2">
      <c r="A95" s="84"/>
      <c r="B95" s="139" t="s">
        <v>474</v>
      </c>
      <c r="C95" s="84" t="s">
        <v>475</v>
      </c>
      <c r="D95" s="84" t="s">
        <v>357</v>
      </c>
      <c r="E95" s="84" t="s">
        <v>339</v>
      </c>
      <c r="F95" s="84"/>
      <c r="G95" s="84">
        <v>7</v>
      </c>
      <c r="H95" s="84"/>
      <c r="I95" s="84"/>
    </row>
    <row r="96" spans="1:9" x14ac:dyDescent="0.2">
      <c r="A96" s="84"/>
      <c r="B96" s="139" t="s">
        <v>476</v>
      </c>
      <c r="C96" s="84" t="s">
        <v>477</v>
      </c>
      <c r="D96" s="84" t="s">
        <v>357</v>
      </c>
      <c r="E96" s="84" t="s">
        <v>339</v>
      </c>
      <c r="F96" s="84"/>
      <c r="G96" s="84">
        <v>9</v>
      </c>
      <c r="H96" s="84"/>
      <c r="I96" s="84"/>
    </row>
    <row r="97" spans="1:9" x14ac:dyDescent="0.2">
      <c r="A97" s="84"/>
      <c r="B97" s="139" t="s">
        <v>478</v>
      </c>
      <c r="C97" s="84" t="s">
        <v>479</v>
      </c>
      <c r="D97" s="84" t="s">
        <v>357</v>
      </c>
      <c r="E97" s="84" t="s">
        <v>339</v>
      </c>
      <c r="F97" s="84"/>
      <c r="G97" s="84">
        <v>6</v>
      </c>
      <c r="H97" s="84"/>
      <c r="I97" s="84"/>
    </row>
    <row r="99" spans="1:9" x14ac:dyDescent="0.2">
      <c r="F99" t="s">
        <v>835</v>
      </c>
      <c r="G99">
        <f>SUM(G3:G98)</f>
        <v>3056</v>
      </c>
    </row>
    <row r="100" spans="1:9" x14ac:dyDescent="0.2">
      <c r="F100" s="147" t="s">
        <v>877</v>
      </c>
      <c r="H100" s="68">
        <f>SUM(H3:H99)</f>
        <v>27610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61AC8D-3EE0-4A09-A9DF-5DC7CD2955C0}">
  <sheetPr>
    <tabColor rgb="FF92D050"/>
  </sheetPr>
  <dimension ref="A1:W46"/>
  <sheetViews>
    <sheetView zoomScale="90" zoomScaleNormal="90" workbookViewId="0"/>
  </sheetViews>
  <sheetFormatPr defaultRowHeight="14.25" x14ac:dyDescent="0.2"/>
  <cols>
    <col min="1" max="1" width="35.875" customWidth="1"/>
    <col min="2" max="2" width="12" customWidth="1"/>
    <col min="3" max="3" width="10.25" customWidth="1"/>
    <col min="4" max="4" width="11" customWidth="1"/>
    <col min="5" max="5" width="10.75" customWidth="1"/>
    <col min="6" max="6" width="10.625" customWidth="1"/>
    <col min="7" max="7" width="10.5" customWidth="1"/>
    <col min="8" max="8" width="11.375" customWidth="1"/>
    <col min="9" max="11" width="11" customWidth="1"/>
    <col min="12" max="12" width="10.375" customWidth="1"/>
    <col min="13" max="13" width="11.25" customWidth="1"/>
    <col min="14" max="14" width="11.75" customWidth="1"/>
    <col min="15" max="15" width="13" customWidth="1"/>
    <col min="16" max="16" width="13.75" customWidth="1"/>
    <col min="17" max="17" width="12.125" customWidth="1"/>
    <col min="18" max="18" width="12.25" customWidth="1"/>
    <col min="19" max="19" width="10.375" customWidth="1"/>
    <col min="20" max="20" width="11.625" customWidth="1"/>
    <col min="21" max="21" width="10.375" customWidth="1"/>
    <col min="22" max="22" width="11.25" customWidth="1"/>
    <col min="23" max="23" width="10.25" customWidth="1"/>
  </cols>
  <sheetData>
    <row r="1" spans="1:23" x14ac:dyDescent="0.2">
      <c r="A1" s="96" t="s">
        <v>770</v>
      </c>
      <c r="B1" s="70"/>
      <c r="C1" s="70"/>
      <c r="D1" s="70" t="s">
        <v>763</v>
      </c>
      <c r="E1" s="70" t="s">
        <v>764</v>
      </c>
      <c r="F1" s="70"/>
    </row>
    <row r="2" spans="1:23" x14ac:dyDescent="0.2">
      <c r="A2" s="70"/>
      <c r="B2" s="70"/>
      <c r="C2" s="70"/>
      <c r="D2" s="70"/>
      <c r="E2" s="70"/>
      <c r="F2" s="70"/>
    </row>
    <row r="3" spans="1:23" x14ac:dyDescent="0.2">
      <c r="A3" s="214" t="s">
        <v>765</v>
      </c>
      <c r="B3" s="214"/>
      <c r="C3" s="70"/>
      <c r="D3" s="93">
        <v>4583</v>
      </c>
      <c r="E3" s="77">
        <f>D3/D7*100</f>
        <v>28.377708978328176</v>
      </c>
      <c r="F3" s="70" t="s">
        <v>158</v>
      </c>
    </row>
    <row r="4" spans="1:23" x14ac:dyDescent="0.2">
      <c r="A4" s="215" t="s">
        <v>766</v>
      </c>
      <c r="B4" s="215"/>
      <c r="C4" s="70"/>
      <c r="D4" s="93">
        <v>11294</v>
      </c>
      <c r="E4" s="78">
        <f>D4/D7*100</f>
        <v>69.931888544891635</v>
      </c>
      <c r="F4" s="70" t="s">
        <v>158</v>
      </c>
    </row>
    <row r="5" spans="1:23" x14ac:dyDescent="0.2">
      <c r="A5" s="216" t="s">
        <v>767</v>
      </c>
      <c r="B5" s="216"/>
      <c r="C5" s="70"/>
      <c r="D5" s="93">
        <v>273</v>
      </c>
      <c r="E5" s="79">
        <f>D5/D7*100</f>
        <v>1.6904024767801857</v>
      </c>
      <c r="F5" s="70" t="s">
        <v>158</v>
      </c>
    </row>
    <row r="6" spans="1:23" x14ac:dyDescent="0.2">
      <c r="A6" s="70"/>
      <c r="B6" s="70"/>
      <c r="C6" s="70"/>
      <c r="D6" s="93"/>
      <c r="E6" s="70"/>
      <c r="F6" s="70"/>
    </row>
    <row r="7" spans="1:23" x14ac:dyDescent="0.2">
      <c r="A7" s="217" t="s">
        <v>312</v>
      </c>
      <c r="B7" s="217"/>
      <c r="C7" s="70"/>
      <c r="D7" s="93">
        <f>+D3+D4+D5</f>
        <v>16150</v>
      </c>
      <c r="E7" s="70"/>
      <c r="F7" s="70"/>
    </row>
    <row r="11" spans="1:23" x14ac:dyDescent="0.2">
      <c r="A11" s="96" t="s">
        <v>190</v>
      </c>
    </row>
    <row r="13" spans="1:23" x14ac:dyDescent="0.2">
      <c r="A13" s="84" t="s">
        <v>161</v>
      </c>
      <c r="B13" s="84" t="s">
        <v>162</v>
      </c>
      <c r="C13" s="84"/>
      <c r="D13" s="84"/>
      <c r="E13" s="84" t="s">
        <v>163</v>
      </c>
      <c r="F13" s="84"/>
      <c r="G13" s="84"/>
      <c r="H13" s="84" t="s">
        <v>164</v>
      </c>
      <c r="I13" s="84"/>
      <c r="J13" s="84"/>
      <c r="K13" s="84" t="s">
        <v>165</v>
      </c>
      <c r="L13" s="84"/>
      <c r="M13" s="84"/>
      <c r="N13" s="84" t="s">
        <v>166</v>
      </c>
      <c r="O13" s="84"/>
      <c r="P13" s="84"/>
      <c r="Q13" s="84" t="s">
        <v>167</v>
      </c>
      <c r="R13" s="84"/>
      <c r="S13" s="84"/>
      <c r="T13" s="84" t="s">
        <v>168</v>
      </c>
      <c r="U13" s="84"/>
      <c r="V13" s="84"/>
      <c r="W13" s="84"/>
    </row>
    <row r="14" spans="1:23" ht="28.5" x14ac:dyDescent="0.2">
      <c r="A14" s="84" t="s">
        <v>96</v>
      </c>
      <c r="B14" s="84" t="s">
        <v>169</v>
      </c>
      <c r="C14" s="84" t="s">
        <v>170</v>
      </c>
      <c r="D14" s="84" t="s">
        <v>171</v>
      </c>
      <c r="E14" s="84" t="s">
        <v>169</v>
      </c>
      <c r="F14" s="84" t="s">
        <v>170</v>
      </c>
      <c r="G14" s="84" t="s">
        <v>171</v>
      </c>
      <c r="H14" s="84" t="s">
        <v>169</v>
      </c>
      <c r="I14" s="84" t="s">
        <v>170</v>
      </c>
      <c r="J14" s="84" t="s">
        <v>171</v>
      </c>
      <c r="K14" s="84" t="s">
        <v>169</v>
      </c>
      <c r="L14" s="84" t="s">
        <v>170</v>
      </c>
      <c r="M14" s="84" t="s">
        <v>171</v>
      </c>
      <c r="N14" s="84" t="s">
        <v>169</v>
      </c>
      <c r="O14" s="84" t="s">
        <v>170</v>
      </c>
      <c r="P14" s="84" t="s">
        <v>171</v>
      </c>
      <c r="Q14" s="84" t="s">
        <v>169</v>
      </c>
      <c r="R14" s="84" t="s">
        <v>170</v>
      </c>
      <c r="S14" s="84" t="s">
        <v>171</v>
      </c>
      <c r="T14" s="84" t="s">
        <v>169</v>
      </c>
      <c r="U14" s="84" t="s">
        <v>170</v>
      </c>
      <c r="V14" s="84" t="s">
        <v>171</v>
      </c>
      <c r="W14" s="94" t="s">
        <v>191</v>
      </c>
    </row>
    <row r="15" spans="1:23" ht="57" x14ac:dyDescent="0.2">
      <c r="A15" s="85" t="s">
        <v>192</v>
      </c>
      <c r="B15" s="94" t="s">
        <v>987</v>
      </c>
      <c r="C15" s="94" t="s">
        <v>988</v>
      </c>
      <c r="D15" s="94" t="s">
        <v>989</v>
      </c>
      <c r="E15" s="94" t="s">
        <v>193</v>
      </c>
      <c r="F15" s="94" t="s">
        <v>131</v>
      </c>
      <c r="G15" s="94" t="s">
        <v>194</v>
      </c>
      <c r="H15" s="94" t="s">
        <v>131</v>
      </c>
      <c r="I15" s="94" t="s">
        <v>990</v>
      </c>
      <c r="J15" s="94" t="s">
        <v>131</v>
      </c>
      <c r="K15" s="94" t="s">
        <v>131</v>
      </c>
      <c r="L15" s="94" t="s">
        <v>131</v>
      </c>
      <c r="M15" s="94" t="s">
        <v>131</v>
      </c>
      <c r="N15" s="94" t="s">
        <v>193</v>
      </c>
      <c r="O15" s="94" t="s">
        <v>131</v>
      </c>
      <c r="P15" s="94" t="s">
        <v>131</v>
      </c>
      <c r="Q15" s="94" t="s">
        <v>131</v>
      </c>
      <c r="R15" s="94" t="s">
        <v>131</v>
      </c>
      <c r="S15" s="94" t="s">
        <v>131</v>
      </c>
      <c r="T15" s="94" t="s">
        <v>131</v>
      </c>
      <c r="U15" s="94" t="s">
        <v>131</v>
      </c>
      <c r="V15" s="94" t="s">
        <v>131</v>
      </c>
      <c r="W15" s="87">
        <f>(21/21)*100</f>
        <v>100</v>
      </c>
    </row>
    <row r="16" spans="1:23" ht="28.5" x14ac:dyDescent="0.2">
      <c r="A16" s="85" t="s">
        <v>195</v>
      </c>
      <c r="B16" s="94" t="s">
        <v>131</v>
      </c>
      <c r="C16" s="94" t="s">
        <v>131</v>
      </c>
      <c r="D16" s="94" t="s">
        <v>131</v>
      </c>
      <c r="E16" s="94" t="s">
        <v>131</v>
      </c>
      <c r="F16" s="94" t="s">
        <v>196</v>
      </c>
      <c r="G16" s="94" t="s">
        <v>131</v>
      </c>
      <c r="H16" s="94" t="s">
        <v>131</v>
      </c>
      <c r="I16" s="94" t="s">
        <v>131</v>
      </c>
      <c r="J16" s="94" t="s">
        <v>131</v>
      </c>
      <c r="K16" s="94" t="s">
        <v>131</v>
      </c>
      <c r="L16" s="94" t="s">
        <v>131</v>
      </c>
      <c r="M16" s="94" t="s">
        <v>131</v>
      </c>
      <c r="N16" s="94" t="s">
        <v>131</v>
      </c>
      <c r="O16" s="94" t="s">
        <v>196</v>
      </c>
      <c r="P16" s="94" t="s">
        <v>131</v>
      </c>
      <c r="Q16" s="94" t="s">
        <v>131</v>
      </c>
      <c r="R16" s="94" t="s">
        <v>131</v>
      </c>
      <c r="S16" s="94" t="s">
        <v>131</v>
      </c>
      <c r="T16" s="94" t="s">
        <v>131</v>
      </c>
      <c r="U16" s="94" t="s">
        <v>131</v>
      </c>
      <c r="V16" s="94" t="s">
        <v>131</v>
      </c>
      <c r="W16" s="87">
        <f t="shared" ref="W16:W25" si="0">(21/21)*100</f>
        <v>100</v>
      </c>
    </row>
    <row r="17" spans="1:23" ht="42.75" x14ac:dyDescent="0.2">
      <c r="A17" s="85" t="s">
        <v>991</v>
      </c>
      <c r="B17" s="94" t="s">
        <v>197</v>
      </c>
      <c r="C17" s="94" t="s">
        <v>197</v>
      </c>
      <c r="D17" s="94" t="s">
        <v>197</v>
      </c>
      <c r="E17" s="94" t="s">
        <v>197</v>
      </c>
      <c r="F17" s="94" t="s">
        <v>197</v>
      </c>
      <c r="G17" s="94" t="s">
        <v>197</v>
      </c>
      <c r="H17" s="94" t="s">
        <v>197</v>
      </c>
      <c r="I17" s="94" t="s">
        <v>197</v>
      </c>
      <c r="J17" s="94" t="s">
        <v>197</v>
      </c>
      <c r="K17" s="94" t="s">
        <v>197</v>
      </c>
      <c r="L17" s="94" t="s">
        <v>197</v>
      </c>
      <c r="M17" s="94" t="s">
        <v>197</v>
      </c>
      <c r="N17" s="94" t="s">
        <v>197</v>
      </c>
      <c r="O17" s="94" t="s">
        <v>197</v>
      </c>
      <c r="P17" s="94" t="s">
        <v>197</v>
      </c>
      <c r="Q17" s="94" t="s">
        <v>197</v>
      </c>
      <c r="R17" s="94" t="s">
        <v>197</v>
      </c>
      <c r="S17" s="94" t="s">
        <v>197</v>
      </c>
      <c r="T17" s="94" t="s">
        <v>197</v>
      </c>
      <c r="U17" s="94" t="s">
        <v>197</v>
      </c>
      <c r="V17" s="94" t="s">
        <v>197</v>
      </c>
      <c r="W17" s="87">
        <f t="shared" si="0"/>
        <v>100</v>
      </c>
    </row>
    <row r="18" spans="1:23" ht="28.5" x14ac:dyDescent="0.2">
      <c r="A18" s="89" t="s">
        <v>992</v>
      </c>
      <c r="B18" s="94" t="s">
        <v>131</v>
      </c>
      <c r="C18" s="94" t="s">
        <v>131</v>
      </c>
      <c r="D18" s="94" t="s">
        <v>131</v>
      </c>
      <c r="E18" s="94" t="s">
        <v>131</v>
      </c>
      <c r="F18" s="94" t="s">
        <v>131</v>
      </c>
      <c r="G18" s="94" t="s">
        <v>131</v>
      </c>
      <c r="H18" s="94" t="s">
        <v>198</v>
      </c>
      <c r="I18" s="94" t="s">
        <v>199</v>
      </c>
      <c r="J18" s="94" t="s">
        <v>131</v>
      </c>
      <c r="K18" s="94" t="s">
        <v>131</v>
      </c>
      <c r="L18" s="94" t="s">
        <v>200</v>
      </c>
      <c r="M18" s="94" t="s">
        <v>131</v>
      </c>
      <c r="N18" s="94" t="s">
        <v>131</v>
      </c>
      <c r="O18" s="94" t="s">
        <v>131</v>
      </c>
      <c r="P18" s="94" t="s">
        <v>131</v>
      </c>
      <c r="Q18" s="94" t="s">
        <v>131</v>
      </c>
      <c r="R18" s="94" t="s">
        <v>131</v>
      </c>
      <c r="S18" s="94" t="s">
        <v>131</v>
      </c>
      <c r="T18" s="94" t="s">
        <v>131</v>
      </c>
      <c r="U18" s="94" t="s">
        <v>131</v>
      </c>
      <c r="V18" s="94" t="s">
        <v>131</v>
      </c>
      <c r="W18" s="87">
        <f t="shared" si="0"/>
        <v>100</v>
      </c>
    </row>
    <row r="19" spans="1:23" ht="42.75" x14ac:dyDescent="0.2">
      <c r="A19" s="85" t="s">
        <v>993</v>
      </c>
      <c r="B19" s="94" t="s">
        <v>197</v>
      </c>
      <c r="C19" s="94" t="s">
        <v>197</v>
      </c>
      <c r="D19" s="94" t="s">
        <v>197</v>
      </c>
      <c r="E19" s="94" t="s">
        <v>197</v>
      </c>
      <c r="F19" s="94" t="s">
        <v>197</v>
      </c>
      <c r="G19" s="94" t="s">
        <v>197</v>
      </c>
      <c r="H19" s="94" t="s">
        <v>197</v>
      </c>
      <c r="I19" s="94" t="s">
        <v>197</v>
      </c>
      <c r="J19" s="94" t="s">
        <v>197</v>
      </c>
      <c r="K19" s="94" t="s">
        <v>197</v>
      </c>
      <c r="L19" s="94" t="s">
        <v>197</v>
      </c>
      <c r="M19" s="94" t="s">
        <v>197</v>
      </c>
      <c r="N19" s="94" t="s">
        <v>197</v>
      </c>
      <c r="O19" s="94" t="s">
        <v>197</v>
      </c>
      <c r="P19" s="94" t="s">
        <v>197</v>
      </c>
      <c r="Q19" s="94" t="s">
        <v>197</v>
      </c>
      <c r="R19" s="94" t="s">
        <v>197</v>
      </c>
      <c r="S19" s="94" t="s">
        <v>197</v>
      </c>
      <c r="T19" s="94" t="s">
        <v>197</v>
      </c>
      <c r="U19" s="94" t="s">
        <v>197</v>
      </c>
      <c r="V19" s="94" t="s">
        <v>197</v>
      </c>
      <c r="W19" s="87">
        <f t="shared" si="0"/>
        <v>100</v>
      </c>
    </row>
    <row r="20" spans="1:23" ht="42.75" x14ac:dyDescent="0.2">
      <c r="A20" s="88" t="s">
        <v>201</v>
      </c>
      <c r="B20" s="94"/>
      <c r="C20" s="94"/>
      <c r="D20" s="94"/>
      <c r="E20" s="94" t="s">
        <v>994</v>
      </c>
      <c r="F20" s="94" t="s">
        <v>196</v>
      </c>
      <c r="G20" s="94"/>
      <c r="H20" s="94"/>
      <c r="I20" s="94"/>
      <c r="J20" s="94"/>
      <c r="K20" s="94"/>
      <c r="L20" s="94" t="s">
        <v>995</v>
      </c>
      <c r="M20" s="94"/>
      <c r="N20" s="94"/>
      <c r="O20" s="94" t="s">
        <v>196</v>
      </c>
      <c r="P20" s="94"/>
      <c r="Q20" s="94"/>
      <c r="R20" s="94"/>
      <c r="S20" s="94"/>
      <c r="T20" s="94"/>
      <c r="U20" s="94"/>
      <c r="V20" s="94"/>
      <c r="W20" s="87">
        <f>(4/21)*100</f>
        <v>19.047619047619047</v>
      </c>
    </row>
    <row r="21" spans="1:23" ht="42.75" x14ac:dyDescent="0.2">
      <c r="A21" s="89" t="s">
        <v>202</v>
      </c>
      <c r="B21" s="94"/>
      <c r="C21" s="94"/>
      <c r="D21" s="94"/>
      <c r="E21" s="94"/>
      <c r="F21" s="94"/>
      <c r="G21" s="94"/>
      <c r="H21" s="94"/>
      <c r="I21" s="94" t="s">
        <v>996</v>
      </c>
      <c r="J21" s="94"/>
      <c r="K21" s="94"/>
      <c r="L21" s="94" t="s">
        <v>997</v>
      </c>
      <c r="M21" s="94"/>
      <c r="N21" s="94"/>
      <c r="O21" s="94"/>
      <c r="P21" s="94"/>
      <c r="Q21" s="94"/>
      <c r="R21" s="94"/>
      <c r="S21" s="94"/>
      <c r="T21" s="94"/>
      <c r="U21" s="94"/>
      <c r="V21" s="94"/>
      <c r="W21" s="87">
        <f>(2/21)*100</f>
        <v>9.5238095238095237</v>
      </c>
    </row>
    <row r="22" spans="1:23" ht="57" x14ac:dyDescent="0.2">
      <c r="A22" s="89" t="s">
        <v>203</v>
      </c>
      <c r="B22" s="94"/>
      <c r="C22" s="94" t="s">
        <v>204</v>
      </c>
      <c r="D22" s="94"/>
      <c r="E22" s="94"/>
      <c r="F22" s="94"/>
      <c r="G22" s="94" t="s">
        <v>205</v>
      </c>
      <c r="H22" s="94"/>
      <c r="I22" s="94" t="s">
        <v>996</v>
      </c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87">
        <f>(3/21)*100</f>
        <v>14.285714285714285</v>
      </c>
    </row>
    <row r="23" spans="1:23" x14ac:dyDescent="0.2">
      <c r="A23" s="85" t="s">
        <v>206</v>
      </c>
      <c r="B23" s="94" t="s">
        <v>131</v>
      </c>
      <c r="C23" s="94" t="s">
        <v>131</v>
      </c>
      <c r="D23" s="94" t="s">
        <v>131</v>
      </c>
      <c r="E23" s="94" t="s">
        <v>131</v>
      </c>
      <c r="F23" s="94" t="s">
        <v>131</v>
      </c>
      <c r="G23" s="94" t="s">
        <v>131</v>
      </c>
      <c r="H23" s="94" t="s">
        <v>131</v>
      </c>
      <c r="I23" s="94" t="s">
        <v>131</v>
      </c>
      <c r="J23" s="94" t="s">
        <v>131</v>
      </c>
      <c r="K23" s="94" t="s">
        <v>131</v>
      </c>
      <c r="L23" s="94" t="s">
        <v>131</v>
      </c>
      <c r="M23" s="94" t="s">
        <v>131</v>
      </c>
      <c r="N23" s="94" t="s">
        <v>131</v>
      </c>
      <c r="O23" s="94" t="s">
        <v>131</v>
      </c>
      <c r="P23" s="94" t="s">
        <v>131</v>
      </c>
      <c r="Q23" s="94" t="s">
        <v>131</v>
      </c>
      <c r="R23" s="94" t="s">
        <v>131</v>
      </c>
      <c r="S23" s="94" t="s">
        <v>131</v>
      </c>
      <c r="T23" s="94" t="s">
        <v>131</v>
      </c>
      <c r="U23" s="94" t="s">
        <v>131</v>
      </c>
      <c r="V23" s="94" t="s">
        <v>131</v>
      </c>
      <c r="W23" s="87">
        <f t="shared" si="0"/>
        <v>100</v>
      </c>
    </row>
    <row r="24" spans="1:23" ht="42.75" x14ac:dyDescent="0.2">
      <c r="A24" s="85" t="s">
        <v>998</v>
      </c>
      <c r="B24" s="94" t="s">
        <v>197</v>
      </c>
      <c r="C24" s="94" t="s">
        <v>197</v>
      </c>
      <c r="D24" s="94" t="s">
        <v>197</v>
      </c>
      <c r="E24" s="94" t="s">
        <v>197</v>
      </c>
      <c r="F24" s="94" t="s">
        <v>197</v>
      </c>
      <c r="G24" s="94" t="s">
        <v>197</v>
      </c>
      <c r="H24" s="94" t="s">
        <v>197</v>
      </c>
      <c r="I24" s="94" t="s">
        <v>197</v>
      </c>
      <c r="J24" s="94" t="s">
        <v>197</v>
      </c>
      <c r="K24" s="94" t="s">
        <v>197</v>
      </c>
      <c r="L24" s="94" t="s">
        <v>197</v>
      </c>
      <c r="M24" s="94" t="s">
        <v>197</v>
      </c>
      <c r="N24" s="94" t="s">
        <v>197</v>
      </c>
      <c r="O24" s="94" t="s">
        <v>197</v>
      </c>
      <c r="P24" s="94" t="s">
        <v>197</v>
      </c>
      <c r="Q24" s="94" t="s">
        <v>197</v>
      </c>
      <c r="R24" s="94" t="s">
        <v>197</v>
      </c>
      <c r="S24" s="94" t="s">
        <v>197</v>
      </c>
      <c r="T24" s="94" t="s">
        <v>197</v>
      </c>
      <c r="U24" s="94" t="s">
        <v>197</v>
      </c>
      <c r="V24" s="94" t="s">
        <v>197</v>
      </c>
      <c r="W24" s="87">
        <f t="shared" si="0"/>
        <v>100</v>
      </c>
    </row>
    <row r="25" spans="1:23" ht="57" x14ac:dyDescent="0.2">
      <c r="A25" s="85" t="s">
        <v>999</v>
      </c>
      <c r="B25" s="94" t="s">
        <v>197</v>
      </c>
      <c r="C25" s="94" t="s">
        <v>197</v>
      </c>
      <c r="D25" s="94" t="s">
        <v>197</v>
      </c>
      <c r="E25" s="94" t="s">
        <v>197</v>
      </c>
      <c r="F25" s="94" t="s">
        <v>197</v>
      </c>
      <c r="G25" s="94" t="s">
        <v>197</v>
      </c>
      <c r="H25" s="94" t="s">
        <v>197</v>
      </c>
      <c r="I25" s="94" t="s">
        <v>197</v>
      </c>
      <c r="J25" s="94" t="s">
        <v>197</v>
      </c>
      <c r="K25" s="94" t="s">
        <v>197</v>
      </c>
      <c r="L25" s="94" t="s">
        <v>197</v>
      </c>
      <c r="M25" s="94" t="s">
        <v>197</v>
      </c>
      <c r="N25" s="94" t="s">
        <v>197</v>
      </c>
      <c r="O25" s="94" t="s">
        <v>197</v>
      </c>
      <c r="P25" s="94" t="s">
        <v>197</v>
      </c>
      <c r="Q25" s="94" t="s">
        <v>197</v>
      </c>
      <c r="R25" s="94" t="s">
        <v>197</v>
      </c>
      <c r="S25" s="94" t="s">
        <v>197</v>
      </c>
      <c r="T25" s="94" t="s">
        <v>197</v>
      </c>
      <c r="U25" s="94" t="s">
        <v>197</v>
      </c>
      <c r="V25" s="94" t="s">
        <v>197</v>
      </c>
      <c r="W25" s="87">
        <f t="shared" si="0"/>
        <v>100</v>
      </c>
    </row>
    <row r="26" spans="1:23" x14ac:dyDescent="0.2">
      <c r="A26" s="89" t="s">
        <v>188</v>
      </c>
      <c r="B26" s="98">
        <f>(8/11)*100</f>
        <v>72.727272727272734</v>
      </c>
      <c r="C26" s="98">
        <f>(9/11)*100</f>
        <v>81.818181818181827</v>
      </c>
      <c r="D26" s="98">
        <f t="shared" ref="D26:V26" si="1">(8/11)*100</f>
        <v>72.727272727272734</v>
      </c>
      <c r="E26" s="98">
        <f>(9/11)*100</f>
        <v>81.818181818181827</v>
      </c>
      <c r="F26" s="98">
        <f>(9/11)*100</f>
        <v>81.818181818181827</v>
      </c>
      <c r="G26" s="98">
        <f>(9/11)*100</f>
        <v>81.818181818181827</v>
      </c>
      <c r="H26" s="98">
        <f t="shared" si="1"/>
        <v>72.727272727272734</v>
      </c>
      <c r="I26" s="98">
        <f>(10/11)*100</f>
        <v>90.909090909090907</v>
      </c>
      <c r="J26" s="98">
        <f t="shared" si="1"/>
        <v>72.727272727272734</v>
      </c>
      <c r="K26" s="98">
        <f t="shared" si="1"/>
        <v>72.727272727272734</v>
      </c>
      <c r="L26" s="98">
        <f>(10/11)*100</f>
        <v>90.909090909090907</v>
      </c>
      <c r="M26" s="98">
        <f t="shared" si="1"/>
        <v>72.727272727272734</v>
      </c>
      <c r="N26" s="98">
        <f>(8/11)*100</f>
        <v>72.727272727272734</v>
      </c>
      <c r="O26" s="98">
        <f>(9/11)*100</f>
        <v>81.818181818181827</v>
      </c>
      <c r="P26" s="98">
        <f t="shared" si="1"/>
        <v>72.727272727272734</v>
      </c>
      <c r="Q26" s="98">
        <f t="shared" si="1"/>
        <v>72.727272727272734</v>
      </c>
      <c r="R26" s="98">
        <f t="shared" si="1"/>
        <v>72.727272727272734</v>
      </c>
      <c r="S26" s="98">
        <f t="shared" si="1"/>
        <v>72.727272727272734</v>
      </c>
      <c r="T26" s="98">
        <f t="shared" si="1"/>
        <v>72.727272727272734</v>
      </c>
      <c r="U26" s="98">
        <f t="shared" si="1"/>
        <v>72.727272727272734</v>
      </c>
      <c r="V26" s="98">
        <f t="shared" si="1"/>
        <v>72.727272727272734</v>
      </c>
      <c r="W26" s="84"/>
    </row>
    <row r="27" spans="1:23" x14ac:dyDescent="0.2">
      <c r="A27" s="72"/>
    </row>
    <row r="28" spans="1:23" x14ac:dyDescent="0.2">
      <c r="A28" s="72" t="s">
        <v>207</v>
      </c>
      <c r="B28" s="81">
        <f>(B26+C26+D26+E26+F26+G26+H26+I26+J26+K26+L26+M26+N26+O26+P26+Q26+R26+S26+T26+U26+V26)/21</f>
        <v>76.623376623376629</v>
      </c>
      <c r="C28" s="75" t="s">
        <v>158</v>
      </c>
    </row>
    <row r="29" spans="1:23" x14ac:dyDescent="0.2">
      <c r="A29" s="72" t="s">
        <v>208</v>
      </c>
      <c r="B29" s="81">
        <f>+(W15+W16+W17+W18+W19+W20+W21+W22+W23+W24+W25)/11</f>
        <v>76.623376623376629</v>
      </c>
      <c r="C29" s="75" t="s">
        <v>158</v>
      </c>
    </row>
    <row r="30" spans="1:23" x14ac:dyDescent="0.2">
      <c r="A30" s="72"/>
    </row>
    <row r="31" spans="1:23" x14ac:dyDescent="0.2">
      <c r="A31" s="72"/>
    </row>
    <row r="32" spans="1:23" x14ac:dyDescent="0.2">
      <c r="A32" s="72"/>
    </row>
    <row r="33" spans="1:22" x14ac:dyDescent="0.2">
      <c r="A33" s="72"/>
    </row>
    <row r="34" spans="1:22" x14ac:dyDescent="0.2">
      <c r="A34" s="72"/>
    </row>
    <row r="35" spans="1:22" x14ac:dyDescent="0.2">
      <c r="A35" s="72"/>
    </row>
    <row r="36" spans="1:22" x14ac:dyDescent="0.2">
      <c r="A36" s="72"/>
    </row>
    <row r="37" spans="1:22" x14ac:dyDescent="0.2">
      <c r="A37" s="72"/>
      <c r="B37" s="82"/>
      <c r="C37" s="82"/>
      <c r="D37" s="82"/>
      <c r="E37" s="82"/>
      <c r="F37" s="82"/>
      <c r="G37" s="82"/>
      <c r="H37" s="82"/>
      <c r="I37" s="82"/>
      <c r="J37" s="82"/>
      <c r="K37" s="82"/>
      <c r="L37" s="82"/>
      <c r="M37" s="82"/>
      <c r="N37" s="82"/>
      <c r="O37" s="82"/>
      <c r="P37" s="82"/>
      <c r="Q37" s="82"/>
      <c r="R37" s="82"/>
      <c r="S37" s="82"/>
      <c r="T37" s="82"/>
      <c r="U37" s="82"/>
      <c r="V37" s="82"/>
    </row>
    <row r="38" spans="1:22" x14ac:dyDescent="0.2">
      <c r="A38" s="72"/>
      <c r="B38" s="82"/>
      <c r="C38" s="82"/>
      <c r="D38" s="82"/>
      <c r="E38" s="82"/>
      <c r="F38" s="82"/>
      <c r="G38" s="82"/>
      <c r="H38" s="82"/>
      <c r="I38" s="82"/>
      <c r="J38" s="82"/>
      <c r="K38" s="82"/>
      <c r="L38" s="82"/>
      <c r="M38" s="82"/>
      <c r="N38" s="82"/>
      <c r="O38" s="82"/>
      <c r="P38" s="82"/>
      <c r="Q38" s="82"/>
      <c r="R38" s="82"/>
      <c r="S38" s="82"/>
      <c r="T38" s="82"/>
      <c r="U38" s="82"/>
      <c r="V38" s="82"/>
    </row>
    <row r="39" spans="1:22" x14ac:dyDescent="0.2">
      <c r="A39" s="72"/>
      <c r="B39" s="83"/>
      <c r="C39" s="82"/>
      <c r="D39" s="83"/>
      <c r="E39" s="83"/>
      <c r="F39" s="82"/>
      <c r="G39" s="83"/>
      <c r="I39" s="82"/>
      <c r="J39" s="83"/>
      <c r="K39" s="83"/>
      <c r="L39" s="82"/>
      <c r="M39" s="83"/>
      <c r="N39" s="83"/>
      <c r="O39" s="82"/>
      <c r="P39" s="83"/>
      <c r="Q39" s="83"/>
      <c r="R39" s="82"/>
      <c r="S39" s="83"/>
      <c r="T39" s="83"/>
      <c r="U39" s="83"/>
      <c r="V39" s="83"/>
    </row>
    <row r="40" spans="1:22" x14ac:dyDescent="0.2">
      <c r="A40" s="72"/>
      <c r="B40" s="82"/>
      <c r="C40" s="82"/>
      <c r="E40" s="82"/>
      <c r="F40" s="82"/>
      <c r="G40" s="83"/>
      <c r="H40" s="82"/>
      <c r="I40" s="82"/>
      <c r="J40" s="83"/>
      <c r="K40" s="83"/>
      <c r="L40" s="82"/>
      <c r="M40" s="83"/>
      <c r="N40" s="83"/>
      <c r="O40" s="82"/>
      <c r="P40" s="83"/>
      <c r="Q40" s="83"/>
      <c r="R40" s="83"/>
      <c r="S40" s="83"/>
      <c r="T40" s="83"/>
      <c r="U40" s="83"/>
      <c r="V40" s="83"/>
    </row>
    <row r="41" spans="1:22" x14ac:dyDescent="0.2">
      <c r="A41" s="72"/>
      <c r="B41" s="83"/>
      <c r="C41" s="82"/>
      <c r="D41" s="83"/>
      <c r="E41" s="83"/>
      <c r="F41" s="82"/>
      <c r="H41" s="83"/>
      <c r="I41" s="82"/>
      <c r="J41" s="83"/>
      <c r="K41" s="83"/>
      <c r="L41" s="82"/>
      <c r="M41" s="83"/>
      <c r="N41" s="83"/>
      <c r="O41" s="82"/>
      <c r="P41" s="83"/>
      <c r="Q41" s="83"/>
      <c r="R41" s="83"/>
      <c r="S41" s="83"/>
      <c r="T41" s="83"/>
      <c r="U41" s="83"/>
      <c r="V41" s="83"/>
    </row>
    <row r="42" spans="1:22" s="75" customFormat="1" x14ac:dyDescent="0.2">
      <c r="A42" s="73"/>
      <c r="B42" s="82"/>
      <c r="C42" s="82"/>
      <c r="D42" s="82"/>
      <c r="E42" s="82"/>
      <c r="F42" s="82"/>
      <c r="G42" s="82"/>
      <c r="I42" s="82"/>
      <c r="J42" s="82"/>
      <c r="K42" s="82"/>
      <c r="L42" s="82"/>
      <c r="M42" s="82"/>
      <c r="N42" s="82"/>
      <c r="O42" s="82"/>
      <c r="P42" s="82"/>
      <c r="Q42" s="82"/>
      <c r="R42" s="82"/>
      <c r="S42" s="82"/>
      <c r="T42" s="82"/>
      <c r="U42" s="82"/>
      <c r="V42" s="82"/>
    </row>
    <row r="43" spans="1:22" x14ac:dyDescent="0.2">
      <c r="A43" s="72"/>
      <c r="B43" s="83"/>
      <c r="C43" s="82"/>
      <c r="D43" s="83"/>
      <c r="E43" s="83"/>
      <c r="F43" s="82"/>
      <c r="G43" s="83"/>
      <c r="H43" s="83"/>
      <c r="I43" s="83"/>
      <c r="J43" s="83"/>
      <c r="K43" s="83"/>
      <c r="L43" s="82"/>
      <c r="M43" s="83"/>
      <c r="N43" s="83"/>
      <c r="O43" s="82"/>
      <c r="P43" s="83"/>
      <c r="Q43" s="83"/>
      <c r="R43" s="83"/>
      <c r="S43" s="83"/>
      <c r="T43" s="83"/>
      <c r="U43" s="83"/>
      <c r="V43" s="83"/>
    </row>
    <row r="44" spans="1:22" x14ac:dyDescent="0.2">
      <c r="A44" s="72"/>
      <c r="C44" s="82"/>
      <c r="E44" s="82"/>
      <c r="F44" s="82"/>
      <c r="L44" s="82"/>
      <c r="O44" s="82"/>
    </row>
    <row r="45" spans="1:22" x14ac:dyDescent="0.2">
      <c r="A45" s="72"/>
      <c r="E45" s="83"/>
      <c r="F45" s="83"/>
      <c r="G45" s="83"/>
      <c r="H45" s="83"/>
      <c r="I45" s="83"/>
      <c r="K45" s="83"/>
    </row>
    <row r="46" spans="1:22" x14ac:dyDescent="0.2">
      <c r="A46" s="72"/>
    </row>
  </sheetData>
  <mergeCells count="4">
    <mergeCell ref="A3:B3"/>
    <mergeCell ref="A4:B4"/>
    <mergeCell ref="A5:B5"/>
    <mergeCell ref="A7:B7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9A5D6F-A2C4-419F-B4F8-5241E516A4AE}">
  <dimension ref="A1:I40"/>
  <sheetViews>
    <sheetView topLeftCell="A13" workbookViewId="0">
      <selection activeCell="F40" sqref="F40"/>
    </sheetView>
  </sheetViews>
  <sheetFormatPr defaultRowHeight="14.25" x14ac:dyDescent="0.2"/>
  <cols>
    <col min="1" max="1" width="14.625" bestFit="1" customWidth="1"/>
    <col min="2" max="2" width="13.25" bestFit="1" customWidth="1"/>
    <col min="3" max="3" width="16.5" bestFit="1" customWidth="1"/>
    <col min="4" max="4" width="13" bestFit="1" customWidth="1"/>
    <col min="5" max="5" width="8.25" bestFit="1" customWidth="1"/>
    <col min="6" max="6" width="14.5" bestFit="1" customWidth="1"/>
    <col min="8" max="8" width="13.625" bestFit="1" customWidth="1"/>
    <col min="9" max="9" width="11" bestFit="1" customWidth="1"/>
  </cols>
  <sheetData>
    <row r="1" spans="1:9" ht="15" x14ac:dyDescent="0.25">
      <c r="A1" s="106" t="s">
        <v>311</v>
      </c>
      <c r="B1" s="106" t="s">
        <v>323</v>
      </c>
      <c r="C1" s="106" t="s">
        <v>324</v>
      </c>
      <c r="D1" s="106" t="s">
        <v>325</v>
      </c>
      <c r="E1" s="106" t="s">
        <v>326</v>
      </c>
      <c r="F1" s="106" t="s">
        <v>327</v>
      </c>
      <c r="G1" s="106" t="s">
        <v>480</v>
      </c>
      <c r="H1" s="148" t="s">
        <v>834</v>
      </c>
      <c r="I1" s="148" t="s">
        <v>833</v>
      </c>
    </row>
    <row r="2" spans="1:9" ht="15" x14ac:dyDescent="0.25">
      <c r="A2" s="106"/>
      <c r="B2" s="106"/>
      <c r="C2" s="106"/>
      <c r="D2" s="106"/>
      <c r="E2" s="106"/>
      <c r="F2" s="106"/>
      <c r="G2" s="106"/>
      <c r="H2" s="193">
        <v>55</v>
      </c>
      <c r="I2" s="148"/>
    </row>
    <row r="3" spans="1:9" x14ac:dyDescent="0.2">
      <c r="A3" s="84" t="s">
        <v>329</v>
      </c>
      <c r="B3" s="84" t="s">
        <v>481</v>
      </c>
      <c r="C3" s="84" t="s">
        <v>482</v>
      </c>
      <c r="D3" s="84" t="s">
        <v>357</v>
      </c>
      <c r="E3" s="84" t="s">
        <v>339</v>
      </c>
      <c r="F3" s="84"/>
      <c r="G3" s="84">
        <v>16.3</v>
      </c>
      <c r="H3" s="84"/>
      <c r="I3" s="84"/>
    </row>
    <row r="4" spans="1:9" x14ac:dyDescent="0.2">
      <c r="A4" s="84"/>
      <c r="B4" s="84" t="s">
        <v>483</v>
      </c>
      <c r="C4" s="84" t="s">
        <v>331</v>
      </c>
      <c r="D4" s="84" t="s">
        <v>357</v>
      </c>
      <c r="E4" s="84" t="s">
        <v>339</v>
      </c>
      <c r="F4" s="84"/>
      <c r="G4" s="84">
        <v>43</v>
      </c>
      <c r="H4" s="84"/>
      <c r="I4" s="84"/>
    </row>
    <row r="5" spans="1:9" x14ac:dyDescent="0.2">
      <c r="A5" s="84"/>
      <c r="B5" s="84" t="s">
        <v>484</v>
      </c>
      <c r="C5" s="84" t="s">
        <v>485</v>
      </c>
      <c r="D5" s="84" t="s">
        <v>342</v>
      </c>
      <c r="E5" s="84" t="s">
        <v>339</v>
      </c>
      <c r="F5" s="84"/>
      <c r="G5" s="84">
        <v>0.2</v>
      </c>
      <c r="H5" s="84"/>
      <c r="I5" s="84"/>
    </row>
    <row r="6" spans="1:9" x14ac:dyDescent="0.2">
      <c r="A6" s="84"/>
      <c r="B6" s="84" t="s">
        <v>486</v>
      </c>
      <c r="C6" s="84" t="s">
        <v>485</v>
      </c>
      <c r="D6" s="84" t="s">
        <v>342</v>
      </c>
      <c r="E6" s="84" t="s">
        <v>339</v>
      </c>
      <c r="F6" s="84"/>
      <c r="G6" s="84">
        <v>0.2</v>
      </c>
      <c r="H6" s="84"/>
      <c r="I6" s="84"/>
    </row>
    <row r="7" spans="1:9" x14ac:dyDescent="0.2">
      <c r="A7" s="84"/>
      <c r="B7" s="84" t="s">
        <v>487</v>
      </c>
      <c r="C7" s="84" t="s">
        <v>858</v>
      </c>
      <c r="D7" s="84" t="s">
        <v>365</v>
      </c>
      <c r="E7" s="84" t="s">
        <v>339</v>
      </c>
      <c r="F7" s="84"/>
      <c r="G7" s="84">
        <v>12.9</v>
      </c>
      <c r="H7" s="84"/>
      <c r="I7" s="84"/>
    </row>
    <row r="8" spans="1:9" x14ac:dyDescent="0.2">
      <c r="A8" s="84"/>
      <c r="B8" s="84" t="s">
        <v>488</v>
      </c>
      <c r="C8" s="84" t="s">
        <v>334</v>
      </c>
      <c r="D8" s="84" t="s">
        <v>365</v>
      </c>
      <c r="E8" s="84" t="s">
        <v>489</v>
      </c>
      <c r="F8" s="84" t="s">
        <v>492</v>
      </c>
      <c r="G8" s="84">
        <v>24.5</v>
      </c>
      <c r="H8" s="194">
        <f>G8*$H$2</f>
        <v>1347.5</v>
      </c>
      <c r="I8" s="84"/>
    </row>
    <row r="9" spans="1:9" x14ac:dyDescent="0.2">
      <c r="A9" s="84"/>
      <c r="B9" s="84" t="s">
        <v>490</v>
      </c>
      <c r="C9" s="84" t="s">
        <v>334</v>
      </c>
      <c r="D9" s="84" t="s">
        <v>365</v>
      </c>
      <c r="E9" s="84" t="s">
        <v>336</v>
      </c>
      <c r="F9" s="84" t="s">
        <v>337</v>
      </c>
      <c r="G9" s="84">
        <v>23</v>
      </c>
      <c r="H9" s="84" t="s">
        <v>855</v>
      </c>
      <c r="I9" s="84"/>
    </row>
    <row r="10" spans="1:9" x14ac:dyDescent="0.2">
      <c r="A10" s="84"/>
      <c r="B10" s="84" t="s">
        <v>491</v>
      </c>
      <c r="C10" s="84" t="s">
        <v>334</v>
      </c>
      <c r="D10" s="84" t="s">
        <v>365</v>
      </c>
      <c r="E10" s="84" t="s">
        <v>339</v>
      </c>
      <c r="F10" s="149" t="s">
        <v>853</v>
      </c>
      <c r="G10" s="84">
        <v>17.899999999999999</v>
      </c>
      <c r="H10" s="84"/>
      <c r="I10" s="84"/>
    </row>
    <row r="11" spans="1:9" x14ac:dyDescent="0.2">
      <c r="A11" s="84"/>
      <c r="B11" s="84" t="s">
        <v>493</v>
      </c>
      <c r="C11" s="84" t="s">
        <v>494</v>
      </c>
      <c r="D11" s="84"/>
      <c r="E11" s="84" t="s">
        <v>339</v>
      </c>
      <c r="F11" s="84"/>
      <c r="G11" s="84">
        <v>3.4</v>
      </c>
      <c r="H11" s="84"/>
      <c r="I11" s="84"/>
    </row>
    <row r="12" spans="1:9" x14ac:dyDescent="0.2">
      <c r="A12" s="84"/>
      <c r="B12" s="84" t="s">
        <v>447</v>
      </c>
      <c r="C12" s="84" t="s">
        <v>351</v>
      </c>
      <c r="D12" s="84" t="s">
        <v>352</v>
      </c>
      <c r="E12" s="84" t="s">
        <v>339</v>
      </c>
      <c r="F12" s="84"/>
      <c r="G12" s="84">
        <v>5.9</v>
      </c>
      <c r="H12" s="84"/>
      <c r="I12" s="84"/>
    </row>
    <row r="13" spans="1:9" x14ac:dyDescent="0.2">
      <c r="A13" s="84"/>
      <c r="B13" s="84" t="s">
        <v>495</v>
      </c>
      <c r="C13" s="84" t="s">
        <v>351</v>
      </c>
      <c r="D13" s="84" t="s">
        <v>352</v>
      </c>
      <c r="E13" s="84" t="s">
        <v>339</v>
      </c>
      <c r="F13" s="84"/>
      <c r="G13" s="84">
        <v>0.9</v>
      </c>
      <c r="H13" s="84"/>
      <c r="I13" s="84"/>
    </row>
    <row r="14" spans="1:9" x14ac:dyDescent="0.2">
      <c r="A14" s="84"/>
      <c r="B14" s="84" t="s">
        <v>496</v>
      </c>
      <c r="C14" s="84" t="s">
        <v>351</v>
      </c>
      <c r="D14" s="84" t="s">
        <v>352</v>
      </c>
      <c r="E14" s="84" t="s">
        <v>339</v>
      </c>
      <c r="F14" s="84"/>
      <c r="G14" s="84">
        <v>0.9</v>
      </c>
      <c r="H14" s="84"/>
      <c r="I14" s="84"/>
    </row>
    <row r="15" spans="1:9" x14ac:dyDescent="0.2">
      <c r="A15" s="84"/>
      <c r="B15" s="84" t="s">
        <v>497</v>
      </c>
      <c r="C15" s="84" t="s">
        <v>351</v>
      </c>
      <c r="D15" s="84" t="s">
        <v>352</v>
      </c>
      <c r="E15" s="84" t="s">
        <v>339</v>
      </c>
      <c r="F15" s="84"/>
      <c r="G15" s="84">
        <v>0.9</v>
      </c>
      <c r="H15" s="84"/>
      <c r="I15" s="84"/>
    </row>
    <row r="16" spans="1:9" x14ac:dyDescent="0.2">
      <c r="A16" s="84"/>
      <c r="B16" s="84" t="s">
        <v>498</v>
      </c>
      <c r="C16" s="84" t="s">
        <v>351</v>
      </c>
      <c r="D16" s="84" t="s">
        <v>352</v>
      </c>
      <c r="E16" s="84" t="s">
        <v>339</v>
      </c>
      <c r="F16" s="84"/>
      <c r="G16" s="84">
        <v>0.9</v>
      </c>
      <c r="H16" s="84"/>
      <c r="I16" s="84"/>
    </row>
    <row r="17" spans="1:9" x14ac:dyDescent="0.2">
      <c r="A17" s="84"/>
      <c r="B17" s="84" t="s">
        <v>448</v>
      </c>
      <c r="C17" s="84" t="s">
        <v>351</v>
      </c>
      <c r="D17" s="84" t="s">
        <v>352</v>
      </c>
      <c r="E17" s="84" t="s">
        <v>339</v>
      </c>
      <c r="F17" s="84"/>
      <c r="G17" s="84">
        <v>6.5</v>
      </c>
      <c r="H17" s="84"/>
      <c r="I17" s="84"/>
    </row>
    <row r="18" spans="1:9" x14ac:dyDescent="0.2">
      <c r="A18" s="84"/>
      <c r="B18" s="84" t="s">
        <v>499</v>
      </c>
      <c r="C18" s="84" t="s">
        <v>351</v>
      </c>
      <c r="D18" s="84" t="s">
        <v>352</v>
      </c>
      <c r="E18" s="84" t="s">
        <v>339</v>
      </c>
      <c r="F18" s="84"/>
      <c r="G18" s="84">
        <v>0.9</v>
      </c>
      <c r="H18" s="84"/>
      <c r="I18" s="84"/>
    </row>
    <row r="19" spans="1:9" x14ac:dyDescent="0.2">
      <c r="A19" s="84"/>
      <c r="B19" s="84" t="s">
        <v>500</v>
      </c>
      <c r="C19" s="84" t="s">
        <v>351</v>
      </c>
      <c r="D19" s="84" t="s">
        <v>352</v>
      </c>
      <c r="E19" s="84" t="s">
        <v>339</v>
      </c>
      <c r="F19" s="84"/>
      <c r="G19" s="84">
        <v>0.9</v>
      </c>
      <c r="H19" s="84"/>
      <c r="I19" s="84"/>
    </row>
    <row r="20" spans="1:9" x14ac:dyDescent="0.2">
      <c r="A20" s="84"/>
      <c r="B20" s="84" t="s">
        <v>501</v>
      </c>
      <c r="C20" s="84" t="s">
        <v>351</v>
      </c>
      <c r="D20" s="84" t="s">
        <v>352</v>
      </c>
      <c r="E20" s="84" t="s">
        <v>339</v>
      </c>
      <c r="F20" s="84"/>
      <c r="G20" s="84">
        <v>0.9</v>
      </c>
      <c r="H20" s="84"/>
      <c r="I20" s="84"/>
    </row>
    <row r="21" spans="1:9" x14ac:dyDescent="0.2">
      <c r="A21" s="84"/>
      <c r="B21" s="84" t="s">
        <v>502</v>
      </c>
      <c r="C21" s="84" t="s">
        <v>351</v>
      </c>
      <c r="D21" s="84" t="s">
        <v>352</v>
      </c>
      <c r="E21" s="84" t="s">
        <v>339</v>
      </c>
      <c r="F21" s="84"/>
      <c r="G21" s="84">
        <v>0.9</v>
      </c>
      <c r="H21" s="84"/>
      <c r="I21" s="84"/>
    </row>
    <row r="22" spans="1:9" x14ac:dyDescent="0.2">
      <c r="A22" s="84"/>
      <c r="B22" s="84" t="s">
        <v>423</v>
      </c>
      <c r="C22" s="84" t="s">
        <v>503</v>
      </c>
      <c r="D22" s="84" t="s">
        <v>352</v>
      </c>
      <c r="E22" s="84" t="s">
        <v>339</v>
      </c>
      <c r="F22" s="84"/>
      <c r="G22" s="84">
        <v>3.8</v>
      </c>
      <c r="H22" s="84"/>
      <c r="I22" s="84"/>
    </row>
    <row r="23" spans="1:9" x14ac:dyDescent="0.2">
      <c r="A23" s="84"/>
      <c r="B23" s="84" t="s">
        <v>417</v>
      </c>
      <c r="C23" s="84" t="s">
        <v>368</v>
      </c>
      <c r="D23" s="84" t="s">
        <v>357</v>
      </c>
      <c r="E23" s="84" t="s">
        <v>339</v>
      </c>
      <c r="F23" s="149" t="s">
        <v>853</v>
      </c>
      <c r="G23" s="84">
        <v>47.8</v>
      </c>
      <c r="H23" s="84"/>
      <c r="I23" s="84"/>
    </row>
    <row r="24" spans="1:9" x14ac:dyDescent="0.2">
      <c r="A24" s="84"/>
      <c r="B24" s="84" t="s">
        <v>429</v>
      </c>
      <c r="C24" s="84" t="s">
        <v>341</v>
      </c>
      <c r="D24" s="84" t="s">
        <v>504</v>
      </c>
      <c r="E24" s="84" t="s">
        <v>339</v>
      </c>
      <c r="F24" s="84"/>
      <c r="G24" s="84">
        <v>14.3</v>
      </c>
      <c r="H24" s="84"/>
      <c r="I24" s="84"/>
    </row>
    <row r="25" spans="1:9" x14ac:dyDescent="0.2">
      <c r="A25" s="84"/>
      <c r="B25" s="84" t="s">
        <v>418</v>
      </c>
      <c r="C25" s="84" t="s">
        <v>435</v>
      </c>
      <c r="D25" s="84" t="s">
        <v>357</v>
      </c>
      <c r="E25" s="84" t="s">
        <v>339</v>
      </c>
      <c r="F25" s="149" t="s">
        <v>853</v>
      </c>
      <c r="G25" s="84">
        <v>30.2</v>
      </c>
      <c r="H25" s="84"/>
      <c r="I25" s="84"/>
    </row>
    <row r="26" spans="1:9" x14ac:dyDescent="0.2">
      <c r="A26" s="84"/>
      <c r="B26" s="84" t="s">
        <v>430</v>
      </c>
      <c r="C26" s="84" t="s">
        <v>404</v>
      </c>
      <c r="D26" s="84" t="s">
        <v>342</v>
      </c>
      <c r="E26" s="84" t="s">
        <v>339</v>
      </c>
      <c r="F26" s="84"/>
      <c r="G26" s="84">
        <v>1.3</v>
      </c>
      <c r="H26" s="84"/>
      <c r="I26" s="84"/>
    </row>
    <row r="27" spans="1:9" x14ac:dyDescent="0.2">
      <c r="A27" s="84"/>
      <c r="B27" s="84" t="s">
        <v>422</v>
      </c>
      <c r="C27" s="84" t="s">
        <v>344</v>
      </c>
      <c r="D27" s="84" t="s">
        <v>357</v>
      </c>
      <c r="E27" s="84" t="s">
        <v>339</v>
      </c>
      <c r="F27" s="149" t="s">
        <v>853</v>
      </c>
      <c r="G27" s="84">
        <v>92.9</v>
      </c>
      <c r="H27" s="84"/>
      <c r="I27" s="84"/>
    </row>
    <row r="28" spans="1:9" x14ac:dyDescent="0.2">
      <c r="A28" s="84"/>
      <c r="B28" s="84" t="s">
        <v>432</v>
      </c>
      <c r="C28" s="84" t="s">
        <v>416</v>
      </c>
      <c r="D28" s="84" t="s">
        <v>352</v>
      </c>
      <c r="E28" s="84" t="s">
        <v>339</v>
      </c>
      <c r="F28" s="149" t="s">
        <v>853</v>
      </c>
      <c r="G28" s="84">
        <v>30.8</v>
      </c>
      <c r="H28" s="84"/>
      <c r="I28" s="84"/>
    </row>
    <row r="29" spans="1:9" x14ac:dyDescent="0.2">
      <c r="A29" s="84"/>
      <c r="B29" s="84" t="s">
        <v>419</v>
      </c>
      <c r="C29" s="84" t="s">
        <v>414</v>
      </c>
      <c r="D29" s="84" t="s">
        <v>357</v>
      </c>
      <c r="E29" s="84" t="s">
        <v>339</v>
      </c>
      <c r="F29" s="149" t="s">
        <v>853</v>
      </c>
      <c r="G29" s="84">
        <v>26.4</v>
      </c>
      <c r="H29" s="84"/>
      <c r="I29" s="84"/>
    </row>
    <row r="30" spans="1:9" x14ac:dyDescent="0.2">
      <c r="A30" s="84"/>
      <c r="B30" s="84" t="s">
        <v>431</v>
      </c>
      <c r="C30" s="84" t="s">
        <v>341</v>
      </c>
      <c r="D30" s="84" t="s">
        <v>357</v>
      </c>
      <c r="E30" s="84" t="s">
        <v>339</v>
      </c>
      <c r="F30" s="84"/>
      <c r="G30" s="84">
        <v>12.3</v>
      </c>
      <c r="H30" s="84"/>
      <c r="I30" s="84"/>
    </row>
    <row r="31" spans="1:9" x14ac:dyDescent="0.2">
      <c r="A31" s="84"/>
      <c r="B31" s="84" t="s">
        <v>420</v>
      </c>
      <c r="C31" s="84" t="s">
        <v>344</v>
      </c>
      <c r="D31" s="84" t="s">
        <v>357</v>
      </c>
      <c r="E31" s="84" t="s">
        <v>339</v>
      </c>
      <c r="F31" s="149" t="s">
        <v>853</v>
      </c>
      <c r="G31" s="84">
        <v>62.5</v>
      </c>
      <c r="H31" s="84"/>
      <c r="I31" s="84"/>
    </row>
    <row r="32" spans="1:9" x14ac:dyDescent="0.2">
      <c r="A32" s="84" t="s">
        <v>505</v>
      </c>
      <c r="B32" s="84" t="s">
        <v>506</v>
      </c>
      <c r="C32" s="84" t="s">
        <v>860</v>
      </c>
      <c r="D32" s="84" t="s">
        <v>357</v>
      </c>
      <c r="E32" s="84" t="s">
        <v>339</v>
      </c>
      <c r="F32" s="149"/>
      <c r="G32" s="84">
        <v>8.5</v>
      </c>
      <c r="H32" s="84"/>
      <c r="I32" s="84"/>
    </row>
    <row r="33" spans="1:9" x14ac:dyDescent="0.2">
      <c r="A33" s="84"/>
      <c r="B33" s="84" t="s">
        <v>507</v>
      </c>
      <c r="C33" s="84" t="s">
        <v>341</v>
      </c>
      <c r="D33" s="84" t="s">
        <v>357</v>
      </c>
      <c r="E33" s="84" t="s">
        <v>339</v>
      </c>
      <c r="F33" s="84"/>
      <c r="G33" s="84">
        <v>4.5999999999999996</v>
      </c>
      <c r="H33" s="84"/>
      <c r="I33" s="84"/>
    </row>
    <row r="34" spans="1:9" x14ac:dyDescent="0.2">
      <c r="A34" s="84"/>
      <c r="B34" s="84" t="s">
        <v>508</v>
      </c>
      <c r="C34" s="84" t="s">
        <v>404</v>
      </c>
      <c r="D34" s="84" t="s">
        <v>342</v>
      </c>
      <c r="E34" s="84" t="s">
        <v>339</v>
      </c>
      <c r="F34" s="84"/>
      <c r="G34" s="84">
        <v>4.9000000000000004</v>
      </c>
      <c r="H34" s="84"/>
      <c r="I34" s="84"/>
    </row>
    <row r="35" spans="1:9" x14ac:dyDescent="0.2">
      <c r="A35" s="84"/>
      <c r="B35" s="84" t="s">
        <v>509</v>
      </c>
      <c r="C35" s="84" t="s">
        <v>331</v>
      </c>
      <c r="D35" s="84" t="s">
        <v>357</v>
      </c>
      <c r="E35" s="84" t="s">
        <v>339</v>
      </c>
      <c r="F35" s="84"/>
      <c r="G35" s="84">
        <v>4.9000000000000004</v>
      </c>
      <c r="H35" s="84"/>
      <c r="I35" s="84"/>
    </row>
    <row r="36" spans="1:9" x14ac:dyDescent="0.2">
      <c r="A36" s="84"/>
      <c r="B36" s="84" t="s">
        <v>510</v>
      </c>
      <c r="C36" s="84" t="s">
        <v>334</v>
      </c>
      <c r="D36" s="84" t="s">
        <v>357</v>
      </c>
      <c r="E36" s="84" t="s">
        <v>339</v>
      </c>
      <c r="F36" s="149" t="s">
        <v>853</v>
      </c>
      <c r="G36" s="84">
        <v>11.2</v>
      </c>
      <c r="H36" s="84"/>
      <c r="I36" s="84"/>
    </row>
    <row r="37" spans="1:9" x14ac:dyDescent="0.2">
      <c r="A37" s="84"/>
      <c r="B37" s="84" t="s">
        <v>511</v>
      </c>
      <c r="C37" s="84" t="s">
        <v>368</v>
      </c>
      <c r="D37" s="84" t="s">
        <v>357</v>
      </c>
      <c r="E37" s="84" t="s">
        <v>489</v>
      </c>
      <c r="F37" s="149" t="s">
        <v>337</v>
      </c>
      <c r="G37" s="84">
        <v>29.7</v>
      </c>
      <c r="H37" s="84" t="s">
        <v>855</v>
      </c>
      <c r="I37" s="84"/>
    </row>
    <row r="39" spans="1:9" x14ac:dyDescent="0.2">
      <c r="F39" t="s">
        <v>835</v>
      </c>
      <c r="G39">
        <f>SUM(G3:G38)</f>
        <v>547.10000000000014</v>
      </c>
    </row>
    <row r="40" spans="1:9" x14ac:dyDescent="0.2">
      <c r="F40" s="147" t="s">
        <v>877</v>
      </c>
      <c r="H40" s="68">
        <f>SUM(H3:H37)</f>
        <v>1347.5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E2AE7A-2133-4737-9EE9-105453DB2618}">
  <sheetPr>
    <tabColor rgb="FF92D050"/>
  </sheetPr>
  <dimension ref="A1:W39"/>
  <sheetViews>
    <sheetView zoomScale="90" zoomScaleNormal="90" workbookViewId="0"/>
  </sheetViews>
  <sheetFormatPr defaultRowHeight="14.25" x14ac:dyDescent="0.2"/>
  <cols>
    <col min="1" max="1" width="35.875" customWidth="1"/>
    <col min="2" max="2" width="9.125" customWidth="1"/>
    <col min="3" max="4" width="10" customWidth="1"/>
    <col min="5" max="5" width="9.875" customWidth="1"/>
    <col min="6" max="6" width="12.125" customWidth="1"/>
    <col min="7" max="7" width="9.75" customWidth="1"/>
    <col min="9" max="9" width="9.25" customWidth="1"/>
    <col min="12" max="12" width="10.75" customWidth="1"/>
    <col min="23" max="23" width="11.25" customWidth="1"/>
  </cols>
  <sheetData>
    <row r="1" spans="1:23" x14ac:dyDescent="0.2">
      <c r="A1" s="96" t="s">
        <v>771</v>
      </c>
      <c r="B1" s="70"/>
      <c r="C1" s="70"/>
      <c r="D1" s="70" t="s">
        <v>763</v>
      </c>
      <c r="E1" s="70" t="s">
        <v>764</v>
      </c>
      <c r="F1" s="70"/>
    </row>
    <row r="2" spans="1:23" x14ac:dyDescent="0.2">
      <c r="A2" s="70"/>
      <c r="B2" s="70"/>
      <c r="C2" s="70"/>
      <c r="D2" s="70"/>
      <c r="E2" s="70"/>
      <c r="F2" s="70"/>
    </row>
    <row r="3" spans="1:23" x14ac:dyDescent="0.2">
      <c r="A3" s="214" t="s">
        <v>765</v>
      </c>
      <c r="B3" s="214"/>
      <c r="C3" s="70"/>
      <c r="D3" s="93">
        <v>16472</v>
      </c>
      <c r="E3" s="77">
        <f>D3/D7*100</f>
        <v>81.383399209486157</v>
      </c>
      <c r="F3" s="70" t="s">
        <v>158</v>
      </c>
    </row>
    <row r="4" spans="1:23" x14ac:dyDescent="0.2">
      <c r="A4" s="215" t="s">
        <v>766</v>
      </c>
      <c r="B4" s="215"/>
      <c r="C4" s="70"/>
      <c r="D4" s="93">
        <v>3488</v>
      </c>
      <c r="E4" s="78">
        <f>D4/D7*100</f>
        <v>17.233201581027668</v>
      </c>
      <c r="F4" s="70" t="s">
        <v>158</v>
      </c>
    </row>
    <row r="5" spans="1:23" x14ac:dyDescent="0.2">
      <c r="A5" s="216" t="s">
        <v>767</v>
      </c>
      <c r="B5" s="216"/>
      <c r="C5" s="70"/>
      <c r="D5" s="93">
        <v>280</v>
      </c>
      <c r="E5" s="79">
        <f>D5/D7*100</f>
        <v>1.383399209486166</v>
      </c>
      <c r="F5" s="70" t="s">
        <v>158</v>
      </c>
    </row>
    <row r="6" spans="1:23" x14ac:dyDescent="0.2">
      <c r="A6" s="70"/>
      <c r="B6" s="70"/>
      <c r="C6" s="70"/>
      <c r="D6" s="93"/>
      <c r="E6" s="70"/>
      <c r="F6" s="70"/>
    </row>
    <row r="7" spans="1:23" x14ac:dyDescent="0.2">
      <c r="A7" s="217" t="s">
        <v>312</v>
      </c>
      <c r="B7" s="217"/>
      <c r="C7" s="70"/>
      <c r="D7" s="93">
        <f>+D3+D4+D5</f>
        <v>20240</v>
      </c>
      <c r="E7" s="70"/>
      <c r="F7" s="70"/>
    </row>
    <row r="9" spans="1:23" x14ac:dyDescent="0.2">
      <c r="A9" s="96" t="s">
        <v>266</v>
      </c>
    </row>
    <row r="11" spans="1:23" x14ac:dyDescent="0.2">
      <c r="A11" s="84" t="s">
        <v>161</v>
      </c>
      <c r="B11" s="84" t="s">
        <v>162</v>
      </c>
      <c r="C11" s="84"/>
      <c r="D11" s="84"/>
      <c r="E11" s="84" t="s">
        <v>163</v>
      </c>
      <c r="F11" s="84"/>
      <c r="G11" s="84"/>
      <c r="H11" s="84" t="s">
        <v>164</v>
      </c>
      <c r="I11" s="84"/>
      <c r="J11" s="84"/>
      <c r="K11" s="84" t="s">
        <v>165</v>
      </c>
      <c r="L11" s="84"/>
      <c r="M11" s="84"/>
      <c r="N11" s="84" t="s">
        <v>166</v>
      </c>
      <c r="O11" s="84"/>
      <c r="P11" s="84"/>
      <c r="Q11" s="84" t="s">
        <v>167</v>
      </c>
      <c r="R11" s="84"/>
      <c r="S11" s="84"/>
      <c r="T11" s="84" t="s">
        <v>168</v>
      </c>
      <c r="U11" s="84"/>
      <c r="V11" s="84"/>
      <c r="W11" s="84"/>
    </row>
    <row r="12" spans="1:23" ht="28.5" x14ac:dyDescent="0.2">
      <c r="A12" s="84" t="s">
        <v>96</v>
      </c>
      <c r="B12" s="84" t="s">
        <v>169</v>
      </c>
      <c r="C12" s="84" t="s">
        <v>170</v>
      </c>
      <c r="D12" s="84" t="s">
        <v>171</v>
      </c>
      <c r="E12" s="84" t="s">
        <v>169</v>
      </c>
      <c r="F12" s="84" t="s">
        <v>170</v>
      </c>
      <c r="G12" s="84" t="s">
        <v>171</v>
      </c>
      <c r="H12" s="84" t="s">
        <v>169</v>
      </c>
      <c r="I12" s="84" t="s">
        <v>170</v>
      </c>
      <c r="J12" s="84" t="s">
        <v>171</v>
      </c>
      <c r="K12" s="84" t="s">
        <v>169</v>
      </c>
      <c r="L12" s="84" t="s">
        <v>170</v>
      </c>
      <c r="M12" s="84" t="s">
        <v>171</v>
      </c>
      <c r="N12" s="84" t="s">
        <v>169</v>
      </c>
      <c r="O12" s="84" t="s">
        <v>170</v>
      </c>
      <c r="P12" s="84" t="s">
        <v>171</v>
      </c>
      <c r="Q12" s="84" t="s">
        <v>169</v>
      </c>
      <c r="R12" s="84" t="s">
        <v>170</v>
      </c>
      <c r="S12" s="84" t="s">
        <v>171</v>
      </c>
      <c r="T12" s="84" t="s">
        <v>169</v>
      </c>
      <c r="U12" s="84" t="s">
        <v>170</v>
      </c>
      <c r="V12" s="84" t="s">
        <v>171</v>
      </c>
      <c r="W12" s="94" t="s">
        <v>267</v>
      </c>
    </row>
    <row r="13" spans="1:23" ht="57" x14ac:dyDescent="0.2">
      <c r="A13" s="86" t="s">
        <v>1000</v>
      </c>
      <c r="B13" s="86" t="s">
        <v>1001</v>
      </c>
      <c r="C13" s="86" t="s">
        <v>1001</v>
      </c>
      <c r="D13" s="86" t="s">
        <v>1001</v>
      </c>
      <c r="E13" s="86" t="s">
        <v>1001</v>
      </c>
      <c r="F13" s="86" t="s">
        <v>1001</v>
      </c>
      <c r="G13" s="86" t="s">
        <v>1001</v>
      </c>
      <c r="H13" s="86" t="s">
        <v>1001</v>
      </c>
      <c r="I13" s="86" t="s">
        <v>1001</v>
      </c>
      <c r="J13" s="86" t="s">
        <v>1001</v>
      </c>
      <c r="K13" s="86" t="s">
        <v>1001</v>
      </c>
      <c r="L13" s="86" t="s">
        <v>1001</v>
      </c>
      <c r="M13" s="86" t="s">
        <v>1001</v>
      </c>
      <c r="N13" s="86" t="s">
        <v>1001</v>
      </c>
      <c r="O13" s="86" t="s">
        <v>1001</v>
      </c>
      <c r="P13" s="86" t="s">
        <v>1001</v>
      </c>
      <c r="Q13" s="86" t="s">
        <v>1001</v>
      </c>
      <c r="R13" s="86" t="s">
        <v>1001</v>
      </c>
      <c r="S13" s="86" t="s">
        <v>1001</v>
      </c>
      <c r="T13" s="86" t="s">
        <v>1001</v>
      </c>
      <c r="U13" s="86" t="s">
        <v>1001</v>
      </c>
      <c r="V13" s="86" t="s">
        <v>1001</v>
      </c>
      <c r="W13" s="87">
        <f>(21/21)*100</f>
        <v>100</v>
      </c>
    </row>
    <row r="14" spans="1:23" ht="57" x14ac:dyDescent="0.2">
      <c r="A14" s="86" t="s">
        <v>268</v>
      </c>
      <c r="B14" s="86" t="s">
        <v>131</v>
      </c>
      <c r="C14" s="86" t="s">
        <v>131</v>
      </c>
      <c r="D14" s="86" t="s">
        <v>269</v>
      </c>
      <c r="E14" s="86" t="s">
        <v>131</v>
      </c>
      <c r="F14" s="86" t="s">
        <v>1002</v>
      </c>
      <c r="G14" s="86" t="s">
        <v>1003</v>
      </c>
      <c r="H14" s="86" t="s">
        <v>131</v>
      </c>
      <c r="I14" s="86" t="s">
        <v>1004</v>
      </c>
      <c r="J14" s="86" t="s">
        <v>131</v>
      </c>
      <c r="K14" s="86" t="s">
        <v>131</v>
      </c>
      <c r="L14" s="86" t="s">
        <v>131</v>
      </c>
      <c r="M14" s="86" t="s">
        <v>131</v>
      </c>
      <c r="N14" s="86" t="s">
        <v>131</v>
      </c>
      <c r="O14" s="86" t="s">
        <v>1005</v>
      </c>
      <c r="P14" s="86" t="s">
        <v>131</v>
      </c>
      <c r="Q14" s="86" t="s">
        <v>131</v>
      </c>
      <c r="R14" s="86" t="s">
        <v>131</v>
      </c>
      <c r="S14" s="86" t="s">
        <v>131</v>
      </c>
      <c r="T14" s="86" t="s">
        <v>131</v>
      </c>
      <c r="U14" s="86" t="s">
        <v>131</v>
      </c>
      <c r="V14" s="86" t="s">
        <v>131</v>
      </c>
      <c r="W14" s="87">
        <f>(21/21)*100</f>
        <v>100</v>
      </c>
    </row>
    <row r="15" spans="1:23" ht="71.25" x14ac:dyDescent="0.2">
      <c r="A15" s="86" t="s">
        <v>270</v>
      </c>
      <c r="B15" s="86"/>
      <c r="C15" s="86" t="s">
        <v>1006</v>
      </c>
      <c r="D15" s="86" t="s">
        <v>1007</v>
      </c>
      <c r="E15" s="86" t="s">
        <v>1008</v>
      </c>
      <c r="F15" s="86"/>
      <c r="G15" s="86"/>
      <c r="H15" s="86"/>
      <c r="I15" s="86" t="s">
        <v>1009</v>
      </c>
      <c r="J15" s="86"/>
      <c r="K15" s="86" t="s">
        <v>1010</v>
      </c>
      <c r="L15" s="86"/>
      <c r="M15" s="86" t="s">
        <v>271</v>
      </c>
      <c r="N15" s="86"/>
      <c r="O15" s="86"/>
      <c r="P15" s="86"/>
      <c r="Q15" s="86"/>
      <c r="R15" s="86"/>
      <c r="S15" s="86"/>
      <c r="T15" s="86"/>
      <c r="U15" s="86"/>
      <c r="V15" s="86"/>
      <c r="W15" s="87">
        <f>(6/21)*100</f>
        <v>28.571428571428569</v>
      </c>
    </row>
    <row r="16" spans="1:23" ht="42.75" x14ac:dyDescent="0.2">
      <c r="A16" s="86" t="s">
        <v>272</v>
      </c>
      <c r="B16" s="86" t="s">
        <v>131</v>
      </c>
      <c r="C16" s="86" t="s">
        <v>131</v>
      </c>
      <c r="D16" s="86" t="s">
        <v>1011</v>
      </c>
      <c r="E16" s="86" t="s">
        <v>131</v>
      </c>
      <c r="F16" s="86" t="s">
        <v>131</v>
      </c>
      <c r="G16" s="86" t="s">
        <v>131</v>
      </c>
      <c r="H16" s="86" t="s">
        <v>131</v>
      </c>
      <c r="I16" s="86" t="s">
        <v>131</v>
      </c>
      <c r="J16" s="86" t="s">
        <v>131</v>
      </c>
      <c r="K16" s="86"/>
      <c r="L16" s="86" t="s">
        <v>1012</v>
      </c>
      <c r="M16" s="86" t="s">
        <v>273</v>
      </c>
      <c r="N16" s="86" t="s">
        <v>131</v>
      </c>
      <c r="O16" s="86" t="s">
        <v>131</v>
      </c>
      <c r="P16" s="86" t="s">
        <v>131</v>
      </c>
      <c r="Q16" s="86" t="s">
        <v>131</v>
      </c>
      <c r="R16" s="86" t="s">
        <v>131</v>
      </c>
      <c r="S16" s="86" t="s">
        <v>131</v>
      </c>
      <c r="T16" s="86" t="s">
        <v>131</v>
      </c>
      <c r="U16" s="86" t="s">
        <v>131</v>
      </c>
      <c r="V16" s="86" t="s">
        <v>131</v>
      </c>
      <c r="W16" s="87">
        <f>(21/21)*100</f>
        <v>100</v>
      </c>
    </row>
    <row r="17" spans="1:23" x14ac:dyDescent="0.2">
      <c r="A17" s="86" t="s">
        <v>274</v>
      </c>
      <c r="B17" s="86">
        <f>(3/4)*100</f>
        <v>75</v>
      </c>
      <c r="C17" s="86">
        <f>(4/4)*100</f>
        <v>100</v>
      </c>
      <c r="D17" s="86">
        <f>(4/4)*100</f>
        <v>100</v>
      </c>
      <c r="E17" s="86">
        <f>(4/4)*100</f>
        <v>100</v>
      </c>
      <c r="F17" s="86">
        <f t="shared" ref="F17:V17" si="0">(3/4)*100</f>
        <v>75</v>
      </c>
      <c r="G17" s="86">
        <f t="shared" si="0"/>
        <v>75</v>
      </c>
      <c r="H17" s="86">
        <f t="shared" si="0"/>
        <v>75</v>
      </c>
      <c r="I17" s="86">
        <f>(4/4)*100</f>
        <v>100</v>
      </c>
      <c r="J17" s="86">
        <f>(4/4)*100</f>
        <v>100</v>
      </c>
      <c r="K17" s="86">
        <f>(3/4)*100</f>
        <v>75</v>
      </c>
      <c r="L17" s="86">
        <f t="shared" si="0"/>
        <v>75</v>
      </c>
      <c r="M17" s="86">
        <f>(4/4)*100</f>
        <v>100</v>
      </c>
      <c r="N17" s="86">
        <f t="shared" si="0"/>
        <v>75</v>
      </c>
      <c r="O17" s="86">
        <f t="shared" si="0"/>
        <v>75</v>
      </c>
      <c r="P17" s="86">
        <f t="shared" si="0"/>
        <v>75</v>
      </c>
      <c r="Q17" s="86">
        <f t="shared" si="0"/>
        <v>75</v>
      </c>
      <c r="R17" s="86">
        <f t="shared" si="0"/>
        <v>75</v>
      </c>
      <c r="S17" s="86">
        <f t="shared" si="0"/>
        <v>75</v>
      </c>
      <c r="T17" s="86">
        <f t="shared" si="0"/>
        <v>75</v>
      </c>
      <c r="U17" s="86">
        <f t="shared" si="0"/>
        <v>75</v>
      </c>
      <c r="V17" s="86">
        <f t="shared" si="0"/>
        <v>75</v>
      </c>
      <c r="W17" s="84"/>
    </row>
    <row r="18" spans="1:23" x14ac:dyDescent="0.2">
      <c r="A18" s="76"/>
      <c r="B18" s="80"/>
      <c r="C18" s="80"/>
      <c r="D18" s="80"/>
      <c r="E18" s="80"/>
      <c r="F18" s="80"/>
      <c r="G18" s="80"/>
      <c r="H18" s="80"/>
      <c r="I18" s="80"/>
      <c r="J18" s="80"/>
      <c r="K18" s="80"/>
      <c r="L18" s="80"/>
      <c r="M18" s="80"/>
      <c r="N18" s="80"/>
      <c r="O18" s="80"/>
      <c r="P18" s="80"/>
      <c r="Q18" s="80"/>
      <c r="R18" s="80"/>
      <c r="S18" s="80"/>
      <c r="T18" s="80"/>
      <c r="U18" s="80"/>
      <c r="V18" s="80"/>
    </row>
    <row r="19" spans="1:23" x14ac:dyDescent="0.2">
      <c r="A19" s="99" t="s">
        <v>265</v>
      </c>
      <c r="B19" s="100">
        <f>(B17+C17+D17+E17+F17+G17+H17+I17+J17+K17+L17+M17+N17+O17+P17+Q17+R17+S17+T17+U17+V17)/21</f>
        <v>82.142857142857139</v>
      </c>
      <c r="C19" s="101" t="s">
        <v>158</v>
      </c>
      <c r="D19" s="80"/>
      <c r="E19" s="80"/>
      <c r="F19" s="80"/>
      <c r="G19" s="80"/>
      <c r="H19" s="80"/>
      <c r="I19" s="80"/>
      <c r="J19" s="80"/>
      <c r="K19" s="80"/>
      <c r="L19" s="80"/>
      <c r="M19" s="80"/>
      <c r="N19" s="80"/>
      <c r="O19" s="80"/>
      <c r="P19" s="80"/>
      <c r="Q19" s="80"/>
      <c r="R19" s="80"/>
      <c r="S19" s="80"/>
      <c r="T19" s="80"/>
      <c r="U19" s="80"/>
      <c r="V19" s="80"/>
    </row>
    <row r="20" spans="1:23" x14ac:dyDescent="0.2">
      <c r="A20" s="80" t="s">
        <v>208</v>
      </c>
      <c r="B20" s="100">
        <f>(W13+W14+W15+W16)/4</f>
        <v>82.142857142857139</v>
      </c>
      <c r="C20" s="101" t="s">
        <v>158</v>
      </c>
      <c r="D20" s="80"/>
      <c r="E20" s="80"/>
      <c r="F20" s="80"/>
      <c r="G20" s="80"/>
      <c r="H20" s="80"/>
      <c r="I20" s="80"/>
      <c r="J20" s="80"/>
      <c r="K20" s="80"/>
      <c r="L20" s="80"/>
      <c r="M20" s="80"/>
      <c r="N20" s="80"/>
      <c r="O20" s="80"/>
      <c r="P20" s="80"/>
      <c r="Q20" s="80"/>
      <c r="R20" s="80"/>
      <c r="S20" s="80"/>
      <c r="T20" s="80"/>
      <c r="U20" s="80"/>
      <c r="V20" s="80"/>
    </row>
    <row r="21" spans="1:23" x14ac:dyDescent="0.2">
      <c r="A21" s="76"/>
      <c r="B21" s="80"/>
      <c r="C21" s="80"/>
      <c r="D21" s="80"/>
      <c r="E21" s="80"/>
      <c r="F21" s="80"/>
      <c r="G21" s="80"/>
      <c r="H21" s="80"/>
      <c r="I21" s="80"/>
      <c r="J21" s="80"/>
      <c r="K21" s="80"/>
      <c r="L21" s="80"/>
      <c r="M21" s="80"/>
      <c r="N21" s="80"/>
      <c r="O21" s="80"/>
      <c r="P21" s="80"/>
      <c r="Q21" s="80"/>
      <c r="R21" s="80"/>
      <c r="S21" s="80"/>
      <c r="T21" s="80"/>
      <c r="U21" s="80"/>
      <c r="V21" s="80"/>
    </row>
    <row r="22" spans="1:23" x14ac:dyDescent="0.2">
      <c r="A22" s="76"/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80"/>
      <c r="V22" s="80"/>
    </row>
    <row r="23" spans="1:23" x14ac:dyDescent="0.2">
      <c r="A23" s="76"/>
      <c r="B23" s="80"/>
      <c r="C23" s="80"/>
      <c r="D23" s="80"/>
      <c r="E23" s="80"/>
      <c r="F23" s="80"/>
      <c r="G23" s="80"/>
      <c r="H23" s="80"/>
      <c r="I23" s="80"/>
      <c r="J23" s="80"/>
      <c r="K23" s="80"/>
      <c r="L23" s="80"/>
      <c r="M23" s="80"/>
      <c r="N23" s="80"/>
      <c r="O23" s="80"/>
      <c r="P23" s="80"/>
      <c r="Q23" s="80"/>
      <c r="R23" s="80"/>
      <c r="S23" s="80"/>
      <c r="T23" s="80"/>
      <c r="U23" s="80"/>
      <c r="V23" s="80"/>
    </row>
    <row r="24" spans="1:23" x14ac:dyDescent="0.2">
      <c r="A24" s="76"/>
      <c r="B24" s="80"/>
      <c r="C24" s="80"/>
      <c r="D24" s="80"/>
      <c r="E24" s="80"/>
      <c r="F24" s="80"/>
      <c r="G24" s="80"/>
      <c r="H24" s="80"/>
      <c r="I24" s="80"/>
      <c r="J24" s="80"/>
      <c r="K24" s="80"/>
      <c r="L24" s="80"/>
      <c r="M24" s="80"/>
      <c r="N24" s="80"/>
      <c r="O24" s="80"/>
      <c r="P24" s="80"/>
      <c r="Q24" s="80"/>
      <c r="R24" s="80"/>
      <c r="S24" s="80"/>
      <c r="T24" s="80"/>
      <c r="U24" s="80"/>
      <c r="V24" s="80"/>
    </row>
    <row r="25" spans="1:23" x14ac:dyDescent="0.2">
      <c r="A25" s="72"/>
    </row>
    <row r="26" spans="1:23" x14ac:dyDescent="0.2">
      <c r="A26" s="72"/>
    </row>
    <row r="27" spans="1:23" x14ac:dyDescent="0.2">
      <c r="A27" s="72"/>
    </row>
    <row r="28" spans="1:23" x14ac:dyDescent="0.2">
      <c r="A28" s="72"/>
    </row>
    <row r="29" spans="1:23" x14ac:dyDescent="0.2">
      <c r="A29" s="72"/>
    </row>
    <row r="30" spans="1:23" x14ac:dyDescent="0.2">
      <c r="A30" s="72"/>
      <c r="B30" s="82"/>
      <c r="C30" s="82"/>
      <c r="D30" s="82"/>
      <c r="E30" s="82"/>
      <c r="F30" s="82"/>
      <c r="G30" s="82"/>
      <c r="H30" s="82"/>
      <c r="I30" s="82"/>
      <c r="J30" s="82"/>
      <c r="K30" s="82"/>
      <c r="L30" s="82"/>
      <c r="M30" s="82"/>
      <c r="N30" s="82"/>
      <c r="O30" s="82"/>
      <c r="P30" s="82"/>
      <c r="Q30" s="82"/>
      <c r="R30" s="82"/>
      <c r="S30" s="82"/>
      <c r="T30" s="82"/>
      <c r="U30" s="82"/>
      <c r="V30" s="82"/>
    </row>
    <row r="31" spans="1:23" x14ac:dyDescent="0.2">
      <c r="A31" s="72"/>
      <c r="B31" s="82"/>
      <c r="C31" s="82"/>
      <c r="D31" s="82"/>
      <c r="E31" s="82"/>
      <c r="F31" s="82"/>
      <c r="G31" s="82"/>
      <c r="H31" s="82"/>
      <c r="I31" s="82"/>
      <c r="J31" s="82"/>
      <c r="K31" s="82"/>
      <c r="L31" s="82"/>
      <c r="M31" s="82"/>
      <c r="N31" s="82"/>
      <c r="O31" s="82"/>
      <c r="P31" s="82"/>
      <c r="Q31" s="82"/>
      <c r="R31" s="82"/>
      <c r="S31" s="82"/>
      <c r="T31" s="82"/>
      <c r="U31" s="82"/>
      <c r="V31" s="82"/>
    </row>
    <row r="32" spans="1:23" x14ac:dyDescent="0.2">
      <c r="A32" s="72"/>
      <c r="B32" s="83"/>
      <c r="C32" s="82"/>
      <c r="D32" s="83"/>
      <c r="E32" s="83"/>
      <c r="F32" s="82"/>
      <c r="G32" s="83"/>
      <c r="I32" s="82"/>
      <c r="J32" s="83"/>
      <c r="K32" s="83"/>
      <c r="L32" s="82"/>
      <c r="M32" s="83"/>
      <c r="N32" s="83"/>
      <c r="O32" s="82"/>
      <c r="P32" s="83"/>
      <c r="Q32" s="83"/>
      <c r="R32" s="82"/>
      <c r="S32" s="83"/>
      <c r="T32" s="83"/>
      <c r="U32" s="83"/>
      <c r="V32" s="83"/>
    </row>
    <row r="33" spans="1:22" x14ac:dyDescent="0.2">
      <c r="A33" s="72"/>
      <c r="B33" s="82"/>
      <c r="C33" s="82"/>
      <c r="E33" s="82"/>
      <c r="F33" s="82"/>
      <c r="G33" s="83"/>
      <c r="H33" s="82"/>
      <c r="I33" s="82"/>
      <c r="J33" s="83"/>
      <c r="K33" s="83"/>
      <c r="L33" s="82"/>
      <c r="M33" s="83"/>
      <c r="N33" s="83"/>
      <c r="O33" s="82"/>
      <c r="P33" s="83"/>
      <c r="Q33" s="83"/>
      <c r="R33" s="83"/>
      <c r="S33" s="83"/>
      <c r="T33" s="83"/>
      <c r="U33" s="83"/>
      <c r="V33" s="83"/>
    </row>
    <row r="34" spans="1:22" x14ac:dyDescent="0.2">
      <c r="A34" s="72"/>
      <c r="B34" s="83"/>
      <c r="C34" s="82"/>
      <c r="D34" s="83"/>
      <c r="E34" s="83"/>
      <c r="F34" s="82"/>
      <c r="H34" s="83"/>
      <c r="I34" s="82"/>
      <c r="J34" s="83"/>
      <c r="K34" s="83"/>
      <c r="L34" s="82"/>
      <c r="M34" s="83"/>
      <c r="N34" s="83"/>
      <c r="O34" s="82"/>
      <c r="P34" s="83"/>
      <c r="Q34" s="83"/>
      <c r="R34" s="83"/>
      <c r="S34" s="83"/>
      <c r="T34" s="83"/>
      <c r="U34" s="83"/>
      <c r="V34" s="83"/>
    </row>
    <row r="35" spans="1:22" s="75" customFormat="1" x14ac:dyDescent="0.2">
      <c r="A35" s="73"/>
      <c r="B35" s="82"/>
      <c r="C35" s="82"/>
      <c r="D35" s="82"/>
      <c r="E35" s="82"/>
      <c r="F35" s="82"/>
      <c r="G35" s="82"/>
      <c r="I35" s="82"/>
      <c r="J35" s="82"/>
      <c r="K35" s="82"/>
      <c r="L35" s="82"/>
      <c r="M35" s="82"/>
      <c r="N35" s="82"/>
      <c r="O35" s="82"/>
      <c r="P35" s="82"/>
      <c r="Q35" s="82"/>
      <c r="R35" s="82"/>
      <c r="S35" s="82"/>
      <c r="T35" s="82"/>
      <c r="U35" s="82"/>
      <c r="V35" s="82"/>
    </row>
    <row r="36" spans="1:22" x14ac:dyDescent="0.2">
      <c r="A36" s="72"/>
      <c r="B36" s="83"/>
      <c r="C36" s="82"/>
      <c r="D36" s="83"/>
      <c r="E36" s="83"/>
      <c r="F36" s="82"/>
      <c r="G36" s="83"/>
      <c r="H36" s="83"/>
      <c r="I36" s="83"/>
      <c r="J36" s="83"/>
      <c r="K36" s="83"/>
      <c r="L36" s="82"/>
      <c r="M36" s="83"/>
      <c r="N36" s="83"/>
      <c r="O36" s="82"/>
      <c r="P36" s="83"/>
      <c r="Q36" s="83"/>
      <c r="R36" s="83"/>
      <c r="S36" s="83"/>
      <c r="T36" s="83"/>
      <c r="U36" s="83"/>
      <c r="V36" s="83"/>
    </row>
    <row r="37" spans="1:22" x14ac:dyDescent="0.2">
      <c r="A37" s="72"/>
      <c r="C37" s="82"/>
      <c r="E37" s="82"/>
      <c r="F37" s="82"/>
      <c r="L37" s="82"/>
      <c r="O37" s="82"/>
    </row>
    <row r="38" spans="1:22" x14ac:dyDescent="0.2">
      <c r="A38" s="72"/>
      <c r="E38" s="83"/>
      <c r="F38" s="83"/>
      <c r="G38" s="83"/>
      <c r="H38" s="83"/>
      <c r="I38" s="83"/>
      <c r="K38" s="83"/>
    </row>
    <row r="39" spans="1:22" x14ac:dyDescent="0.2">
      <c r="A39" s="72"/>
    </row>
  </sheetData>
  <mergeCells count="4">
    <mergeCell ref="A3:B3"/>
    <mergeCell ref="A4:B4"/>
    <mergeCell ref="A5:B5"/>
    <mergeCell ref="A7:B7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2" ma:contentTypeDescription="Een nieuw document maken." ma:contentTypeScope="" ma:versionID="192334a1dffbd6b3bcaa0f1579ba8540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93f98d314c795f322e3c6568e2c902ed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83AEB73-6C97-4EF9-9480-36D94E5889F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2EFDBAB-3066-4713-B1A8-8D96486F9E2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6E800DF-8414-404C-BFA1-C1A59891DDAF}">
  <ds:schemaRefs>
    <ds:schemaRef ds:uri="http://purl.org/dc/dcmitype/"/>
    <ds:schemaRef ds:uri="46c995e6-7f53-48aa-a5ad-a9d38912b46a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microsoft.com/office/infopath/2007/PartnerControls"/>
    <ds:schemaRef ds:uri="5d807127-6dfe-4777-9fc9-8a2ccfc388c3"/>
    <ds:schemaRef ds:uri="http://schemas.openxmlformats.org/package/2006/metadata/core-properties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17</vt:i4>
      </vt:variant>
    </vt:vector>
  </HeadingPairs>
  <TitlesOfParts>
    <vt:vector size="17" baseType="lpstr">
      <vt:lpstr>Eninver</vt:lpstr>
      <vt:lpstr>m2 Eninver</vt:lpstr>
      <vt:lpstr>Schoppe</vt:lpstr>
      <vt:lpstr>m2 Schoppe</vt:lpstr>
      <vt:lpstr>De Schelf</vt:lpstr>
      <vt:lpstr>m2 de Schelf</vt:lpstr>
      <vt:lpstr>Goossenmaat</vt:lpstr>
      <vt:lpstr>m2 Goossenmaat</vt:lpstr>
      <vt:lpstr>Mollnwiek</vt:lpstr>
      <vt:lpstr>m2 Molnnwiek</vt:lpstr>
      <vt:lpstr>De Driehoek</vt:lpstr>
      <vt:lpstr>m2 de Driehoek</vt:lpstr>
      <vt:lpstr>Bezoekersaantallen</vt:lpstr>
      <vt:lpstr>energie</vt:lpstr>
      <vt:lpstr>calculatieblad</vt:lpstr>
      <vt:lpstr>basis data aangepast</vt:lpstr>
      <vt:lpstr>detail nv1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Myrna</dc:creator>
  <cp:lastModifiedBy>Willem</cp:lastModifiedBy>
  <dcterms:created xsi:type="dcterms:W3CDTF">2019-10-07T11:45:42Z</dcterms:created>
  <dcterms:modified xsi:type="dcterms:W3CDTF">2020-04-20T13:33:07Z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</Properties>
</file>