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05" windowWidth="11475" windowHeight="9015" tabRatio="873"/>
  </bookViews>
  <sheets>
    <sheet name="Perceel 1" sheetId="7" r:id="rId1"/>
    <sheet name="Perceel 2" sheetId="14" r:id="rId2"/>
    <sheet name="Perceel 3" sheetId="15" r:id="rId3"/>
    <sheet name="Perceel 4" sheetId="16" r:id="rId4"/>
    <sheet name="Perceel 5" sheetId="17" r:id="rId5"/>
    <sheet name="Perceel 6" sheetId="18" r:id="rId6"/>
    <sheet name="Totalen" sheetId="11" r:id="rId7"/>
  </sheets>
  <definedNames>
    <definedName name="_xlnm.Print_Area" localSheetId="0">'Perceel 1'!$A$1:$D$49</definedName>
    <definedName name="_xlnm.Print_Area" localSheetId="1">'Perceel 2'!$A$1:$D$49</definedName>
    <definedName name="_xlnm.Print_Area" localSheetId="2">'Perceel 3'!$A$1:$D$49</definedName>
    <definedName name="_xlnm.Print_Area" localSheetId="3">'Perceel 4'!$A$1:$D$49</definedName>
    <definedName name="_xlnm.Print_Area" localSheetId="4">'Perceel 5'!$A$1:$D$49</definedName>
    <definedName name="_xlnm.Print_Area" localSheetId="5">'Perceel 6'!$A$1:$D$49</definedName>
    <definedName name="_xlnm.Print_Titles" localSheetId="6">Totalen!$1:$1</definedName>
  </definedNames>
  <calcPr calcId="145621"/>
</workbook>
</file>

<file path=xl/calcChain.xml><?xml version="1.0" encoding="utf-8"?>
<calcChain xmlns="http://schemas.openxmlformats.org/spreadsheetml/2006/main">
  <c r="B20" i="11" l="1"/>
  <c r="B13" i="11"/>
  <c r="B20" i="14" l="1"/>
  <c r="B20" i="15"/>
  <c r="B20" i="16"/>
  <c r="B20" i="17"/>
  <c r="B20" i="18"/>
  <c r="B20" i="7"/>
  <c r="D20" i="18" l="1"/>
  <c r="D17" i="18"/>
  <c r="D16" i="18"/>
  <c r="C17" i="18"/>
  <c r="C16" i="18"/>
  <c r="C20" i="18"/>
  <c r="B17" i="18"/>
  <c r="B14" i="18"/>
  <c r="D17" i="16" l="1"/>
  <c r="D16" i="16"/>
  <c r="D20" i="16"/>
  <c r="D14" i="16"/>
  <c r="C20" i="16"/>
  <c r="D17" i="17"/>
  <c r="D21" i="17" s="1"/>
  <c r="D14" i="17"/>
  <c r="D20" i="17"/>
  <c r="C20" i="17"/>
  <c r="B17" i="17"/>
  <c r="B16" i="17"/>
  <c r="B17" i="16"/>
  <c r="B16" i="16"/>
  <c r="C17" i="15"/>
  <c r="C16" i="15"/>
  <c r="B16" i="15"/>
  <c r="C14" i="14"/>
  <c r="D20" i="14"/>
  <c r="C20" i="7"/>
  <c r="D20" i="7"/>
  <c r="C20" i="14"/>
  <c r="B19" i="14"/>
  <c r="C13" i="7" l="1"/>
  <c r="B16" i="7"/>
  <c r="D42" i="11" l="1"/>
  <c r="C43" i="11"/>
  <c r="C42" i="11"/>
  <c r="B43" i="11"/>
  <c r="B42" i="11"/>
  <c r="A43" i="11"/>
  <c r="A42" i="11"/>
  <c r="C41" i="11"/>
  <c r="B41" i="11"/>
  <c r="A41" i="11"/>
  <c r="C36" i="11"/>
  <c r="C35" i="11"/>
  <c r="B36" i="11"/>
  <c r="B35" i="11"/>
  <c r="A36" i="11"/>
  <c r="A35" i="11"/>
  <c r="C34" i="11"/>
  <c r="B34" i="11"/>
  <c r="A34" i="11"/>
  <c r="C29" i="11"/>
  <c r="C28" i="11"/>
  <c r="B29" i="11"/>
  <c r="B28" i="11"/>
  <c r="A29" i="11"/>
  <c r="A28" i="11"/>
  <c r="C27" i="11"/>
  <c r="B27" i="11"/>
  <c r="A27" i="11"/>
  <c r="C22" i="11"/>
  <c r="B22" i="11"/>
  <c r="B21" i="11"/>
  <c r="C21" i="11"/>
  <c r="A22" i="11"/>
  <c r="A21" i="11"/>
  <c r="C20" i="11"/>
  <c r="A20" i="11"/>
  <c r="C15" i="11"/>
  <c r="C14" i="11"/>
  <c r="B15" i="11"/>
  <c r="B14" i="11"/>
  <c r="A15" i="11"/>
  <c r="A14" i="11"/>
  <c r="C13" i="11"/>
  <c r="A13" i="11"/>
  <c r="C8" i="11"/>
  <c r="B8" i="11"/>
  <c r="A8" i="11"/>
  <c r="C7" i="11"/>
  <c r="B7" i="11"/>
  <c r="A7" i="11"/>
  <c r="C6" i="11"/>
  <c r="B6" i="11"/>
  <c r="A6" i="11"/>
  <c r="C47" i="18"/>
  <c r="B47" i="18"/>
  <c r="B21" i="18"/>
  <c r="B24" i="18" s="1"/>
  <c r="C49" i="18"/>
  <c r="D47" i="18"/>
  <c r="D49" i="18" s="1"/>
  <c r="D43" i="11" s="1"/>
  <c r="B49" i="18"/>
  <c r="D41" i="11" s="1"/>
  <c r="D21" i="18"/>
  <c r="D24" i="18" s="1"/>
  <c r="C21" i="18"/>
  <c r="C24" i="18" s="1"/>
  <c r="C21" i="17"/>
  <c r="C24" i="17" s="1"/>
  <c r="D47" i="17"/>
  <c r="D49" i="17" s="1"/>
  <c r="D36" i="11" s="1"/>
  <c r="C47" i="17"/>
  <c r="C49" i="17" s="1"/>
  <c r="D35" i="11" s="1"/>
  <c r="B47" i="17"/>
  <c r="B49" i="17" s="1"/>
  <c r="D34" i="11" s="1"/>
  <c r="B21" i="17"/>
  <c r="B24" i="17" s="1"/>
  <c r="D24" i="17"/>
  <c r="D44" i="11" l="1"/>
  <c r="B52" i="11" s="1"/>
  <c r="D52" i="11" s="1"/>
  <c r="D37" i="11"/>
  <c r="B51" i="11" s="1"/>
  <c r="D51" i="11" s="1"/>
  <c r="B21" i="16"/>
  <c r="B24" i="16" s="1"/>
  <c r="D19" i="16"/>
  <c r="C19" i="16"/>
  <c r="B19" i="16"/>
  <c r="D47" i="16"/>
  <c r="D49" i="16" s="1"/>
  <c r="C47" i="16"/>
  <c r="C49" i="16" s="1"/>
  <c r="B47" i="16"/>
  <c r="B49" i="16" s="1"/>
  <c r="D27" i="11" s="1"/>
  <c r="B21" i="15"/>
  <c r="B24" i="15" s="1"/>
  <c r="D49" i="15"/>
  <c r="D47" i="15"/>
  <c r="C47" i="15"/>
  <c r="C49" i="15" s="1"/>
  <c r="B47" i="15"/>
  <c r="B49" i="15" s="1"/>
  <c r="D20" i="11" s="1"/>
  <c r="D21" i="15"/>
  <c r="D24" i="15" s="1"/>
  <c r="C21" i="15"/>
  <c r="C24" i="15" s="1"/>
  <c r="D47" i="14"/>
  <c r="D49" i="14" s="1"/>
  <c r="D15" i="11" s="1"/>
  <c r="C47" i="14"/>
  <c r="C49" i="14" s="1"/>
  <c r="D14" i="11" s="1"/>
  <c r="B47" i="14"/>
  <c r="B49" i="14" s="1"/>
  <c r="D13" i="11" s="1"/>
  <c r="D21" i="14"/>
  <c r="D24" i="14" s="1"/>
  <c r="C21" i="14"/>
  <c r="C24" i="14" s="1"/>
  <c r="B21" i="14"/>
  <c r="B24" i="14" s="1"/>
  <c r="D21" i="7"/>
  <c r="B21" i="7"/>
  <c r="C21" i="7"/>
  <c r="D28" i="11" l="1"/>
  <c r="D30" i="11" s="1"/>
  <c r="B50" i="11" s="1"/>
  <c r="D50" i="11" s="1"/>
  <c r="D21" i="11"/>
  <c r="D29" i="11"/>
  <c r="D22" i="11"/>
  <c r="D21" i="16"/>
  <c r="D24" i="16" s="1"/>
  <c r="C21" i="16"/>
  <c r="C24" i="16" s="1"/>
  <c r="C47" i="7"/>
  <c r="B47" i="7"/>
  <c r="B24" i="7"/>
  <c r="D24" i="7" l="1"/>
  <c r="C24" i="7" l="1"/>
  <c r="D23" i="11" l="1"/>
  <c r="B49" i="7"/>
  <c r="D6" i="11" s="1"/>
  <c r="D47" i="7"/>
  <c r="D49" i="7" s="1"/>
  <c r="D8" i="11" s="1"/>
  <c r="C49" i="7"/>
  <c r="D7" i="11" s="1"/>
  <c r="B49" i="11" l="1"/>
  <c r="D49" i="11" s="1"/>
  <c r="D16" i="11"/>
  <c r="D9" i="11"/>
  <c r="B47" i="11" l="1"/>
  <c r="D47" i="11" s="1"/>
  <c r="B48" i="11"/>
  <c r="D48" i="11" s="1"/>
  <c r="D53" i="11" l="1"/>
</calcChain>
</file>

<file path=xl/sharedStrings.xml><?xml version="1.0" encoding="utf-8"?>
<sst xmlns="http://schemas.openxmlformats.org/spreadsheetml/2006/main" count="607" uniqueCount="168">
  <si>
    <t>Categorie/segment</t>
  </si>
  <si>
    <t>Merk</t>
  </si>
  <si>
    <t>Type</t>
  </si>
  <si>
    <t>Model</t>
  </si>
  <si>
    <t>Gewicht (kg)</t>
  </si>
  <si>
    <t>Looptijd (maanden)</t>
  </si>
  <si>
    <t>Brandstof</t>
  </si>
  <si>
    <t>Soort voertuig</t>
  </si>
  <si>
    <t>Prijzen</t>
  </si>
  <si>
    <t>-/-</t>
  </si>
  <si>
    <t>+</t>
  </si>
  <si>
    <t>Contractgevens</t>
  </si>
  <si>
    <t>Reparatie en Onderhoud</t>
  </si>
  <si>
    <t>Banden</t>
  </si>
  <si>
    <t>Voertuiggegevens</t>
  </si>
  <si>
    <t>Administratiekosten en beheersfee</t>
  </si>
  <si>
    <t>24-uurs service bij pech- en schade</t>
  </si>
  <si>
    <t>Afschrijvingskosten</t>
  </si>
  <si>
    <t xml:space="preserve">Rentekosten </t>
  </si>
  <si>
    <t>A</t>
  </si>
  <si>
    <t>B</t>
  </si>
  <si>
    <t>C</t>
  </si>
  <si>
    <t>Calculatierente</t>
  </si>
  <si>
    <t>D</t>
  </si>
  <si>
    <t>Meerkilometers</t>
  </si>
  <si>
    <t>Prijzen per maand excl. BTW</t>
  </si>
  <si>
    <t>E</t>
  </si>
  <si>
    <t>Reparatie en onderhoud (€/km)</t>
  </si>
  <si>
    <t>Banden (€/km)</t>
  </si>
  <si>
    <t>Meer/minderkilometers (€/km)</t>
  </si>
  <si>
    <t>Jaarkilometrage (km)</t>
  </si>
  <si>
    <t>F</t>
  </si>
  <si>
    <t>G</t>
  </si>
  <si>
    <t>H</t>
  </si>
  <si>
    <t>I</t>
  </si>
  <si>
    <t>(A+F)/2*D/12</t>
  </si>
  <si>
    <t>G*C/12</t>
  </si>
  <si>
    <t>H*C/12</t>
  </si>
  <si>
    <t>(C*E*I)/12</t>
  </si>
  <si>
    <t>fabrieksopties benoemen bij voertuigomschrijving, bv. airconditioning, navigatiesysteem</t>
  </si>
  <si>
    <t>accessoires af dealer, bv. brandblusapparaat, mattenset, etc.</t>
  </si>
  <si>
    <t>opbouw benoemen bij voertuigomschrijving, bv. Terberg veegvuilopbouw met zijbeladingsysteem</t>
  </si>
  <si>
    <t>Opmerkingen (intern)</t>
  </si>
  <si>
    <t>Deze prijs word meegenomen in de weging</t>
  </si>
  <si>
    <t>Subsidie (indien van toepassing)</t>
  </si>
  <si>
    <t>Groene velden moeten door de inschrijver ingevuld worden.</t>
  </si>
  <si>
    <t>Onderbouwing korting door leasemij op te geven. Meenemen in contractfase.</t>
  </si>
  <si>
    <t>Meerkilometers per jaar (indicatief, t.b.v. calculatie)</t>
  </si>
  <si>
    <t>(A-F)/B =&gt; lineaire afschrijvingsmethodiek voor dit rekenvoorbeeld, kan ook annuitair worden, indien wenselijk</t>
  </si>
  <si>
    <t>Gele velden moeten door Lelystad ingevuld worden</t>
  </si>
  <si>
    <t>Renault</t>
  </si>
  <si>
    <t>WA+Casco verzekering</t>
  </si>
  <si>
    <t>SVI -verzekering</t>
  </si>
  <si>
    <t>Maandprijs</t>
  </si>
  <si>
    <t>(I)</t>
  </si>
  <si>
    <t>(II)</t>
  </si>
  <si>
    <t>(III)</t>
  </si>
  <si>
    <t>Fictieve inschrijfprijs</t>
  </si>
  <si>
    <t>(A)</t>
  </si>
  <si>
    <t>Totaal perceel 1 (I)</t>
  </si>
  <si>
    <t>Totaal perceel 2 (II)</t>
  </si>
  <si>
    <t>Totaal perceel 3 (III)</t>
  </si>
  <si>
    <t>Restwaarde bij einde looptijd excl. BTW incl. BPM</t>
  </si>
  <si>
    <t>personenauto</t>
  </si>
  <si>
    <t>Yaris</t>
  </si>
  <si>
    <t>Polo</t>
  </si>
  <si>
    <t>Gemiddelde</t>
  </si>
  <si>
    <r>
      <t xml:space="preserve">Dit formulier wordt automatisch gevuld. De inschrijver behoeft dit blad </t>
    </r>
    <r>
      <rPr>
        <b/>
        <sz val="10"/>
        <color rgb="FFFF0000"/>
        <rFont val="Century Gothic"/>
        <family val="2"/>
      </rPr>
      <t xml:space="preserve">niet </t>
    </r>
    <r>
      <rPr>
        <sz val="10"/>
        <color rgb="FFFF0000"/>
        <rFont val="Century Gothic"/>
        <family val="2"/>
      </rPr>
      <t>in te vullen.</t>
    </r>
  </si>
  <si>
    <t xml:space="preserve">De Inschrijver hoeft alleen de groene velden in te vullen. Dit formulier wordt verder automatisch gevuld. </t>
  </si>
  <si>
    <t>Winterbanden, incl. wisselen en opslag</t>
  </si>
  <si>
    <t>Fabrieksopties</t>
  </si>
  <si>
    <t>Accessoires</t>
  </si>
  <si>
    <t>BPM</t>
  </si>
  <si>
    <t>Maandprijs totaal excl. BTW</t>
  </si>
  <si>
    <t>Prijs auto exclusief BTW en exclusief BPM</t>
  </si>
  <si>
    <t>Catalogusprijs auto zonder opties en accessoires incl. BTW en incl. BPM</t>
  </si>
  <si>
    <t xml:space="preserve">Catalogusprijs fabrieksopties exclusief BTW en exclusief BPM </t>
  </si>
  <si>
    <t>BPM fabrieksopties</t>
  </si>
  <si>
    <t>Prijs accessoires (niet af fabriek) excl. BTW</t>
  </si>
  <si>
    <t>Totaal excl. BTW en incl. BPM</t>
  </si>
  <si>
    <t>Korting excl. BTW</t>
  </si>
  <si>
    <t>Totaal netto excl. BTW en incl. BPM</t>
  </si>
  <si>
    <t>Volkswagen</t>
  </si>
  <si>
    <t>Nissan</t>
  </si>
  <si>
    <t>Elektrisch</t>
  </si>
  <si>
    <t>Kosten rijklaar maken excl. BTW</t>
  </si>
  <si>
    <t>Alle door inschrijver verstrekte tarieven en prijzen zijn marktconform en realistisch. Indien blijkt dat er niet marktconform of realistisch wordt aangeboden, is opdrachtgever gerechtigd de inschrijving ongeldig te verklaren. De prijzen zoals ingevuld op het prijsinvulformulier zijn inclusief alle kosten voortkomend uit het programma van eisen en wensen</t>
  </si>
  <si>
    <t>Toyota</t>
  </si>
  <si>
    <t>Clio</t>
  </si>
  <si>
    <t>Benzine</t>
  </si>
  <si>
    <t>Hybride</t>
  </si>
  <si>
    <t>Gesloten bestelauto</t>
  </si>
  <si>
    <t>Kangoo</t>
  </si>
  <si>
    <t xml:space="preserve">Volkswagen </t>
  </si>
  <si>
    <t>Diesel</t>
  </si>
  <si>
    <t>Gesloten bestelauto dubbele cabine</t>
  </si>
  <si>
    <t>Transporter</t>
  </si>
  <si>
    <t>Mercedes-Benz</t>
  </si>
  <si>
    <t>Vito</t>
  </si>
  <si>
    <t>Perceel 4 gesloten bestelauto's middelgroot dubbele cabine</t>
  </si>
  <si>
    <t>Perceel 5 gesloten bestelauto's middelgroot enkele cabine</t>
  </si>
  <si>
    <t>Perceel 6 bestelauto's open laadbak met dubbele cabine</t>
  </si>
  <si>
    <t>Bestelauto open laadbak dubbele cabine</t>
  </si>
  <si>
    <t>Sprinter 3,5t</t>
  </si>
  <si>
    <t>Totalen Prijsinvulformulier aanbesteding "Operationele lease wagenpark"</t>
  </si>
  <si>
    <t>Perceel 3 gesloten bestelauto's klein</t>
  </si>
  <si>
    <t>Perceel 2 personenauto's B-segment</t>
  </si>
  <si>
    <t>Perceel 1  elektrische personenauto's</t>
  </si>
  <si>
    <t>Perceel 1 elektrische personenauto's</t>
  </si>
  <si>
    <t>Basis</t>
  </si>
  <si>
    <t>(IV)</t>
  </si>
  <si>
    <t>(V)</t>
  </si>
  <si>
    <t>(VI)</t>
  </si>
  <si>
    <t>Totaal perceel 4 (IV)</t>
  </si>
  <si>
    <t>Totaal perceel 5 (V)</t>
  </si>
  <si>
    <t>Totaal perceel 6 (VI)</t>
  </si>
  <si>
    <t>wegingsfactor (B)</t>
  </si>
  <si>
    <t>Subtotaal (AxB)</t>
  </si>
  <si>
    <t>Totale fictieve inschrijfprijs per maand</t>
  </si>
  <si>
    <t>Motorrijtuigenbelasting (MRB)</t>
  </si>
  <si>
    <t>Kleur: Solid White</t>
  </si>
  <si>
    <t xml:space="preserve">Zoe </t>
  </si>
  <si>
    <t>Acenta 40 kWh</t>
  </si>
  <si>
    <t>Life 41 kWh</t>
  </si>
  <si>
    <t xml:space="preserve">Leaf </t>
  </si>
  <si>
    <t>Batterijkoop</t>
  </si>
  <si>
    <t>Kleur: Unilak 'Pure White'</t>
  </si>
  <si>
    <t>E-up!</t>
  </si>
  <si>
    <t>1.5 Hybrid Aspiration Automaat</t>
  </si>
  <si>
    <t>Signaal lak ‘Pure white’</t>
  </si>
  <si>
    <t xml:space="preserve">Unilak 'Pure White' </t>
  </si>
  <si>
    <t>Energy TCe 90  ECO2 Zen 66 kW</t>
  </si>
  <si>
    <t>Speciale lak met vernislaag</t>
  </si>
  <si>
    <t>1.0 TSI Comfortline Business 70 kW</t>
  </si>
  <si>
    <t>Z.E. 33</t>
  </si>
  <si>
    <t xml:space="preserve">Batterijkoop, Pack R-Link Multimedia, Pack Airco </t>
  </si>
  <si>
    <t>1.2 TSI met BMT</t>
  </si>
  <si>
    <t>Caddy L1H1</t>
  </si>
  <si>
    <t>Trendline, Radio- en navigatiesysteem Discover Media</t>
  </si>
  <si>
    <t>Ford</t>
  </si>
  <si>
    <t>Connect L1</t>
  </si>
  <si>
    <t>Trend 1.0 Ecoboost</t>
  </si>
  <si>
    <t>Kleurennavigatie inclusief touchscreen en SYNC III + DAB</t>
  </si>
  <si>
    <t>Custom</t>
  </si>
  <si>
    <t>SYNC 3 met 8 inch touchscreen, navigatie en DAB</t>
  </si>
  <si>
    <t>Mercedes Benz</t>
  </si>
  <si>
    <t>Sprinter</t>
  </si>
  <si>
    <t>211 CDI GB L1 FWD Functional</t>
  </si>
  <si>
    <t>Audio- &amp; Navigatiepakket (P2J).</t>
  </si>
  <si>
    <t>L1H1 28 2.0 TSI EU6 110 kW</t>
  </si>
  <si>
    <t>L2H1 28 2.0 TSI EU6 150 kW DSG</t>
  </si>
  <si>
    <t>280 L1H1 Trend 77 kW</t>
  </si>
  <si>
    <t>109CDI Lang</t>
  </si>
  <si>
    <t>Dubbele cabine, Becker navigatie</t>
  </si>
  <si>
    <t>chassis dubbele cabine 311 CDI  DC L2 RWD 7G-TRONIC PLUS volautomaat</t>
  </si>
  <si>
    <t>Audio- &amp; Navigatiepakket (P2J)</t>
  </si>
  <si>
    <t>Crafter</t>
  </si>
  <si>
    <t>chassis dubbele cabine L3 wb 3640 mm 2.0TDI EU6 74 / 102 6-Hand FWD</t>
  </si>
  <si>
    <t>Trendline, Navigatie Discover Media</t>
  </si>
  <si>
    <t>Transit</t>
  </si>
  <si>
    <t>chassis dubbele cabine 350 L3H1 Ambiente 2.0 16V 77 kW Euro 6 RWD</t>
  </si>
  <si>
    <t>Airconditioning, Navigatie systeem + DAB en SYNC III</t>
  </si>
  <si>
    <t>Stelpost: belettering, gevarendriehoek, verbandtrommel, brandblusser, veiligheidshesjes en lifehammer</t>
  </si>
  <si>
    <t>Toyota Touch 2 Go navigatie (657,02 excl. Btw) Stelpost: belettering, gevarendriehoek, verbandtrommel, brandblusser, veiligheidshesjes  en lifehammer</t>
  </si>
  <si>
    <t>Stelpost: belettering, gevarendriehoek, verbandtrommel, brandblusser, veiligheidshesjes  en lifehammer</t>
  </si>
  <si>
    <t>Stelpost: belettering, gevarendriehoek, verbandtrommel, brandblusser, veiligheidshesjes, lifehammer, houten laadvloer, lat om lat betimmering</t>
  </si>
  <si>
    <t>Stelpost: belettering, gevarendriehoek, verbandtrommel, brandblusser, veiligheidshesjes, lifehammer, houten laadvloer, lat om lat betimmering, Sortimo inrichting, kunststof coating laafvloer, mechanische dakventilator, zwaailampbalk, flitsers achterzijde, carkit bluetooth en Victron omvormer</t>
  </si>
  <si>
    <t xml:space="preserve">Stelpost: Vaste open laadbak Booi 2.700 x 2.100 x 400 mm, belettering, gevarendriehoek, verbandtrommel, brandblusser, veiligheidshesjes,  lifehammer, zwaailampbalk, werklamp op palenjuk, net voor laadbak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</si>
</sst>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quot;€&quot;\ * #,##0.00_ ;_ &quot;€&quot;\ * \-#,##0.00_ ;_ &quot;€&quot;\ * &quot;-&quot;??_ ;_ @_ "/>
  </numFmts>
  <fonts count="16"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theme="1"/>
      <name val="Century Gothic"/>
      <family val="2"/>
    </font>
    <font>
      <b/>
      <sz val="10"/>
      <color theme="0"/>
      <name val="Century Gothic"/>
      <family val="2"/>
    </font>
    <font>
      <b/>
      <sz val="10"/>
      <color theme="1"/>
      <name val="Century Gothic"/>
      <family val="2"/>
    </font>
    <font>
      <sz val="10"/>
      <color theme="1"/>
      <name val="Century Gothic"/>
      <family val="2"/>
    </font>
    <font>
      <sz val="10"/>
      <color theme="0"/>
      <name val="Century Gothic"/>
      <family val="2"/>
    </font>
    <font>
      <sz val="10"/>
      <color theme="1"/>
      <name val="Calibri"/>
      <family val="2"/>
      <scheme val="minor"/>
    </font>
    <font>
      <sz val="10"/>
      <color rgb="FFFF0000"/>
      <name val="Century Gothic"/>
      <family val="2"/>
    </font>
    <font>
      <b/>
      <sz val="10"/>
      <color rgb="FFFF0000"/>
      <name val="Century Gothic"/>
      <family val="2"/>
    </font>
    <font>
      <b/>
      <sz val="12"/>
      <color theme="0"/>
      <name val="Century Gothic"/>
      <family val="2"/>
    </font>
    <font>
      <b/>
      <u/>
      <sz val="12"/>
      <color theme="0"/>
      <name val="Century Gothic"/>
      <family val="2"/>
    </font>
    <font>
      <b/>
      <sz val="8"/>
      <color theme="0"/>
      <name val="Century Gothic"/>
      <family val="2"/>
    </font>
  </fonts>
  <fills count="9">
    <fill>
      <patternFill patternType="none"/>
    </fill>
    <fill>
      <patternFill patternType="gray125"/>
    </fill>
    <fill>
      <patternFill patternType="solid">
        <fgColor rgb="FF99FFCC"/>
        <bgColor indexed="64"/>
      </patternFill>
    </fill>
    <fill>
      <patternFill patternType="solid">
        <fgColor rgb="FFFFFFCC"/>
        <bgColor indexed="64"/>
      </patternFill>
    </fill>
    <fill>
      <patternFill patternType="solid">
        <fgColor rgb="FF3366FF"/>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rgb="FFCCECFF"/>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s>
  <cellStyleXfs count="1">
    <xf numFmtId="0" fontId="0" fillId="0" borderId="0"/>
  </cellStyleXfs>
  <cellXfs count="126">
    <xf numFmtId="0" fontId="0" fillId="0" borderId="0" xfId="0"/>
    <xf numFmtId="0" fontId="6" fillId="4" borderId="2" xfId="0" applyFont="1" applyFill="1" applyBorder="1" applyAlignment="1">
      <alignment vertical="center"/>
    </xf>
    <xf numFmtId="0" fontId="8" fillId="0" borderId="0" xfId="0" applyFont="1" applyAlignment="1">
      <alignment horizontal="left" vertical="center"/>
    </xf>
    <xf numFmtId="0" fontId="8" fillId="0" borderId="0" xfId="0" applyFont="1" applyAlignment="1">
      <alignment vertical="center"/>
    </xf>
    <xf numFmtId="0" fontId="8" fillId="0" borderId="4" xfId="0" applyFont="1" applyBorder="1" applyAlignment="1">
      <alignment vertical="center"/>
    </xf>
    <xf numFmtId="0" fontId="8" fillId="0" borderId="6" xfId="0" applyFont="1" applyBorder="1" applyAlignment="1">
      <alignment vertical="center"/>
    </xf>
    <xf numFmtId="0" fontId="8" fillId="0" borderId="4" xfId="0" applyFont="1" applyFill="1" applyBorder="1" applyAlignment="1">
      <alignment vertical="center"/>
    </xf>
    <xf numFmtId="0" fontId="8" fillId="0" borderId="6" xfId="0" applyFont="1" applyFill="1" applyBorder="1" applyAlignment="1">
      <alignment vertical="center"/>
    </xf>
    <xf numFmtId="0" fontId="7" fillId="5" borderId="1" xfId="0" applyFont="1" applyFill="1" applyBorder="1" applyAlignment="1">
      <alignment horizontal="center" vertical="center"/>
    </xf>
    <xf numFmtId="44" fontId="7" fillId="5" borderId="3" xfId="0" applyNumberFormat="1" applyFont="1" applyFill="1" applyBorder="1" applyAlignme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quotePrefix="1" applyFont="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8" fillId="3" borderId="0" xfId="0" applyFont="1" applyFill="1" applyAlignment="1">
      <alignment vertical="center" wrapText="1"/>
    </xf>
    <xf numFmtId="0" fontId="8" fillId="2" borderId="0" xfId="0" applyFont="1" applyFill="1" applyAlignment="1">
      <alignment vertical="center" wrapText="1"/>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0" fillId="0" borderId="0" xfId="0" applyAlignment="1">
      <alignment wrapText="1"/>
    </xf>
    <xf numFmtId="0" fontId="5" fillId="0" borderId="4" xfId="0" applyFont="1" applyBorder="1" applyAlignment="1">
      <alignment vertical="center"/>
    </xf>
    <xf numFmtId="0" fontId="4" fillId="0" borderId="4" xfId="0" applyFont="1" applyBorder="1" applyAlignment="1">
      <alignment vertical="center"/>
    </xf>
    <xf numFmtId="0" fontId="7" fillId="0" borderId="20" xfId="0" applyFont="1" applyFill="1" applyBorder="1" applyAlignment="1">
      <alignment horizontal="right" vertical="center"/>
    </xf>
    <xf numFmtId="44" fontId="8" fillId="2" borderId="5" xfId="0" applyNumberFormat="1" applyFont="1" applyFill="1" applyBorder="1" applyAlignment="1" applyProtection="1">
      <alignment horizontal="center" vertical="center"/>
      <protection locked="0"/>
    </xf>
    <xf numFmtId="44" fontId="8" fillId="2" borderId="9" xfId="0" applyNumberFormat="1" applyFont="1" applyFill="1" applyBorder="1" applyAlignment="1" applyProtection="1">
      <alignment horizontal="center" vertical="center"/>
      <protection locked="0"/>
    </xf>
    <xf numFmtId="44" fontId="8" fillId="2" borderId="7" xfId="0" applyNumberFormat="1" applyFont="1" applyFill="1" applyBorder="1" applyAlignment="1" applyProtection="1">
      <alignment horizontal="center" vertical="center"/>
      <protection locked="0"/>
    </xf>
    <xf numFmtId="9" fontId="8" fillId="2" borderId="5" xfId="0" applyNumberFormat="1" applyFont="1" applyFill="1" applyBorder="1" applyAlignment="1" applyProtection="1">
      <alignment horizontal="center" vertical="center"/>
      <protection locked="0"/>
    </xf>
    <xf numFmtId="0" fontId="2" fillId="0" borderId="4" xfId="0" applyFont="1" applyBorder="1" applyAlignment="1">
      <alignment vertical="center"/>
    </xf>
    <xf numFmtId="0" fontId="1" fillId="0" borderId="4" xfId="0" applyFont="1" applyBorder="1" applyAlignment="1">
      <alignment vertical="center"/>
    </xf>
    <xf numFmtId="0" fontId="1" fillId="0" borderId="6" xfId="0" applyFont="1" applyBorder="1" applyAlignment="1">
      <alignment vertical="center"/>
    </xf>
    <xf numFmtId="0" fontId="7" fillId="0" borderId="0" xfId="0" applyFont="1" applyFill="1" applyBorder="1" applyAlignment="1">
      <alignment horizontal="right" vertical="center"/>
    </xf>
    <xf numFmtId="0" fontId="1" fillId="0" borderId="0" xfId="0" applyFont="1" applyFill="1" applyBorder="1" applyAlignment="1">
      <alignment vertical="center"/>
    </xf>
    <xf numFmtId="0" fontId="10" fillId="0" borderId="0" xfId="0" applyFont="1"/>
    <xf numFmtId="0" fontId="11" fillId="0" borderId="0" xfId="0" applyFont="1" applyAlignment="1">
      <alignment vertical="center"/>
    </xf>
    <xf numFmtId="0" fontId="12" fillId="0" borderId="0" xfId="0" applyFont="1" applyAlignment="1">
      <alignment vertical="center"/>
    </xf>
    <xf numFmtId="0" fontId="8" fillId="0" borderId="27" xfId="0" applyFont="1" applyBorder="1" applyAlignment="1">
      <alignment vertical="center"/>
    </xf>
    <xf numFmtId="0" fontId="6" fillId="4" borderId="28" xfId="0" applyFont="1" applyFill="1" applyBorder="1" applyAlignment="1">
      <alignment vertical="center"/>
    </xf>
    <xf numFmtId="0" fontId="1" fillId="0" borderId="27" xfId="0" applyFont="1" applyBorder="1" applyAlignment="1">
      <alignment vertical="center"/>
    </xf>
    <xf numFmtId="0" fontId="6" fillId="4" borderId="28" xfId="0" applyFont="1" applyFill="1" applyBorder="1" applyAlignment="1">
      <alignment horizontal="center" vertical="center"/>
    </xf>
    <xf numFmtId="44" fontId="8" fillId="2" borderId="8" xfId="0" applyNumberFormat="1" applyFont="1" applyFill="1" applyBorder="1" applyAlignment="1" applyProtection="1">
      <alignment horizontal="center" vertical="center"/>
      <protection locked="0"/>
    </xf>
    <xf numFmtId="0" fontId="9" fillId="4" borderId="28" xfId="0" applyFont="1" applyFill="1" applyBorder="1" applyAlignment="1">
      <alignment horizontal="center" vertical="center"/>
    </xf>
    <xf numFmtId="0" fontId="13" fillId="4" borderId="2" xfId="0" applyFont="1" applyFill="1" applyBorder="1" applyAlignment="1">
      <alignment vertical="center"/>
    </xf>
    <xf numFmtId="0" fontId="6" fillId="4" borderId="1" xfId="0" applyFont="1" applyFill="1" applyBorder="1" applyAlignment="1">
      <alignment horizontal="center" vertical="center"/>
    </xf>
    <xf numFmtId="0" fontId="3" fillId="0" borderId="0" xfId="0" applyFont="1" applyAlignment="1">
      <alignment vertical="center"/>
    </xf>
    <xf numFmtId="0" fontId="6" fillId="4" borderId="21" xfId="0" applyFont="1" applyFill="1" applyBorder="1" applyAlignment="1">
      <alignment vertical="center"/>
    </xf>
    <xf numFmtId="0" fontId="6" fillId="4" borderId="1" xfId="0" applyFont="1" applyFill="1" applyBorder="1" applyAlignment="1">
      <alignment vertical="center"/>
    </xf>
    <xf numFmtId="0" fontId="6" fillId="4" borderId="11" xfId="0" applyFont="1" applyFill="1" applyBorder="1" applyAlignment="1">
      <alignment vertical="center"/>
    </xf>
    <xf numFmtId="0" fontId="1" fillId="0" borderId="22" xfId="0" applyFont="1" applyBorder="1" applyAlignment="1">
      <alignment vertical="center"/>
    </xf>
    <xf numFmtId="0" fontId="3" fillId="0" borderId="23" xfId="0" applyFont="1" applyBorder="1" applyAlignment="1">
      <alignment horizontal="left" vertical="center"/>
    </xf>
    <xf numFmtId="0" fontId="3" fillId="0" borderId="24" xfId="0" applyFont="1" applyBorder="1" applyAlignment="1">
      <alignment vertical="center"/>
    </xf>
    <xf numFmtId="44" fontId="3" fillId="0" borderId="23" xfId="0" applyNumberFormat="1" applyFont="1" applyBorder="1" applyAlignment="1">
      <alignment vertical="center"/>
    </xf>
    <xf numFmtId="0" fontId="3" fillId="0" borderId="13" xfId="0" applyFont="1" applyBorder="1" applyAlignment="1">
      <alignment vertical="center"/>
    </xf>
    <xf numFmtId="0" fontId="3" fillId="0" borderId="16" xfId="0" applyFont="1" applyBorder="1" applyAlignment="1">
      <alignment vertical="center"/>
    </xf>
    <xf numFmtId="0" fontId="3" fillId="0" borderId="25" xfId="0" applyFont="1" applyBorder="1" applyAlignment="1">
      <alignment vertical="center"/>
    </xf>
    <xf numFmtId="44" fontId="3" fillId="0" borderId="16" xfId="0" applyNumberFormat="1"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26" xfId="0" applyFont="1" applyBorder="1" applyAlignment="1">
      <alignment vertical="center"/>
    </xf>
    <xf numFmtId="44" fontId="3" fillId="0" borderId="17" xfId="0" applyNumberFormat="1" applyFont="1" applyBorder="1" applyAlignment="1">
      <alignment vertical="center"/>
    </xf>
    <xf numFmtId="0" fontId="3" fillId="0" borderId="0" xfId="0" applyFont="1" applyBorder="1" applyAlignment="1">
      <alignment vertical="center"/>
    </xf>
    <xf numFmtId="44" fontId="7" fillId="0" borderId="1" xfId="0" applyNumberFormat="1" applyFont="1" applyBorder="1" applyAlignment="1">
      <alignment vertical="center"/>
    </xf>
    <xf numFmtId="44" fontId="7" fillId="0" borderId="0" xfId="0" applyNumberFormat="1" applyFont="1" applyBorder="1" applyAlignment="1">
      <alignment vertical="center"/>
    </xf>
    <xf numFmtId="0" fontId="3" fillId="0" borderId="22" xfId="0" applyFont="1" applyBorder="1" applyAlignment="1">
      <alignment vertical="center"/>
    </xf>
    <xf numFmtId="0" fontId="3" fillId="0" borderId="23" xfId="0" applyFont="1" applyBorder="1" applyAlignment="1">
      <alignment vertical="center"/>
    </xf>
    <xf numFmtId="0" fontId="3" fillId="0" borderId="0" xfId="0" applyFont="1" applyBorder="1" applyAlignment="1">
      <alignment horizontal="center" vertical="center" wrapText="1"/>
    </xf>
    <xf numFmtId="0" fontId="7" fillId="0" borderId="0" xfId="0" applyFont="1" applyAlignment="1">
      <alignment vertical="center"/>
    </xf>
    <xf numFmtId="44" fontId="7" fillId="0" borderId="29" xfId="0" applyNumberFormat="1" applyFont="1" applyBorder="1" applyAlignment="1">
      <alignment vertical="center"/>
    </xf>
    <xf numFmtId="0" fontId="3" fillId="0" borderId="18" xfId="0" applyFont="1" applyBorder="1" applyAlignment="1">
      <alignment vertical="center"/>
    </xf>
    <xf numFmtId="44" fontId="3" fillId="0" borderId="22" xfId="0" applyNumberFormat="1" applyFont="1" applyBorder="1" applyAlignment="1">
      <alignment vertical="center"/>
    </xf>
    <xf numFmtId="44" fontId="3" fillId="0" borderId="15" xfId="0" applyNumberFormat="1" applyFont="1" applyBorder="1" applyAlignment="1">
      <alignment vertical="center"/>
    </xf>
    <xf numFmtId="44" fontId="3" fillId="0" borderId="13" xfId="0" applyNumberFormat="1" applyFont="1" applyBorder="1" applyAlignment="1">
      <alignment vertical="center"/>
    </xf>
    <xf numFmtId="0" fontId="7" fillId="0" borderId="0" xfId="0" applyFont="1" applyAlignment="1">
      <alignment horizontal="right" vertical="center"/>
    </xf>
    <xf numFmtId="44" fontId="3" fillId="0" borderId="14" xfId="0" applyNumberFormat="1" applyFont="1" applyBorder="1" applyAlignment="1">
      <alignment vertical="center"/>
    </xf>
    <xf numFmtId="0" fontId="6" fillId="7" borderId="1" xfId="0" applyFont="1" applyFill="1" applyBorder="1" applyAlignment="1">
      <alignment vertical="center"/>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xf>
    <xf numFmtId="0" fontId="3" fillId="0" borderId="0" xfId="0" applyFont="1" applyAlignment="1">
      <alignment horizontal="left" vertical="top"/>
    </xf>
    <xf numFmtId="44" fontId="1" fillId="2" borderId="5" xfId="0" applyNumberFormat="1" applyFont="1" applyFill="1" applyBorder="1" applyAlignment="1" applyProtection="1">
      <alignment horizontal="center" vertical="center"/>
      <protection locked="0"/>
    </xf>
    <xf numFmtId="9" fontId="1" fillId="2" borderId="5" xfId="0" applyNumberFormat="1" applyFont="1" applyFill="1" applyBorder="1" applyAlignment="1" applyProtection="1">
      <alignment horizontal="center" vertical="center"/>
      <protection locked="0"/>
    </xf>
    <xf numFmtId="0" fontId="1" fillId="0" borderId="27" xfId="0" applyFont="1" applyFill="1" applyBorder="1" applyAlignment="1">
      <alignment vertical="center"/>
    </xf>
    <xf numFmtId="0" fontId="1" fillId="0" borderId="4" xfId="0" applyFont="1" applyFill="1" applyBorder="1" applyAlignment="1">
      <alignment vertical="center" wrapText="1"/>
    </xf>
    <xf numFmtId="0" fontId="1" fillId="0" borderId="4" xfId="0" applyFont="1" applyFill="1" applyBorder="1" applyAlignment="1">
      <alignment vertical="center"/>
    </xf>
    <xf numFmtId="0" fontId="1" fillId="8" borderId="8" xfId="0" applyFont="1" applyFill="1" applyBorder="1" applyAlignment="1">
      <alignment horizontal="center" vertical="center"/>
    </xf>
    <xf numFmtId="0" fontId="1" fillId="8" borderId="5" xfId="0" applyFont="1" applyFill="1" applyBorder="1" applyAlignment="1">
      <alignment horizontal="center" vertical="center"/>
    </xf>
    <xf numFmtId="3" fontId="8" fillId="8" borderId="7" xfId="0" applyNumberFormat="1" applyFont="1" applyFill="1" applyBorder="1" applyAlignment="1">
      <alignment horizontal="center" vertical="center"/>
    </xf>
    <xf numFmtId="44" fontId="8" fillId="8" borderId="8" xfId="0" applyNumberFormat="1" applyFont="1" applyFill="1" applyBorder="1" applyAlignment="1">
      <alignment horizontal="center" vertical="center"/>
    </xf>
    <xf numFmtId="44" fontId="1" fillId="8" borderId="8" xfId="0" applyNumberFormat="1" applyFont="1" applyFill="1" applyBorder="1" applyAlignment="1">
      <alignment horizontal="center" vertical="center"/>
    </xf>
    <xf numFmtId="44" fontId="8" fillId="8" borderId="5" xfId="0" applyNumberFormat="1" applyFont="1" applyFill="1" applyBorder="1" applyAlignment="1">
      <alignment horizontal="center" vertical="center"/>
    </xf>
    <xf numFmtId="44" fontId="1" fillId="8" borderId="5" xfId="0" applyNumberFormat="1" applyFont="1" applyFill="1" applyBorder="1" applyAlignment="1">
      <alignment horizontal="center" vertical="center" wrapText="1"/>
    </xf>
    <xf numFmtId="44" fontId="8" fillId="8" borderId="7" xfId="0" applyNumberFormat="1" applyFont="1" applyFill="1" applyBorder="1" applyAlignment="1">
      <alignment horizontal="center" vertical="center"/>
    </xf>
    <xf numFmtId="44" fontId="7" fillId="8" borderId="8" xfId="0" applyNumberFormat="1" applyFont="1" applyFill="1" applyBorder="1" applyAlignment="1">
      <alignment horizontal="center" vertical="center"/>
    </xf>
    <xf numFmtId="44" fontId="7" fillId="8" borderId="10" xfId="0" applyNumberFormat="1" applyFont="1" applyFill="1" applyBorder="1" applyAlignment="1" applyProtection="1">
      <alignment horizontal="center" vertical="center"/>
    </xf>
    <xf numFmtId="3" fontId="8" fillId="8" borderId="8" xfId="0" applyNumberFormat="1" applyFont="1" applyFill="1" applyBorder="1" applyAlignment="1">
      <alignment horizontal="center" vertical="center"/>
    </xf>
    <xf numFmtId="3" fontId="8" fillId="8" borderId="5" xfId="0" applyNumberFormat="1" applyFont="1" applyFill="1" applyBorder="1" applyAlignment="1">
      <alignment horizontal="center" vertical="center"/>
    </xf>
    <xf numFmtId="9" fontId="8" fillId="8" borderId="5" xfId="0" applyNumberFormat="1" applyFont="1" applyFill="1" applyBorder="1" applyAlignment="1">
      <alignment horizontal="center" vertical="center"/>
    </xf>
    <xf numFmtId="44" fontId="8" fillId="8" borderId="7" xfId="0" applyNumberFormat="1" applyFont="1" applyFill="1" applyBorder="1" applyAlignment="1">
      <alignment vertical="center"/>
    </xf>
    <xf numFmtId="44" fontId="1" fillId="8" borderId="8" xfId="0" applyNumberFormat="1" applyFont="1" applyFill="1" applyBorder="1" applyAlignment="1">
      <alignment horizontal="center" vertical="center" wrapText="1"/>
    </xf>
    <xf numFmtId="0" fontId="15" fillId="6" borderId="30" xfId="0" applyFont="1" applyFill="1" applyBorder="1" applyAlignment="1" applyProtection="1">
      <alignment horizontal="centerContinuous" vertical="center" wrapText="1"/>
    </xf>
    <xf numFmtId="0" fontId="0" fillId="6" borderId="25" xfId="0" applyFill="1" applyBorder="1" applyAlignment="1">
      <alignment horizontal="centerContinuous" wrapText="1"/>
    </xf>
    <xf numFmtId="0" fontId="0" fillId="6" borderId="31" xfId="0" applyFill="1" applyBorder="1" applyAlignment="1">
      <alignment horizontal="centerContinuous" wrapText="1"/>
    </xf>
    <xf numFmtId="49" fontId="1" fillId="8" borderId="5" xfId="0" applyNumberFormat="1" applyFont="1" applyFill="1" applyBorder="1" applyAlignment="1">
      <alignment horizontal="center" vertical="center" wrapText="1"/>
    </xf>
    <xf numFmtId="0" fontId="7" fillId="0" borderId="32" xfId="0" applyFont="1" applyFill="1" applyBorder="1" applyAlignment="1">
      <alignment horizontal="right" vertical="center"/>
    </xf>
    <xf numFmtId="44" fontId="7" fillId="0" borderId="33" xfId="0" applyNumberFormat="1" applyFont="1" applyBorder="1" applyAlignment="1">
      <alignment vertical="center"/>
    </xf>
    <xf numFmtId="0" fontId="3" fillId="0" borderId="34" xfId="0" applyFont="1" applyBorder="1" applyAlignment="1">
      <alignment vertical="center"/>
    </xf>
    <xf numFmtId="0" fontId="3" fillId="0" borderId="33" xfId="0" applyFont="1" applyBorder="1" applyAlignment="1">
      <alignment vertical="center"/>
    </xf>
    <xf numFmtId="0" fontId="3" fillId="0" borderId="29" xfId="0" applyFont="1" applyBorder="1" applyAlignment="1">
      <alignment vertical="center"/>
    </xf>
    <xf numFmtId="44" fontId="3" fillId="0" borderId="33" xfId="0" applyNumberFormat="1" applyFont="1" applyBorder="1" applyAlignment="1">
      <alignment vertical="center"/>
    </xf>
    <xf numFmtId="0" fontId="3" fillId="0" borderId="15" xfId="0" applyFont="1" applyBorder="1" applyAlignment="1">
      <alignment vertical="center"/>
    </xf>
    <xf numFmtId="0" fontId="3" fillId="0" borderId="35" xfId="0" applyFont="1" applyBorder="1" applyAlignment="1">
      <alignment vertical="center"/>
    </xf>
    <xf numFmtId="0" fontId="1" fillId="0" borderId="14" xfId="0" applyFont="1" applyBorder="1" applyAlignment="1">
      <alignment vertical="center"/>
    </xf>
    <xf numFmtId="9" fontId="0" fillId="0" borderId="0" xfId="0" applyNumberFormat="1"/>
    <xf numFmtId="44" fontId="1" fillId="8" borderId="7" xfId="0" applyNumberFormat="1" applyFont="1" applyFill="1" applyBorder="1" applyAlignment="1">
      <alignment horizontal="center" vertical="center"/>
    </xf>
    <xf numFmtId="44" fontId="0" fillId="0" borderId="0" xfId="0" applyNumberFormat="1"/>
    <xf numFmtId="3" fontId="1" fillId="8" borderId="7" xfId="0" applyNumberFormat="1" applyFont="1" applyFill="1" applyBorder="1" applyAlignment="1">
      <alignment horizontal="center" vertical="center"/>
    </xf>
    <xf numFmtId="0" fontId="1" fillId="8" borderId="5" xfId="0"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21" xfId="0" applyFont="1" applyFill="1" applyBorder="1" applyAlignment="1">
      <alignment horizontal="left" vertical="center" wrapText="1"/>
    </xf>
    <xf numFmtId="0" fontId="14" fillId="4" borderId="11" xfId="0" applyFont="1" applyFill="1" applyBorder="1" applyAlignment="1">
      <alignment horizontal="left" vertical="center" wrapText="1"/>
    </xf>
    <xf numFmtId="0" fontId="14" fillId="4" borderId="3" xfId="0" applyFont="1" applyFill="1" applyBorder="1" applyAlignment="1">
      <alignment horizontal="left" vertical="center" wrapText="1"/>
    </xf>
    <xf numFmtId="0" fontId="6" fillId="4" borderId="19" xfId="0" applyFont="1" applyFill="1" applyBorder="1" applyAlignment="1">
      <alignment horizontal="left" vertical="center"/>
    </xf>
    <xf numFmtId="0" fontId="6" fillId="4" borderId="20" xfId="0" applyFont="1" applyFill="1" applyBorder="1" applyAlignment="1">
      <alignment horizontal="left" vertical="center"/>
    </xf>
  </cellXfs>
  <cellStyles count="1">
    <cellStyle name="Standaard" xfId="0" builtinId="0"/>
  </cellStyles>
  <dxfs count="0"/>
  <tableStyles count="0" defaultTableStyle="TableStyleMedium9" defaultPivotStyle="PivotStyleLight16"/>
  <colors>
    <mruColors>
      <color rgb="FFCCECFF"/>
      <color rgb="FFCCFFFF"/>
      <color rgb="FF3366FF"/>
      <color rgb="FF0066FF"/>
      <color rgb="FF99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246"/>
  <sheetViews>
    <sheetView tabSelected="1" zoomScaleNormal="100" workbookViewId="0">
      <selection activeCell="H3" sqref="H3"/>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6" ht="24.95" customHeight="1" thickBot="1" x14ac:dyDescent="0.3">
      <c r="A1" s="41" t="s">
        <v>0</v>
      </c>
      <c r="B1" s="118" t="s">
        <v>107</v>
      </c>
      <c r="C1" s="119"/>
      <c r="D1" s="120"/>
      <c r="E1" s="2"/>
      <c r="F1" s="13" t="s">
        <v>42</v>
      </c>
    </row>
    <row r="2" spans="1:6" ht="15" customHeight="1" thickBot="1" x14ac:dyDescent="0.3">
      <c r="A2" s="34" t="s">
        <v>68</v>
      </c>
      <c r="B2" s="3"/>
      <c r="C2" s="3"/>
      <c r="D2" s="3"/>
      <c r="E2" s="2"/>
      <c r="F2" s="14"/>
    </row>
    <row r="3" spans="1:6" ht="15" customHeight="1" thickBot="1" x14ac:dyDescent="0.3">
      <c r="A3" s="1" t="s">
        <v>14</v>
      </c>
      <c r="B3" s="36"/>
      <c r="C3" s="36"/>
      <c r="D3" s="36"/>
      <c r="E3" s="2"/>
      <c r="F3" s="14"/>
    </row>
    <row r="4" spans="1:6" ht="15" customHeight="1" x14ac:dyDescent="0.25">
      <c r="A4" s="35" t="s">
        <v>1</v>
      </c>
      <c r="B4" s="82" t="s">
        <v>83</v>
      </c>
      <c r="C4" s="82" t="s">
        <v>50</v>
      </c>
      <c r="D4" s="82" t="s">
        <v>82</v>
      </c>
      <c r="E4" s="2"/>
      <c r="F4" s="15" t="s">
        <v>49</v>
      </c>
    </row>
    <row r="5" spans="1:6" ht="15" customHeight="1" x14ac:dyDescent="0.25">
      <c r="A5" s="4" t="s">
        <v>3</v>
      </c>
      <c r="B5" s="83" t="s">
        <v>124</v>
      </c>
      <c r="C5" s="83" t="s">
        <v>121</v>
      </c>
      <c r="D5" s="83" t="s">
        <v>127</v>
      </c>
      <c r="E5" s="2"/>
      <c r="F5" s="16" t="s">
        <v>45</v>
      </c>
    </row>
    <row r="6" spans="1:6" ht="15" customHeight="1" x14ac:dyDescent="0.25">
      <c r="A6" s="4" t="s">
        <v>2</v>
      </c>
      <c r="B6" s="83" t="s">
        <v>122</v>
      </c>
      <c r="C6" s="83" t="s">
        <v>123</v>
      </c>
      <c r="D6" s="83" t="s">
        <v>109</v>
      </c>
      <c r="E6" s="2"/>
      <c r="F6" s="14"/>
    </row>
    <row r="7" spans="1:6" ht="15" customHeight="1" x14ac:dyDescent="0.25">
      <c r="A7" s="4" t="s">
        <v>7</v>
      </c>
      <c r="B7" s="83" t="s">
        <v>63</v>
      </c>
      <c r="C7" s="83" t="s">
        <v>63</v>
      </c>
      <c r="D7" s="83" t="s">
        <v>63</v>
      </c>
      <c r="E7" s="2"/>
      <c r="F7" s="14"/>
    </row>
    <row r="8" spans="1:6" ht="15" customHeight="1" x14ac:dyDescent="0.25">
      <c r="A8" s="4" t="s">
        <v>6</v>
      </c>
      <c r="B8" s="83" t="s">
        <v>84</v>
      </c>
      <c r="C8" s="83" t="s">
        <v>84</v>
      </c>
      <c r="D8" s="83" t="s">
        <v>84</v>
      </c>
      <c r="E8" s="2"/>
      <c r="F8" s="14"/>
    </row>
    <row r="9" spans="1:6" ht="15" customHeight="1" thickBot="1" x14ac:dyDescent="0.3">
      <c r="A9" s="5" t="s">
        <v>4</v>
      </c>
      <c r="B9" s="84">
        <v>1480</v>
      </c>
      <c r="C9" s="84">
        <v>1455</v>
      </c>
      <c r="D9" s="84">
        <v>1129</v>
      </c>
      <c r="E9" s="2"/>
      <c r="F9" s="14"/>
    </row>
    <row r="10" spans="1:6" ht="15" customHeight="1" thickBot="1" x14ac:dyDescent="0.3">
      <c r="A10" s="3"/>
      <c r="B10" s="11"/>
      <c r="C10" s="11"/>
      <c r="D10" s="11"/>
      <c r="E10" s="2"/>
      <c r="F10" s="14"/>
    </row>
    <row r="11" spans="1:6" ht="15" customHeight="1" thickBot="1" x14ac:dyDescent="0.3">
      <c r="A11" s="1" t="s">
        <v>8</v>
      </c>
      <c r="B11" s="38"/>
      <c r="C11" s="38"/>
      <c r="D11" s="38"/>
      <c r="E11" s="2"/>
      <c r="F11" s="14"/>
    </row>
    <row r="12" spans="1:6" ht="15" customHeight="1" x14ac:dyDescent="0.25">
      <c r="A12" s="37" t="s">
        <v>75</v>
      </c>
      <c r="B12" s="85">
        <v>35140</v>
      </c>
      <c r="C12" s="85">
        <v>32200</v>
      </c>
      <c r="D12" s="85">
        <v>26790</v>
      </c>
      <c r="E12" s="2"/>
      <c r="F12" s="14"/>
    </row>
    <row r="13" spans="1:6" ht="15" customHeight="1" x14ac:dyDescent="0.25">
      <c r="A13" s="79" t="s">
        <v>74</v>
      </c>
      <c r="B13" s="85">
        <v>29041.32</v>
      </c>
      <c r="C13" s="85">
        <f>C12-5588.43</f>
        <v>26611.57</v>
      </c>
      <c r="D13" s="85">
        <v>22140</v>
      </c>
      <c r="E13" s="2"/>
      <c r="F13" s="14"/>
    </row>
    <row r="14" spans="1:6" ht="15" customHeight="1" x14ac:dyDescent="0.25">
      <c r="A14" s="79" t="s">
        <v>72</v>
      </c>
      <c r="B14" s="85">
        <v>0</v>
      </c>
      <c r="C14" s="85">
        <v>0</v>
      </c>
      <c r="D14" s="85">
        <v>0</v>
      </c>
      <c r="E14" s="2"/>
      <c r="F14" s="14"/>
    </row>
    <row r="15" spans="1:6" x14ac:dyDescent="0.25">
      <c r="A15" s="37" t="s">
        <v>70</v>
      </c>
      <c r="B15" s="96" t="s">
        <v>120</v>
      </c>
      <c r="C15" s="96" t="s">
        <v>125</v>
      </c>
      <c r="D15" s="96" t="s">
        <v>126</v>
      </c>
      <c r="E15" s="2"/>
      <c r="F15" s="14"/>
    </row>
    <row r="16" spans="1:6" ht="15" customHeight="1" x14ac:dyDescent="0.25">
      <c r="A16" s="80" t="s">
        <v>76</v>
      </c>
      <c r="B16" s="87">
        <f>150/1.21</f>
        <v>123.96694214876034</v>
      </c>
      <c r="C16" s="87">
        <v>0</v>
      </c>
      <c r="D16" s="87">
        <v>123</v>
      </c>
      <c r="E16" s="2"/>
      <c r="F16" s="14" t="s">
        <v>39</v>
      </c>
    </row>
    <row r="17" spans="1:9" ht="15" customHeight="1" x14ac:dyDescent="0.25">
      <c r="A17" s="80" t="s">
        <v>77</v>
      </c>
      <c r="B17" s="87">
        <v>0</v>
      </c>
      <c r="C17" s="87">
        <v>0</v>
      </c>
      <c r="D17" s="87">
        <v>0</v>
      </c>
      <c r="E17" s="2"/>
      <c r="F17" s="14"/>
      <c r="I17" s="110"/>
    </row>
    <row r="18" spans="1:9" ht="40.5" x14ac:dyDescent="0.25">
      <c r="A18" s="81" t="s">
        <v>71</v>
      </c>
      <c r="B18" s="88" t="s">
        <v>162</v>
      </c>
      <c r="C18" s="88" t="s">
        <v>162</v>
      </c>
      <c r="D18" s="88" t="s">
        <v>162</v>
      </c>
      <c r="E18" s="2"/>
      <c r="F18" s="14"/>
    </row>
    <row r="19" spans="1:9" ht="15" customHeight="1" x14ac:dyDescent="0.25">
      <c r="A19" s="81" t="s">
        <v>78</v>
      </c>
      <c r="B19" s="87">
        <v>500</v>
      </c>
      <c r="C19" s="87">
        <v>500</v>
      </c>
      <c r="D19" s="88">
        <v>500</v>
      </c>
      <c r="E19" s="2"/>
      <c r="F19" s="14" t="s">
        <v>40</v>
      </c>
    </row>
    <row r="20" spans="1:9" ht="15" customHeight="1" thickBot="1" x14ac:dyDescent="0.3">
      <c r="A20" s="80" t="s">
        <v>85</v>
      </c>
      <c r="B20" s="111">
        <f>((760.9+40)/1.21)+49.1</f>
        <v>711.00082644628105</v>
      </c>
      <c r="C20" s="89">
        <f>(((569.9+49.1+40+31)-45.1)/1.21)+45.1</f>
        <v>578.07520661157025</v>
      </c>
      <c r="D20" s="89">
        <f>((970-45.1)/1.21)+45.1</f>
        <v>809.48016528925621</v>
      </c>
      <c r="E20" s="11" t="s">
        <v>10</v>
      </c>
      <c r="F20" s="14" t="s">
        <v>41</v>
      </c>
    </row>
    <row r="21" spans="1:9" ht="15" customHeight="1" x14ac:dyDescent="0.25">
      <c r="A21" s="81" t="s">
        <v>79</v>
      </c>
      <c r="B21" s="90">
        <f>B13+B14+B16+B17+B19+B20</f>
        <v>30376.287768595041</v>
      </c>
      <c r="C21" s="90">
        <f>C13+C14+C16+C17+C19+C20</f>
        <v>27689.645206611571</v>
      </c>
      <c r="D21" s="90">
        <f>D13+D14+D16+D17+D19+D20</f>
        <v>23572.480165289257</v>
      </c>
      <c r="E21" s="11"/>
      <c r="F21" s="14"/>
    </row>
    <row r="22" spans="1:9" ht="15" customHeight="1" x14ac:dyDescent="0.25">
      <c r="A22" s="81" t="s">
        <v>80</v>
      </c>
      <c r="B22" s="23"/>
      <c r="C22" s="23"/>
      <c r="D22" s="23"/>
      <c r="E22" s="12"/>
      <c r="F22" s="14" t="s">
        <v>46</v>
      </c>
    </row>
    <row r="23" spans="1:9" ht="15" customHeight="1" thickBot="1" x14ac:dyDescent="0.3">
      <c r="A23" s="4" t="s">
        <v>44</v>
      </c>
      <c r="B23" s="24"/>
      <c r="C23" s="24"/>
      <c r="D23" s="24"/>
      <c r="E23" s="12" t="s">
        <v>9</v>
      </c>
      <c r="F23" s="14"/>
    </row>
    <row r="24" spans="1:9" ht="15" customHeight="1" thickTop="1" thickBot="1" x14ac:dyDescent="0.3">
      <c r="A24" s="29" t="s">
        <v>81</v>
      </c>
      <c r="B24" s="91">
        <f>B21-B22-B23</f>
        <v>30376.287768595041</v>
      </c>
      <c r="C24" s="91">
        <f>C21-C22-C23</f>
        <v>27689.645206611571</v>
      </c>
      <c r="D24" s="91">
        <f>D21-D22-D23</f>
        <v>23572.480165289257</v>
      </c>
      <c r="E24" s="10" t="s">
        <v>19</v>
      </c>
      <c r="F24" s="14"/>
    </row>
    <row r="25" spans="1:9" ht="15" customHeight="1" thickBot="1" x14ac:dyDescent="0.3">
      <c r="A25" s="3"/>
      <c r="B25" s="3"/>
      <c r="C25" s="3"/>
      <c r="D25" s="3"/>
      <c r="E25" s="11"/>
      <c r="F25" s="14"/>
    </row>
    <row r="26" spans="1:9" ht="15" customHeight="1" thickBot="1" x14ac:dyDescent="0.3">
      <c r="A26" s="1" t="s">
        <v>11</v>
      </c>
      <c r="B26" s="36"/>
      <c r="C26" s="36"/>
      <c r="D26" s="36"/>
      <c r="E26" s="11"/>
      <c r="F26" s="14"/>
    </row>
    <row r="27" spans="1:9" ht="15" customHeight="1" x14ac:dyDescent="0.25">
      <c r="A27" s="35" t="s">
        <v>5</v>
      </c>
      <c r="B27" s="92">
        <v>60</v>
      </c>
      <c r="C27" s="92">
        <v>60</v>
      </c>
      <c r="D27" s="92">
        <v>60</v>
      </c>
      <c r="E27" s="10" t="s">
        <v>20</v>
      </c>
      <c r="F27" s="14"/>
    </row>
    <row r="28" spans="1:9" ht="15" customHeight="1" x14ac:dyDescent="0.25">
      <c r="A28" s="4" t="s">
        <v>30</v>
      </c>
      <c r="B28" s="93">
        <v>15000</v>
      </c>
      <c r="C28" s="92">
        <v>15000</v>
      </c>
      <c r="D28" s="93">
        <v>15000</v>
      </c>
      <c r="E28" s="10" t="s">
        <v>21</v>
      </c>
      <c r="F28" s="14"/>
    </row>
    <row r="29" spans="1:9" ht="15" customHeight="1" x14ac:dyDescent="0.25">
      <c r="A29" s="4" t="s">
        <v>22</v>
      </c>
      <c r="B29" s="78"/>
      <c r="C29" s="26"/>
      <c r="D29" s="26"/>
      <c r="E29" s="10" t="s">
        <v>23</v>
      </c>
      <c r="F29" s="14"/>
    </row>
    <row r="30" spans="1:9" ht="15" customHeight="1" x14ac:dyDescent="0.25">
      <c r="A30" s="4" t="s">
        <v>47</v>
      </c>
      <c r="B30" s="94">
        <v>0.1</v>
      </c>
      <c r="C30" s="94">
        <v>0.1</v>
      </c>
      <c r="D30" s="94">
        <v>0.1</v>
      </c>
      <c r="E30" s="10" t="s">
        <v>26</v>
      </c>
      <c r="F30" s="14"/>
    </row>
    <row r="31" spans="1:9" ht="15" customHeight="1" x14ac:dyDescent="0.25">
      <c r="A31" s="27" t="s">
        <v>62</v>
      </c>
      <c r="B31" s="23"/>
      <c r="C31" s="23"/>
      <c r="D31" s="23"/>
      <c r="E31" s="10" t="s">
        <v>31</v>
      </c>
      <c r="F31" s="14"/>
    </row>
    <row r="32" spans="1:9"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sheetProtection password="CC64" sheet="1" objects="1" scenarios="1"/>
  <mergeCells count="1">
    <mergeCell ref="B1:D1"/>
  </mergeCells>
  <pageMargins left="0.15748031496062992" right="0.19685039370078741" top="0.74803149606299213" bottom="0.74803149606299213" header="0.31496062992125984" footer="0.31496062992125984"/>
  <pageSetup paperSize="9" scale="66"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H246"/>
  <sheetViews>
    <sheetView topLeftCell="A19" zoomScaleNormal="100" workbookViewId="0">
      <selection activeCell="D29" sqref="D29"/>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106</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87</v>
      </c>
      <c r="C4" s="82" t="s">
        <v>82</v>
      </c>
      <c r="D4" s="82" t="s">
        <v>50</v>
      </c>
      <c r="E4" s="2"/>
      <c r="F4" s="15" t="s">
        <v>49</v>
      </c>
    </row>
    <row r="5" spans="1:8" ht="15" customHeight="1" x14ac:dyDescent="0.25">
      <c r="A5" s="4" t="s">
        <v>3</v>
      </c>
      <c r="B5" s="83" t="s">
        <v>64</v>
      </c>
      <c r="C5" s="83" t="s">
        <v>65</v>
      </c>
      <c r="D5" s="83" t="s">
        <v>88</v>
      </c>
      <c r="E5" s="2"/>
      <c r="F5" s="16" t="s">
        <v>45</v>
      </c>
    </row>
    <row r="6" spans="1:8" ht="15" customHeight="1" x14ac:dyDescent="0.25">
      <c r="A6" s="4" t="s">
        <v>2</v>
      </c>
      <c r="B6" s="83" t="s">
        <v>128</v>
      </c>
      <c r="C6" s="83" t="s">
        <v>133</v>
      </c>
      <c r="D6" s="83" t="s">
        <v>131</v>
      </c>
      <c r="E6" s="2"/>
      <c r="F6" s="14"/>
    </row>
    <row r="7" spans="1:8" ht="15" customHeight="1" x14ac:dyDescent="0.25">
      <c r="A7" s="4" t="s">
        <v>7</v>
      </c>
      <c r="B7" s="83" t="s">
        <v>63</v>
      </c>
      <c r="C7" s="83" t="s">
        <v>63</v>
      </c>
      <c r="D7" s="83" t="s">
        <v>63</v>
      </c>
      <c r="E7" s="2"/>
      <c r="F7" s="14"/>
    </row>
    <row r="8" spans="1:8" ht="15" customHeight="1" x14ac:dyDescent="0.25">
      <c r="A8" s="4" t="s">
        <v>6</v>
      </c>
      <c r="B8" s="83" t="s">
        <v>90</v>
      </c>
      <c r="C8" s="83" t="s">
        <v>89</v>
      </c>
      <c r="D8" s="83" t="s">
        <v>89</v>
      </c>
      <c r="E8" s="2"/>
      <c r="F8" s="14"/>
    </row>
    <row r="9" spans="1:8" ht="15" customHeight="1" thickBot="1" x14ac:dyDescent="0.3">
      <c r="A9" s="5" t="s">
        <v>4</v>
      </c>
      <c r="B9" s="84">
        <v>1065</v>
      </c>
      <c r="C9" s="84">
        <v>1045</v>
      </c>
      <c r="D9" s="84">
        <v>957</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35140</v>
      </c>
      <c r="C12" s="85">
        <v>19175</v>
      </c>
      <c r="D12" s="85">
        <v>17000</v>
      </c>
      <c r="E12" s="2"/>
      <c r="F12" s="14"/>
    </row>
    <row r="13" spans="1:8" ht="15" customHeight="1" x14ac:dyDescent="0.25">
      <c r="A13" s="79" t="s">
        <v>74</v>
      </c>
      <c r="B13" s="85">
        <v>29041.32</v>
      </c>
      <c r="C13" s="85">
        <v>13786</v>
      </c>
      <c r="D13" s="85">
        <v>12541</v>
      </c>
      <c r="E13" s="2"/>
      <c r="F13" s="14"/>
      <c r="H13" s="112"/>
    </row>
    <row r="14" spans="1:8" ht="15" customHeight="1" x14ac:dyDescent="0.25">
      <c r="A14" s="79" t="s">
        <v>72</v>
      </c>
      <c r="B14" s="85">
        <v>628</v>
      </c>
      <c r="C14" s="85">
        <f>16280-C13</f>
        <v>2494</v>
      </c>
      <c r="D14" s="85">
        <v>1825</v>
      </c>
      <c r="E14" s="2"/>
      <c r="F14" s="14"/>
    </row>
    <row r="15" spans="1:8" x14ac:dyDescent="0.25">
      <c r="A15" s="37" t="s">
        <v>70</v>
      </c>
      <c r="B15" s="96" t="s">
        <v>129</v>
      </c>
      <c r="C15" s="96" t="s">
        <v>130</v>
      </c>
      <c r="D15" s="96" t="s">
        <v>132</v>
      </c>
      <c r="E15" s="2"/>
      <c r="F15" s="14"/>
    </row>
    <row r="16" spans="1:8" ht="15" customHeight="1" x14ac:dyDescent="0.25">
      <c r="A16" s="80" t="s">
        <v>76</v>
      </c>
      <c r="B16" s="87">
        <v>243.8</v>
      </c>
      <c r="C16" s="87">
        <v>104</v>
      </c>
      <c r="D16" s="87">
        <v>161.16</v>
      </c>
      <c r="E16" s="2"/>
      <c r="F16" s="14" t="s">
        <v>39</v>
      </c>
    </row>
    <row r="17" spans="1:6" ht="15" customHeight="1" x14ac:dyDescent="0.25">
      <c r="A17" s="80" t="s">
        <v>77</v>
      </c>
      <c r="B17" s="87">
        <v>0</v>
      </c>
      <c r="C17" s="87">
        <v>0</v>
      </c>
      <c r="D17" s="87">
        <v>0</v>
      </c>
      <c r="E17" s="2"/>
      <c r="F17" s="14"/>
    </row>
    <row r="18" spans="1:6" ht="54" x14ac:dyDescent="0.25">
      <c r="A18" s="81" t="s">
        <v>71</v>
      </c>
      <c r="B18" s="88" t="s">
        <v>163</v>
      </c>
      <c r="C18" s="88" t="s">
        <v>164</v>
      </c>
      <c r="D18" s="88" t="s">
        <v>164</v>
      </c>
      <c r="E18" s="2"/>
      <c r="F18" s="14"/>
    </row>
    <row r="19" spans="1:6" ht="15" customHeight="1" x14ac:dyDescent="0.25">
      <c r="A19" s="81" t="s">
        <v>78</v>
      </c>
      <c r="B19" s="87">
        <f>500+657.02</f>
        <v>1157.02</v>
      </c>
      <c r="C19" s="87">
        <v>500</v>
      </c>
      <c r="D19" s="88">
        <v>500</v>
      </c>
      <c r="E19" s="2"/>
      <c r="F19" s="14" t="s">
        <v>40</v>
      </c>
    </row>
    <row r="20" spans="1:6" ht="15" customHeight="1" thickBot="1" x14ac:dyDescent="0.3">
      <c r="A20" s="80" t="s">
        <v>85</v>
      </c>
      <c r="B20" s="89">
        <f>((760.9+40)/1.21)+49.1</f>
        <v>711.00082644628105</v>
      </c>
      <c r="C20" s="89">
        <f>((729.9-45.1)/1.21)+45.1</f>
        <v>611.05041322314048</v>
      </c>
      <c r="D20" s="89">
        <f>((700.9-45.1)/1.21)+45.1</f>
        <v>587.08347107438021</v>
      </c>
      <c r="E20" s="11" t="s">
        <v>10</v>
      </c>
      <c r="F20" s="14" t="s">
        <v>41</v>
      </c>
    </row>
    <row r="21" spans="1:6" ht="15" customHeight="1" x14ac:dyDescent="0.25">
      <c r="A21" s="81" t="s">
        <v>79</v>
      </c>
      <c r="B21" s="90">
        <f>B13+B14+B16+B17+B19+B20</f>
        <v>31781.140826446281</v>
      </c>
      <c r="C21" s="90">
        <f>C13+C14+C16+C17+C19+C20</f>
        <v>17495.05041322314</v>
      </c>
      <c r="D21" s="90">
        <f>D13+D14+D16+D17+D19+D20</f>
        <v>15614.24347107438</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31781.140826446281</v>
      </c>
      <c r="C24" s="91">
        <f>C21-C22-C23</f>
        <v>17495.05041322314</v>
      </c>
      <c r="D24" s="91">
        <f>D21-D22-D23</f>
        <v>15614.24347107438</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4"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5"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F246"/>
  <sheetViews>
    <sheetView zoomScaleNormal="100" workbookViewId="0">
      <selection activeCell="D32" sqref="D32"/>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6" ht="24.95" customHeight="1" thickBot="1" x14ac:dyDescent="0.3">
      <c r="A1" s="41" t="s">
        <v>0</v>
      </c>
      <c r="B1" s="118" t="s">
        <v>105</v>
      </c>
      <c r="C1" s="119"/>
      <c r="D1" s="120"/>
      <c r="E1" s="2"/>
      <c r="F1" s="13" t="s">
        <v>42</v>
      </c>
    </row>
    <row r="2" spans="1:6" ht="15" customHeight="1" thickBot="1" x14ac:dyDescent="0.3">
      <c r="A2" s="34" t="s">
        <v>68</v>
      </c>
      <c r="B2" s="3"/>
      <c r="C2" s="3"/>
      <c r="D2" s="3"/>
      <c r="E2" s="2"/>
      <c r="F2" s="14"/>
    </row>
    <row r="3" spans="1:6" ht="15" customHeight="1" thickBot="1" x14ac:dyDescent="0.3">
      <c r="A3" s="1" t="s">
        <v>14</v>
      </c>
      <c r="B3" s="36"/>
      <c r="C3" s="36"/>
      <c r="D3" s="36"/>
      <c r="E3" s="2"/>
      <c r="F3" s="14"/>
    </row>
    <row r="4" spans="1:6" ht="15" customHeight="1" x14ac:dyDescent="0.25">
      <c r="A4" s="35" t="s">
        <v>1</v>
      </c>
      <c r="B4" s="82" t="s">
        <v>50</v>
      </c>
      <c r="C4" s="82" t="s">
        <v>93</v>
      </c>
      <c r="D4" s="82" t="s">
        <v>139</v>
      </c>
      <c r="E4" s="2"/>
      <c r="F4" s="15" t="s">
        <v>49</v>
      </c>
    </row>
    <row r="5" spans="1:6" ht="15" customHeight="1" x14ac:dyDescent="0.25">
      <c r="A5" s="4" t="s">
        <v>3</v>
      </c>
      <c r="B5" s="83" t="s">
        <v>92</v>
      </c>
      <c r="C5" s="83" t="s">
        <v>137</v>
      </c>
      <c r="D5" s="83" t="s">
        <v>140</v>
      </c>
      <c r="E5" s="2"/>
      <c r="F5" s="16" t="s">
        <v>45</v>
      </c>
    </row>
    <row r="6" spans="1:6" ht="15" customHeight="1" x14ac:dyDescent="0.25">
      <c r="A6" s="4" t="s">
        <v>2</v>
      </c>
      <c r="B6" s="83" t="s">
        <v>134</v>
      </c>
      <c r="C6" s="83" t="s">
        <v>136</v>
      </c>
      <c r="D6" s="83" t="s">
        <v>141</v>
      </c>
      <c r="E6" s="2"/>
      <c r="F6" s="14"/>
    </row>
    <row r="7" spans="1:6" ht="15" customHeight="1" x14ac:dyDescent="0.25">
      <c r="A7" s="4" t="s">
        <v>7</v>
      </c>
      <c r="B7" s="83" t="s">
        <v>91</v>
      </c>
      <c r="C7" s="83" t="s">
        <v>91</v>
      </c>
      <c r="D7" s="83" t="s">
        <v>91</v>
      </c>
      <c r="E7" s="2"/>
      <c r="F7" s="14"/>
    </row>
    <row r="8" spans="1:6" ht="15" customHeight="1" x14ac:dyDescent="0.25">
      <c r="A8" s="4" t="s">
        <v>6</v>
      </c>
      <c r="B8" s="83" t="s">
        <v>84</v>
      </c>
      <c r="C8" s="83" t="s">
        <v>89</v>
      </c>
      <c r="D8" s="83" t="s">
        <v>89</v>
      </c>
      <c r="E8" s="2"/>
      <c r="F8" s="14"/>
    </row>
    <row r="9" spans="1:6" ht="15" customHeight="1" thickBot="1" x14ac:dyDescent="0.3">
      <c r="A9" s="5" t="s">
        <v>4</v>
      </c>
      <c r="B9" s="84">
        <v>1405</v>
      </c>
      <c r="C9" s="84">
        <v>1251</v>
      </c>
      <c r="D9" s="84">
        <v>1339</v>
      </c>
      <c r="E9" s="2"/>
      <c r="F9" s="14"/>
    </row>
    <row r="10" spans="1:6" ht="15" customHeight="1" thickBot="1" x14ac:dyDescent="0.3">
      <c r="A10" s="3"/>
      <c r="B10" s="11"/>
      <c r="C10" s="11"/>
      <c r="D10" s="11"/>
      <c r="E10" s="2"/>
      <c r="F10" s="14"/>
    </row>
    <row r="11" spans="1:6" ht="15" customHeight="1" thickBot="1" x14ac:dyDescent="0.3">
      <c r="A11" s="1" t="s">
        <v>8</v>
      </c>
      <c r="B11" s="38"/>
      <c r="C11" s="38"/>
      <c r="D11" s="38"/>
      <c r="E11" s="2"/>
      <c r="F11" s="14"/>
    </row>
    <row r="12" spans="1:6" ht="15" customHeight="1" x14ac:dyDescent="0.25">
      <c r="A12" s="37" t="s">
        <v>75</v>
      </c>
      <c r="B12" s="86">
        <v>35140</v>
      </c>
      <c r="C12" s="85">
        <v>21649</v>
      </c>
      <c r="D12" s="85">
        <v>19983</v>
      </c>
      <c r="E12" s="2"/>
      <c r="F12" s="14"/>
    </row>
    <row r="13" spans="1:6" ht="15" customHeight="1" x14ac:dyDescent="0.25">
      <c r="A13" s="79" t="s">
        <v>74</v>
      </c>
      <c r="B13" s="85">
        <v>29041.32</v>
      </c>
      <c r="C13" s="85">
        <v>14450</v>
      </c>
      <c r="D13" s="85">
        <v>13400</v>
      </c>
      <c r="E13" s="2"/>
      <c r="F13" s="14"/>
    </row>
    <row r="14" spans="1:6" ht="15" customHeight="1" x14ac:dyDescent="0.25">
      <c r="A14" s="79" t="s">
        <v>72</v>
      </c>
      <c r="B14" s="85">
        <v>0</v>
      </c>
      <c r="C14" s="85">
        <v>4164</v>
      </c>
      <c r="D14" s="85">
        <v>3768.8</v>
      </c>
      <c r="E14" s="2"/>
      <c r="F14" s="14"/>
    </row>
    <row r="15" spans="1:6" ht="27" x14ac:dyDescent="0.25">
      <c r="A15" s="37" t="s">
        <v>70</v>
      </c>
      <c r="B15" s="96" t="s">
        <v>135</v>
      </c>
      <c r="C15" s="96" t="s">
        <v>138</v>
      </c>
      <c r="D15" s="96" t="s">
        <v>142</v>
      </c>
      <c r="E15" s="2"/>
      <c r="F15" s="14"/>
    </row>
    <row r="16" spans="1:6" ht="15" customHeight="1" x14ac:dyDescent="0.25">
      <c r="A16" s="80" t="s">
        <v>76</v>
      </c>
      <c r="B16" s="87">
        <f>999+499</f>
        <v>1498</v>
      </c>
      <c r="C16" s="87">
        <f>980+975</f>
        <v>1955</v>
      </c>
      <c r="D16" s="87">
        <v>1455</v>
      </c>
      <c r="E16" s="2"/>
      <c r="F16" s="14" t="s">
        <v>39</v>
      </c>
    </row>
    <row r="17" spans="1:6" ht="15" customHeight="1" x14ac:dyDescent="0.25">
      <c r="A17" s="80" t="s">
        <v>77</v>
      </c>
      <c r="B17" s="87">
        <v>0</v>
      </c>
      <c r="C17" s="87">
        <f>369+367</f>
        <v>736</v>
      </c>
      <c r="D17" s="87">
        <v>548.54</v>
      </c>
      <c r="E17" s="2"/>
      <c r="F17" s="14"/>
    </row>
    <row r="18" spans="1:6" ht="40.5" x14ac:dyDescent="0.25">
      <c r="A18" s="81" t="s">
        <v>71</v>
      </c>
      <c r="B18" s="88" t="s">
        <v>162</v>
      </c>
      <c r="C18" s="88" t="s">
        <v>162</v>
      </c>
      <c r="D18" s="88" t="s">
        <v>162</v>
      </c>
      <c r="E18" s="2"/>
      <c r="F18" s="14"/>
    </row>
    <row r="19" spans="1:6" ht="15" customHeight="1" x14ac:dyDescent="0.25">
      <c r="A19" s="81" t="s">
        <v>78</v>
      </c>
      <c r="B19" s="87">
        <v>500</v>
      </c>
      <c r="C19" s="87">
        <v>500</v>
      </c>
      <c r="D19" s="88">
        <v>500</v>
      </c>
      <c r="E19" s="2"/>
      <c r="F19" s="14" t="s">
        <v>40</v>
      </c>
    </row>
    <row r="20" spans="1:6" ht="15" customHeight="1" thickBot="1" x14ac:dyDescent="0.3">
      <c r="A20" s="80" t="s">
        <v>85</v>
      </c>
      <c r="B20" s="89">
        <f>((760.9+40)/1.21)+49.1</f>
        <v>711.00082644628105</v>
      </c>
      <c r="C20" s="89">
        <v>753.16</v>
      </c>
      <c r="D20" s="89">
        <v>780</v>
      </c>
      <c r="E20" s="11" t="s">
        <v>10</v>
      </c>
      <c r="F20" s="14" t="s">
        <v>41</v>
      </c>
    </row>
    <row r="21" spans="1:6" ht="15" customHeight="1" x14ac:dyDescent="0.25">
      <c r="A21" s="81" t="s">
        <v>79</v>
      </c>
      <c r="B21" s="90">
        <f>B13+B14+B16+B17+B19+B20</f>
        <v>31750.320826446281</v>
      </c>
      <c r="C21" s="90">
        <f>C13+C14+C16+C17+C19+C20</f>
        <v>22558.16</v>
      </c>
      <c r="D21" s="90">
        <f>D13+D14+D16+D17+D19+D20</f>
        <v>20452.34</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31750.320826446281</v>
      </c>
      <c r="C24" s="91">
        <f>C21-C22-C23</f>
        <v>22558.16</v>
      </c>
      <c r="D24" s="91">
        <f>D21-D22-D23</f>
        <v>20452.34</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5"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46"/>
  <sheetViews>
    <sheetView topLeftCell="A4" zoomScaleNormal="100" workbookViewId="0">
      <selection activeCell="B18" sqref="B18:D18"/>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99</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82</v>
      </c>
      <c r="C4" s="82" t="s">
        <v>139</v>
      </c>
      <c r="D4" s="82" t="s">
        <v>97</v>
      </c>
      <c r="E4" s="2"/>
      <c r="F4" s="15" t="s">
        <v>49</v>
      </c>
    </row>
    <row r="5" spans="1:8" ht="15" customHeight="1" x14ac:dyDescent="0.25">
      <c r="A5" s="4" t="s">
        <v>3</v>
      </c>
      <c r="B5" s="83" t="s">
        <v>96</v>
      </c>
      <c r="C5" s="83" t="s">
        <v>143</v>
      </c>
      <c r="D5" s="83" t="s">
        <v>98</v>
      </c>
      <c r="E5" s="2"/>
      <c r="F5" s="16" t="s">
        <v>45</v>
      </c>
    </row>
    <row r="6" spans="1:8" ht="15" customHeight="1" x14ac:dyDescent="0.25">
      <c r="A6" s="4" t="s">
        <v>2</v>
      </c>
      <c r="B6" s="83" t="s">
        <v>150</v>
      </c>
      <c r="C6" s="83" t="s">
        <v>151</v>
      </c>
      <c r="D6" s="83" t="s">
        <v>152</v>
      </c>
      <c r="E6" s="2"/>
      <c r="F6" s="14"/>
    </row>
    <row r="7" spans="1:8" ht="15" customHeight="1" x14ac:dyDescent="0.25">
      <c r="A7" s="4" t="s">
        <v>7</v>
      </c>
      <c r="B7" s="83" t="s">
        <v>95</v>
      </c>
      <c r="C7" s="83" t="s">
        <v>95</v>
      </c>
      <c r="D7" s="83" t="s">
        <v>95</v>
      </c>
      <c r="E7" s="2"/>
      <c r="F7" s="14"/>
    </row>
    <row r="8" spans="1:8" ht="15" customHeight="1" x14ac:dyDescent="0.25">
      <c r="A8" s="4" t="s">
        <v>6</v>
      </c>
      <c r="B8" s="83" t="s">
        <v>89</v>
      </c>
      <c r="C8" s="83" t="s">
        <v>94</v>
      </c>
      <c r="D8" s="83" t="s">
        <v>94</v>
      </c>
      <c r="E8" s="2"/>
      <c r="F8" s="14"/>
    </row>
    <row r="9" spans="1:8" ht="15" customHeight="1" thickBot="1" x14ac:dyDescent="0.3">
      <c r="A9" s="5" t="s">
        <v>4</v>
      </c>
      <c r="B9" s="84">
        <v>1904</v>
      </c>
      <c r="C9" s="84">
        <v>1961</v>
      </c>
      <c r="D9" s="113">
        <v>1925</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35140</v>
      </c>
      <c r="C12" s="85">
        <v>41019</v>
      </c>
      <c r="D12" s="85">
        <v>36766</v>
      </c>
      <c r="E12" s="2"/>
      <c r="F12" s="14"/>
    </row>
    <row r="13" spans="1:8" ht="15" customHeight="1" x14ac:dyDescent="0.25">
      <c r="A13" s="79" t="s">
        <v>74</v>
      </c>
      <c r="B13" s="85">
        <v>29041.32</v>
      </c>
      <c r="C13" s="86">
        <v>25675</v>
      </c>
      <c r="D13" s="85">
        <v>22995</v>
      </c>
      <c r="E13" s="2"/>
      <c r="F13" s="14"/>
      <c r="H13" s="112"/>
    </row>
    <row r="14" spans="1:8" ht="15" customHeight="1" x14ac:dyDescent="0.25">
      <c r="A14" s="79" t="s">
        <v>72</v>
      </c>
      <c r="B14" s="85">
        <v>6909</v>
      </c>
      <c r="C14" s="85">
        <v>9952.48</v>
      </c>
      <c r="D14" s="85">
        <f>D12-(D13+4829)</f>
        <v>8942</v>
      </c>
      <c r="E14" s="2"/>
      <c r="F14" s="14"/>
    </row>
    <row r="15" spans="1:8" ht="27" x14ac:dyDescent="0.25">
      <c r="A15" s="37" t="s">
        <v>70</v>
      </c>
      <c r="B15" s="96" t="s">
        <v>138</v>
      </c>
      <c r="C15" s="96" t="s">
        <v>144</v>
      </c>
      <c r="D15" s="96" t="s">
        <v>153</v>
      </c>
      <c r="E15" s="2"/>
      <c r="F15" s="14"/>
    </row>
    <row r="16" spans="1:8" ht="15" customHeight="1" x14ac:dyDescent="0.25">
      <c r="A16" s="80" t="s">
        <v>76</v>
      </c>
      <c r="B16" s="87">
        <f>920+1050</f>
        <v>1970</v>
      </c>
      <c r="C16" s="87">
        <v>1500</v>
      </c>
      <c r="D16" s="87">
        <f>2430+495</f>
        <v>2925</v>
      </c>
      <c r="E16" s="2"/>
      <c r="F16" s="14" t="s">
        <v>39</v>
      </c>
    </row>
    <row r="17" spans="1:6" ht="15" customHeight="1" x14ac:dyDescent="0.25">
      <c r="A17" s="80" t="s">
        <v>77</v>
      </c>
      <c r="B17" s="87">
        <f>346+395</f>
        <v>741</v>
      </c>
      <c r="C17" s="87">
        <v>565.5</v>
      </c>
      <c r="D17" s="87">
        <f>916.11+186.62</f>
        <v>1102.73</v>
      </c>
      <c r="E17" s="2"/>
      <c r="F17" s="14"/>
    </row>
    <row r="18" spans="1:6" ht="54" x14ac:dyDescent="0.25">
      <c r="A18" s="81" t="s">
        <v>71</v>
      </c>
      <c r="B18" s="88" t="s">
        <v>165</v>
      </c>
      <c r="C18" s="88" t="s">
        <v>165</v>
      </c>
      <c r="D18" s="88" t="s">
        <v>165</v>
      </c>
      <c r="E18" s="2"/>
      <c r="F18" s="14"/>
    </row>
    <row r="19" spans="1:6" ht="15" customHeight="1" x14ac:dyDescent="0.25">
      <c r="A19" s="81" t="s">
        <v>78</v>
      </c>
      <c r="B19" s="87">
        <f>500+500</f>
        <v>1000</v>
      </c>
      <c r="C19" s="87">
        <f>500+500</f>
        <v>1000</v>
      </c>
      <c r="D19" s="87">
        <f>500+500</f>
        <v>1000</v>
      </c>
      <c r="E19" s="2"/>
      <c r="F19" s="14" t="s">
        <v>40</v>
      </c>
    </row>
    <row r="20" spans="1:6" ht="15" customHeight="1" thickBot="1" x14ac:dyDescent="0.3">
      <c r="A20" s="80" t="s">
        <v>85</v>
      </c>
      <c r="B20" s="89">
        <f>((760.9+40)/1.21)+49.1</f>
        <v>711.00082644628105</v>
      </c>
      <c r="C20" s="89">
        <f>940+(40/1.21)+50.2</f>
        <v>1023.2578512396694</v>
      </c>
      <c r="D20" s="89">
        <f>1050+39+33.58+9.98</f>
        <v>1132.56</v>
      </c>
      <c r="E20" s="11" t="s">
        <v>10</v>
      </c>
      <c r="F20" s="14" t="s">
        <v>41</v>
      </c>
    </row>
    <row r="21" spans="1:6" ht="15" customHeight="1" x14ac:dyDescent="0.25">
      <c r="A21" s="81" t="s">
        <v>79</v>
      </c>
      <c r="B21" s="90">
        <f>B13+B14+B16+B17+B19+B20</f>
        <v>40372.320826446281</v>
      </c>
      <c r="C21" s="90">
        <f>C13+C14+C16+C17+C19+C20</f>
        <v>39716.237851239668</v>
      </c>
      <c r="D21" s="90">
        <f>D13+D14+D16+D17+D19+D20</f>
        <v>38097.29</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40372.320826446281</v>
      </c>
      <c r="C24" s="91">
        <f>C21-C22-C23</f>
        <v>39716.237851239668</v>
      </c>
      <c r="D24" s="91">
        <f>D21-D22-D23</f>
        <v>38097.29</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2"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F246"/>
  <sheetViews>
    <sheetView zoomScaleNormal="100" workbookViewId="0">
      <selection activeCell="B18" sqref="B18:D18"/>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6" ht="24.95" customHeight="1" thickBot="1" x14ac:dyDescent="0.3">
      <c r="A1" s="41" t="s">
        <v>0</v>
      </c>
      <c r="B1" s="118" t="s">
        <v>100</v>
      </c>
      <c r="C1" s="119"/>
      <c r="D1" s="120"/>
      <c r="E1" s="2"/>
      <c r="F1" s="13" t="s">
        <v>42</v>
      </c>
    </row>
    <row r="2" spans="1:6" ht="15" customHeight="1" thickBot="1" x14ac:dyDescent="0.3">
      <c r="A2" s="34" t="s">
        <v>68</v>
      </c>
      <c r="B2" s="3"/>
      <c r="C2" s="3"/>
      <c r="D2" s="3"/>
      <c r="E2" s="2"/>
      <c r="F2" s="14"/>
    </row>
    <row r="3" spans="1:6" ht="15" customHeight="1" thickBot="1" x14ac:dyDescent="0.3">
      <c r="A3" s="1" t="s">
        <v>14</v>
      </c>
      <c r="B3" s="36"/>
      <c r="C3" s="36"/>
      <c r="D3" s="36"/>
      <c r="E3" s="2"/>
      <c r="F3" s="14"/>
    </row>
    <row r="4" spans="1:6" ht="15" customHeight="1" x14ac:dyDescent="0.25">
      <c r="A4" s="35" t="s">
        <v>1</v>
      </c>
      <c r="B4" s="82" t="s">
        <v>82</v>
      </c>
      <c r="C4" s="82" t="s">
        <v>139</v>
      </c>
      <c r="D4" s="82" t="s">
        <v>145</v>
      </c>
      <c r="E4" s="2"/>
      <c r="F4" s="15" t="s">
        <v>49</v>
      </c>
    </row>
    <row r="5" spans="1:6" ht="15" customHeight="1" x14ac:dyDescent="0.25">
      <c r="A5" s="4" t="s">
        <v>3</v>
      </c>
      <c r="B5" s="83" t="s">
        <v>96</v>
      </c>
      <c r="C5" s="83" t="s">
        <v>143</v>
      </c>
      <c r="D5" s="83" t="s">
        <v>146</v>
      </c>
      <c r="E5" s="2"/>
      <c r="F5" s="16" t="s">
        <v>45</v>
      </c>
    </row>
    <row r="6" spans="1:6" ht="15" customHeight="1" x14ac:dyDescent="0.25">
      <c r="A6" s="4" t="s">
        <v>2</v>
      </c>
      <c r="B6" s="83" t="s">
        <v>149</v>
      </c>
      <c r="C6" s="83" t="s">
        <v>151</v>
      </c>
      <c r="D6" s="83" t="s">
        <v>147</v>
      </c>
      <c r="E6" s="2"/>
      <c r="F6" s="14"/>
    </row>
    <row r="7" spans="1:6" ht="15" customHeight="1" x14ac:dyDescent="0.25">
      <c r="A7" s="4" t="s">
        <v>7</v>
      </c>
      <c r="B7" s="83" t="s">
        <v>91</v>
      </c>
      <c r="C7" s="83" t="s">
        <v>91</v>
      </c>
      <c r="D7" s="83" t="s">
        <v>91</v>
      </c>
      <c r="E7" s="2"/>
      <c r="F7" s="14"/>
    </row>
    <row r="8" spans="1:6" ht="15" customHeight="1" x14ac:dyDescent="0.25">
      <c r="A8" s="4" t="s">
        <v>6</v>
      </c>
      <c r="B8" s="83" t="s">
        <v>89</v>
      </c>
      <c r="C8" s="83" t="s">
        <v>94</v>
      </c>
      <c r="D8" s="83" t="s">
        <v>94</v>
      </c>
      <c r="E8" s="2"/>
      <c r="F8" s="14"/>
    </row>
    <row r="9" spans="1:6" ht="15" customHeight="1" thickBot="1" x14ac:dyDescent="0.3">
      <c r="A9" s="5" t="s">
        <v>4</v>
      </c>
      <c r="B9" s="84">
        <v>1741</v>
      </c>
      <c r="C9" s="84">
        <v>1890</v>
      </c>
      <c r="D9" s="84">
        <v>1995</v>
      </c>
      <c r="E9" s="2"/>
      <c r="F9" s="14"/>
    </row>
    <row r="10" spans="1:6" ht="15" customHeight="1" thickBot="1" x14ac:dyDescent="0.3">
      <c r="A10" s="3"/>
      <c r="B10" s="11"/>
      <c r="C10" s="11"/>
      <c r="D10" s="11"/>
      <c r="E10" s="2"/>
      <c r="F10" s="14"/>
    </row>
    <row r="11" spans="1:6" ht="15" customHeight="1" thickBot="1" x14ac:dyDescent="0.3">
      <c r="A11" s="1" t="s">
        <v>8</v>
      </c>
      <c r="B11" s="38"/>
      <c r="C11" s="38"/>
      <c r="D11" s="38"/>
      <c r="E11" s="2"/>
      <c r="F11" s="14"/>
    </row>
    <row r="12" spans="1:6" ht="15" customHeight="1" x14ac:dyDescent="0.25">
      <c r="A12" s="37" t="s">
        <v>75</v>
      </c>
      <c r="B12" s="85">
        <v>35140</v>
      </c>
      <c r="C12" s="85">
        <v>38242</v>
      </c>
      <c r="D12" s="85">
        <v>39456</v>
      </c>
      <c r="E12" s="2"/>
      <c r="F12" s="14"/>
    </row>
    <row r="13" spans="1:6" ht="15" customHeight="1" x14ac:dyDescent="0.25">
      <c r="A13" s="79" t="s">
        <v>74</v>
      </c>
      <c r="B13" s="85">
        <v>29041.32</v>
      </c>
      <c r="C13" s="86">
        <v>23925</v>
      </c>
      <c r="D13" s="85">
        <v>24690</v>
      </c>
      <c r="E13" s="2"/>
      <c r="F13" s="14"/>
    </row>
    <row r="14" spans="1:6" ht="15" customHeight="1" x14ac:dyDescent="0.25">
      <c r="A14" s="79" t="s">
        <v>72</v>
      </c>
      <c r="B14" s="85">
        <v>7463</v>
      </c>
      <c r="C14" s="85">
        <v>9292.73</v>
      </c>
      <c r="D14" s="85">
        <f>D12-(D13+5185)</f>
        <v>9581</v>
      </c>
      <c r="E14" s="2"/>
      <c r="F14" s="14"/>
    </row>
    <row r="15" spans="1:6" ht="27" x14ac:dyDescent="0.25">
      <c r="A15" s="37" t="s">
        <v>70</v>
      </c>
      <c r="B15" s="96" t="s">
        <v>138</v>
      </c>
      <c r="C15" s="96" t="s">
        <v>144</v>
      </c>
      <c r="D15" s="96" t="s">
        <v>148</v>
      </c>
      <c r="E15" s="2"/>
      <c r="F15" s="14"/>
    </row>
    <row r="16" spans="1:6" ht="15" customHeight="1" x14ac:dyDescent="0.25">
      <c r="A16" s="80" t="s">
        <v>76</v>
      </c>
      <c r="B16" s="87">
        <f>920+1050</f>
        <v>1970</v>
      </c>
      <c r="C16" s="87">
        <v>1500</v>
      </c>
      <c r="D16" s="87">
        <v>1295</v>
      </c>
      <c r="E16" s="2"/>
      <c r="F16" s="14" t="s">
        <v>39</v>
      </c>
    </row>
    <row r="17" spans="1:6" ht="15" customHeight="1" x14ac:dyDescent="0.25">
      <c r="A17" s="80" t="s">
        <v>77</v>
      </c>
      <c r="B17" s="87">
        <f>346+395</f>
        <v>741</v>
      </c>
      <c r="C17" s="87">
        <v>565.5</v>
      </c>
      <c r="D17" s="87">
        <f>D16*37.7%</f>
        <v>488.21499999999997</v>
      </c>
      <c r="E17" s="2"/>
      <c r="F17" s="14"/>
    </row>
    <row r="18" spans="1:6" ht="108" x14ac:dyDescent="0.25">
      <c r="A18" s="81" t="s">
        <v>71</v>
      </c>
      <c r="B18" s="100" t="s">
        <v>166</v>
      </c>
      <c r="C18" s="100" t="s">
        <v>166</v>
      </c>
      <c r="D18" s="100" t="s">
        <v>166</v>
      </c>
      <c r="E18" s="2"/>
      <c r="F18" s="14"/>
    </row>
    <row r="19" spans="1:6" ht="15" customHeight="1" x14ac:dyDescent="0.25">
      <c r="A19" s="81" t="s">
        <v>78</v>
      </c>
      <c r="B19" s="87">
        <v>10500</v>
      </c>
      <c r="C19" s="87">
        <v>10500</v>
      </c>
      <c r="D19" s="87">
        <v>10500</v>
      </c>
      <c r="E19" s="2"/>
      <c r="F19" s="14" t="s">
        <v>40</v>
      </c>
    </row>
    <row r="20" spans="1:6" ht="15" customHeight="1" thickBot="1" x14ac:dyDescent="0.3">
      <c r="A20" s="80" t="s">
        <v>85</v>
      </c>
      <c r="B20" s="89">
        <f>((760.9+40)/1.21)+49.1</f>
        <v>711.00082644628105</v>
      </c>
      <c r="C20" s="111">
        <f>940+((40/1.21)+50.2)</f>
        <v>1023.2578512396694</v>
      </c>
      <c r="D20" s="89">
        <f>1150+39+33.06+10.1</f>
        <v>1232.1599999999999</v>
      </c>
      <c r="E20" s="11" t="s">
        <v>10</v>
      </c>
      <c r="F20" s="14" t="s">
        <v>41</v>
      </c>
    </row>
    <row r="21" spans="1:6" ht="15" customHeight="1" x14ac:dyDescent="0.25">
      <c r="A21" s="81" t="s">
        <v>79</v>
      </c>
      <c r="B21" s="90">
        <f>B13+B14+B16+B17+B19+B20</f>
        <v>50426.320826446281</v>
      </c>
      <c r="C21" s="90">
        <f>C13+C14+C16+C17+C19+C20</f>
        <v>46806.487851239668</v>
      </c>
      <c r="D21" s="90">
        <f>D13+D14+D16+D17+D19+D20</f>
        <v>47786.375</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50426.320826446281</v>
      </c>
      <c r="C24" s="91">
        <f>C21-C22-C23</f>
        <v>46806.487851239668</v>
      </c>
      <c r="D24" s="91">
        <f>D21-D22-D23</f>
        <v>47786.375</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60</v>
      </c>
      <c r="C27" s="92">
        <v>60</v>
      </c>
      <c r="D27" s="92">
        <v>60</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59"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H246"/>
  <sheetViews>
    <sheetView zoomScaleNormal="100" workbookViewId="0">
      <selection activeCell="B18" sqref="B18:D18"/>
    </sheetView>
  </sheetViews>
  <sheetFormatPr defaultRowHeight="15" customHeight="1" x14ac:dyDescent="0.25"/>
  <cols>
    <col min="1" max="1" width="67" customWidth="1"/>
    <col min="2" max="4" width="44.7109375" customWidth="1"/>
    <col min="5" max="5" width="3.5703125" hidden="1" customWidth="1"/>
    <col min="6" max="6" width="49.7109375" style="19" hidden="1" customWidth="1"/>
    <col min="7" max="7" width="5" customWidth="1"/>
    <col min="8" max="8" width="14.28515625" customWidth="1"/>
    <col min="9" max="9" width="17.140625" customWidth="1"/>
  </cols>
  <sheetData>
    <row r="1" spans="1:8" ht="24.95" customHeight="1" thickBot="1" x14ac:dyDescent="0.3">
      <c r="A1" s="41" t="s">
        <v>0</v>
      </c>
      <c r="B1" s="118" t="s">
        <v>101</v>
      </c>
      <c r="C1" s="119"/>
      <c r="D1" s="120"/>
      <c r="E1" s="2"/>
      <c r="F1" s="13" t="s">
        <v>42</v>
      </c>
    </row>
    <row r="2" spans="1:8" ht="15" customHeight="1" thickBot="1" x14ac:dyDescent="0.3">
      <c r="A2" s="34" t="s">
        <v>68</v>
      </c>
      <c r="B2" s="3"/>
      <c r="C2" s="3"/>
      <c r="D2" s="3"/>
      <c r="E2" s="2"/>
      <c r="F2" s="14"/>
    </row>
    <row r="3" spans="1:8" ht="15" customHeight="1" thickBot="1" x14ac:dyDescent="0.3">
      <c r="A3" s="1" t="s">
        <v>14</v>
      </c>
      <c r="B3" s="36"/>
      <c r="C3" s="36"/>
      <c r="D3" s="36"/>
      <c r="E3" s="2"/>
      <c r="F3" s="14"/>
    </row>
    <row r="4" spans="1:8" ht="15" customHeight="1" x14ac:dyDescent="0.25">
      <c r="A4" s="35" t="s">
        <v>1</v>
      </c>
      <c r="B4" s="82" t="s">
        <v>97</v>
      </c>
      <c r="C4" s="82" t="s">
        <v>82</v>
      </c>
      <c r="D4" s="82" t="s">
        <v>139</v>
      </c>
      <c r="E4" s="2"/>
      <c r="F4" s="15" t="s">
        <v>49</v>
      </c>
    </row>
    <row r="5" spans="1:8" ht="15" customHeight="1" x14ac:dyDescent="0.25">
      <c r="A5" s="4" t="s">
        <v>3</v>
      </c>
      <c r="B5" s="83" t="s">
        <v>103</v>
      </c>
      <c r="C5" s="83" t="s">
        <v>156</v>
      </c>
      <c r="D5" s="83" t="s">
        <v>159</v>
      </c>
      <c r="E5" s="2"/>
      <c r="F5" s="16" t="s">
        <v>45</v>
      </c>
    </row>
    <row r="6" spans="1:8" ht="30.75" customHeight="1" x14ac:dyDescent="0.25">
      <c r="A6" s="4" t="s">
        <v>2</v>
      </c>
      <c r="B6" s="114" t="s">
        <v>154</v>
      </c>
      <c r="C6" s="114" t="s">
        <v>157</v>
      </c>
      <c r="D6" s="114" t="s">
        <v>160</v>
      </c>
      <c r="E6" s="2"/>
      <c r="F6" s="14"/>
    </row>
    <row r="7" spans="1:8" ht="15" customHeight="1" x14ac:dyDescent="0.25">
      <c r="A7" s="4" t="s">
        <v>7</v>
      </c>
      <c r="B7" s="83" t="s">
        <v>102</v>
      </c>
      <c r="C7" s="83" t="s">
        <v>102</v>
      </c>
      <c r="D7" s="83" t="s">
        <v>102</v>
      </c>
      <c r="E7" s="2"/>
      <c r="F7" s="14"/>
    </row>
    <row r="8" spans="1:8" ht="15" customHeight="1" x14ac:dyDescent="0.25">
      <c r="A8" s="4" t="s">
        <v>6</v>
      </c>
      <c r="B8" s="83" t="s">
        <v>94</v>
      </c>
      <c r="C8" s="83" t="s">
        <v>94</v>
      </c>
      <c r="D8" s="83" t="s">
        <v>94</v>
      </c>
      <c r="E8" s="2"/>
      <c r="F8" s="14"/>
    </row>
    <row r="9" spans="1:8" ht="15" customHeight="1" thickBot="1" x14ac:dyDescent="0.3">
      <c r="A9" s="5" t="s">
        <v>4</v>
      </c>
      <c r="B9" s="84">
        <v>2375</v>
      </c>
      <c r="C9" s="84">
        <v>2375</v>
      </c>
      <c r="D9" s="84">
        <v>2375</v>
      </c>
      <c r="E9" s="2"/>
      <c r="F9" s="14"/>
    </row>
    <row r="10" spans="1:8" ht="15" customHeight="1" thickBot="1" x14ac:dyDescent="0.3">
      <c r="A10" s="3"/>
      <c r="B10" s="11"/>
      <c r="C10" s="11"/>
      <c r="D10" s="11"/>
      <c r="E10" s="2"/>
      <c r="F10" s="14"/>
    </row>
    <row r="11" spans="1:8" ht="15" customHeight="1" thickBot="1" x14ac:dyDescent="0.3">
      <c r="A11" s="1" t="s">
        <v>8</v>
      </c>
      <c r="B11" s="38"/>
      <c r="C11" s="38"/>
      <c r="D11" s="38"/>
      <c r="E11" s="2"/>
      <c r="F11" s="14"/>
    </row>
    <row r="12" spans="1:8" ht="15" customHeight="1" x14ac:dyDescent="0.25">
      <c r="A12" s="37" t="s">
        <v>75</v>
      </c>
      <c r="B12" s="85">
        <v>35140</v>
      </c>
      <c r="C12" s="85">
        <v>44788</v>
      </c>
      <c r="D12" s="85">
        <v>41456</v>
      </c>
      <c r="E12" s="2"/>
      <c r="F12" s="14"/>
    </row>
    <row r="13" spans="1:8" ht="15" customHeight="1" x14ac:dyDescent="0.25">
      <c r="A13" s="79" t="s">
        <v>74</v>
      </c>
      <c r="B13" s="85">
        <v>29041.32</v>
      </c>
      <c r="C13" s="86">
        <v>28050</v>
      </c>
      <c r="D13" s="85">
        <v>25950</v>
      </c>
      <c r="E13" s="2"/>
      <c r="F13" s="14"/>
    </row>
    <row r="14" spans="1:8" ht="15" customHeight="1" x14ac:dyDescent="0.25">
      <c r="A14" s="79" t="s">
        <v>72</v>
      </c>
      <c r="B14" s="85">
        <f>B12-B13-6649</f>
        <v>-550.31999999999971</v>
      </c>
      <c r="C14" s="85">
        <v>10847</v>
      </c>
      <c r="D14" s="85">
        <v>10056.15</v>
      </c>
      <c r="E14" s="2"/>
      <c r="F14" s="14"/>
    </row>
    <row r="15" spans="1:8" ht="27" x14ac:dyDescent="0.25">
      <c r="A15" s="37" t="s">
        <v>70</v>
      </c>
      <c r="B15" s="96" t="s">
        <v>155</v>
      </c>
      <c r="C15" s="96" t="s">
        <v>158</v>
      </c>
      <c r="D15" s="96" t="s">
        <v>161</v>
      </c>
      <c r="E15" s="2"/>
      <c r="F15" s="14"/>
    </row>
    <row r="16" spans="1:8" ht="15" customHeight="1" x14ac:dyDescent="0.25">
      <c r="A16" s="80" t="s">
        <v>76</v>
      </c>
      <c r="B16" s="87">
        <v>1095</v>
      </c>
      <c r="C16" s="87">
        <f>495+1010</f>
        <v>1505</v>
      </c>
      <c r="D16" s="87">
        <f>900+1305</f>
        <v>2205</v>
      </c>
      <c r="E16" s="2"/>
      <c r="F16" s="14" t="s">
        <v>39</v>
      </c>
      <c r="H16" s="112"/>
    </row>
    <row r="17" spans="1:6" ht="15" customHeight="1" x14ac:dyDescent="0.25">
      <c r="A17" s="80" t="s">
        <v>77</v>
      </c>
      <c r="B17" s="87">
        <f>B16*37.7%</f>
        <v>412.815</v>
      </c>
      <c r="C17" s="87">
        <f>186+380</f>
        <v>566</v>
      </c>
      <c r="D17" s="87">
        <f>339.3+491.99</f>
        <v>831.29</v>
      </c>
      <c r="E17" s="2"/>
      <c r="F17" s="14"/>
    </row>
    <row r="18" spans="1:6" ht="81" x14ac:dyDescent="0.25">
      <c r="A18" s="81" t="s">
        <v>71</v>
      </c>
      <c r="B18" s="100" t="s">
        <v>167</v>
      </c>
      <c r="C18" s="100" t="s">
        <v>167</v>
      </c>
      <c r="D18" s="100" t="s">
        <v>167</v>
      </c>
      <c r="E18" s="2"/>
      <c r="F18" s="14"/>
    </row>
    <row r="19" spans="1:6" ht="15" customHeight="1" x14ac:dyDescent="0.25">
      <c r="A19" s="81" t="s">
        <v>78</v>
      </c>
      <c r="B19" s="87">
        <v>11750</v>
      </c>
      <c r="C19" s="87">
        <v>11750</v>
      </c>
      <c r="D19" s="87">
        <v>11750</v>
      </c>
      <c r="E19" s="2"/>
      <c r="F19" s="14" t="s">
        <v>40</v>
      </c>
    </row>
    <row r="20" spans="1:6" ht="15" customHeight="1" thickBot="1" x14ac:dyDescent="0.3">
      <c r="A20" s="80" t="s">
        <v>85</v>
      </c>
      <c r="B20" s="89">
        <f>((760.9+40)/1.21)+49.1</f>
        <v>711.00082644628105</v>
      </c>
      <c r="C20" s="89">
        <f>905+35.12+39+6.06</f>
        <v>985.18</v>
      </c>
      <c r="D20" s="111">
        <f>1010+(40/1.21)+50.2</f>
        <v>1093.2578512396694</v>
      </c>
      <c r="E20" s="11" t="s">
        <v>10</v>
      </c>
      <c r="F20" s="14" t="s">
        <v>41</v>
      </c>
    </row>
    <row r="21" spans="1:6" ht="15" customHeight="1" x14ac:dyDescent="0.25">
      <c r="A21" s="81" t="s">
        <v>79</v>
      </c>
      <c r="B21" s="90">
        <f>B13+B14+B16+B17+B19+B20</f>
        <v>42459.815826446284</v>
      </c>
      <c r="C21" s="90">
        <f>C13+C14+C16+C17+C19+C20</f>
        <v>53703.18</v>
      </c>
      <c r="D21" s="90">
        <f>D13+D14+D16+D17+D19+D20</f>
        <v>51885.697851239674</v>
      </c>
      <c r="E21" s="11"/>
      <c r="F21" s="14"/>
    </row>
    <row r="22" spans="1:6" ht="15" customHeight="1" x14ac:dyDescent="0.25">
      <c r="A22" s="81" t="s">
        <v>80</v>
      </c>
      <c r="B22" s="23"/>
      <c r="C22" s="23"/>
      <c r="D22" s="23"/>
      <c r="E22" s="12"/>
      <c r="F22" s="14" t="s">
        <v>46</v>
      </c>
    </row>
    <row r="23" spans="1:6" ht="15" customHeight="1" thickBot="1" x14ac:dyDescent="0.3">
      <c r="A23" s="4" t="s">
        <v>44</v>
      </c>
      <c r="B23" s="24"/>
      <c r="C23" s="24"/>
      <c r="D23" s="24"/>
      <c r="E23" s="12" t="s">
        <v>9</v>
      </c>
      <c r="F23" s="14"/>
    </row>
    <row r="24" spans="1:6" ht="15" customHeight="1" thickTop="1" thickBot="1" x14ac:dyDescent="0.3">
      <c r="A24" s="29" t="s">
        <v>81</v>
      </c>
      <c r="B24" s="91">
        <f>B21-B22-B23</f>
        <v>42459.815826446284</v>
      </c>
      <c r="C24" s="91">
        <f>C21-C22-C23</f>
        <v>53703.18</v>
      </c>
      <c r="D24" s="91">
        <f>D21-D22-D23</f>
        <v>51885.697851239674</v>
      </c>
      <c r="E24" s="10" t="s">
        <v>19</v>
      </c>
      <c r="F24" s="14"/>
    </row>
    <row r="25" spans="1:6" ht="15" customHeight="1" thickBot="1" x14ac:dyDescent="0.3">
      <c r="A25" s="3"/>
      <c r="B25" s="3"/>
      <c r="C25" s="3"/>
      <c r="D25" s="3"/>
      <c r="E25" s="11"/>
      <c r="F25" s="14"/>
    </row>
    <row r="26" spans="1:6" ht="15" customHeight="1" thickBot="1" x14ac:dyDescent="0.3">
      <c r="A26" s="1" t="s">
        <v>11</v>
      </c>
      <c r="B26" s="36"/>
      <c r="C26" s="36"/>
      <c r="D26" s="36"/>
      <c r="E26" s="11"/>
      <c r="F26" s="14"/>
    </row>
    <row r="27" spans="1:6" ht="15" customHeight="1" x14ac:dyDescent="0.25">
      <c r="A27" s="35" t="s">
        <v>5</v>
      </c>
      <c r="B27" s="92">
        <v>72</v>
      </c>
      <c r="C27" s="92">
        <v>72</v>
      </c>
      <c r="D27" s="92">
        <v>72</v>
      </c>
      <c r="E27" s="10" t="s">
        <v>20</v>
      </c>
      <c r="F27" s="14"/>
    </row>
    <row r="28" spans="1:6" ht="15" customHeight="1" x14ac:dyDescent="0.25">
      <c r="A28" s="4" t="s">
        <v>30</v>
      </c>
      <c r="B28" s="93">
        <v>15000</v>
      </c>
      <c r="C28" s="92">
        <v>15000</v>
      </c>
      <c r="D28" s="93">
        <v>15000</v>
      </c>
      <c r="E28" s="10" t="s">
        <v>21</v>
      </c>
      <c r="F28" s="14"/>
    </row>
    <row r="29" spans="1:6" ht="15" customHeight="1" x14ac:dyDescent="0.25">
      <c r="A29" s="4" t="s">
        <v>22</v>
      </c>
      <c r="B29" s="78"/>
      <c r="C29" s="26"/>
      <c r="D29" s="26"/>
      <c r="E29" s="10" t="s">
        <v>23</v>
      </c>
      <c r="F29" s="14"/>
    </row>
    <row r="30" spans="1:6" ht="15" customHeight="1" x14ac:dyDescent="0.25">
      <c r="A30" s="4" t="s">
        <v>47</v>
      </c>
      <c r="B30" s="94">
        <v>0.1</v>
      </c>
      <c r="C30" s="94">
        <v>0.1</v>
      </c>
      <c r="D30" s="94">
        <v>0.1</v>
      </c>
      <c r="E30" s="10" t="s">
        <v>26</v>
      </c>
      <c r="F30" s="14"/>
    </row>
    <row r="31" spans="1:6" ht="15" customHeight="1" x14ac:dyDescent="0.25">
      <c r="A31" s="27" t="s">
        <v>62</v>
      </c>
      <c r="B31" s="23"/>
      <c r="C31" s="23"/>
      <c r="D31" s="23"/>
      <c r="E31" s="10" t="s">
        <v>31</v>
      </c>
      <c r="F31" s="14"/>
    </row>
    <row r="32" spans="1:6" ht="15" customHeight="1" x14ac:dyDescent="0.25">
      <c r="A32" s="6" t="s">
        <v>27</v>
      </c>
      <c r="B32" s="23"/>
      <c r="C32" s="23"/>
      <c r="D32" s="23"/>
      <c r="E32" s="10" t="s">
        <v>32</v>
      </c>
      <c r="F32" s="14"/>
    </row>
    <row r="33" spans="1:6" ht="15" customHeight="1" x14ac:dyDescent="0.25">
      <c r="A33" s="6" t="s">
        <v>28</v>
      </c>
      <c r="B33" s="23"/>
      <c r="C33" s="23"/>
      <c r="D33" s="23"/>
      <c r="E33" s="10" t="s">
        <v>33</v>
      </c>
      <c r="F33" s="14"/>
    </row>
    <row r="34" spans="1:6" ht="15" customHeight="1" thickBot="1" x14ac:dyDescent="0.3">
      <c r="A34" s="7" t="s">
        <v>29</v>
      </c>
      <c r="B34" s="25"/>
      <c r="C34" s="25"/>
      <c r="D34" s="25"/>
      <c r="E34" s="10" t="s">
        <v>34</v>
      </c>
      <c r="F34" s="14"/>
    </row>
    <row r="35" spans="1:6" ht="15" customHeight="1" thickBot="1" x14ac:dyDescent="0.3">
      <c r="A35" s="3"/>
      <c r="B35" s="11"/>
      <c r="C35" s="11"/>
      <c r="D35" s="11"/>
      <c r="E35" s="2"/>
      <c r="F35" s="14"/>
    </row>
    <row r="36" spans="1:6" ht="15" customHeight="1" thickBot="1" x14ac:dyDescent="0.3">
      <c r="A36" s="1" t="s">
        <v>25</v>
      </c>
      <c r="B36" s="40"/>
      <c r="C36" s="40"/>
      <c r="D36" s="40"/>
      <c r="E36" s="2"/>
      <c r="F36" s="14"/>
    </row>
    <row r="37" spans="1:6" ht="15" customHeight="1" x14ac:dyDescent="0.25">
      <c r="A37" s="37" t="s">
        <v>17</v>
      </c>
      <c r="B37" s="39"/>
      <c r="C37" s="39"/>
      <c r="D37" s="39"/>
      <c r="E37" s="2"/>
      <c r="F37" s="17" t="s">
        <v>48</v>
      </c>
    </row>
    <row r="38" spans="1:6" ht="15" customHeight="1" x14ac:dyDescent="0.25">
      <c r="A38" s="4" t="s">
        <v>18</v>
      </c>
      <c r="B38" s="23"/>
      <c r="C38" s="23"/>
      <c r="D38" s="23"/>
      <c r="E38" s="2"/>
      <c r="F38" s="17" t="s">
        <v>35</v>
      </c>
    </row>
    <row r="39" spans="1:6" ht="15" customHeight="1" x14ac:dyDescent="0.25">
      <c r="A39" s="4" t="s">
        <v>12</v>
      </c>
      <c r="B39" s="23"/>
      <c r="C39" s="23"/>
      <c r="D39" s="23"/>
      <c r="E39" s="2"/>
      <c r="F39" s="18" t="s">
        <v>36</v>
      </c>
    </row>
    <row r="40" spans="1:6" ht="15" customHeight="1" x14ac:dyDescent="0.25">
      <c r="A40" s="4" t="s">
        <v>13</v>
      </c>
      <c r="B40" s="23"/>
      <c r="C40" s="23"/>
      <c r="D40" s="23"/>
      <c r="E40" s="2"/>
      <c r="F40" s="18" t="s">
        <v>37</v>
      </c>
    </row>
    <row r="41" spans="1:6" ht="15" customHeight="1" x14ac:dyDescent="0.25">
      <c r="A41" s="28" t="s">
        <v>69</v>
      </c>
      <c r="B41" s="77"/>
      <c r="C41" s="23"/>
      <c r="D41" s="23"/>
      <c r="E41" s="2"/>
      <c r="F41" s="18"/>
    </row>
    <row r="42" spans="1:6" ht="15" customHeight="1" x14ac:dyDescent="0.25">
      <c r="A42" s="20" t="s">
        <v>51</v>
      </c>
      <c r="B42" s="23"/>
      <c r="C42" s="23"/>
      <c r="D42" s="23"/>
      <c r="E42" s="2"/>
      <c r="F42" s="17"/>
    </row>
    <row r="43" spans="1:6" ht="15" customHeight="1" x14ac:dyDescent="0.25">
      <c r="A43" s="21" t="s">
        <v>52</v>
      </c>
      <c r="B43" s="23"/>
      <c r="C43" s="23"/>
      <c r="D43" s="23"/>
      <c r="E43" s="2"/>
      <c r="F43" s="17"/>
    </row>
    <row r="44" spans="1:6" ht="15" customHeight="1" x14ac:dyDescent="0.25">
      <c r="A44" s="28" t="s">
        <v>119</v>
      </c>
      <c r="B44" s="23"/>
      <c r="C44" s="23"/>
      <c r="D44" s="23"/>
      <c r="E44" s="2"/>
      <c r="F44" s="17"/>
    </row>
    <row r="45" spans="1:6" ht="15" customHeight="1" x14ac:dyDescent="0.25">
      <c r="A45" s="4" t="s">
        <v>15</v>
      </c>
      <c r="B45" s="23"/>
      <c r="C45" s="23"/>
      <c r="D45" s="23"/>
      <c r="E45" s="2"/>
      <c r="F45" s="17"/>
    </row>
    <row r="46" spans="1:6" ht="15" customHeight="1" x14ac:dyDescent="0.25">
      <c r="A46" s="6" t="s">
        <v>16</v>
      </c>
      <c r="B46" s="23"/>
      <c r="C46" s="23"/>
      <c r="D46" s="23"/>
      <c r="E46" s="2"/>
      <c r="F46" s="17"/>
    </row>
    <row r="47" spans="1:6" ht="15" customHeight="1" thickBot="1" x14ac:dyDescent="0.3">
      <c r="A47" s="7" t="s">
        <v>24</v>
      </c>
      <c r="B47" s="95">
        <f>(B28*B30*B34)/12</f>
        <v>0</v>
      </c>
      <c r="C47" s="95">
        <f>(C28*C30*C34)/12</f>
        <v>0</v>
      </c>
      <c r="D47" s="95">
        <f>(D28*D30*D34)/12</f>
        <v>0</v>
      </c>
      <c r="E47" s="2"/>
      <c r="F47" s="17" t="s">
        <v>38</v>
      </c>
    </row>
    <row r="48" spans="1:6" ht="15" customHeight="1" thickBot="1" x14ac:dyDescent="0.3">
      <c r="A48" s="3"/>
      <c r="B48" s="3"/>
      <c r="C48" s="3"/>
      <c r="D48" s="3"/>
      <c r="E48" s="2"/>
      <c r="F48" s="14"/>
    </row>
    <row r="49" spans="1:6" ht="15" customHeight="1" thickBot="1" x14ac:dyDescent="0.3">
      <c r="A49" s="8" t="s">
        <v>73</v>
      </c>
      <c r="B49" s="9">
        <f>SUM(B37:B47)</f>
        <v>0</v>
      </c>
      <c r="C49" s="9">
        <f>SUM(C37:C47)</f>
        <v>0</v>
      </c>
      <c r="D49" s="9">
        <f>SUM(D37:D47)</f>
        <v>0</v>
      </c>
      <c r="E49" s="2"/>
      <c r="F49" s="14" t="s">
        <v>43</v>
      </c>
    </row>
    <row r="50" spans="1:6" ht="15" customHeight="1" x14ac:dyDescent="0.25">
      <c r="A50" s="3"/>
      <c r="B50" s="3"/>
      <c r="C50" s="3"/>
      <c r="D50" s="3"/>
      <c r="E50" s="2"/>
      <c r="F50" s="14"/>
    </row>
    <row r="51" spans="1:6" ht="25.5" x14ac:dyDescent="0.25">
      <c r="A51" s="97" t="s">
        <v>86</v>
      </c>
      <c r="B51" s="98"/>
      <c r="C51" s="98"/>
      <c r="D51" s="99"/>
    </row>
    <row r="52" spans="1:6" ht="15" customHeight="1" x14ac:dyDescent="0.25">
      <c r="A52" s="31"/>
    </row>
    <row r="53" spans="1:6" ht="15" customHeight="1" x14ac:dyDescent="0.25">
      <c r="A53" s="31"/>
    </row>
    <row r="54" spans="1:6" ht="15" customHeight="1" x14ac:dyDescent="0.25">
      <c r="A54" s="31"/>
    </row>
    <row r="55" spans="1:6" ht="15" customHeight="1" x14ac:dyDescent="0.25">
      <c r="A55" s="31"/>
    </row>
    <row r="56" spans="1:6" ht="15" customHeight="1" x14ac:dyDescent="0.25">
      <c r="A56" s="31"/>
    </row>
    <row r="57" spans="1:6" ht="15" customHeight="1" x14ac:dyDescent="0.25">
      <c r="A57" s="31"/>
    </row>
    <row r="58" spans="1:6" ht="15" customHeight="1" x14ac:dyDescent="0.25">
      <c r="A58" s="31"/>
    </row>
    <row r="59" spans="1:6" ht="15" customHeight="1" x14ac:dyDescent="0.25">
      <c r="A59" s="31"/>
    </row>
    <row r="60" spans="1:6" ht="15" customHeight="1" x14ac:dyDescent="0.25">
      <c r="A60" s="31"/>
    </row>
    <row r="61" spans="1:6" ht="15" customHeight="1" x14ac:dyDescent="0.25">
      <c r="A61" s="31"/>
    </row>
    <row r="62" spans="1:6" ht="15" customHeight="1" x14ac:dyDescent="0.25">
      <c r="A62" s="31"/>
    </row>
    <row r="63" spans="1:6" ht="15" customHeight="1" x14ac:dyDescent="0.25">
      <c r="A63" s="31"/>
    </row>
    <row r="64" spans="1:6" ht="15" customHeight="1" x14ac:dyDescent="0.25">
      <c r="A64" s="31"/>
    </row>
    <row r="65" spans="1:1" ht="15" customHeight="1" x14ac:dyDescent="0.25">
      <c r="A65" s="31"/>
    </row>
    <row r="66" spans="1:1" ht="15" customHeight="1" x14ac:dyDescent="0.25">
      <c r="A66" s="31"/>
    </row>
    <row r="67" spans="1:1" ht="15" customHeight="1" x14ac:dyDescent="0.25">
      <c r="A67" s="31"/>
    </row>
    <row r="68" spans="1:1" ht="15" customHeight="1" x14ac:dyDescent="0.25">
      <c r="A68" s="31"/>
    </row>
    <row r="69" spans="1:1" ht="15" customHeight="1" x14ac:dyDescent="0.25">
      <c r="A69" s="31"/>
    </row>
    <row r="70" spans="1:1" ht="15" customHeight="1" x14ac:dyDescent="0.25">
      <c r="A70" s="31"/>
    </row>
    <row r="71" spans="1:1" ht="15" customHeight="1" x14ac:dyDescent="0.25">
      <c r="A71" s="31"/>
    </row>
    <row r="72" spans="1:1" ht="15" customHeight="1" x14ac:dyDescent="0.25">
      <c r="A72" s="32"/>
    </row>
    <row r="73" spans="1:1" ht="15" customHeight="1" x14ac:dyDescent="0.25">
      <c r="A73" s="32"/>
    </row>
    <row r="74" spans="1:1" ht="15" customHeight="1" x14ac:dyDescent="0.25">
      <c r="A74" s="32"/>
    </row>
    <row r="75" spans="1:1" ht="15" customHeight="1" x14ac:dyDescent="0.25">
      <c r="A75" s="32"/>
    </row>
    <row r="76" spans="1:1" ht="15" customHeight="1" x14ac:dyDescent="0.25">
      <c r="A76" s="32"/>
    </row>
    <row r="77" spans="1:1" ht="15" customHeight="1" x14ac:dyDescent="0.25">
      <c r="A77" s="32"/>
    </row>
    <row r="78" spans="1:1" ht="15" customHeight="1" x14ac:dyDescent="0.25">
      <c r="A78" s="32"/>
    </row>
    <row r="79" spans="1:1" ht="15" customHeight="1" x14ac:dyDescent="0.25">
      <c r="A79" s="32"/>
    </row>
    <row r="80" spans="1:1" ht="15" customHeight="1" x14ac:dyDescent="0.25">
      <c r="A80" s="32"/>
    </row>
    <row r="81" spans="1:1" ht="15" customHeight="1" x14ac:dyDescent="0.25">
      <c r="A81" s="32"/>
    </row>
    <row r="82" spans="1:1" ht="15" customHeight="1" x14ac:dyDescent="0.25">
      <c r="A82" s="32"/>
    </row>
    <row r="83" spans="1:1" ht="15" customHeight="1" x14ac:dyDescent="0.25">
      <c r="A83" s="32"/>
    </row>
    <row r="84" spans="1:1" ht="15" customHeight="1" x14ac:dyDescent="0.25">
      <c r="A84" s="32"/>
    </row>
    <row r="85" spans="1:1" ht="15" customHeight="1" x14ac:dyDescent="0.25">
      <c r="A85" s="32"/>
    </row>
    <row r="86" spans="1:1" ht="15" customHeight="1" x14ac:dyDescent="0.25">
      <c r="A86" s="32"/>
    </row>
    <row r="87" spans="1:1" ht="15" customHeight="1" x14ac:dyDescent="0.25">
      <c r="A87" s="32"/>
    </row>
    <row r="88" spans="1:1" ht="15" customHeight="1" x14ac:dyDescent="0.25">
      <c r="A88" s="32"/>
    </row>
    <row r="89" spans="1:1" ht="15" customHeight="1" x14ac:dyDescent="0.25">
      <c r="A89" s="32"/>
    </row>
    <row r="90" spans="1:1" ht="15" customHeight="1" x14ac:dyDescent="0.25">
      <c r="A90" s="32"/>
    </row>
    <row r="91" spans="1:1" ht="15" customHeight="1" x14ac:dyDescent="0.25">
      <c r="A91" s="32"/>
    </row>
    <row r="92" spans="1:1" ht="15" customHeight="1" x14ac:dyDescent="0.25">
      <c r="A92" s="32"/>
    </row>
    <row r="93" spans="1:1" ht="15" customHeight="1" x14ac:dyDescent="0.25">
      <c r="A93" s="32"/>
    </row>
    <row r="94" spans="1:1" ht="15" customHeight="1" x14ac:dyDescent="0.25">
      <c r="A94" s="32"/>
    </row>
    <row r="95" spans="1:1" ht="15" customHeight="1" x14ac:dyDescent="0.25">
      <c r="A95" s="32"/>
    </row>
    <row r="96" spans="1:1" ht="15" customHeight="1" x14ac:dyDescent="0.25">
      <c r="A96" s="32"/>
    </row>
    <row r="97" spans="1:1" ht="15" customHeight="1" x14ac:dyDescent="0.25">
      <c r="A97" s="32"/>
    </row>
    <row r="98" spans="1:1" ht="15" customHeight="1" x14ac:dyDescent="0.25">
      <c r="A98" s="32"/>
    </row>
    <row r="99" spans="1:1" ht="15" customHeight="1" x14ac:dyDescent="0.25">
      <c r="A99" s="32"/>
    </row>
    <row r="100" spans="1:1" ht="15" customHeight="1" x14ac:dyDescent="0.25">
      <c r="A100" s="32"/>
    </row>
    <row r="101" spans="1:1" ht="15" customHeight="1" x14ac:dyDescent="0.25">
      <c r="A101" s="32"/>
    </row>
    <row r="102" spans="1:1" ht="15" customHeight="1" x14ac:dyDescent="0.25">
      <c r="A102" s="32"/>
    </row>
    <row r="103" spans="1:1" ht="15" customHeight="1" x14ac:dyDescent="0.25">
      <c r="A103" s="32"/>
    </row>
    <row r="104" spans="1:1" ht="15" customHeight="1" x14ac:dyDescent="0.25">
      <c r="A104" s="32"/>
    </row>
    <row r="105" spans="1:1" ht="15" customHeight="1" x14ac:dyDescent="0.25">
      <c r="A105" s="32"/>
    </row>
    <row r="106" spans="1:1" ht="15" customHeight="1" x14ac:dyDescent="0.25">
      <c r="A106" s="32"/>
    </row>
    <row r="107" spans="1:1" ht="15" customHeight="1" x14ac:dyDescent="0.25">
      <c r="A107" s="32"/>
    </row>
    <row r="108" spans="1:1" ht="15" customHeight="1" x14ac:dyDescent="0.25">
      <c r="A108" s="32"/>
    </row>
    <row r="109" spans="1:1" ht="15" customHeight="1" x14ac:dyDescent="0.25">
      <c r="A109" s="32"/>
    </row>
    <row r="110" spans="1:1" ht="15" customHeight="1" x14ac:dyDescent="0.25">
      <c r="A110" s="32"/>
    </row>
    <row r="111" spans="1:1" ht="15" customHeight="1" x14ac:dyDescent="0.25">
      <c r="A111" s="32"/>
    </row>
    <row r="112" spans="1:1" ht="15" customHeight="1" x14ac:dyDescent="0.25">
      <c r="A112" s="32"/>
    </row>
    <row r="113" spans="1:1" ht="15" customHeight="1" x14ac:dyDescent="0.25">
      <c r="A113" s="32"/>
    </row>
    <row r="114" spans="1:1" ht="15" customHeight="1" x14ac:dyDescent="0.25">
      <c r="A114" s="32"/>
    </row>
    <row r="115" spans="1:1" ht="15" customHeight="1" x14ac:dyDescent="0.25">
      <c r="A115" s="32"/>
    </row>
    <row r="116" spans="1:1" ht="15" customHeight="1" x14ac:dyDescent="0.25">
      <c r="A116" s="32"/>
    </row>
    <row r="117" spans="1:1" ht="15" customHeight="1" x14ac:dyDescent="0.25">
      <c r="A117" s="32"/>
    </row>
    <row r="118" spans="1:1" ht="15" customHeight="1" x14ac:dyDescent="0.25">
      <c r="A118" s="32"/>
    </row>
    <row r="119" spans="1:1" ht="15" customHeight="1" x14ac:dyDescent="0.25">
      <c r="A119" s="32"/>
    </row>
    <row r="120" spans="1:1" ht="15" customHeight="1" x14ac:dyDescent="0.25">
      <c r="A120" s="32"/>
    </row>
    <row r="121" spans="1:1" ht="15" customHeight="1" x14ac:dyDescent="0.25">
      <c r="A121" s="32"/>
    </row>
    <row r="122" spans="1:1" ht="15" customHeight="1" x14ac:dyDescent="0.25">
      <c r="A122" s="32"/>
    </row>
    <row r="123" spans="1:1" ht="15" customHeight="1" x14ac:dyDescent="0.25">
      <c r="A123" s="32"/>
    </row>
    <row r="124" spans="1:1" ht="15" customHeight="1" x14ac:dyDescent="0.25">
      <c r="A124" s="32"/>
    </row>
    <row r="125" spans="1:1" ht="15" customHeight="1" x14ac:dyDescent="0.25">
      <c r="A125" s="32"/>
    </row>
    <row r="126" spans="1:1" ht="15" customHeight="1" x14ac:dyDescent="0.25">
      <c r="A126" s="32"/>
    </row>
    <row r="127" spans="1:1" ht="15" customHeight="1" x14ac:dyDescent="0.25">
      <c r="A127" s="32"/>
    </row>
    <row r="128" spans="1:1" ht="15" customHeight="1" x14ac:dyDescent="0.25">
      <c r="A128" s="32"/>
    </row>
    <row r="129" spans="1:1" ht="15" customHeight="1" x14ac:dyDescent="0.25">
      <c r="A129" s="32"/>
    </row>
    <row r="130" spans="1:1" ht="15" customHeight="1" x14ac:dyDescent="0.25">
      <c r="A130" s="32"/>
    </row>
    <row r="131" spans="1:1" ht="15" customHeight="1" x14ac:dyDescent="0.25">
      <c r="A131" s="32"/>
    </row>
    <row r="132" spans="1:1" ht="15" customHeight="1" x14ac:dyDescent="0.25">
      <c r="A132" s="32"/>
    </row>
    <row r="133" spans="1:1" ht="15" customHeight="1" x14ac:dyDescent="0.25">
      <c r="A133" s="32"/>
    </row>
    <row r="134" spans="1:1" ht="15" customHeight="1" x14ac:dyDescent="0.25">
      <c r="A134" s="32"/>
    </row>
    <row r="135" spans="1:1" ht="15" customHeight="1" x14ac:dyDescent="0.25">
      <c r="A135" s="32"/>
    </row>
    <row r="136" spans="1:1" ht="15" customHeight="1" x14ac:dyDescent="0.25">
      <c r="A136" s="32"/>
    </row>
    <row r="137" spans="1:1" ht="15" customHeight="1" x14ac:dyDescent="0.25">
      <c r="A137" s="32"/>
    </row>
    <row r="138" spans="1:1" ht="15" customHeight="1" x14ac:dyDescent="0.25">
      <c r="A138" s="32"/>
    </row>
    <row r="139" spans="1:1" ht="15" customHeight="1" x14ac:dyDescent="0.25">
      <c r="A139" s="32"/>
    </row>
    <row r="140" spans="1:1" ht="15" customHeight="1" x14ac:dyDescent="0.25">
      <c r="A140" s="32"/>
    </row>
    <row r="141" spans="1:1" ht="15" customHeight="1" x14ac:dyDescent="0.25">
      <c r="A141" s="32"/>
    </row>
    <row r="142" spans="1:1" ht="15" customHeight="1" x14ac:dyDescent="0.25">
      <c r="A142" s="32"/>
    </row>
    <row r="143" spans="1:1" ht="15" customHeight="1" x14ac:dyDescent="0.25">
      <c r="A143" s="32"/>
    </row>
    <row r="144" spans="1:1" ht="15" customHeight="1" x14ac:dyDescent="0.25">
      <c r="A144" s="32"/>
    </row>
    <row r="145" spans="1:1" ht="15" customHeight="1" x14ac:dyDescent="0.25">
      <c r="A145" s="32"/>
    </row>
    <row r="146" spans="1:1" ht="15" customHeight="1" x14ac:dyDescent="0.25">
      <c r="A146" s="32"/>
    </row>
    <row r="147" spans="1:1" ht="15" customHeight="1" x14ac:dyDescent="0.25">
      <c r="A147" s="32"/>
    </row>
    <row r="148" spans="1:1" ht="15" customHeight="1" x14ac:dyDescent="0.25">
      <c r="A148" s="32"/>
    </row>
    <row r="149" spans="1:1" ht="15" customHeight="1" x14ac:dyDescent="0.25">
      <c r="A149" s="32"/>
    </row>
    <row r="150" spans="1:1" ht="15" customHeight="1" x14ac:dyDescent="0.25">
      <c r="A150" s="32"/>
    </row>
    <row r="151" spans="1:1" ht="15" customHeight="1" x14ac:dyDescent="0.25">
      <c r="A151" s="32"/>
    </row>
    <row r="152" spans="1:1" ht="15" customHeight="1" x14ac:dyDescent="0.25">
      <c r="A152" s="32"/>
    </row>
    <row r="153" spans="1:1" ht="15" customHeight="1" x14ac:dyDescent="0.25">
      <c r="A153" s="32"/>
    </row>
    <row r="154" spans="1:1" ht="15" customHeight="1" x14ac:dyDescent="0.25">
      <c r="A154" s="32"/>
    </row>
    <row r="155" spans="1:1" ht="15" customHeight="1" x14ac:dyDescent="0.25">
      <c r="A155" s="32"/>
    </row>
    <row r="156" spans="1:1" ht="15" customHeight="1" x14ac:dyDescent="0.25">
      <c r="A156" s="32"/>
    </row>
    <row r="157" spans="1:1" ht="15" customHeight="1" x14ac:dyDescent="0.25">
      <c r="A157" s="32"/>
    </row>
    <row r="158" spans="1:1" ht="15" customHeight="1" x14ac:dyDescent="0.25">
      <c r="A158" s="32"/>
    </row>
    <row r="159" spans="1:1" ht="15" customHeight="1" x14ac:dyDescent="0.25">
      <c r="A159" s="32"/>
    </row>
    <row r="160" spans="1:1" ht="15" customHeight="1" x14ac:dyDescent="0.25">
      <c r="A160" s="32"/>
    </row>
    <row r="161" spans="1:1" ht="15" customHeight="1" x14ac:dyDescent="0.25">
      <c r="A161" s="32"/>
    </row>
    <row r="162" spans="1:1" ht="15" customHeight="1" x14ac:dyDescent="0.25">
      <c r="A162" s="32"/>
    </row>
    <row r="163" spans="1:1" ht="15" customHeight="1" x14ac:dyDescent="0.25">
      <c r="A163" s="32"/>
    </row>
    <row r="164" spans="1:1" ht="15" customHeight="1" x14ac:dyDescent="0.25">
      <c r="A164" s="32"/>
    </row>
    <row r="165" spans="1:1" ht="15" customHeight="1" x14ac:dyDescent="0.25">
      <c r="A165" s="32"/>
    </row>
    <row r="166" spans="1:1" ht="15" customHeight="1" x14ac:dyDescent="0.25">
      <c r="A166" s="32"/>
    </row>
    <row r="167" spans="1:1" ht="15" customHeight="1" x14ac:dyDescent="0.25">
      <c r="A167" s="32"/>
    </row>
    <row r="168" spans="1:1" ht="15" customHeight="1" x14ac:dyDescent="0.25">
      <c r="A168" s="32"/>
    </row>
    <row r="169" spans="1:1" ht="15" customHeight="1" x14ac:dyDescent="0.25">
      <c r="A169" s="32"/>
    </row>
    <row r="170" spans="1:1" ht="15" customHeight="1" x14ac:dyDescent="0.25">
      <c r="A170" s="32"/>
    </row>
    <row r="171" spans="1:1" ht="15" customHeight="1" x14ac:dyDescent="0.25">
      <c r="A171" s="32"/>
    </row>
    <row r="172" spans="1:1" ht="15" customHeight="1" x14ac:dyDescent="0.25">
      <c r="A172" s="32"/>
    </row>
    <row r="173" spans="1:1" ht="15" customHeight="1" x14ac:dyDescent="0.25">
      <c r="A173" s="32"/>
    </row>
    <row r="174" spans="1:1" ht="15" customHeight="1" x14ac:dyDescent="0.25">
      <c r="A174" s="32"/>
    </row>
    <row r="175" spans="1:1" ht="15" customHeight="1" x14ac:dyDescent="0.25">
      <c r="A175" s="32"/>
    </row>
    <row r="176" spans="1:1" ht="15" customHeight="1" x14ac:dyDescent="0.25">
      <c r="A176" s="32"/>
    </row>
    <row r="177" spans="1:1" ht="15" customHeight="1" x14ac:dyDescent="0.25">
      <c r="A177" s="32"/>
    </row>
    <row r="178" spans="1:1" ht="15" customHeight="1" x14ac:dyDescent="0.25">
      <c r="A178" s="32"/>
    </row>
    <row r="179" spans="1:1" ht="15" customHeight="1" x14ac:dyDescent="0.25">
      <c r="A179" s="32"/>
    </row>
    <row r="180" spans="1:1" ht="15" customHeight="1" x14ac:dyDescent="0.25">
      <c r="A180" s="32"/>
    </row>
    <row r="181" spans="1:1" ht="15" customHeight="1" x14ac:dyDescent="0.25">
      <c r="A181" s="32"/>
    </row>
    <row r="182" spans="1:1" ht="15" customHeight="1" x14ac:dyDescent="0.25">
      <c r="A182" s="32"/>
    </row>
    <row r="183" spans="1:1" ht="15" customHeight="1" x14ac:dyDescent="0.25">
      <c r="A183" s="32"/>
    </row>
    <row r="184" spans="1:1" ht="15" customHeight="1" x14ac:dyDescent="0.25">
      <c r="A184" s="32"/>
    </row>
    <row r="185" spans="1:1" ht="15" customHeight="1" x14ac:dyDescent="0.25">
      <c r="A185" s="32"/>
    </row>
    <row r="186" spans="1:1" ht="15" customHeight="1" x14ac:dyDescent="0.25">
      <c r="A186" s="32"/>
    </row>
    <row r="187" spans="1:1" ht="15" customHeight="1" x14ac:dyDescent="0.25">
      <c r="A187" s="32"/>
    </row>
    <row r="188" spans="1:1" ht="15" customHeight="1" x14ac:dyDescent="0.25">
      <c r="A188" s="32"/>
    </row>
    <row r="189" spans="1:1" ht="15" customHeight="1" x14ac:dyDescent="0.25">
      <c r="A189" s="32"/>
    </row>
    <row r="190" spans="1:1" ht="15" customHeight="1" x14ac:dyDescent="0.25">
      <c r="A190" s="32"/>
    </row>
    <row r="191" spans="1:1" ht="15" customHeight="1" x14ac:dyDescent="0.25">
      <c r="A191" s="32"/>
    </row>
    <row r="192" spans="1:1" ht="15" customHeight="1" x14ac:dyDescent="0.25">
      <c r="A192" s="32"/>
    </row>
    <row r="193" spans="1:1" ht="15" customHeight="1" x14ac:dyDescent="0.25">
      <c r="A193" s="32"/>
    </row>
    <row r="194" spans="1:1" ht="15" customHeight="1" x14ac:dyDescent="0.25">
      <c r="A194" s="32"/>
    </row>
    <row r="195" spans="1:1" ht="15" customHeight="1" x14ac:dyDescent="0.25">
      <c r="A195" s="32"/>
    </row>
    <row r="196" spans="1:1" ht="15" customHeight="1" x14ac:dyDescent="0.25">
      <c r="A196" s="32"/>
    </row>
    <row r="197" spans="1:1" ht="15" customHeight="1" x14ac:dyDescent="0.25">
      <c r="A197" s="32"/>
    </row>
    <row r="198" spans="1:1" ht="15" customHeight="1" x14ac:dyDescent="0.25">
      <c r="A198" s="32"/>
    </row>
    <row r="199" spans="1:1" ht="15" customHeight="1" x14ac:dyDescent="0.25">
      <c r="A199" s="32"/>
    </row>
    <row r="200" spans="1:1" ht="15" customHeight="1" x14ac:dyDescent="0.25">
      <c r="A200" s="32"/>
    </row>
    <row r="201" spans="1:1" ht="15" customHeight="1" x14ac:dyDescent="0.25">
      <c r="A201" s="32"/>
    </row>
    <row r="202" spans="1:1" ht="15" customHeight="1" x14ac:dyDescent="0.25">
      <c r="A202" s="32"/>
    </row>
    <row r="203" spans="1:1" ht="15" customHeight="1" x14ac:dyDescent="0.25">
      <c r="A203" s="32"/>
    </row>
    <row r="204" spans="1:1" ht="15" customHeight="1" x14ac:dyDescent="0.25">
      <c r="A204" s="32"/>
    </row>
    <row r="205" spans="1:1" ht="15" customHeight="1" x14ac:dyDescent="0.25">
      <c r="A205" s="32"/>
    </row>
    <row r="206" spans="1:1" ht="15" customHeight="1" x14ac:dyDescent="0.25">
      <c r="A206" s="32"/>
    </row>
    <row r="207" spans="1:1" ht="15" customHeight="1" x14ac:dyDescent="0.25">
      <c r="A207" s="32"/>
    </row>
    <row r="208" spans="1:1" ht="15" customHeight="1" x14ac:dyDescent="0.25">
      <c r="A208" s="32"/>
    </row>
    <row r="209" spans="1:1" ht="15" customHeight="1" x14ac:dyDescent="0.25">
      <c r="A209" s="32"/>
    </row>
    <row r="210" spans="1:1" ht="15" customHeight="1" x14ac:dyDescent="0.25">
      <c r="A210" s="32"/>
    </row>
    <row r="211" spans="1:1" ht="15" customHeight="1" x14ac:dyDescent="0.25">
      <c r="A211" s="32"/>
    </row>
    <row r="212" spans="1:1" ht="15" customHeight="1" x14ac:dyDescent="0.25">
      <c r="A212" s="32"/>
    </row>
    <row r="213" spans="1:1" ht="15" customHeight="1" x14ac:dyDescent="0.25">
      <c r="A213" s="32"/>
    </row>
    <row r="214" spans="1:1" ht="15" customHeight="1" x14ac:dyDescent="0.25">
      <c r="A214" s="32"/>
    </row>
    <row r="215" spans="1:1" ht="15" customHeight="1" x14ac:dyDescent="0.25">
      <c r="A215" s="32"/>
    </row>
    <row r="216" spans="1:1" ht="15" customHeight="1" x14ac:dyDescent="0.25">
      <c r="A216" s="32"/>
    </row>
    <row r="217" spans="1:1" ht="15" customHeight="1" x14ac:dyDescent="0.25">
      <c r="A217" s="32"/>
    </row>
    <row r="218" spans="1:1" ht="15" customHeight="1" x14ac:dyDescent="0.25">
      <c r="A218" s="32"/>
    </row>
    <row r="219" spans="1:1" ht="15" customHeight="1" x14ac:dyDescent="0.25">
      <c r="A219" s="32"/>
    </row>
    <row r="220" spans="1:1" ht="15" customHeight="1" x14ac:dyDescent="0.25">
      <c r="A220" s="32"/>
    </row>
    <row r="221" spans="1:1" ht="15" customHeight="1" x14ac:dyDescent="0.25">
      <c r="A221" s="32"/>
    </row>
    <row r="222" spans="1:1" ht="15" customHeight="1" x14ac:dyDescent="0.25">
      <c r="A222" s="32"/>
    </row>
    <row r="223" spans="1:1" ht="15" customHeight="1" x14ac:dyDescent="0.25">
      <c r="A223" s="32"/>
    </row>
    <row r="224" spans="1:1" ht="15" customHeight="1" x14ac:dyDescent="0.25">
      <c r="A224" s="32"/>
    </row>
    <row r="225" spans="1:1" ht="15" customHeight="1" x14ac:dyDescent="0.25">
      <c r="A225" s="32"/>
    </row>
    <row r="226" spans="1:1" ht="15" customHeight="1" x14ac:dyDescent="0.25">
      <c r="A226" s="32"/>
    </row>
    <row r="227" spans="1:1" ht="15" customHeight="1" x14ac:dyDescent="0.25">
      <c r="A227" s="32"/>
    </row>
    <row r="228" spans="1:1" ht="15" customHeight="1" x14ac:dyDescent="0.25">
      <c r="A228" s="32"/>
    </row>
    <row r="229" spans="1:1" ht="15" customHeight="1" x14ac:dyDescent="0.25">
      <c r="A229" s="32"/>
    </row>
    <row r="230" spans="1:1" ht="15" customHeight="1" x14ac:dyDescent="0.25">
      <c r="A230" s="32"/>
    </row>
    <row r="231" spans="1:1" ht="15" customHeight="1" x14ac:dyDescent="0.25">
      <c r="A231" s="32"/>
    </row>
    <row r="232" spans="1:1" ht="15" customHeight="1" x14ac:dyDescent="0.25">
      <c r="A232" s="32"/>
    </row>
    <row r="233" spans="1:1" ht="15" customHeight="1" x14ac:dyDescent="0.25">
      <c r="A233" s="32"/>
    </row>
    <row r="234" spans="1:1" ht="15" customHeight="1" x14ac:dyDescent="0.25">
      <c r="A234" s="32"/>
    </row>
    <row r="235" spans="1:1" ht="15" customHeight="1" x14ac:dyDescent="0.25">
      <c r="A235" s="32"/>
    </row>
    <row r="236" spans="1:1" ht="15" customHeight="1" x14ac:dyDescent="0.25">
      <c r="A236" s="32"/>
    </row>
    <row r="237" spans="1:1" ht="15" customHeight="1" x14ac:dyDescent="0.25">
      <c r="A237" s="32"/>
    </row>
    <row r="238" spans="1:1" ht="15" customHeight="1" x14ac:dyDescent="0.25">
      <c r="A238" s="32"/>
    </row>
    <row r="239" spans="1:1" ht="15" customHeight="1" x14ac:dyDescent="0.25">
      <c r="A239" s="32"/>
    </row>
    <row r="240" spans="1:1" ht="15" customHeight="1" x14ac:dyDescent="0.25">
      <c r="A240" s="32"/>
    </row>
    <row r="241" spans="1:1" ht="15" customHeight="1" x14ac:dyDescent="0.25">
      <c r="A241" s="32"/>
    </row>
    <row r="242" spans="1:1" ht="15" customHeight="1" x14ac:dyDescent="0.25">
      <c r="A242" s="32"/>
    </row>
    <row r="243" spans="1:1" ht="15" customHeight="1" x14ac:dyDescent="0.25">
      <c r="A243" s="32"/>
    </row>
    <row r="244" spans="1:1" ht="15" customHeight="1" x14ac:dyDescent="0.25">
      <c r="A244" s="32"/>
    </row>
    <row r="245" spans="1:1" ht="15" customHeight="1" x14ac:dyDescent="0.25">
      <c r="A245" s="32"/>
    </row>
    <row r="246" spans="1:1" ht="15" customHeight="1" x14ac:dyDescent="0.25">
      <c r="A246" s="32"/>
    </row>
  </sheetData>
  <mergeCells count="1">
    <mergeCell ref="B1:D1"/>
  </mergeCells>
  <pageMargins left="0.15748031496062992" right="0.19685039370078741" top="0.74803149606299213" bottom="0.74803149606299213" header="0.31496062992125984" footer="0.31496062992125984"/>
  <pageSetup paperSize="9" scale="61"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G239"/>
  <sheetViews>
    <sheetView topLeftCell="A37" zoomScaleNormal="100" workbookViewId="0">
      <selection activeCell="B49" sqref="B49"/>
    </sheetView>
  </sheetViews>
  <sheetFormatPr defaultRowHeight="24" customHeight="1" x14ac:dyDescent="0.25"/>
  <cols>
    <col min="1" max="1" width="20.5703125" style="43" customWidth="1"/>
    <col min="2" max="2" width="19" style="43" customWidth="1"/>
    <col min="3" max="3" width="44.42578125" style="43" bestFit="1" customWidth="1"/>
    <col min="4" max="4" width="15.5703125" style="43" bestFit="1" customWidth="1"/>
    <col min="5" max="5" width="19" style="43" customWidth="1"/>
    <col min="6" max="6" width="16.28515625" style="43" customWidth="1"/>
    <col min="7" max="7" width="19.28515625" style="43" customWidth="1"/>
    <col min="8" max="8" width="21.28515625" style="43" customWidth="1"/>
    <col min="9" max="16384" width="9.140625" style="43"/>
  </cols>
  <sheetData>
    <row r="1" spans="1:6" ht="24.95" customHeight="1" thickBot="1" x14ac:dyDescent="0.3">
      <c r="A1" s="121" t="s">
        <v>104</v>
      </c>
      <c r="B1" s="122"/>
      <c r="C1" s="122"/>
      <c r="D1" s="123"/>
    </row>
    <row r="2" spans="1:6" ht="24" customHeight="1" x14ac:dyDescent="0.25">
      <c r="A2" s="33" t="s">
        <v>67</v>
      </c>
      <c r="E2" s="76"/>
    </row>
    <row r="3" spans="1:6" ht="20.100000000000001" customHeight="1" thickBot="1" x14ac:dyDescent="0.3">
      <c r="A3" s="33"/>
      <c r="E3" s="76"/>
    </row>
    <row r="4" spans="1:6" ht="20.100000000000001" customHeight="1" thickBot="1" x14ac:dyDescent="0.3">
      <c r="A4" s="124" t="s">
        <v>108</v>
      </c>
      <c r="B4" s="125"/>
    </row>
    <row r="5" spans="1:6" ht="20.100000000000001" customHeight="1" thickBot="1" x14ac:dyDescent="0.3">
      <c r="A5" s="44" t="s">
        <v>1</v>
      </c>
      <c r="B5" s="45" t="s">
        <v>3</v>
      </c>
      <c r="C5" s="46" t="s">
        <v>2</v>
      </c>
      <c r="D5" s="42" t="s">
        <v>53</v>
      </c>
    </row>
    <row r="6" spans="1:6" ht="20.100000000000001" customHeight="1" x14ac:dyDescent="0.25">
      <c r="A6" s="47" t="str">
        <f>'Perceel 1'!B4</f>
        <v>Nissan</v>
      </c>
      <c r="B6" s="48" t="str">
        <f>'Perceel 1'!B5</f>
        <v xml:space="preserve">Leaf </v>
      </c>
      <c r="C6" s="49" t="str">
        <f>'Perceel 1'!B6</f>
        <v>Acenta 40 kWh</v>
      </c>
      <c r="D6" s="50">
        <f>'Perceel 1'!B49</f>
        <v>0</v>
      </c>
      <c r="F6" s="33"/>
    </row>
    <row r="7" spans="1:6" ht="20.100000000000001" customHeight="1" x14ac:dyDescent="0.25">
      <c r="A7" s="51" t="str">
        <f>'Perceel 1'!C4</f>
        <v>Renault</v>
      </c>
      <c r="B7" s="52" t="str">
        <f>'Perceel 1'!C5</f>
        <v xml:space="preserve">Zoe </v>
      </c>
      <c r="C7" s="53" t="str">
        <f>'Perceel 1'!C6</f>
        <v>Life 41 kWh</v>
      </c>
      <c r="D7" s="54">
        <f>'Perceel 1'!C49</f>
        <v>0</v>
      </c>
      <c r="F7" s="33"/>
    </row>
    <row r="8" spans="1:6" ht="20.100000000000001" customHeight="1" thickBot="1" x14ac:dyDescent="0.3">
      <c r="A8" s="55" t="str">
        <f>'Perceel 1'!D4</f>
        <v>Volkswagen</v>
      </c>
      <c r="B8" s="56" t="str">
        <f>'Perceel 1'!D5</f>
        <v>E-up!</v>
      </c>
      <c r="C8" s="57" t="str">
        <f>'Perceel 1'!D6</f>
        <v>Basis</v>
      </c>
      <c r="D8" s="58">
        <f>'Perceel 1'!D49</f>
        <v>0</v>
      </c>
    </row>
    <row r="9" spans="1:6" ht="20.100000000000001" customHeight="1" thickBot="1" x14ac:dyDescent="0.3">
      <c r="A9" s="59"/>
      <c r="B9" s="59"/>
      <c r="C9" s="22" t="s">
        <v>66</v>
      </c>
      <c r="D9" s="60">
        <f>SUM(D6:D8)/3</f>
        <v>0</v>
      </c>
      <c r="E9" s="61" t="s">
        <v>54</v>
      </c>
    </row>
    <row r="10" spans="1:6" ht="20.100000000000001" customHeight="1" thickBot="1" x14ac:dyDescent="0.3">
      <c r="C10" s="59"/>
    </row>
    <row r="11" spans="1:6" ht="20.100000000000001" customHeight="1" thickBot="1" x14ac:dyDescent="0.3">
      <c r="A11" s="124" t="s">
        <v>106</v>
      </c>
      <c r="B11" s="125"/>
    </row>
    <row r="12" spans="1:6" ht="20.100000000000001" customHeight="1" thickBot="1" x14ac:dyDescent="0.3">
      <c r="A12" s="44" t="s">
        <v>1</v>
      </c>
      <c r="B12" s="45" t="s">
        <v>3</v>
      </c>
      <c r="C12" s="46" t="s">
        <v>2</v>
      </c>
      <c r="D12" s="42" t="s">
        <v>53</v>
      </c>
    </row>
    <row r="13" spans="1:6" ht="20.100000000000001" customHeight="1" x14ac:dyDescent="0.25">
      <c r="A13" s="62" t="str">
        <f>'Perceel 2'!B4</f>
        <v>Toyota</v>
      </c>
      <c r="B13" s="63" t="str">
        <f>'Perceel 2'!B5</f>
        <v>Yaris</v>
      </c>
      <c r="C13" s="49" t="str">
        <f>'Perceel 2'!B6</f>
        <v>1.5 Hybrid Aspiration Automaat</v>
      </c>
      <c r="D13" s="50">
        <f>'Perceel 2'!B49</f>
        <v>0</v>
      </c>
    </row>
    <row r="14" spans="1:6" ht="20.100000000000001" customHeight="1" x14ac:dyDescent="0.25">
      <c r="A14" s="62" t="str">
        <f>'Perceel 2'!C4</f>
        <v>Volkswagen</v>
      </c>
      <c r="B14" s="63" t="str">
        <f>'Perceel 2'!C5</f>
        <v>Polo</v>
      </c>
      <c r="C14" s="49" t="str">
        <f>'Perceel 2'!C6</f>
        <v>1.0 TSI Comfortline Business 70 kW</v>
      </c>
      <c r="D14" s="50">
        <f>'Perceel 2'!C49</f>
        <v>0</v>
      </c>
      <c r="F14" s="33"/>
    </row>
    <row r="15" spans="1:6" ht="20.100000000000001" customHeight="1" thickBot="1" x14ac:dyDescent="0.3">
      <c r="A15" s="103" t="str">
        <f>'Perceel 2'!D5</f>
        <v>Clio</v>
      </c>
      <c r="B15" s="104" t="str">
        <f>'Perceel 2'!D5</f>
        <v>Clio</v>
      </c>
      <c r="C15" s="105" t="str">
        <f>'Perceel 2'!D6</f>
        <v>Energy TCe 90  ECO2 Zen 66 kW</v>
      </c>
      <c r="D15" s="106">
        <f>'Perceel 2'!D49</f>
        <v>0</v>
      </c>
      <c r="F15" s="33"/>
    </row>
    <row r="16" spans="1:6" ht="20.100000000000001" customHeight="1" thickBot="1" x14ac:dyDescent="0.3">
      <c r="A16" s="59"/>
      <c r="B16" s="59"/>
      <c r="C16" s="101" t="s">
        <v>66</v>
      </c>
      <c r="D16" s="102">
        <f>SUM(D13:D15)/3</f>
        <v>0</v>
      </c>
      <c r="E16" s="61" t="s">
        <v>55</v>
      </c>
      <c r="F16" s="33"/>
    </row>
    <row r="17" spans="1:6" ht="20.100000000000001" customHeight="1" thickBot="1" x14ac:dyDescent="0.3">
      <c r="F17" s="33"/>
    </row>
    <row r="18" spans="1:6" ht="20.100000000000001" customHeight="1" thickBot="1" x14ac:dyDescent="0.3">
      <c r="A18" s="124" t="s">
        <v>105</v>
      </c>
      <c r="B18" s="125"/>
      <c r="E18" s="64"/>
      <c r="F18" s="33"/>
    </row>
    <row r="19" spans="1:6" ht="20.100000000000001" customHeight="1" thickBot="1" x14ac:dyDescent="0.3">
      <c r="A19" s="44" t="s">
        <v>1</v>
      </c>
      <c r="B19" s="45" t="s">
        <v>3</v>
      </c>
      <c r="C19" s="46" t="s">
        <v>2</v>
      </c>
      <c r="D19" s="45" t="s">
        <v>53</v>
      </c>
      <c r="F19" s="33"/>
    </row>
    <row r="20" spans="1:6" ht="20.100000000000001" customHeight="1" x14ac:dyDescent="0.25">
      <c r="A20" s="62" t="str">
        <f>'Perceel 3'!B4</f>
        <v>Renault</v>
      </c>
      <c r="B20" s="63" t="str">
        <f>'Perceel 3'!B5</f>
        <v>Kangoo</v>
      </c>
      <c r="C20" s="49" t="str">
        <f>'Perceel 3'!B6</f>
        <v>Z.E. 33</v>
      </c>
      <c r="D20" s="50">
        <f>'Perceel 3'!B49</f>
        <v>0</v>
      </c>
      <c r="F20" s="33"/>
    </row>
    <row r="21" spans="1:6" ht="20.100000000000001" customHeight="1" x14ac:dyDescent="0.25">
      <c r="A21" s="62" t="str">
        <f>'Perceel 3'!C4</f>
        <v xml:space="preserve">Volkswagen </v>
      </c>
      <c r="B21" s="63" t="str">
        <f>'Perceel 3'!C5</f>
        <v>Caddy L1H1</v>
      </c>
      <c r="C21" s="49" t="str">
        <f>'Perceel 3'!C6</f>
        <v>1.2 TSI met BMT</v>
      </c>
      <c r="D21" s="50">
        <f>'Perceel 3'!C49</f>
        <v>0</v>
      </c>
      <c r="F21" s="33"/>
    </row>
    <row r="22" spans="1:6" ht="20.100000000000001" customHeight="1" thickBot="1" x14ac:dyDescent="0.3">
      <c r="A22" s="103" t="str">
        <f>'Perceel 3'!D4</f>
        <v>Ford</v>
      </c>
      <c r="B22" s="104" t="str">
        <f>'Perceel 3'!D5</f>
        <v>Connect L1</v>
      </c>
      <c r="C22" s="105" t="str">
        <f>'Perceel 3'!D6</f>
        <v>Trend 1.0 Ecoboost</v>
      </c>
      <c r="D22" s="106">
        <f>'Perceel 3'!D49</f>
        <v>0</v>
      </c>
      <c r="F22" s="33"/>
    </row>
    <row r="23" spans="1:6" ht="20.100000000000001" customHeight="1" thickBot="1" x14ac:dyDescent="0.3">
      <c r="C23" s="101" t="s">
        <v>66</v>
      </c>
      <c r="D23" s="102">
        <f>SUM(D20:D22)/3</f>
        <v>0</v>
      </c>
      <c r="E23" s="65" t="s">
        <v>56</v>
      </c>
      <c r="F23" s="33"/>
    </row>
    <row r="24" spans="1:6" ht="20.100000000000001" customHeight="1" thickBot="1" x14ac:dyDescent="0.3">
      <c r="C24" s="30"/>
      <c r="D24" s="61"/>
      <c r="E24" s="65"/>
      <c r="F24" s="33"/>
    </row>
    <row r="25" spans="1:6" ht="20.100000000000001" customHeight="1" thickBot="1" x14ac:dyDescent="0.3">
      <c r="A25" s="124" t="s">
        <v>99</v>
      </c>
      <c r="B25" s="125"/>
      <c r="E25" s="65"/>
      <c r="F25" s="33"/>
    </row>
    <row r="26" spans="1:6" ht="20.100000000000001" customHeight="1" thickBot="1" x14ac:dyDescent="0.3">
      <c r="A26" s="44" t="s">
        <v>1</v>
      </c>
      <c r="B26" s="45" t="s">
        <v>3</v>
      </c>
      <c r="C26" s="46" t="s">
        <v>2</v>
      </c>
      <c r="D26" s="45" t="s">
        <v>53</v>
      </c>
      <c r="E26" s="65"/>
      <c r="F26" s="33"/>
    </row>
    <row r="27" spans="1:6" ht="20.100000000000001" customHeight="1" x14ac:dyDescent="0.25">
      <c r="A27" s="67" t="str">
        <f>'Perceel 4'!B4</f>
        <v>Volkswagen</v>
      </c>
      <c r="B27" s="107" t="str">
        <f>'Perceel 4'!B5</f>
        <v>Transporter</v>
      </c>
      <c r="C27" s="108" t="str">
        <f>'Perceel 4'!B6</f>
        <v>L2H1 28 2.0 TSI EU6 150 kW DSG</v>
      </c>
      <c r="D27" s="69">
        <f>'Perceel 4'!B49</f>
        <v>0</v>
      </c>
      <c r="E27" s="65"/>
      <c r="F27" s="33"/>
    </row>
    <row r="28" spans="1:6" ht="20.100000000000001" customHeight="1" x14ac:dyDescent="0.25">
      <c r="A28" s="62" t="str">
        <f>'Perceel 4'!C4</f>
        <v>Ford</v>
      </c>
      <c r="B28" s="63" t="str">
        <f>'Perceel 4'!C5</f>
        <v>Custom</v>
      </c>
      <c r="C28" s="49" t="str">
        <f>'Perceel 4'!C6</f>
        <v>280 L1H1 Trend 77 kW</v>
      </c>
      <c r="D28" s="50">
        <f>'Perceel 3'!C49</f>
        <v>0</v>
      </c>
      <c r="E28" s="65"/>
      <c r="F28" s="33"/>
    </row>
    <row r="29" spans="1:6" ht="20.100000000000001" customHeight="1" thickBot="1" x14ac:dyDescent="0.3">
      <c r="A29" s="103" t="str">
        <f>'Perceel 4'!D4</f>
        <v>Mercedes-Benz</v>
      </c>
      <c r="B29" s="104" t="str">
        <f>'Perceel 4'!D5</f>
        <v>Vito</v>
      </c>
      <c r="C29" s="105" t="str">
        <f>'Perceel 4'!D6</f>
        <v>109CDI Lang</v>
      </c>
      <c r="D29" s="106">
        <f>'Perceel 3'!D49</f>
        <v>0</v>
      </c>
      <c r="E29" s="65"/>
      <c r="F29" s="33"/>
    </row>
    <row r="30" spans="1:6" ht="20.100000000000001" customHeight="1" thickBot="1" x14ac:dyDescent="0.3">
      <c r="C30" s="101" t="s">
        <v>66</v>
      </c>
      <c r="D30" s="102">
        <f>SUM(D27:D29)/3</f>
        <v>0</v>
      </c>
      <c r="E30" s="65" t="s">
        <v>110</v>
      </c>
      <c r="F30" s="33"/>
    </row>
    <row r="31" spans="1:6" ht="20.100000000000001" customHeight="1" thickBot="1" x14ac:dyDescent="0.3">
      <c r="C31" s="30"/>
      <c r="D31" s="61"/>
      <c r="E31" s="65"/>
      <c r="F31" s="33"/>
    </row>
    <row r="32" spans="1:6" ht="20.100000000000001" customHeight="1" thickBot="1" x14ac:dyDescent="0.3">
      <c r="A32" s="124" t="s">
        <v>100</v>
      </c>
      <c r="B32" s="125"/>
      <c r="E32" s="65"/>
      <c r="F32" s="33"/>
    </row>
    <row r="33" spans="1:7" ht="20.100000000000001" customHeight="1" thickBot="1" x14ac:dyDescent="0.3">
      <c r="A33" s="44" t="s">
        <v>1</v>
      </c>
      <c r="B33" s="45" t="s">
        <v>3</v>
      </c>
      <c r="C33" s="46" t="s">
        <v>2</v>
      </c>
      <c r="D33" s="45" t="s">
        <v>53</v>
      </c>
      <c r="E33" s="65"/>
      <c r="F33" s="33"/>
    </row>
    <row r="34" spans="1:7" ht="20.100000000000001" customHeight="1" x14ac:dyDescent="0.25">
      <c r="A34" s="67" t="str">
        <f>'Perceel 5'!B4</f>
        <v>Volkswagen</v>
      </c>
      <c r="B34" s="107" t="str">
        <f>'Perceel 5'!B5</f>
        <v>Transporter</v>
      </c>
      <c r="C34" s="108" t="str">
        <f>'Perceel 5'!B6</f>
        <v>L1H1 28 2.0 TSI EU6 110 kW</v>
      </c>
      <c r="D34" s="69">
        <f>'Perceel 5'!B49</f>
        <v>0</v>
      </c>
      <c r="E34" s="65"/>
      <c r="F34" s="33"/>
    </row>
    <row r="35" spans="1:7" ht="20.100000000000001" customHeight="1" x14ac:dyDescent="0.25">
      <c r="A35" s="62" t="str">
        <f>'Perceel 5'!C4</f>
        <v>Ford</v>
      </c>
      <c r="B35" s="63" t="str">
        <f>'Perceel 5'!C5</f>
        <v>Custom</v>
      </c>
      <c r="C35" s="49" t="str">
        <f>'Perceel 5'!C6</f>
        <v>280 L1H1 Trend 77 kW</v>
      </c>
      <c r="D35" s="50">
        <f>'Perceel 5'!C49</f>
        <v>0</v>
      </c>
      <c r="E35" s="65"/>
      <c r="F35" s="33"/>
    </row>
    <row r="36" spans="1:7" ht="20.100000000000001" customHeight="1" thickBot="1" x14ac:dyDescent="0.3">
      <c r="A36" s="103" t="str">
        <f>'Perceel 5'!D4</f>
        <v>Mercedes Benz</v>
      </c>
      <c r="B36" s="104" t="str">
        <f>'Perceel 5'!D5</f>
        <v>Sprinter</v>
      </c>
      <c r="C36" s="105" t="str">
        <f>'Perceel 5'!D6</f>
        <v>211 CDI GB L1 FWD Functional</v>
      </c>
      <c r="D36" s="106">
        <f>'Perceel 5'!D49</f>
        <v>0</v>
      </c>
      <c r="E36" s="65"/>
      <c r="F36" s="33"/>
    </row>
    <row r="37" spans="1:7" ht="20.100000000000001" customHeight="1" thickBot="1" x14ac:dyDescent="0.3">
      <c r="C37" s="101" t="s">
        <v>66</v>
      </c>
      <c r="D37" s="102">
        <f>SUM(D34:D36)/3</f>
        <v>0</v>
      </c>
      <c r="E37" s="65" t="s">
        <v>111</v>
      </c>
      <c r="F37" s="33"/>
    </row>
    <row r="38" spans="1:7" ht="20.100000000000001" customHeight="1" thickBot="1" x14ac:dyDescent="0.3">
      <c r="C38" s="30"/>
      <c r="D38" s="61"/>
      <c r="E38" s="65"/>
      <c r="F38" s="33"/>
    </row>
    <row r="39" spans="1:7" ht="20.100000000000001" customHeight="1" thickBot="1" x14ac:dyDescent="0.3">
      <c r="A39" s="124" t="s">
        <v>101</v>
      </c>
      <c r="B39" s="125"/>
      <c r="E39" s="65"/>
      <c r="F39" s="33"/>
    </row>
    <row r="40" spans="1:7" ht="20.100000000000001" customHeight="1" thickBot="1" x14ac:dyDescent="0.3">
      <c r="A40" s="44" t="s">
        <v>1</v>
      </c>
      <c r="B40" s="45" t="s">
        <v>3</v>
      </c>
      <c r="C40" s="46" t="s">
        <v>2</v>
      </c>
      <c r="D40" s="45" t="s">
        <v>53</v>
      </c>
      <c r="E40" s="65"/>
      <c r="F40" s="33"/>
    </row>
    <row r="41" spans="1:7" ht="20.100000000000001" customHeight="1" x14ac:dyDescent="0.25">
      <c r="A41" s="62" t="str">
        <f>'Perceel 6'!B4</f>
        <v>Mercedes-Benz</v>
      </c>
      <c r="B41" s="63" t="str">
        <f>'Perceel 6'!B5</f>
        <v>Sprinter 3,5t</v>
      </c>
      <c r="C41" s="49" t="str">
        <f>'Perceel 6'!B6</f>
        <v>chassis dubbele cabine 311 CDI  DC L2 RWD 7G-TRONIC PLUS volautomaat</v>
      </c>
      <c r="D41" s="50">
        <f>'Perceel 6'!B49</f>
        <v>0</v>
      </c>
      <c r="E41" s="65"/>
      <c r="F41" s="33"/>
    </row>
    <row r="42" spans="1:7" ht="20.100000000000001" customHeight="1" x14ac:dyDescent="0.25">
      <c r="A42" s="62" t="str">
        <f>'Perceel 6'!C4</f>
        <v>Volkswagen</v>
      </c>
      <c r="B42" s="63" t="str">
        <f>'Perceel 6'!C5</f>
        <v>Crafter</v>
      </c>
      <c r="C42" s="49" t="str">
        <f>'Perceel 6'!C6</f>
        <v>chassis dubbele cabine L3 wb 3640 mm 2.0TDI EU6 74 / 102 6-Hand FWD</v>
      </c>
      <c r="D42" s="50">
        <f>'Perceel 6'!BC49</f>
        <v>0</v>
      </c>
      <c r="E42" s="65"/>
      <c r="F42" s="33"/>
    </row>
    <row r="43" spans="1:7" ht="20.100000000000001" customHeight="1" thickBot="1" x14ac:dyDescent="0.3">
      <c r="A43" s="103" t="str">
        <f>'Perceel 6'!D4</f>
        <v>Ford</v>
      </c>
      <c r="B43" s="104" t="str">
        <f>'Perceel 6'!D5</f>
        <v>Transit</v>
      </c>
      <c r="C43" s="105" t="str">
        <f>'Perceel 6'!D6</f>
        <v>chassis dubbele cabine 350 L3H1 Ambiente 2.0 16V 77 kW Euro 6 RWD</v>
      </c>
      <c r="D43" s="106">
        <f>'Perceel 6'!D49</f>
        <v>0</v>
      </c>
      <c r="E43" s="65"/>
      <c r="F43" s="33"/>
    </row>
    <row r="44" spans="1:7" ht="20.100000000000001" customHeight="1" thickBot="1" x14ac:dyDescent="0.3">
      <c r="C44" s="101" t="s">
        <v>66</v>
      </c>
      <c r="D44" s="102">
        <f>SUM(D41:D43)/3</f>
        <v>0</v>
      </c>
      <c r="E44" s="65" t="s">
        <v>112</v>
      </c>
      <c r="F44" s="33"/>
    </row>
    <row r="45" spans="1:7" ht="20.100000000000001" customHeight="1" thickBot="1" x14ac:dyDescent="0.3">
      <c r="C45" s="30"/>
      <c r="D45" s="66"/>
      <c r="E45" s="65"/>
      <c r="F45" s="33"/>
    </row>
    <row r="46" spans="1:7" ht="20.100000000000001" customHeight="1" thickBot="1" x14ac:dyDescent="0.3">
      <c r="A46" s="73" t="s">
        <v>57</v>
      </c>
      <c r="B46" s="74" t="s">
        <v>58</v>
      </c>
      <c r="C46" s="75" t="s">
        <v>116</v>
      </c>
      <c r="D46" s="75" t="s">
        <v>117</v>
      </c>
      <c r="F46" s="33"/>
    </row>
    <row r="47" spans="1:7" ht="20.100000000000001" customHeight="1" x14ac:dyDescent="0.25">
      <c r="A47" s="67" t="s">
        <v>59</v>
      </c>
      <c r="B47" s="68">
        <f>D9</f>
        <v>0</v>
      </c>
      <c r="C47" s="115">
        <v>3</v>
      </c>
      <c r="D47" s="69">
        <f t="shared" ref="D47:D52" si="0">C47*B47</f>
        <v>0</v>
      </c>
      <c r="F47" s="33"/>
    </row>
    <row r="48" spans="1:7" ht="20.100000000000001" customHeight="1" x14ac:dyDescent="0.25">
      <c r="A48" s="51" t="s">
        <v>60</v>
      </c>
      <c r="B48" s="70">
        <f>D16</f>
        <v>0</v>
      </c>
      <c r="C48" s="116">
        <v>3</v>
      </c>
      <c r="D48" s="54">
        <f t="shared" si="0"/>
        <v>0</v>
      </c>
      <c r="F48" s="33"/>
      <c r="G48" s="33"/>
    </row>
    <row r="49" spans="1:7" ht="20.100000000000001" customHeight="1" x14ac:dyDescent="0.25">
      <c r="A49" s="51" t="s">
        <v>61</v>
      </c>
      <c r="B49" s="70">
        <f>D23</f>
        <v>0</v>
      </c>
      <c r="C49" s="116">
        <v>1</v>
      </c>
      <c r="D49" s="54">
        <f t="shared" si="0"/>
        <v>0</v>
      </c>
      <c r="F49" s="33"/>
      <c r="G49" s="33"/>
    </row>
    <row r="50" spans="1:7" ht="20.100000000000001" customHeight="1" x14ac:dyDescent="0.25">
      <c r="A50" s="51" t="s">
        <v>113</v>
      </c>
      <c r="B50" s="70">
        <f>D30</f>
        <v>0</v>
      </c>
      <c r="C50" s="116">
        <v>2</v>
      </c>
      <c r="D50" s="54">
        <f t="shared" si="0"/>
        <v>0</v>
      </c>
      <c r="F50" s="33"/>
      <c r="G50" s="33"/>
    </row>
    <row r="51" spans="1:7" ht="20.100000000000001" customHeight="1" x14ac:dyDescent="0.25">
      <c r="A51" s="51" t="s">
        <v>114</v>
      </c>
      <c r="B51" s="70">
        <f>D37</f>
        <v>0</v>
      </c>
      <c r="C51" s="116">
        <v>2</v>
      </c>
      <c r="D51" s="54">
        <f t="shared" si="0"/>
        <v>0</v>
      </c>
      <c r="F51" s="33"/>
      <c r="G51" s="33"/>
    </row>
    <row r="52" spans="1:7" ht="20.100000000000001" customHeight="1" thickBot="1" x14ac:dyDescent="0.3">
      <c r="A52" s="109" t="s">
        <v>115</v>
      </c>
      <c r="B52" s="72">
        <f>D44</f>
        <v>0</v>
      </c>
      <c r="C52" s="117">
        <v>1</v>
      </c>
      <c r="D52" s="54">
        <f t="shared" si="0"/>
        <v>0</v>
      </c>
    </row>
    <row r="53" spans="1:7" ht="20.100000000000001" customHeight="1" thickBot="1" x14ac:dyDescent="0.3">
      <c r="C53" s="71" t="s">
        <v>118</v>
      </c>
      <c r="D53" s="60">
        <f>SUM(D47:D52)</f>
        <v>0</v>
      </c>
    </row>
    <row r="54" spans="1:7" ht="20.100000000000001" customHeight="1" x14ac:dyDescent="0.25"/>
    <row r="55" spans="1:7" ht="20.100000000000001" customHeight="1" x14ac:dyDescent="0.25"/>
    <row r="56" spans="1:7" ht="20.100000000000001" customHeight="1" x14ac:dyDescent="0.25"/>
    <row r="57" spans="1:7" ht="20.100000000000001" customHeight="1" x14ac:dyDescent="0.25"/>
    <row r="58" spans="1:7" ht="20.100000000000001" customHeight="1" x14ac:dyDescent="0.25"/>
    <row r="59" spans="1:7" ht="20.100000000000001" customHeight="1" x14ac:dyDescent="0.25"/>
    <row r="60" spans="1:7" ht="20.100000000000001" customHeight="1" x14ac:dyDescent="0.25"/>
    <row r="61" spans="1:7" ht="20.100000000000001" customHeight="1" x14ac:dyDescent="0.25"/>
    <row r="62" spans="1:7" ht="20.100000000000001" customHeight="1" x14ac:dyDescent="0.25"/>
    <row r="63" spans="1:7" ht="20.100000000000001" customHeight="1" x14ac:dyDescent="0.25"/>
    <row r="64" spans="1:7"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sheetData>
  <mergeCells count="7">
    <mergeCell ref="A1:D1"/>
    <mergeCell ref="A25:B25"/>
    <mergeCell ref="A32:B32"/>
    <mergeCell ref="A39:B39"/>
    <mergeCell ref="A4:B4"/>
    <mergeCell ref="A11:B11"/>
    <mergeCell ref="A18:B18"/>
  </mergeCells>
  <pageMargins left="0.15748031496062992" right="0.19685039370078741" top="0.74803149606299213" bottom="0.74803149606299213" header="0.31496062992125984" footer="0.31496062992125984"/>
  <pageSetup paperSize="9" scale="46" orientation="landscape" cellComments="asDisplayed" r:id="rId1"/>
  <headerFooter>
    <oddHeader>&amp;C&amp;"Century Gothic,Vet"&amp;16&amp;F&amp;R&amp;"Century Gothic,Vet"&amp;16&amp;A</oddHeader>
    <oddFooter>&amp;L&amp;"Century Gothic,Standaard"&amp;9&amp;F
Afdrukdatum: &amp;D
&amp;P van &amp;N&amp;R&amp;"Century Gothic,Vet"&amp;12United Quality&amp;8
&amp;"Century Gothic,Cursief"&amp;9ADVIES en AANBESTEDING in AFVAL en AUTOMOTIVE</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Perceel 1</vt:lpstr>
      <vt:lpstr>Perceel 2</vt:lpstr>
      <vt:lpstr>Perceel 3</vt:lpstr>
      <vt:lpstr>Perceel 4</vt:lpstr>
      <vt:lpstr>Perceel 5</vt:lpstr>
      <vt:lpstr>Perceel 6</vt:lpstr>
      <vt:lpstr>Totalen</vt:lpstr>
      <vt:lpstr>'Perceel 1'!Afdrukbereik</vt:lpstr>
      <vt:lpstr>'Perceel 2'!Afdrukbereik</vt:lpstr>
      <vt:lpstr>'Perceel 3'!Afdrukbereik</vt:lpstr>
      <vt:lpstr>'Perceel 4'!Afdrukbereik</vt:lpstr>
      <vt:lpstr>'Perceel 5'!Afdrukbereik</vt:lpstr>
      <vt:lpstr>'Perceel 6'!Afdrukbereik</vt:lpstr>
      <vt:lpstr>Totalen!Afdruktitels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 Janssen</dc:creator>
  <cp:lastModifiedBy>Blok, Bettina</cp:lastModifiedBy>
  <cp:lastPrinted>2018-03-07T07:45:17Z</cp:lastPrinted>
  <dcterms:created xsi:type="dcterms:W3CDTF">2010-11-05T10:01:17Z</dcterms:created>
  <dcterms:modified xsi:type="dcterms:W3CDTF">2018-06-26T18:48:44Z</dcterms:modified>
</cp:coreProperties>
</file>