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codeName="ThisWorkbook" autoCompressPictures="0"/>
  <bookViews>
    <workbookView xWindow="7140" yWindow="3140" windowWidth="26940" windowHeight="22940" tabRatio="1000" firstSheet="2" activeTab="5"/>
  </bookViews>
  <sheets>
    <sheet name="Info blad" sheetId="11" state="hidden" r:id="rId1"/>
    <sheet name="Toelichting Calculatiemodel" sheetId="42"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hidden="1">[1]Blad1!#REF!</definedName>
    <definedName name="_Fill" localSheetId="8" hidden="1">'[2]#REF'!#REF!</definedName>
    <definedName name="_Fill" localSheetId="13" hidden="1">'[2]#REF'!#REF!</definedName>
    <definedName name="_Fill" hidden="1">'[2]#REF'!#REF!</definedName>
    <definedName name="_xlnm._FilterDatabase" localSheetId="5" hidden="1">'1.1a-Jaarprijzen'!$B$10:$M$63</definedName>
    <definedName name="_xlnm._FilterDatabase" localSheetId="6" hidden="1">'1.2-Kengetal'!$C$9:$P$101</definedName>
    <definedName name="_xlnm._FilterDatabase" localSheetId="7" hidden="1">'1.3-Basis ruimtestaat'!$A$10:$Z$454</definedName>
    <definedName name="_xlnm._FilterDatabase" localSheetId="8" hidden="1">'1.3a-Mutaties'!$D$10:$Z$20</definedName>
    <definedName name="_xlnm._FilterDatabase" localSheetId="13" hidden="1">'1.9-Glasbewassing'!$B$15:$D$77</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'1.1a-Jaarprijzen'!$B$10:$N$147</definedName>
    <definedName name="_xlnm.Print_Area" localSheetId="6">'1.2-Kengetal'!$C$10:$AC$104</definedName>
    <definedName name="_xlnm.Print_Area" localSheetId="7">'1.3-Basis ruimtestaat'!$D$11:$XFD$454</definedName>
    <definedName name="_xlnm.Print_Area" localSheetId="8">'1.3a-Mutaties'!$E$11:$Z$20</definedName>
    <definedName name="_xlnm.Print_Area" localSheetId="9">'1.4-Premies en opslagen'!$B$1:$G$69</definedName>
    <definedName name="_xlnm.Print_Area" localSheetId="10">'1.5 Opbouw uurtarieven'!$B$1:$AU$44</definedName>
    <definedName name="_xlnm.Print_Area" localSheetId="11">'1.6-Machine-investeringskosten'!$A$2:$E$153</definedName>
    <definedName name="_xlnm.Print_Area" localSheetId="12">'1.8-Afroepprijs'!$A$3:$H$77</definedName>
    <definedName name="_xlnm.Print_Area" localSheetId="13">'1.9-Glasbewassing'!$A$3:$AE$137</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5">'1.1a-Jaarprijzen'!$1:$9</definedName>
    <definedName name="_xlnm.Print_Titles" localSheetId="6">'1.2-Kengetal'!$9:$9</definedName>
    <definedName name="_xlnm.Print_Titles" localSheetId="7">'1.3-Basis ruimtestaat'!$D:$H,'1.3-Basis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ruimtestaat'!$A:$S</definedName>
    <definedName name="_xlnm.Database" localSheetId="8">'1.3a-Mutaties'!$D$10:$Z$20</definedName>
    <definedName name="_xlnm.Database">'1.3-Basis ruimtestaat'!$C$10:$Y$454</definedName>
    <definedName name="database2" localSheetId="8">'1.3a-Mutaties'!$C$10:$Z$20</definedName>
    <definedName name="database2">'1.3-Basis ruimtestaat'!$B$10:$Y$454</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'1.2-Kengetal'!$C$10:$P$101</definedName>
    <definedName name="LOCATIE" localSheetId="8">'1.3a-Mutaties'!$E:$R</definedName>
    <definedName name="LOCATIE">'1.3-Basis ruimtestaat'!$D:$Q</definedName>
    <definedName name="Loongroep">'1.5 Opbouw uurtarieven'!$A$18:$A$42</definedName>
    <definedName name="Loongroepen">'1.5 Opbouw uurtarieven'!$A$12:$A$46</definedName>
    <definedName name="Meters" localSheetId="8">'1.3a-Mutaties'!$K:$K</definedName>
    <definedName name="Meters" localSheetId="13">'[3]1.3-Basis ruimtestaat'!$K:$K</definedName>
    <definedName name="Meters">'1.3-Basis ruimtestaat'!$J:$J</definedName>
    <definedName name="Perceel" localSheetId="8">'1.3a-Mutaties'!$F:$U</definedName>
    <definedName name="Perceel">'1.3-Basis ruimtestaat'!$E:$T</definedName>
    <definedName name="PERCEEL2" localSheetId="8">'1.3a-Mutaties'!$A:$U</definedName>
    <definedName name="PERCEEL2">'1.3-Basis ruimtestaat'!$A:$T</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ruimtestaat'!$A$10:$S$454</definedName>
    <definedName name="Totaal2" localSheetId="8">'1.3a-Mutaties'!$E$10:$T$44</definedName>
    <definedName name="Totaal2" localSheetId="13">'[3]1.3-Basis ruimtestaat'!$E$10:$T$388</definedName>
    <definedName name="Totaal2">'1.3-Basis ruimtestaat'!$D$10:$S$454</definedName>
    <definedName name="UREMAVR" localSheetId="8">'1.3a-Mutaties'!$R$10:$R$44</definedName>
    <definedName name="UREMAVR" localSheetId="13">'[3]1.3-Basis ruimtestaat'!$R$10:$R$388</definedName>
    <definedName name="UREMAVR">'1.3-Basis ruimtestaat'!$Q$10:$Q$454</definedName>
    <definedName name="URENEWEEKEND" localSheetId="8">'1.3a-Mutaties'!$T$10:$T$44</definedName>
    <definedName name="URENEWEEKEND" localSheetId="13">'[3]1.3-Basis ruimtestaat'!$T$10:$T$388</definedName>
    <definedName name="URENEWEEKEND">'1.3-Basis ruimtestaat'!$S$10:$S$454</definedName>
    <definedName name="URENNALOOP" localSheetId="8">'1.3a-Mutaties'!$S$10:$S$44</definedName>
    <definedName name="URENNALOOP" localSheetId="13">'[3]1.3-Basis ruimtestaat'!$S$10:$S$388</definedName>
    <definedName name="URENNALOOP">'1.3-Basis ruimtestaat'!$R$10:$R$454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D17" i="35" l="1"/>
  <c r="AD18" i="35"/>
  <c r="AD19" i="35"/>
  <c r="AD20" i="35"/>
  <c r="AD21" i="35"/>
  <c r="Q16" i="35"/>
  <c r="R16" i="35"/>
  <c r="S16" i="35"/>
  <c r="Q17" i="35"/>
  <c r="R17" i="35"/>
  <c r="S17" i="35"/>
  <c r="Q18" i="35"/>
  <c r="R18" i="35"/>
  <c r="S18" i="35"/>
  <c r="Q19" i="35"/>
  <c r="R19" i="35"/>
  <c r="S19" i="35"/>
  <c r="Q20" i="35"/>
  <c r="R20" i="35"/>
  <c r="S20" i="35"/>
  <c r="Q21" i="35"/>
  <c r="R21" i="35"/>
  <c r="S21" i="35"/>
  <c r="Q82" i="35"/>
  <c r="R82" i="35"/>
  <c r="S82" i="35"/>
  <c r="Q83" i="35"/>
  <c r="R83" i="35"/>
  <c r="S83" i="35"/>
  <c r="Q84" i="35"/>
  <c r="R84" i="35"/>
  <c r="S84" i="35"/>
  <c r="Q85" i="35"/>
  <c r="R85" i="35"/>
  <c r="S85" i="35"/>
  <c r="Q86" i="35"/>
  <c r="R86" i="35"/>
  <c r="S86" i="35"/>
  <c r="H127" i="31"/>
  <c r="A13" i="32"/>
  <c r="A14" i="32"/>
  <c r="A15" i="32"/>
  <c r="A17" i="32"/>
  <c r="B13" i="32"/>
  <c r="B14" i="32"/>
  <c r="B15" i="32"/>
  <c r="B17" i="32"/>
  <c r="A20" i="32"/>
  <c r="B20" i="32"/>
  <c r="A21" i="32"/>
  <c r="B21" i="32"/>
  <c r="A22" i="32"/>
  <c r="B22" i="32"/>
  <c r="A23" i="32"/>
  <c r="B23" i="32"/>
  <c r="A24" i="32"/>
  <c r="B24" i="32"/>
  <c r="A25" i="32"/>
  <c r="B25" i="32"/>
  <c r="A26" i="32"/>
  <c r="B26" i="32"/>
  <c r="A28" i="32"/>
  <c r="B28" i="32"/>
  <c r="A30" i="32"/>
  <c r="B30" i="32"/>
  <c r="D113" i="31"/>
  <c r="H130" i="31"/>
  <c r="H133" i="31"/>
  <c r="H136" i="31"/>
  <c r="H137" i="31"/>
  <c r="H126" i="31"/>
  <c r="H123" i="31"/>
  <c r="H120" i="31"/>
  <c r="H117" i="31"/>
  <c r="H114" i="31"/>
  <c r="H11" i="2"/>
  <c r="M11" i="2"/>
  <c r="O11" i="2"/>
  <c r="H12" i="2"/>
  <c r="U11" i="2"/>
  <c r="R11" i="2"/>
  <c r="V11" i="2"/>
  <c r="S11" i="2"/>
  <c r="M12" i="2"/>
  <c r="O12" i="2"/>
  <c r="U12" i="2"/>
  <c r="R12" i="2"/>
  <c r="V12" i="2"/>
  <c r="S12" i="2"/>
  <c r="H13" i="2"/>
  <c r="M13" i="2"/>
  <c r="O13" i="2"/>
  <c r="U13" i="2"/>
  <c r="R13" i="2"/>
  <c r="V13" i="2"/>
  <c r="S13" i="2"/>
  <c r="H14" i="2"/>
  <c r="M14" i="2"/>
  <c r="O14" i="2"/>
  <c r="U14" i="2"/>
  <c r="R14" i="2"/>
  <c r="V14" i="2"/>
  <c r="S14" i="2"/>
  <c r="H15" i="2"/>
  <c r="M15" i="2"/>
  <c r="O15" i="2"/>
  <c r="U15" i="2"/>
  <c r="R15" i="2"/>
  <c r="V15" i="2"/>
  <c r="S15" i="2"/>
  <c r="H16" i="2"/>
  <c r="M16" i="2"/>
  <c r="O16" i="2"/>
  <c r="U16" i="2"/>
  <c r="R16" i="2"/>
  <c r="V16" i="2"/>
  <c r="S16" i="2"/>
  <c r="H17" i="2"/>
  <c r="M17" i="2"/>
  <c r="O17" i="2"/>
  <c r="U17" i="2"/>
  <c r="R17" i="2"/>
  <c r="V17" i="2"/>
  <c r="S17" i="2"/>
  <c r="H18" i="2"/>
  <c r="M18" i="2"/>
  <c r="O18" i="2"/>
  <c r="U18" i="2"/>
  <c r="R18" i="2"/>
  <c r="V18" i="2"/>
  <c r="S18" i="2"/>
  <c r="H19" i="2"/>
  <c r="M19" i="2"/>
  <c r="O19" i="2"/>
  <c r="U19" i="2"/>
  <c r="R19" i="2"/>
  <c r="V19" i="2"/>
  <c r="S19" i="2"/>
  <c r="H20" i="2"/>
  <c r="M20" i="2"/>
  <c r="O20" i="2"/>
  <c r="U20" i="2"/>
  <c r="R20" i="2"/>
  <c r="V20" i="2"/>
  <c r="S20" i="2"/>
  <c r="H21" i="2"/>
  <c r="M21" i="2"/>
  <c r="O21" i="2"/>
  <c r="U21" i="2"/>
  <c r="R21" i="2"/>
  <c r="V21" i="2"/>
  <c r="S21" i="2"/>
  <c r="H22" i="2"/>
  <c r="M22" i="2"/>
  <c r="O22" i="2"/>
  <c r="U22" i="2"/>
  <c r="R22" i="2"/>
  <c r="V22" i="2"/>
  <c r="S22" i="2"/>
  <c r="H23" i="2"/>
  <c r="M23" i="2"/>
  <c r="O23" i="2"/>
  <c r="U23" i="2"/>
  <c r="R23" i="2"/>
  <c r="V23" i="2"/>
  <c r="S23" i="2"/>
  <c r="H24" i="2"/>
  <c r="M24" i="2"/>
  <c r="O24" i="2"/>
  <c r="U24" i="2"/>
  <c r="R24" i="2"/>
  <c r="V24" i="2"/>
  <c r="S24" i="2"/>
  <c r="H25" i="2"/>
  <c r="M25" i="2"/>
  <c r="O25" i="2"/>
  <c r="U25" i="2"/>
  <c r="R25" i="2"/>
  <c r="V25" i="2"/>
  <c r="S25" i="2"/>
  <c r="H26" i="2"/>
  <c r="M26" i="2"/>
  <c r="O26" i="2"/>
  <c r="U26" i="2"/>
  <c r="R26" i="2"/>
  <c r="V26" i="2"/>
  <c r="S26" i="2"/>
  <c r="H27" i="2"/>
  <c r="M27" i="2"/>
  <c r="O27" i="2"/>
  <c r="U27" i="2"/>
  <c r="R27" i="2"/>
  <c r="V27" i="2"/>
  <c r="S27" i="2"/>
  <c r="H28" i="2"/>
  <c r="M28" i="2"/>
  <c r="O28" i="2"/>
  <c r="U28" i="2"/>
  <c r="R28" i="2"/>
  <c r="V28" i="2"/>
  <c r="S28" i="2"/>
  <c r="H29" i="2"/>
  <c r="M29" i="2"/>
  <c r="O29" i="2"/>
  <c r="U29" i="2"/>
  <c r="R29" i="2"/>
  <c r="V29" i="2"/>
  <c r="S29" i="2"/>
  <c r="H30" i="2"/>
  <c r="M30" i="2"/>
  <c r="O30" i="2"/>
  <c r="U30" i="2"/>
  <c r="R30" i="2"/>
  <c r="V30" i="2"/>
  <c r="S30" i="2"/>
  <c r="H31" i="2"/>
  <c r="M31" i="2"/>
  <c r="O31" i="2"/>
  <c r="U31" i="2"/>
  <c r="R31" i="2"/>
  <c r="V31" i="2"/>
  <c r="S31" i="2"/>
  <c r="H32" i="2"/>
  <c r="M32" i="2"/>
  <c r="O32" i="2"/>
  <c r="U32" i="2"/>
  <c r="R32" i="2"/>
  <c r="V32" i="2"/>
  <c r="S32" i="2"/>
  <c r="H33" i="2"/>
  <c r="M33" i="2"/>
  <c r="O33" i="2"/>
  <c r="U33" i="2"/>
  <c r="R33" i="2"/>
  <c r="V33" i="2"/>
  <c r="S33" i="2"/>
  <c r="H34" i="2"/>
  <c r="M34" i="2"/>
  <c r="O34" i="2"/>
  <c r="U34" i="2"/>
  <c r="R34" i="2"/>
  <c r="V34" i="2"/>
  <c r="S34" i="2"/>
  <c r="H35" i="2"/>
  <c r="M35" i="2"/>
  <c r="O35" i="2"/>
  <c r="U35" i="2"/>
  <c r="R35" i="2"/>
  <c r="V35" i="2"/>
  <c r="S35" i="2"/>
  <c r="H36" i="2"/>
  <c r="M36" i="2"/>
  <c r="O36" i="2"/>
  <c r="U36" i="2"/>
  <c r="R36" i="2"/>
  <c r="V36" i="2"/>
  <c r="S36" i="2"/>
  <c r="H37" i="2"/>
  <c r="M37" i="2"/>
  <c r="O37" i="2"/>
  <c r="U37" i="2"/>
  <c r="R37" i="2"/>
  <c r="V37" i="2"/>
  <c r="S37" i="2"/>
  <c r="H38" i="2"/>
  <c r="M38" i="2"/>
  <c r="O38" i="2"/>
  <c r="U38" i="2"/>
  <c r="R38" i="2"/>
  <c r="V38" i="2"/>
  <c r="S38" i="2"/>
  <c r="H39" i="2"/>
  <c r="M39" i="2"/>
  <c r="O39" i="2"/>
  <c r="U39" i="2"/>
  <c r="R39" i="2"/>
  <c r="V39" i="2"/>
  <c r="S39" i="2"/>
  <c r="H40" i="2"/>
  <c r="M40" i="2"/>
  <c r="O40" i="2"/>
  <c r="U40" i="2"/>
  <c r="R40" i="2"/>
  <c r="V40" i="2"/>
  <c r="S40" i="2"/>
  <c r="H41" i="2"/>
  <c r="M41" i="2"/>
  <c r="O41" i="2"/>
  <c r="U41" i="2"/>
  <c r="R41" i="2"/>
  <c r="V41" i="2"/>
  <c r="S41" i="2"/>
  <c r="H42" i="2"/>
  <c r="M42" i="2"/>
  <c r="O42" i="2"/>
  <c r="U42" i="2"/>
  <c r="R42" i="2"/>
  <c r="V42" i="2"/>
  <c r="S42" i="2"/>
  <c r="H43" i="2"/>
  <c r="M43" i="2"/>
  <c r="O43" i="2"/>
  <c r="U43" i="2"/>
  <c r="R43" i="2"/>
  <c r="V43" i="2"/>
  <c r="S43" i="2"/>
  <c r="H44" i="2"/>
  <c r="M44" i="2"/>
  <c r="O44" i="2"/>
  <c r="U44" i="2"/>
  <c r="R44" i="2"/>
  <c r="V44" i="2"/>
  <c r="S44" i="2"/>
  <c r="H45" i="2"/>
  <c r="M45" i="2"/>
  <c r="O45" i="2"/>
  <c r="U45" i="2"/>
  <c r="R45" i="2"/>
  <c r="V45" i="2"/>
  <c r="S45" i="2"/>
  <c r="H46" i="2"/>
  <c r="M46" i="2"/>
  <c r="O46" i="2"/>
  <c r="U46" i="2"/>
  <c r="R46" i="2"/>
  <c r="V46" i="2"/>
  <c r="S46" i="2"/>
  <c r="H47" i="2"/>
  <c r="M47" i="2"/>
  <c r="O47" i="2"/>
  <c r="U47" i="2"/>
  <c r="R47" i="2"/>
  <c r="V47" i="2"/>
  <c r="S47" i="2"/>
  <c r="H48" i="2"/>
  <c r="M48" i="2"/>
  <c r="O48" i="2"/>
  <c r="U48" i="2"/>
  <c r="R48" i="2"/>
  <c r="V48" i="2"/>
  <c r="S48" i="2"/>
  <c r="H49" i="2"/>
  <c r="M49" i="2"/>
  <c r="O49" i="2"/>
  <c r="U49" i="2"/>
  <c r="R49" i="2"/>
  <c r="V49" i="2"/>
  <c r="S49" i="2"/>
  <c r="H50" i="2"/>
  <c r="M50" i="2"/>
  <c r="O50" i="2"/>
  <c r="U50" i="2"/>
  <c r="R50" i="2"/>
  <c r="V50" i="2"/>
  <c r="S50" i="2"/>
  <c r="H51" i="2"/>
  <c r="M51" i="2"/>
  <c r="O51" i="2"/>
  <c r="U51" i="2"/>
  <c r="R51" i="2"/>
  <c r="V51" i="2"/>
  <c r="S51" i="2"/>
  <c r="H52" i="2"/>
  <c r="M52" i="2"/>
  <c r="O52" i="2"/>
  <c r="U52" i="2"/>
  <c r="R52" i="2"/>
  <c r="V52" i="2"/>
  <c r="S52" i="2"/>
  <c r="H53" i="2"/>
  <c r="M53" i="2"/>
  <c r="O53" i="2"/>
  <c r="U53" i="2"/>
  <c r="R53" i="2"/>
  <c r="V53" i="2"/>
  <c r="S53" i="2"/>
  <c r="H54" i="2"/>
  <c r="M54" i="2"/>
  <c r="O54" i="2"/>
  <c r="U54" i="2"/>
  <c r="R54" i="2"/>
  <c r="V54" i="2"/>
  <c r="S54" i="2"/>
  <c r="H55" i="2"/>
  <c r="M55" i="2"/>
  <c r="O55" i="2"/>
  <c r="U55" i="2"/>
  <c r="R55" i="2"/>
  <c r="V55" i="2"/>
  <c r="S55" i="2"/>
  <c r="H56" i="2"/>
  <c r="M56" i="2"/>
  <c r="O56" i="2"/>
  <c r="U56" i="2"/>
  <c r="R56" i="2"/>
  <c r="V56" i="2"/>
  <c r="S56" i="2"/>
  <c r="H57" i="2"/>
  <c r="M57" i="2"/>
  <c r="O57" i="2"/>
  <c r="U57" i="2"/>
  <c r="R57" i="2"/>
  <c r="V57" i="2"/>
  <c r="S57" i="2"/>
  <c r="H58" i="2"/>
  <c r="M58" i="2"/>
  <c r="O58" i="2"/>
  <c r="U58" i="2"/>
  <c r="R58" i="2"/>
  <c r="V58" i="2"/>
  <c r="S58" i="2"/>
  <c r="H59" i="2"/>
  <c r="M59" i="2"/>
  <c r="O59" i="2"/>
  <c r="U59" i="2"/>
  <c r="R59" i="2"/>
  <c r="V59" i="2"/>
  <c r="S59" i="2"/>
  <c r="H60" i="2"/>
  <c r="M60" i="2"/>
  <c r="O60" i="2"/>
  <c r="U60" i="2"/>
  <c r="R60" i="2"/>
  <c r="V60" i="2"/>
  <c r="S60" i="2"/>
  <c r="H61" i="2"/>
  <c r="M61" i="2"/>
  <c r="O61" i="2"/>
  <c r="U61" i="2"/>
  <c r="R61" i="2"/>
  <c r="V61" i="2"/>
  <c r="S61" i="2"/>
  <c r="H62" i="2"/>
  <c r="M62" i="2"/>
  <c r="O62" i="2"/>
  <c r="U62" i="2"/>
  <c r="R62" i="2"/>
  <c r="V62" i="2"/>
  <c r="S62" i="2"/>
  <c r="H63" i="2"/>
  <c r="M63" i="2"/>
  <c r="O63" i="2"/>
  <c r="U63" i="2"/>
  <c r="R63" i="2"/>
  <c r="V63" i="2"/>
  <c r="S63" i="2"/>
  <c r="H64" i="2"/>
  <c r="M64" i="2"/>
  <c r="O64" i="2"/>
  <c r="U64" i="2"/>
  <c r="R64" i="2"/>
  <c r="V64" i="2"/>
  <c r="S64" i="2"/>
  <c r="H65" i="2"/>
  <c r="M65" i="2"/>
  <c r="O65" i="2"/>
  <c r="U65" i="2"/>
  <c r="R65" i="2"/>
  <c r="V65" i="2"/>
  <c r="S65" i="2"/>
  <c r="H66" i="2"/>
  <c r="M66" i="2"/>
  <c r="O66" i="2"/>
  <c r="U66" i="2"/>
  <c r="R66" i="2"/>
  <c r="V66" i="2"/>
  <c r="S66" i="2"/>
  <c r="H67" i="2"/>
  <c r="M67" i="2"/>
  <c r="O67" i="2"/>
  <c r="U67" i="2"/>
  <c r="R67" i="2"/>
  <c r="V67" i="2"/>
  <c r="S67" i="2"/>
  <c r="H68" i="2"/>
  <c r="M68" i="2"/>
  <c r="O68" i="2"/>
  <c r="U68" i="2"/>
  <c r="R68" i="2"/>
  <c r="V68" i="2"/>
  <c r="S68" i="2"/>
  <c r="H69" i="2"/>
  <c r="M69" i="2"/>
  <c r="O69" i="2"/>
  <c r="U69" i="2"/>
  <c r="R69" i="2"/>
  <c r="V69" i="2"/>
  <c r="S69" i="2"/>
  <c r="H70" i="2"/>
  <c r="M70" i="2"/>
  <c r="O70" i="2"/>
  <c r="U70" i="2"/>
  <c r="R70" i="2"/>
  <c r="V70" i="2"/>
  <c r="S70" i="2"/>
  <c r="H71" i="2"/>
  <c r="M71" i="2"/>
  <c r="O71" i="2"/>
  <c r="U71" i="2"/>
  <c r="R71" i="2"/>
  <c r="V71" i="2"/>
  <c r="S71" i="2"/>
  <c r="H72" i="2"/>
  <c r="M72" i="2"/>
  <c r="O72" i="2"/>
  <c r="U72" i="2"/>
  <c r="R72" i="2"/>
  <c r="V72" i="2"/>
  <c r="S72" i="2"/>
  <c r="H73" i="2"/>
  <c r="M73" i="2"/>
  <c r="O73" i="2"/>
  <c r="U73" i="2"/>
  <c r="R73" i="2"/>
  <c r="V73" i="2"/>
  <c r="S73" i="2"/>
  <c r="H74" i="2"/>
  <c r="M74" i="2"/>
  <c r="O74" i="2"/>
  <c r="U74" i="2"/>
  <c r="R74" i="2"/>
  <c r="V74" i="2"/>
  <c r="S74" i="2"/>
  <c r="H75" i="2"/>
  <c r="M75" i="2"/>
  <c r="O75" i="2"/>
  <c r="U75" i="2"/>
  <c r="R75" i="2"/>
  <c r="V75" i="2"/>
  <c r="S75" i="2"/>
  <c r="H76" i="2"/>
  <c r="M76" i="2"/>
  <c r="O76" i="2"/>
  <c r="U76" i="2"/>
  <c r="R76" i="2"/>
  <c r="V76" i="2"/>
  <c r="S76" i="2"/>
  <c r="H77" i="2"/>
  <c r="M77" i="2"/>
  <c r="O77" i="2"/>
  <c r="U77" i="2"/>
  <c r="R77" i="2"/>
  <c r="V77" i="2"/>
  <c r="S77" i="2"/>
  <c r="H78" i="2"/>
  <c r="M78" i="2"/>
  <c r="O78" i="2"/>
  <c r="U78" i="2"/>
  <c r="R78" i="2"/>
  <c r="V78" i="2"/>
  <c r="S78" i="2"/>
  <c r="H79" i="2"/>
  <c r="M79" i="2"/>
  <c r="O79" i="2"/>
  <c r="U79" i="2"/>
  <c r="R79" i="2"/>
  <c r="V79" i="2"/>
  <c r="S79" i="2"/>
  <c r="H80" i="2"/>
  <c r="M80" i="2"/>
  <c r="O80" i="2"/>
  <c r="U80" i="2"/>
  <c r="R80" i="2"/>
  <c r="V80" i="2"/>
  <c r="S80" i="2"/>
  <c r="H81" i="2"/>
  <c r="M81" i="2"/>
  <c r="O81" i="2"/>
  <c r="U81" i="2"/>
  <c r="R81" i="2"/>
  <c r="V81" i="2"/>
  <c r="S81" i="2"/>
  <c r="H82" i="2"/>
  <c r="M82" i="2"/>
  <c r="O82" i="2"/>
  <c r="U82" i="2"/>
  <c r="R82" i="2"/>
  <c r="V82" i="2"/>
  <c r="S82" i="2"/>
  <c r="H83" i="2"/>
  <c r="M83" i="2"/>
  <c r="O83" i="2"/>
  <c r="U83" i="2"/>
  <c r="R83" i="2"/>
  <c r="V83" i="2"/>
  <c r="S83" i="2"/>
  <c r="H84" i="2"/>
  <c r="M84" i="2"/>
  <c r="O84" i="2"/>
  <c r="U84" i="2"/>
  <c r="R84" i="2"/>
  <c r="V84" i="2"/>
  <c r="S84" i="2"/>
  <c r="H85" i="2"/>
  <c r="M85" i="2"/>
  <c r="O85" i="2"/>
  <c r="U85" i="2"/>
  <c r="R85" i="2"/>
  <c r="V85" i="2"/>
  <c r="S85" i="2"/>
  <c r="H86" i="2"/>
  <c r="M86" i="2"/>
  <c r="O86" i="2"/>
  <c r="U86" i="2"/>
  <c r="R86" i="2"/>
  <c r="V86" i="2"/>
  <c r="S86" i="2"/>
  <c r="H87" i="2"/>
  <c r="M87" i="2"/>
  <c r="O87" i="2"/>
  <c r="U87" i="2"/>
  <c r="R87" i="2"/>
  <c r="V87" i="2"/>
  <c r="S87" i="2"/>
  <c r="H88" i="2"/>
  <c r="M88" i="2"/>
  <c r="O88" i="2"/>
  <c r="U88" i="2"/>
  <c r="R88" i="2"/>
  <c r="V88" i="2"/>
  <c r="S88" i="2"/>
  <c r="H89" i="2"/>
  <c r="M89" i="2"/>
  <c r="O89" i="2"/>
  <c r="U89" i="2"/>
  <c r="R89" i="2"/>
  <c r="V89" i="2"/>
  <c r="S89" i="2"/>
  <c r="H90" i="2"/>
  <c r="M90" i="2"/>
  <c r="O90" i="2"/>
  <c r="U90" i="2"/>
  <c r="R90" i="2"/>
  <c r="V90" i="2"/>
  <c r="S90" i="2"/>
  <c r="H91" i="2"/>
  <c r="M91" i="2"/>
  <c r="O91" i="2"/>
  <c r="U91" i="2"/>
  <c r="R91" i="2"/>
  <c r="V91" i="2"/>
  <c r="S91" i="2"/>
  <c r="H92" i="2"/>
  <c r="M92" i="2"/>
  <c r="O92" i="2"/>
  <c r="U92" i="2"/>
  <c r="R92" i="2"/>
  <c r="V92" i="2"/>
  <c r="S92" i="2"/>
  <c r="H93" i="2"/>
  <c r="M93" i="2"/>
  <c r="O93" i="2"/>
  <c r="U93" i="2"/>
  <c r="R93" i="2"/>
  <c r="V93" i="2"/>
  <c r="S93" i="2"/>
  <c r="H94" i="2"/>
  <c r="M94" i="2"/>
  <c r="O94" i="2"/>
  <c r="U94" i="2"/>
  <c r="R94" i="2"/>
  <c r="V94" i="2"/>
  <c r="S94" i="2"/>
  <c r="H95" i="2"/>
  <c r="M95" i="2"/>
  <c r="O95" i="2"/>
  <c r="U95" i="2"/>
  <c r="R95" i="2"/>
  <c r="V95" i="2"/>
  <c r="S95" i="2"/>
  <c r="H96" i="2"/>
  <c r="M96" i="2"/>
  <c r="O96" i="2"/>
  <c r="U96" i="2"/>
  <c r="R96" i="2"/>
  <c r="V96" i="2"/>
  <c r="S96" i="2"/>
  <c r="H97" i="2"/>
  <c r="M97" i="2"/>
  <c r="O97" i="2"/>
  <c r="U97" i="2"/>
  <c r="R97" i="2"/>
  <c r="V97" i="2"/>
  <c r="S97" i="2"/>
  <c r="H98" i="2"/>
  <c r="M98" i="2"/>
  <c r="O98" i="2"/>
  <c r="U98" i="2"/>
  <c r="R98" i="2"/>
  <c r="V98" i="2"/>
  <c r="S98" i="2"/>
  <c r="H99" i="2"/>
  <c r="M99" i="2"/>
  <c r="O99" i="2"/>
  <c r="U99" i="2"/>
  <c r="R99" i="2"/>
  <c r="V99" i="2"/>
  <c r="S99" i="2"/>
  <c r="H100" i="2"/>
  <c r="M100" i="2"/>
  <c r="O100" i="2"/>
  <c r="U100" i="2"/>
  <c r="R100" i="2"/>
  <c r="V100" i="2"/>
  <c r="S100" i="2"/>
  <c r="H101" i="2"/>
  <c r="M101" i="2"/>
  <c r="O101" i="2"/>
  <c r="U101" i="2"/>
  <c r="R101" i="2"/>
  <c r="V101" i="2"/>
  <c r="S101" i="2"/>
  <c r="H102" i="2"/>
  <c r="M102" i="2"/>
  <c r="O102" i="2"/>
  <c r="U102" i="2"/>
  <c r="R102" i="2"/>
  <c r="V102" i="2"/>
  <c r="S102" i="2"/>
  <c r="H103" i="2"/>
  <c r="M103" i="2"/>
  <c r="O103" i="2"/>
  <c r="U103" i="2"/>
  <c r="R103" i="2"/>
  <c r="V103" i="2"/>
  <c r="S103" i="2"/>
  <c r="H104" i="2"/>
  <c r="M104" i="2"/>
  <c r="O104" i="2"/>
  <c r="U104" i="2"/>
  <c r="R104" i="2"/>
  <c r="V104" i="2"/>
  <c r="S104" i="2"/>
  <c r="H105" i="2"/>
  <c r="M105" i="2"/>
  <c r="O105" i="2"/>
  <c r="U105" i="2"/>
  <c r="R105" i="2"/>
  <c r="V105" i="2"/>
  <c r="S105" i="2"/>
  <c r="H106" i="2"/>
  <c r="M106" i="2"/>
  <c r="O106" i="2"/>
  <c r="U106" i="2"/>
  <c r="R106" i="2"/>
  <c r="V106" i="2"/>
  <c r="S106" i="2"/>
  <c r="H107" i="2"/>
  <c r="M107" i="2"/>
  <c r="O107" i="2"/>
  <c r="U107" i="2"/>
  <c r="R107" i="2"/>
  <c r="V107" i="2"/>
  <c r="S107" i="2"/>
  <c r="H108" i="2"/>
  <c r="M108" i="2"/>
  <c r="O108" i="2"/>
  <c r="U108" i="2"/>
  <c r="R108" i="2"/>
  <c r="V108" i="2"/>
  <c r="S108" i="2"/>
  <c r="H109" i="2"/>
  <c r="M109" i="2"/>
  <c r="O109" i="2"/>
  <c r="U109" i="2"/>
  <c r="R109" i="2"/>
  <c r="V109" i="2"/>
  <c r="S109" i="2"/>
  <c r="H110" i="2"/>
  <c r="M110" i="2"/>
  <c r="O110" i="2"/>
  <c r="U110" i="2"/>
  <c r="R110" i="2"/>
  <c r="V110" i="2"/>
  <c r="S110" i="2"/>
  <c r="H111" i="2"/>
  <c r="M111" i="2"/>
  <c r="O111" i="2"/>
  <c r="U111" i="2"/>
  <c r="R111" i="2"/>
  <c r="V111" i="2"/>
  <c r="S111" i="2"/>
  <c r="H112" i="2"/>
  <c r="M112" i="2"/>
  <c r="O112" i="2"/>
  <c r="U112" i="2"/>
  <c r="R112" i="2"/>
  <c r="V112" i="2"/>
  <c r="S112" i="2"/>
  <c r="H113" i="2"/>
  <c r="M113" i="2"/>
  <c r="O113" i="2"/>
  <c r="U113" i="2"/>
  <c r="R113" i="2"/>
  <c r="V113" i="2"/>
  <c r="S113" i="2"/>
  <c r="H114" i="2"/>
  <c r="M114" i="2"/>
  <c r="O114" i="2"/>
  <c r="U114" i="2"/>
  <c r="R114" i="2"/>
  <c r="V114" i="2"/>
  <c r="S114" i="2"/>
  <c r="H115" i="2"/>
  <c r="M115" i="2"/>
  <c r="O115" i="2"/>
  <c r="U115" i="2"/>
  <c r="R115" i="2"/>
  <c r="V115" i="2"/>
  <c r="S115" i="2"/>
  <c r="H116" i="2"/>
  <c r="M116" i="2"/>
  <c r="O116" i="2"/>
  <c r="U116" i="2"/>
  <c r="R116" i="2"/>
  <c r="V116" i="2"/>
  <c r="S116" i="2"/>
  <c r="H117" i="2"/>
  <c r="M117" i="2"/>
  <c r="O117" i="2"/>
  <c r="U117" i="2"/>
  <c r="R117" i="2"/>
  <c r="V117" i="2"/>
  <c r="S117" i="2"/>
  <c r="H118" i="2"/>
  <c r="M118" i="2"/>
  <c r="O118" i="2"/>
  <c r="U118" i="2"/>
  <c r="R118" i="2"/>
  <c r="V118" i="2"/>
  <c r="S118" i="2"/>
  <c r="H119" i="2"/>
  <c r="M119" i="2"/>
  <c r="O119" i="2"/>
  <c r="U119" i="2"/>
  <c r="R119" i="2"/>
  <c r="V119" i="2"/>
  <c r="S119" i="2"/>
  <c r="H120" i="2"/>
  <c r="M120" i="2"/>
  <c r="O120" i="2"/>
  <c r="U120" i="2"/>
  <c r="R120" i="2"/>
  <c r="V120" i="2"/>
  <c r="S120" i="2"/>
  <c r="H121" i="2"/>
  <c r="M121" i="2"/>
  <c r="O121" i="2"/>
  <c r="U121" i="2"/>
  <c r="R121" i="2"/>
  <c r="V121" i="2"/>
  <c r="S121" i="2"/>
  <c r="H122" i="2"/>
  <c r="M122" i="2"/>
  <c r="O122" i="2"/>
  <c r="U122" i="2"/>
  <c r="R122" i="2"/>
  <c r="V122" i="2"/>
  <c r="S122" i="2"/>
  <c r="H123" i="2"/>
  <c r="M123" i="2"/>
  <c r="O123" i="2"/>
  <c r="U123" i="2"/>
  <c r="R123" i="2"/>
  <c r="V123" i="2"/>
  <c r="S123" i="2"/>
  <c r="H124" i="2"/>
  <c r="M124" i="2"/>
  <c r="O124" i="2"/>
  <c r="U124" i="2"/>
  <c r="R124" i="2"/>
  <c r="V124" i="2"/>
  <c r="S124" i="2"/>
  <c r="H125" i="2"/>
  <c r="M125" i="2"/>
  <c r="O125" i="2"/>
  <c r="U125" i="2"/>
  <c r="R125" i="2"/>
  <c r="V125" i="2"/>
  <c r="S125" i="2"/>
  <c r="H126" i="2"/>
  <c r="M126" i="2"/>
  <c r="O126" i="2"/>
  <c r="U126" i="2"/>
  <c r="R126" i="2"/>
  <c r="V126" i="2"/>
  <c r="S126" i="2"/>
  <c r="H127" i="2"/>
  <c r="M127" i="2"/>
  <c r="O127" i="2"/>
  <c r="U127" i="2"/>
  <c r="R127" i="2"/>
  <c r="V127" i="2"/>
  <c r="S127" i="2"/>
  <c r="H128" i="2"/>
  <c r="M128" i="2"/>
  <c r="O128" i="2"/>
  <c r="U128" i="2"/>
  <c r="R128" i="2"/>
  <c r="V128" i="2"/>
  <c r="S128" i="2"/>
  <c r="H129" i="2"/>
  <c r="M129" i="2"/>
  <c r="O129" i="2"/>
  <c r="U129" i="2"/>
  <c r="R129" i="2"/>
  <c r="V129" i="2"/>
  <c r="S129" i="2"/>
  <c r="H130" i="2"/>
  <c r="M130" i="2"/>
  <c r="O130" i="2"/>
  <c r="U130" i="2"/>
  <c r="R130" i="2"/>
  <c r="V130" i="2"/>
  <c r="S130" i="2"/>
  <c r="H131" i="2"/>
  <c r="M131" i="2"/>
  <c r="O131" i="2"/>
  <c r="U131" i="2"/>
  <c r="R131" i="2"/>
  <c r="V131" i="2"/>
  <c r="S131" i="2"/>
  <c r="H132" i="2"/>
  <c r="M132" i="2"/>
  <c r="O132" i="2"/>
  <c r="U132" i="2"/>
  <c r="R132" i="2"/>
  <c r="V132" i="2"/>
  <c r="S132" i="2"/>
  <c r="H133" i="2"/>
  <c r="M133" i="2"/>
  <c r="O133" i="2"/>
  <c r="U133" i="2"/>
  <c r="R133" i="2"/>
  <c r="V133" i="2"/>
  <c r="S133" i="2"/>
  <c r="H134" i="2"/>
  <c r="M134" i="2"/>
  <c r="O134" i="2"/>
  <c r="U134" i="2"/>
  <c r="R134" i="2"/>
  <c r="V134" i="2"/>
  <c r="S134" i="2"/>
  <c r="H135" i="2"/>
  <c r="M135" i="2"/>
  <c r="O135" i="2"/>
  <c r="U135" i="2"/>
  <c r="R135" i="2"/>
  <c r="V135" i="2"/>
  <c r="S135" i="2"/>
  <c r="H136" i="2"/>
  <c r="M136" i="2"/>
  <c r="O136" i="2"/>
  <c r="U136" i="2"/>
  <c r="R136" i="2"/>
  <c r="V136" i="2"/>
  <c r="S136" i="2"/>
  <c r="H137" i="2"/>
  <c r="M137" i="2"/>
  <c r="O137" i="2"/>
  <c r="U137" i="2"/>
  <c r="R137" i="2"/>
  <c r="V137" i="2"/>
  <c r="S137" i="2"/>
  <c r="H138" i="2"/>
  <c r="M138" i="2"/>
  <c r="O138" i="2"/>
  <c r="U138" i="2"/>
  <c r="R138" i="2"/>
  <c r="V138" i="2"/>
  <c r="S138" i="2"/>
  <c r="H139" i="2"/>
  <c r="M139" i="2"/>
  <c r="O139" i="2"/>
  <c r="U139" i="2"/>
  <c r="R139" i="2"/>
  <c r="V139" i="2"/>
  <c r="S139" i="2"/>
  <c r="H140" i="2"/>
  <c r="M140" i="2"/>
  <c r="O140" i="2"/>
  <c r="U140" i="2"/>
  <c r="R140" i="2"/>
  <c r="V140" i="2"/>
  <c r="S140" i="2"/>
  <c r="H141" i="2"/>
  <c r="M141" i="2"/>
  <c r="O141" i="2"/>
  <c r="U141" i="2"/>
  <c r="R141" i="2"/>
  <c r="V141" i="2"/>
  <c r="S141" i="2"/>
  <c r="H142" i="2"/>
  <c r="M142" i="2"/>
  <c r="O142" i="2"/>
  <c r="U142" i="2"/>
  <c r="R142" i="2"/>
  <c r="V142" i="2"/>
  <c r="S142" i="2"/>
  <c r="H143" i="2"/>
  <c r="M143" i="2"/>
  <c r="O143" i="2"/>
  <c r="U143" i="2"/>
  <c r="R143" i="2"/>
  <c r="V143" i="2"/>
  <c r="S143" i="2"/>
  <c r="H144" i="2"/>
  <c r="M144" i="2"/>
  <c r="O144" i="2"/>
  <c r="U144" i="2"/>
  <c r="R144" i="2"/>
  <c r="V144" i="2"/>
  <c r="S144" i="2"/>
  <c r="H145" i="2"/>
  <c r="M145" i="2"/>
  <c r="O145" i="2"/>
  <c r="U145" i="2"/>
  <c r="R145" i="2"/>
  <c r="V145" i="2"/>
  <c r="S145" i="2"/>
  <c r="H146" i="2"/>
  <c r="M146" i="2"/>
  <c r="O146" i="2"/>
  <c r="U146" i="2"/>
  <c r="R146" i="2"/>
  <c r="V146" i="2"/>
  <c r="S146" i="2"/>
  <c r="H147" i="2"/>
  <c r="M147" i="2"/>
  <c r="O147" i="2"/>
  <c r="U147" i="2"/>
  <c r="R147" i="2"/>
  <c r="V147" i="2"/>
  <c r="S147" i="2"/>
  <c r="H148" i="2"/>
  <c r="M148" i="2"/>
  <c r="O148" i="2"/>
  <c r="U148" i="2"/>
  <c r="R148" i="2"/>
  <c r="V148" i="2"/>
  <c r="S148" i="2"/>
  <c r="H149" i="2"/>
  <c r="M149" i="2"/>
  <c r="O149" i="2"/>
  <c r="U149" i="2"/>
  <c r="R149" i="2"/>
  <c r="V149" i="2"/>
  <c r="S149" i="2"/>
  <c r="H150" i="2"/>
  <c r="M150" i="2"/>
  <c r="O150" i="2"/>
  <c r="U150" i="2"/>
  <c r="R150" i="2"/>
  <c r="V150" i="2"/>
  <c r="S150" i="2"/>
  <c r="H151" i="2"/>
  <c r="M151" i="2"/>
  <c r="O151" i="2"/>
  <c r="U151" i="2"/>
  <c r="R151" i="2"/>
  <c r="V151" i="2"/>
  <c r="S151" i="2"/>
  <c r="H152" i="2"/>
  <c r="M152" i="2"/>
  <c r="O152" i="2"/>
  <c r="U152" i="2"/>
  <c r="R152" i="2"/>
  <c r="V152" i="2"/>
  <c r="S152" i="2"/>
  <c r="H153" i="2"/>
  <c r="M153" i="2"/>
  <c r="O153" i="2"/>
  <c r="U153" i="2"/>
  <c r="R153" i="2"/>
  <c r="V153" i="2"/>
  <c r="S153" i="2"/>
  <c r="H154" i="2"/>
  <c r="M154" i="2"/>
  <c r="O154" i="2"/>
  <c r="U154" i="2"/>
  <c r="R154" i="2"/>
  <c r="V154" i="2"/>
  <c r="S154" i="2"/>
  <c r="H155" i="2"/>
  <c r="M155" i="2"/>
  <c r="O155" i="2"/>
  <c r="U155" i="2"/>
  <c r="R155" i="2"/>
  <c r="V155" i="2"/>
  <c r="S155" i="2"/>
  <c r="H156" i="2"/>
  <c r="M156" i="2"/>
  <c r="O156" i="2"/>
  <c r="U156" i="2"/>
  <c r="R156" i="2"/>
  <c r="V156" i="2"/>
  <c r="S156" i="2"/>
  <c r="H157" i="2"/>
  <c r="M157" i="2"/>
  <c r="O157" i="2"/>
  <c r="U157" i="2"/>
  <c r="R157" i="2"/>
  <c r="V157" i="2"/>
  <c r="S157" i="2"/>
  <c r="H158" i="2"/>
  <c r="M158" i="2"/>
  <c r="O158" i="2"/>
  <c r="U158" i="2"/>
  <c r="R158" i="2"/>
  <c r="V158" i="2"/>
  <c r="S158" i="2"/>
  <c r="H159" i="2"/>
  <c r="M159" i="2"/>
  <c r="O159" i="2"/>
  <c r="U159" i="2"/>
  <c r="R159" i="2"/>
  <c r="V159" i="2"/>
  <c r="S159" i="2"/>
  <c r="H160" i="2"/>
  <c r="M160" i="2"/>
  <c r="O160" i="2"/>
  <c r="U160" i="2"/>
  <c r="R160" i="2"/>
  <c r="V160" i="2"/>
  <c r="S160" i="2"/>
  <c r="H161" i="2"/>
  <c r="M161" i="2"/>
  <c r="O161" i="2"/>
  <c r="U161" i="2"/>
  <c r="R161" i="2"/>
  <c r="V161" i="2"/>
  <c r="S161" i="2"/>
  <c r="H162" i="2"/>
  <c r="M162" i="2"/>
  <c r="O162" i="2"/>
  <c r="U162" i="2"/>
  <c r="R162" i="2"/>
  <c r="V162" i="2"/>
  <c r="S162" i="2"/>
  <c r="H163" i="2"/>
  <c r="M163" i="2"/>
  <c r="O163" i="2"/>
  <c r="U163" i="2"/>
  <c r="R163" i="2"/>
  <c r="V163" i="2"/>
  <c r="S163" i="2"/>
  <c r="H164" i="2"/>
  <c r="M164" i="2"/>
  <c r="O164" i="2"/>
  <c r="U164" i="2"/>
  <c r="R164" i="2"/>
  <c r="V164" i="2"/>
  <c r="S164" i="2"/>
  <c r="H165" i="2"/>
  <c r="M165" i="2"/>
  <c r="O165" i="2"/>
  <c r="U165" i="2"/>
  <c r="R165" i="2"/>
  <c r="V165" i="2"/>
  <c r="S165" i="2"/>
  <c r="H166" i="2"/>
  <c r="M166" i="2"/>
  <c r="O166" i="2"/>
  <c r="U166" i="2"/>
  <c r="R166" i="2"/>
  <c r="V166" i="2"/>
  <c r="S166" i="2"/>
  <c r="H167" i="2"/>
  <c r="M167" i="2"/>
  <c r="O167" i="2"/>
  <c r="U167" i="2"/>
  <c r="R167" i="2"/>
  <c r="V167" i="2"/>
  <c r="S167" i="2"/>
  <c r="H168" i="2"/>
  <c r="M168" i="2"/>
  <c r="O168" i="2"/>
  <c r="U168" i="2"/>
  <c r="R168" i="2"/>
  <c r="V168" i="2"/>
  <c r="S168" i="2"/>
  <c r="H169" i="2"/>
  <c r="M169" i="2"/>
  <c r="O169" i="2"/>
  <c r="U169" i="2"/>
  <c r="R169" i="2"/>
  <c r="V169" i="2"/>
  <c r="S169" i="2"/>
  <c r="H170" i="2"/>
  <c r="M170" i="2"/>
  <c r="O170" i="2"/>
  <c r="U170" i="2"/>
  <c r="R170" i="2"/>
  <c r="V170" i="2"/>
  <c r="S170" i="2"/>
  <c r="H171" i="2"/>
  <c r="M171" i="2"/>
  <c r="O171" i="2"/>
  <c r="U171" i="2"/>
  <c r="R171" i="2"/>
  <c r="V171" i="2"/>
  <c r="S171" i="2"/>
  <c r="H172" i="2"/>
  <c r="M172" i="2"/>
  <c r="O172" i="2"/>
  <c r="U172" i="2"/>
  <c r="R172" i="2"/>
  <c r="V172" i="2"/>
  <c r="S172" i="2"/>
  <c r="H173" i="2"/>
  <c r="M173" i="2"/>
  <c r="O173" i="2"/>
  <c r="U173" i="2"/>
  <c r="R173" i="2"/>
  <c r="V173" i="2"/>
  <c r="S173" i="2"/>
  <c r="H174" i="2"/>
  <c r="M174" i="2"/>
  <c r="O174" i="2"/>
  <c r="U174" i="2"/>
  <c r="R174" i="2"/>
  <c r="V174" i="2"/>
  <c r="S174" i="2"/>
  <c r="H175" i="2"/>
  <c r="M175" i="2"/>
  <c r="O175" i="2"/>
  <c r="U175" i="2"/>
  <c r="R175" i="2"/>
  <c r="V175" i="2"/>
  <c r="S175" i="2"/>
  <c r="H176" i="2"/>
  <c r="M176" i="2"/>
  <c r="O176" i="2"/>
  <c r="U176" i="2"/>
  <c r="R176" i="2"/>
  <c r="V176" i="2"/>
  <c r="S176" i="2"/>
  <c r="H177" i="2"/>
  <c r="M177" i="2"/>
  <c r="O177" i="2"/>
  <c r="U177" i="2"/>
  <c r="R177" i="2"/>
  <c r="V177" i="2"/>
  <c r="S177" i="2"/>
  <c r="H178" i="2"/>
  <c r="M178" i="2"/>
  <c r="O178" i="2"/>
  <c r="U178" i="2"/>
  <c r="R178" i="2"/>
  <c r="V178" i="2"/>
  <c r="S178" i="2"/>
  <c r="H179" i="2"/>
  <c r="M179" i="2"/>
  <c r="O179" i="2"/>
  <c r="U179" i="2"/>
  <c r="R179" i="2"/>
  <c r="V179" i="2"/>
  <c r="S179" i="2"/>
  <c r="H180" i="2"/>
  <c r="M180" i="2"/>
  <c r="O180" i="2"/>
  <c r="U180" i="2"/>
  <c r="R180" i="2"/>
  <c r="V180" i="2"/>
  <c r="S180" i="2"/>
  <c r="H181" i="2"/>
  <c r="M181" i="2"/>
  <c r="O181" i="2"/>
  <c r="U181" i="2"/>
  <c r="R181" i="2"/>
  <c r="V181" i="2"/>
  <c r="S181" i="2"/>
  <c r="H182" i="2"/>
  <c r="M182" i="2"/>
  <c r="O182" i="2"/>
  <c r="U182" i="2"/>
  <c r="R182" i="2"/>
  <c r="V182" i="2"/>
  <c r="S182" i="2"/>
  <c r="H183" i="2"/>
  <c r="M183" i="2"/>
  <c r="O183" i="2"/>
  <c r="U183" i="2"/>
  <c r="R183" i="2"/>
  <c r="V183" i="2"/>
  <c r="S183" i="2"/>
  <c r="H184" i="2"/>
  <c r="M184" i="2"/>
  <c r="O184" i="2"/>
  <c r="U184" i="2"/>
  <c r="R184" i="2"/>
  <c r="V184" i="2"/>
  <c r="S184" i="2"/>
  <c r="H185" i="2"/>
  <c r="M185" i="2"/>
  <c r="O185" i="2"/>
  <c r="U185" i="2"/>
  <c r="R185" i="2"/>
  <c r="V185" i="2"/>
  <c r="S185" i="2"/>
  <c r="H186" i="2"/>
  <c r="M186" i="2"/>
  <c r="O186" i="2"/>
  <c r="U186" i="2"/>
  <c r="R186" i="2"/>
  <c r="V186" i="2"/>
  <c r="S186" i="2"/>
  <c r="H187" i="2"/>
  <c r="M187" i="2"/>
  <c r="O187" i="2"/>
  <c r="U187" i="2"/>
  <c r="R187" i="2"/>
  <c r="V187" i="2"/>
  <c r="S187" i="2"/>
  <c r="H188" i="2"/>
  <c r="M188" i="2"/>
  <c r="O188" i="2"/>
  <c r="U188" i="2"/>
  <c r="R188" i="2"/>
  <c r="V188" i="2"/>
  <c r="S188" i="2"/>
  <c r="H189" i="2"/>
  <c r="M189" i="2"/>
  <c r="O189" i="2"/>
  <c r="U189" i="2"/>
  <c r="R189" i="2"/>
  <c r="V189" i="2"/>
  <c r="S189" i="2"/>
  <c r="H190" i="2"/>
  <c r="M190" i="2"/>
  <c r="O190" i="2"/>
  <c r="U190" i="2"/>
  <c r="R190" i="2"/>
  <c r="V190" i="2"/>
  <c r="S190" i="2"/>
  <c r="H191" i="2"/>
  <c r="M191" i="2"/>
  <c r="O191" i="2"/>
  <c r="U191" i="2"/>
  <c r="R191" i="2"/>
  <c r="V191" i="2"/>
  <c r="S191" i="2"/>
  <c r="H192" i="2"/>
  <c r="M192" i="2"/>
  <c r="O192" i="2"/>
  <c r="U192" i="2"/>
  <c r="R192" i="2"/>
  <c r="V192" i="2"/>
  <c r="S192" i="2"/>
  <c r="H193" i="2"/>
  <c r="M193" i="2"/>
  <c r="O193" i="2"/>
  <c r="U193" i="2"/>
  <c r="R193" i="2"/>
  <c r="V193" i="2"/>
  <c r="S193" i="2"/>
  <c r="H194" i="2"/>
  <c r="M194" i="2"/>
  <c r="O194" i="2"/>
  <c r="U194" i="2"/>
  <c r="R194" i="2"/>
  <c r="V194" i="2"/>
  <c r="S194" i="2"/>
  <c r="H195" i="2"/>
  <c r="M195" i="2"/>
  <c r="O195" i="2"/>
  <c r="U195" i="2"/>
  <c r="R195" i="2"/>
  <c r="V195" i="2"/>
  <c r="S195" i="2"/>
  <c r="H196" i="2"/>
  <c r="M196" i="2"/>
  <c r="O196" i="2"/>
  <c r="U196" i="2"/>
  <c r="R196" i="2"/>
  <c r="V196" i="2"/>
  <c r="S196" i="2"/>
  <c r="H197" i="2"/>
  <c r="M197" i="2"/>
  <c r="O197" i="2"/>
  <c r="U197" i="2"/>
  <c r="R197" i="2"/>
  <c r="V197" i="2"/>
  <c r="S197" i="2"/>
  <c r="H198" i="2"/>
  <c r="M198" i="2"/>
  <c r="O198" i="2"/>
  <c r="U198" i="2"/>
  <c r="R198" i="2"/>
  <c r="V198" i="2"/>
  <c r="S198" i="2"/>
  <c r="H199" i="2"/>
  <c r="M199" i="2"/>
  <c r="O199" i="2"/>
  <c r="U199" i="2"/>
  <c r="R199" i="2"/>
  <c r="V199" i="2"/>
  <c r="S199" i="2"/>
  <c r="H200" i="2"/>
  <c r="M200" i="2"/>
  <c r="O200" i="2"/>
  <c r="U200" i="2"/>
  <c r="R200" i="2"/>
  <c r="V200" i="2"/>
  <c r="S200" i="2"/>
  <c r="H201" i="2"/>
  <c r="M201" i="2"/>
  <c r="O201" i="2"/>
  <c r="U201" i="2"/>
  <c r="R201" i="2"/>
  <c r="V201" i="2"/>
  <c r="S201" i="2"/>
  <c r="H202" i="2"/>
  <c r="M202" i="2"/>
  <c r="O202" i="2"/>
  <c r="U202" i="2"/>
  <c r="R202" i="2"/>
  <c r="V202" i="2"/>
  <c r="S202" i="2"/>
  <c r="H203" i="2"/>
  <c r="M203" i="2"/>
  <c r="O203" i="2"/>
  <c r="U203" i="2"/>
  <c r="R203" i="2"/>
  <c r="V203" i="2"/>
  <c r="S203" i="2"/>
  <c r="H204" i="2"/>
  <c r="M204" i="2"/>
  <c r="O204" i="2"/>
  <c r="U204" i="2"/>
  <c r="R204" i="2"/>
  <c r="V204" i="2"/>
  <c r="S204" i="2"/>
  <c r="H205" i="2"/>
  <c r="M205" i="2"/>
  <c r="O205" i="2"/>
  <c r="U205" i="2"/>
  <c r="R205" i="2"/>
  <c r="V205" i="2"/>
  <c r="S205" i="2"/>
  <c r="H206" i="2"/>
  <c r="M206" i="2"/>
  <c r="O206" i="2"/>
  <c r="U206" i="2"/>
  <c r="R206" i="2"/>
  <c r="V206" i="2"/>
  <c r="S206" i="2"/>
  <c r="H207" i="2"/>
  <c r="M207" i="2"/>
  <c r="O207" i="2"/>
  <c r="U207" i="2"/>
  <c r="R207" i="2"/>
  <c r="V207" i="2"/>
  <c r="S207" i="2"/>
  <c r="H208" i="2"/>
  <c r="M208" i="2"/>
  <c r="O208" i="2"/>
  <c r="U208" i="2"/>
  <c r="R208" i="2"/>
  <c r="V208" i="2"/>
  <c r="S208" i="2"/>
  <c r="H209" i="2"/>
  <c r="M209" i="2"/>
  <c r="O209" i="2"/>
  <c r="U209" i="2"/>
  <c r="R209" i="2"/>
  <c r="V209" i="2"/>
  <c r="S209" i="2"/>
  <c r="H210" i="2"/>
  <c r="M210" i="2"/>
  <c r="O210" i="2"/>
  <c r="U210" i="2"/>
  <c r="R210" i="2"/>
  <c r="V210" i="2"/>
  <c r="S210" i="2"/>
  <c r="H211" i="2"/>
  <c r="M211" i="2"/>
  <c r="O211" i="2"/>
  <c r="U211" i="2"/>
  <c r="R211" i="2"/>
  <c r="V211" i="2"/>
  <c r="S211" i="2"/>
  <c r="H212" i="2"/>
  <c r="M212" i="2"/>
  <c r="O212" i="2"/>
  <c r="U212" i="2"/>
  <c r="R212" i="2"/>
  <c r="V212" i="2"/>
  <c r="S212" i="2"/>
  <c r="H213" i="2"/>
  <c r="M213" i="2"/>
  <c r="O213" i="2"/>
  <c r="U213" i="2"/>
  <c r="R213" i="2"/>
  <c r="V213" i="2"/>
  <c r="S213" i="2"/>
  <c r="H214" i="2"/>
  <c r="M214" i="2"/>
  <c r="O214" i="2"/>
  <c r="U214" i="2"/>
  <c r="R214" i="2"/>
  <c r="V214" i="2"/>
  <c r="S214" i="2"/>
  <c r="H215" i="2"/>
  <c r="M215" i="2"/>
  <c r="O215" i="2"/>
  <c r="U215" i="2"/>
  <c r="R215" i="2"/>
  <c r="V215" i="2"/>
  <c r="S215" i="2"/>
  <c r="H216" i="2"/>
  <c r="M216" i="2"/>
  <c r="O216" i="2"/>
  <c r="U216" i="2"/>
  <c r="R216" i="2"/>
  <c r="V216" i="2"/>
  <c r="S216" i="2"/>
  <c r="H217" i="2"/>
  <c r="M217" i="2"/>
  <c r="O217" i="2"/>
  <c r="U217" i="2"/>
  <c r="R217" i="2"/>
  <c r="V217" i="2"/>
  <c r="S217" i="2"/>
  <c r="H218" i="2"/>
  <c r="M218" i="2"/>
  <c r="O218" i="2"/>
  <c r="U218" i="2"/>
  <c r="R218" i="2"/>
  <c r="V218" i="2"/>
  <c r="S218" i="2"/>
  <c r="H219" i="2"/>
  <c r="M219" i="2"/>
  <c r="O219" i="2"/>
  <c r="U219" i="2"/>
  <c r="R219" i="2"/>
  <c r="V219" i="2"/>
  <c r="S219" i="2"/>
  <c r="H220" i="2"/>
  <c r="M220" i="2"/>
  <c r="O220" i="2"/>
  <c r="U220" i="2"/>
  <c r="R220" i="2"/>
  <c r="V220" i="2"/>
  <c r="S220" i="2"/>
  <c r="H221" i="2"/>
  <c r="M221" i="2"/>
  <c r="O221" i="2"/>
  <c r="U221" i="2"/>
  <c r="R221" i="2"/>
  <c r="V221" i="2"/>
  <c r="S221" i="2"/>
  <c r="H222" i="2"/>
  <c r="M222" i="2"/>
  <c r="O222" i="2"/>
  <c r="U222" i="2"/>
  <c r="R222" i="2"/>
  <c r="V222" i="2"/>
  <c r="S222" i="2"/>
  <c r="H223" i="2"/>
  <c r="M223" i="2"/>
  <c r="O223" i="2"/>
  <c r="U223" i="2"/>
  <c r="R223" i="2"/>
  <c r="V223" i="2"/>
  <c r="S223" i="2"/>
  <c r="H224" i="2"/>
  <c r="M224" i="2"/>
  <c r="O224" i="2"/>
  <c r="U224" i="2"/>
  <c r="R224" i="2"/>
  <c r="V224" i="2"/>
  <c r="S224" i="2"/>
  <c r="H225" i="2"/>
  <c r="M225" i="2"/>
  <c r="O225" i="2"/>
  <c r="U225" i="2"/>
  <c r="R225" i="2"/>
  <c r="V225" i="2"/>
  <c r="S225" i="2"/>
  <c r="H226" i="2"/>
  <c r="M226" i="2"/>
  <c r="O226" i="2"/>
  <c r="U226" i="2"/>
  <c r="R226" i="2"/>
  <c r="V226" i="2"/>
  <c r="S226" i="2"/>
  <c r="H227" i="2"/>
  <c r="M227" i="2"/>
  <c r="O227" i="2"/>
  <c r="U227" i="2"/>
  <c r="R227" i="2"/>
  <c r="V227" i="2"/>
  <c r="S227" i="2"/>
  <c r="H228" i="2"/>
  <c r="M228" i="2"/>
  <c r="O228" i="2"/>
  <c r="U228" i="2"/>
  <c r="R228" i="2"/>
  <c r="V228" i="2"/>
  <c r="S228" i="2"/>
  <c r="H229" i="2"/>
  <c r="M229" i="2"/>
  <c r="O229" i="2"/>
  <c r="U229" i="2"/>
  <c r="R229" i="2"/>
  <c r="V229" i="2"/>
  <c r="S229" i="2"/>
  <c r="H230" i="2"/>
  <c r="M230" i="2"/>
  <c r="O230" i="2"/>
  <c r="U230" i="2"/>
  <c r="R230" i="2"/>
  <c r="V230" i="2"/>
  <c r="S230" i="2"/>
  <c r="H231" i="2"/>
  <c r="M231" i="2"/>
  <c r="O231" i="2"/>
  <c r="U231" i="2"/>
  <c r="R231" i="2"/>
  <c r="V231" i="2"/>
  <c r="S231" i="2"/>
  <c r="H232" i="2"/>
  <c r="M232" i="2"/>
  <c r="O232" i="2"/>
  <c r="U232" i="2"/>
  <c r="R232" i="2"/>
  <c r="V232" i="2"/>
  <c r="S232" i="2"/>
  <c r="H233" i="2"/>
  <c r="M233" i="2"/>
  <c r="O233" i="2"/>
  <c r="U233" i="2"/>
  <c r="R233" i="2"/>
  <c r="V233" i="2"/>
  <c r="S233" i="2"/>
  <c r="H234" i="2"/>
  <c r="M234" i="2"/>
  <c r="O234" i="2"/>
  <c r="U234" i="2"/>
  <c r="R234" i="2"/>
  <c r="V234" i="2"/>
  <c r="S234" i="2"/>
  <c r="H235" i="2"/>
  <c r="M235" i="2"/>
  <c r="O235" i="2"/>
  <c r="U235" i="2"/>
  <c r="R235" i="2"/>
  <c r="V235" i="2"/>
  <c r="S235" i="2"/>
  <c r="H236" i="2"/>
  <c r="M236" i="2"/>
  <c r="O236" i="2"/>
  <c r="U236" i="2"/>
  <c r="R236" i="2"/>
  <c r="V236" i="2"/>
  <c r="S236" i="2"/>
  <c r="H237" i="2"/>
  <c r="M237" i="2"/>
  <c r="O237" i="2"/>
  <c r="U237" i="2"/>
  <c r="R237" i="2"/>
  <c r="V237" i="2"/>
  <c r="S237" i="2"/>
  <c r="H238" i="2"/>
  <c r="M238" i="2"/>
  <c r="O238" i="2"/>
  <c r="U238" i="2"/>
  <c r="R238" i="2"/>
  <c r="V238" i="2"/>
  <c r="S238" i="2"/>
  <c r="H239" i="2"/>
  <c r="M239" i="2"/>
  <c r="O239" i="2"/>
  <c r="U239" i="2"/>
  <c r="R239" i="2"/>
  <c r="V239" i="2"/>
  <c r="S239" i="2"/>
  <c r="H240" i="2"/>
  <c r="M240" i="2"/>
  <c r="O240" i="2"/>
  <c r="U240" i="2"/>
  <c r="R240" i="2"/>
  <c r="V240" i="2"/>
  <c r="S240" i="2"/>
  <c r="H241" i="2"/>
  <c r="M241" i="2"/>
  <c r="O241" i="2"/>
  <c r="U241" i="2"/>
  <c r="R241" i="2"/>
  <c r="V241" i="2"/>
  <c r="S241" i="2"/>
  <c r="H242" i="2"/>
  <c r="M242" i="2"/>
  <c r="O242" i="2"/>
  <c r="U242" i="2"/>
  <c r="R242" i="2"/>
  <c r="V242" i="2"/>
  <c r="S242" i="2"/>
  <c r="H243" i="2"/>
  <c r="M243" i="2"/>
  <c r="O243" i="2"/>
  <c r="U243" i="2"/>
  <c r="R243" i="2"/>
  <c r="V243" i="2"/>
  <c r="S243" i="2"/>
  <c r="H244" i="2"/>
  <c r="M244" i="2"/>
  <c r="O244" i="2"/>
  <c r="U244" i="2"/>
  <c r="R244" i="2"/>
  <c r="V244" i="2"/>
  <c r="S244" i="2"/>
  <c r="H245" i="2"/>
  <c r="M245" i="2"/>
  <c r="O245" i="2"/>
  <c r="U245" i="2"/>
  <c r="R245" i="2"/>
  <c r="V245" i="2"/>
  <c r="S245" i="2"/>
  <c r="H246" i="2"/>
  <c r="M246" i="2"/>
  <c r="O246" i="2"/>
  <c r="U246" i="2"/>
  <c r="R246" i="2"/>
  <c r="V246" i="2"/>
  <c r="S246" i="2"/>
  <c r="H247" i="2"/>
  <c r="M247" i="2"/>
  <c r="O247" i="2"/>
  <c r="U247" i="2"/>
  <c r="R247" i="2"/>
  <c r="V247" i="2"/>
  <c r="S247" i="2"/>
  <c r="H248" i="2"/>
  <c r="M248" i="2"/>
  <c r="O248" i="2"/>
  <c r="U248" i="2"/>
  <c r="R248" i="2"/>
  <c r="V248" i="2"/>
  <c r="S248" i="2"/>
  <c r="H249" i="2"/>
  <c r="M249" i="2"/>
  <c r="O249" i="2"/>
  <c r="U249" i="2"/>
  <c r="R249" i="2"/>
  <c r="V249" i="2"/>
  <c r="S249" i="2"/>
  <c r="H250" i="2"/>
  <c r="M250" i="2"/>
  <c r="O250" i="2"/>
  <c r="U250" i="2"/>
  <c r="R250" i="2"/>
  <c r="V250" i="2"/>
  <c r="S250" i="2"/>
  <c r="H251" i="2"/>
  <c r="M251" i="2"/>
  <c r="O251" i="2"/>
  <c r="U251" i="2"/>
  <c r="R251" i="2"/>
  <c r="V251" i="2"/>
  <c r="S251" i="2"/>
  <c r="H252" i="2"/>
  <c r="M252" i="2"/>
  <c r="O252" i="2"/>
  <c r="U252" i="2"/>
  <c r="R252" i="2"/>
  <c r="V252" i="2"/>
  <c r="S252" i="2"/>
  <c r="H253" i="2"/>
  <c r="M253" i="2"/>
  <c r="O253" i="2"/>
  <c r="U253" i="2"/>
  <c r="R253" i="2"/>
  <c r="V253" i="2"/>
  <c r="S253" i="2"/>
  <c r="H254" i="2"/>
  <c r="M254" i="2"/>
  <c r="O254" i="2"/>
  <c r="U254" i="2"/>
  <c r="R254" i="2"/>
  <c r="V254" i="2"/>
  <c r="S254" i="2"/>
  <c r="H255" i="2"/>
  <c r="M255" i="2"/>
  <c r="O255" i="2"/>
  <c r="U255" i="2"/>
  <c r="R255" i="2"/>
  <c r="V255" i="2"/>
  <c r="S255" i="2"/>
  <c r="H256" i="2"/>
  <c r="M256" i="2"/>
  <c r="O256" i="2"/>
  <c r="U256" i="2"/>
  <c r="R256" i="2"/>
  <c r="V256" i="2"/>
  <c r="S256" i="2"/>
  <c r="H257" i="2"/>
  <c r="M257" i="2"/>
  <c r="O257" i="2"/>
  <c r="U257" i="2"/>
  <c r="R257" i="2"/>
  <c r="V257" i="2"/>
  <c r="S257" i="2"/>
  <c r="H258" i="2"/>
  <c r="M258" i="2"/>
  <c r="O258" i="2"/>
  <c r="U258" i="2"/>
  <c r="R258" i="2"/>
  <c r="V258" i="2"/>
  <c r="S258" i="2"/>
  <c r="H259" i="2"/>
  <c r="M259" i="2"/>
  <c r="O259" i="2"/>
  <c r="U259" i="2"/>
  <c r="R259" i="2"/>
  <c r="V259" i="2"/>
  <c r="S259" i="2"/>
  <c r="H260" i="2"/>
  <c r="M260" i="2"/>
  <c r="O260" i="2"/>
  <c r="U260" i="2"/>
  <c r="R260" i="2"/>
  <c r="V260" i="2"/>
  <c r="S260" i="2"/>
  <c r="H261" i="2"/>
  <c r="M261" i="2"/>
  <c r="O261" i="2"/>
  <c r="U261" i="2"/>
  <c r="R261" i="2"/>
  <c r="V261" i="2"/>
  <c r="S261" i="2"/>
  <c r="H262" i="2"/>
  <c r="M262" i="2"/>
  <c r="O262" i="2"/>
  <c r="U262" i="2"/>
  <c r="R262" i="2"/>
  <c r="V262" i="2"/>
  <c r="S262" i="2"/>
  <c r="H263" i="2"/>
  <c r="M263" i="2"/>
  <c r="O263" i="2"/>
  <c r="U263" i="2"/>
  <c r="R263" i="2"/>
  <c r="V263" i="2"/>
  <c r="S263" i="2"/>
  <c r="H264" i="2"/>
  <c r="M264" i="2"/>
  <c r="O264" i="2"/>
  <c r="U264" i="2"/>
  <c r="R264" i="2"/>
  <c r="V264" i="2"/>
  <c r="S264" i="2"/>
  <c r="H265" i="2"/>
  <c r="M265" i="2"/>
  <c r="O265" i="2"/>
  <c r="U265" i="2"/>
  <c r="R265" i="2"/>
  <c r="V265" i="2"/>
  <c r="S265" i="2"/>
  <c r="H266" i="2"/>
  <c r="M266" i="2"/>
  <c r="O266" i="2"/>
  <c r="U266" i="2"/>
  <c r="R266" i="2"/>
  <c r="V266" i="2"/>
  <c r="S266" i="2"/>
  <c r="H267" i="2"/>
  <c r="M267" i="2"/>
  <c r="O267" i="2"/>
  <c r="U267" i="2"/>
  <c r="R267" i="2"/>
  <c r="V267" i="2"/>
  <c r="S267" i="2"/>
  <c r="H268" i="2"/>
  <c r="M268" i="2"/>
  <c r="O268" i="2"/>
  <c r="U268" i="2"/>
  <c r="R268" i="2"/>
  <c r="V268" i="2"/>
  <c r="S268" i="2"/>
  <c r="H269" i="2"/>
  <c r="M269" i="2"/>
  <c r="O269" i="2"/>
  <c r="U269" i="2"/>
  <c r="R269" i="2"/>
  <c r="V269" i="2"/>
  <c r="S269" i="2"/>
  <c r="H270" i="2"/>
  <c r="M270" i="2"/>
  <c r="O270" i="2"/>
  <c r="U270" i="2"/>
  <c r="R270" i="2"/>
  <c r="V270" i="2"/>
  <c r="S270" i="2"/>
  <c r="H271" i="2"/>
  <c r="M271" i="2"/>
  <c r="O271" i="2"/>
  <c r="U271" i="2"/>
  <c r="R271" i="2"/>
  <c r="V271" i="2"/>
  <c r="S271" i="2"/>
  <c r="H272" i="2"/>
  <c r="M272" i="2"/>
  <c r="O272" i="2"/>
  <c r="U272" i="2"/>
  <c r="R272" i="2"/>
  <c r="V272" i="2"/>
  <c r="S272" i="2"/>
  <c r="H273" i="2"/>
  <c r="M273" i="2"/>
  <c r="O273" i="2"/>
  <c r="U273" i="2"/>
  <c r="R273" i="2"/>
  <c r="V273" i="2"/>
  <c r="S273" i="2"/>
  <c r="H274" i="2"/>
  <c r="M274" i="2"/>
  <c r="O274" i="2"/>
  <c r="U274" i="2"/>
  <c r="R274" i="2"/>
  <c r="V274" i="2"/>
  <c r="S274" i="2"/>
  <c r="H275" i="2"/>
  <c r="M275" i="2"/>
  <c r="O275" i="2"/>
  <c r="U275" i="2"/>
  <c r="R275" i="2"/>
  <c r="V275" i="2"/>
  <c r="S275" i="2"/>
  <c r="H276" i="2"/>
  <c r="M276" i="2"/>
  <c r="O276" i="2"/>
  <c r="U276" i="2"/>
  <c r="R276" i="2"/>
  <c r="V276" i="2"/>
  <c r="S276" i="2"/>
  <c r="H277" i="2"/>
  <c r="M277" i="2"/>
  <c r="O277" i="2"/>
  <c r="U277" i="2"/>
  <c r="R277" i="2"/>
  <c r="V277" i="2"/>
  <c r="S277" i="2"/>
  <c r="H278" i="2"/>
  <c r="M278" i="2"/>
  <c r="O278" i="2"/>
  <c r="U278" i="2"/>
  <c r="R278" i="2"/>
  <c r="V278" i="2"/>
  <c r="S278" i="2"/>
  <c r="H279" i="2"/>
  <c r="M279" i="2"/>
  <c r="O279" i="2"/>
  <c r="U279" i="2"/>
  <c r="R279" i="2"/>
  <c r="V279" i="2"/>
  <c r="S279" i="2"/>
  <c r="H280" i="2"/>
  <c r="M280" i="2"/>
  <c r="O280" i="2"/>
  <c r="U280" i="2"/>
  <c r="R280" i="2"/>
  <c r="V280" i="2"/>
  <c r="S280" i="2"/>
  <c r="H281" i="2"/>
  <c r="M281" i="2"/>
  <c r="O281" i="2"/>
  <c r="U281" i="2"/>
  <c r="R281" i="2"/>
  <c r="V281" i="2"/>
  <c r="S281" i="2"/>
  <c r="H282" i="2"/>
  <c r="M282" i="2"/>
  <c r="O282" i="2"/>
  <c r="U282" i="2"/>
  <c r="R282" i="2"/>
  <c r="V282" i="2"/>
  <c r="S282" i="2"/>
  <c r="H283" i="2"/>
  <c r="M283" i="2"/>
  <c r="O283" i="2"/>
  <c r="U283" i="2"/>
  <c r="R283" i="2"/>
  <c r="V283" i="2"/>
  <c r="S283" i="2"/>
  <c r="H284" i="2"/>
  <c r="M284" i="2"/>
  <c r="O284" i="2"/>
  <c r="U284" i="2"/>
  <c r="R284" i="2"/>
  <c r="V284" i="2"/>
  <c r="S284" i="2"/>
  <c r="H285" i="2"/>
  <c r="M285" i="2"/>
  <c r="O285" i="2"/>
  <c r="U285" i="2"/>
  <c r="R285" i="2"/>
  <c r="V285" i="2"/>
  <c r="S285" i="2"/>
  <c r="H286" i="2"/>
  <c r="M286" i="2"/>
  <c r="O286" i="2"/>
  <c r="U286" i="2"/>
  <c r="R286" i="2"/>
  <c r="V286" i="2"/>
  <c r="S286" i="2"/>
  <c r="H287" i="2"/>
  <c r="M287" i="2"/>
  <c r="O287" i="2"/>
  <c r="U287" i="2"/>
  <c r="R287" i="2"/>
  <c r="V287" i="2"/>
  <c r="S287" i="2"/>
  <c r="H288" i="2"/>
  <c r="M288" i="2"/>
  <c r="O288" i="2"/>
  <c r="U288" i="2"/>
  <c r="R288" i="2"/>
  <c r="V288" i="2"/>
  <c r="S288" i="2"/>
  <c r="H289" i="2"/>
  <c r="M289" i="2"/>
  <c r="O289" i="2"/>
  <c r="U289" i="2"/>
  <c r="R289" i="2"/>
  <c r="V289" i="2"/>
  <c r="S289" i="2"/>
  <c r="H290" i="2"/>
  <c r="M290" i="2"/>
  <c r="O290" i="2"/>
  <c r="U290" i="2"/>
  <c r="R290" i="2"/>
  <c r="V290" i="2"/>
  <c r="S290" i="2"/>
  <c r="H291" i="2"/>
  <c r="M291" i="2"/>
  <c r="O291" i="2"/>
  <c r="U291" i="2"/>
  <c r="R291" i="2"/>
  <c r="V291" i="2"/>
  <c r="S291" i="2"/>
  <c r="H292" i="2"/>
  <c r="M292" i="2"/>
  <c r="O292" i="2"/>
  <c r="U292" i="2"/>
  <c r="R292" i="2"/>
  <c r="V292" i="2"/>
  <c r="S292" i="2"/>
  <c r="H293" i="2"/>
  <c r="M293" i="2"/>
  <c r="O293" i="2"/>
  <c r="U293" i="2"/>
  <c r="R293" i="2"/>
  <c r="V293" i="2"/>
  <c r="S293" i="2"/>
  <c r="H294" i="2"/>
  <c r="M294" i="2"/>
  <c r="O294" i="2"/>
  <c r="U294" i="2"/>
  <c r="R294" i="2"/>
  <c r="V294" i="2"/>
  <c r="S294" i="2"/>
  <c r="H295" i="2"/>
  <c r="M295" i="2"/>
  <c r="O295" i="2"/>
  <c r="U295" i="2"/>
  <c r="R295" i="2"/>
  <c r="V295" i="2"/>
  <c r="S295" i="2"/>
  <c r="H296" i="2"/>
  <c r="M296" i="2"/>
  <c r="O296" i="2"/>
  <c r="U296" i="2"/>
  <c r="R296" i="2"/>
  <c r="V296" i="2"/>
  <c r="S296" i="2"/>
  <c r="H297" i="2"/>
  <c r="M297" i="2"/>
  <c r="O297" i="2"/>
  <c r="U297" i="2"/>
  <c r="R297" i="2"/>
  <c r="V297" i="2"/>
  <c r="S297" i="2"/>
  <c r="H298" i="2"/>
  <c r="M298" i="2"/>
  <c r="O298" i="2"/>
  <c r="U298" i="2"/>
  <c r="R298" i="2"/>
  <c r="V298" i="2"/>
  <c r="S298" i="2"/>
  <c r="H299" i="2"/>
  <c r="M299" i="2"/>
  <c r="O299" i="2"/>
  <c r="U299" i="2"/>
  <c r="R299" i="2"/>
  <c r="V299" i="2"/>
  <c r="S299" i="2"/>
  <c r="H300" i="2"/>
  <c r="M300" i="2"/>
  <c r="O300" i="2"/>
  <c r="U300" i="2"/>
  <c r="R300" i="2"/>
  <c r="V300" i="2"/>
  <c r="S300" i="2"/>
  <c r="H301" i="2"/>
  <c r="M301" i="2"/>
  <c r="O301" i="2"/>
  <c r="U301" i="2"/>
  <c r="R301" i="2"/>
  <c r="V301" i="2"/>
  <c r="S301" i="2"/>
  <c r="H302" i="2"/>
  <c r="M302" i="2"/>
  <c r="O302" i="2"/>
  <c r="U302" i="2"/>
  <c r="R302" i="2"/>
  <c r="V302" i="2"/>
  <c r="S302" i="2"/>
  <c r="H303" i="2"/>
  <c r="M303" i="2"/>
  <c r="O303" i="2"/>
  <c r="U303" i="2"/>
  <c r="R303" i="2"/>
  <c r="V303" i="2"/>
  <c r="S303" i="2"/>
  <c r="H304" i="2"/>
  <c r="M304" i="2"/>
  <c r="O304" i="2"/>
  <c r="U304" i="2"/>
  <c r="R304" i="2"/>
  <c r="V304" i="2"/>
  <c r="S304" i="2"/>
  <c r="H305" i="2"/>
  <c r="M305" i="2"/>
  <c r="O305" i="2"/>
  <c r="U305" i="2"/>
  <c r="R305" i="2"/>
  <c r="V305" i="2"/>
  <c r="S305" i="2"/>
  <c r="H306" i="2"/>
  <c r="M306" i="2"/>
  <c r="O306" i="2"/>
  <c r="U306" i="2"/>
  <c r="R306" i="2"/>
  <c r="V306" i="2"/>
  <c r="S306" i="2"/>
  <c r="H307" i="2"/>
  <c r="M307" i="2"/>
  <c r="O307" i="2"/>
  <c r="U307" i="2"/>
  <c r="R307" i="2"/>
  <c r="V307" i="2"/>
  <c r="S307" i="2"/>
  <c r="H308" i="2"/>
  <c r="M308" i="2"/>
  <c r="O308" i="2"/>
  <c r="U308" i="2"/>
  <c r="R308" i="2"/>
  <c r="V308" i="2"/>
  <c r="S308" i="2"/>
  <c r="H309" i="2"/>
  <c r="M309" i="2"/>
  <c r="O309" i="2"/>
  <c r="U309" i="2"/>
  <c r="R309" i="2"/>
  <c r="V309" i="2"/>
  <c r="S309" i="2"/>
  <c r="H310" i="2"/>
  <c r="M310" i="2"/>
  <c r="O310" i="2"/>
  <c r="U310" i="2"/>
  <c r="R310" i="2"/>
  <c r="V310" i="2"/>
  <c r="S310" i="2"/>
  <c r="H311" i="2"/>
  <c r="M311" i="2"/>
  <c r="O311" i="2"/>
  <c r="U311" i="2"/>
  <c r="R311" i="2"/>
  <c r="V311" i="2"/>
  <c r="S311" i="2"/>
  <c r="H312" i="2"/>
  <c r="M312" i="2"/>
  <c r="O312" i="2"/>
  <c r="U312" i="2"/>
  <c r="R312" i="2"/>
  <c r="V312" i="2"/>
  <c r="S312" i="2"/>
  <c r="H313" i="2"/>
  <c r="M313" i="2"/>
  <c r="O313" i="2"/>
  <c r="U313" i="2"/>
  <c r="R313" i="2"/>
  <c r="V313" i="2"/>
  <c r="S313" i="2"/>
  <c r="H314" i="2"/>
  <c r="M314" i="2"/>
  <c r="O314" i="2"/>
  <c r="U314" i="2"/>
  <c r="R314" i="2"/>
  <c r="V314" i="2"/>
  <c r="S314" i="2"/>
  <c r="H315" i="2"/>
  <c r="M315" i="2"/>
  <c r="O315" i="2"/>
  <c r="U315" i="2"/>
  <c r="R315" i="2"/>
  <c r="V315" i="2"/>
  <c r="S315" i="2"/>
  <c r="H316" i="2"/>
  <c r="M316" i="2"/>
  <c r="O316" i="2"/>
  <c r="U316" i="2"/>
  <c r="R316" i="2"/>
  <c r="V316" i="2"/>
  <c r="S316" i="2"/>
  <c r="H317" i="2"/>
  <c r="M317" i="2"/>
  <c r="O317" i="2"/>
  <c r="U317" i="2"/>
  <c r="R317" i="2"/>
  <c r="V317" i="2"/>
  <c r="S317" i="2"/>
  <c r="H318" i="2"/>
  <c r="M318" i="2"/>
  <c r="O318" i="2"/>
  <c r="U318" i="2"/>
  <c r="R318" i="2"/>
  <c r="V318" i="2"/>
  <c r="S318" i="2"/>
  <c r="H319" i="2"/>
  <c r="M319" i="2"/>
  <c r="O319" i="2"/>
  <c r="U319" i="2"/>
  <c r="R319" i="2"/>
  <c r="V319" i="2"/>
  <c r="S319" i="2"/>
  <c r="H320" i="2"/>
  <c r="M320" i="2"/>
  <c r="O320" i="2"/>
  <c r="U320" i="2"/>
  <c r="R320" i="2"/>
  <c r="V320" i="2"/>
  <c r="S320" i="2"/>
  <c r="H321" i="2"/>
  <c r="M321" i="2"/>
  <c r="O321" i="2"/>
  <c r="U321" i="2"/>
  <c r="R321" i="2"/>
  <c r="V321" i="2"/>
  <c r="S321" i="2"/>
  <c r="H322" i="2"/>
  <c r="M322" i="2"/>
  <c r="O322" i="2"/>
  <c r="U322" i="2"/>
  <c r="R322" i="2"/>
  <c r="V322" i="2"/>
  <c r="S322" i="2"/>
  <c r="H323" i="2"/>
  <c r="M323" i="2"/>
  <c r="O323" i="2"/>
  <c r="U323" i="2"/>
  <c r="R323" i="2"/>
  <c r="V323" i="2"/>
  <c r="S323" i="2"/>
  <c r="H324" i="2"/>
  <c r="M324" i="2"/>
  <c r="O324" i="2"/>
  <c r="U324" i="2"/>
  <c r="R324" i="2"/>
  <c r="V324" i="2"/>
  <c r="S324" i="2"/>
  <c r="H325" i="2"/>
  <c r="M325" i="2"/>
  <c r="O325" i="2"/>
  <c r="U325" i="2"/>
  <c r="R325" i="2"/>
  <c r="V325" i="2"/>
  <c r="S325" i="2"/>
  <c r="H326" i="2"/>
  <c r="M326" i="2"/>
  <c r="O326" i="2"/>
  <c r="U326" i="2"/>
  <c r="R326" i="2"/>
  <c r="V326" i="2"/>
  <c r="S326" i="2"/>
  <c r="H327" i="2"/>
  <c r="M327" i="2"/>
  <c r="O327" i="2"/>
  <c r="U327" i="2"/>
  <c r="R327" i="2"/>
  <c r="V327" i="2"/>
  <c r="S327" i="2"/>
  <c r="H328" i="2"/>
  <c r="M328" i="2"/>
  <c r="O328" i="2"/>
  <c r="U328" i="2"/>
  <c r="R328" i="2"/>
  <c r="V328" i="2"/>
  <c r="S328" i="2"/>
  <c r="H329" i="2"/>
  <c r="M329" i="2"/>
  <c r="O329" i="2"/>
  <c r="U329" i="2"/>
  <c r="R329" i="2"/>
  <c r="V329" i="2"/>
  <c r="S329" i="2"/>
  <c r="H330" i="2"/>
  <c r="M330" i="2"/>
  <c r="O330" i="2"/>
  <c r="U330" i="2"/>
  <c r="R330" i="2"/>
  <c r="V330" i="2"/>
  <c r="S330" i="2"/>
  <c r="H331" i="2"/>
  <c r="M331" i="2"/>
  <c r="O331" i="2"/>
  <c r="U331" i="2"/>
  <c r="R331" i="2"/>
  <c r="V331" i="2"/>
  <c r="S331" i="2"/>
  <c r="H332" i="2"/>
  <c r="M332" i="2"/>
  <c r="O332" i="2"/>
  <c r="U332" i="2"/>
  <c r="R332" i="2"/>
  <c r="V332" i="2"/>
  <c r="S332" i="2"/>
  <c r="H333" i="2"/>
  <c r="M333" i="2"/>
  <c r="O333" i="2"/>
  <c r="U333" i="2"/>
  <c r="R333" i="2"/>
  <c r="V333" i="2"/>
  <c r="S333" i="2"/>
  <c r="H334" i="2"/>
  <c r="M334" i="2"/>
  <c r="O334" i="2"/>
  <c r="U334" i="2"/>
  <c r="R334" i="2"/>
  <c r="V334" i="2"/>
  <c r="S334" i="2"/>
  <c r="H335" i="2"/>
  <c r="M335" i="2"/>
  <c r="O335" i="2"/>
  <c r="U335" i="2"/>
  <c r="R335" i="2"/>
  <c r="V335" i="2"/>
  <c r="S335" i="2"/>
  <c r="H336" i="2"/>
  <c r="M336" i="2"/>
  <c r="O336" i="2"/>
  <c r="U336" i="2"/>
  <c r="R336" i="2"/>
  <c r="V336" i="2"/>
  <c r="S336" i="2"/>
  <c r="H337" i="2"/>
  <c r="M337" i="2"/>
  <c r="O337" i="2"/>
  <c r="U337" i="2"/>
  <c r="R337" i="2"/>
  <c r="V337" i="2"/>
  <c r="S337" i="2"/>
  <c r="H338" i="2"/>
  <c r="M338" i="2"/>
  <c r="O338" i="2"/>
  <c r="U338" i="2"/>
  <c r="R338" i="2"/>
  <c r="V338" i="2"/>
  <c r="S338" i="2"/>
  <c r="H339" i="2"/>
  <c r="M339" i="2"/>
  <c r="O339" i="2"/>
  <c r="U339" i="2"/>
  <c r="R339" i="2"/>
  <c r="V339" i="2"/>
  <c r="S339" i="2"/>
  <c r="H340" i="2"/>
  <c r="M340" i="2"/>
  <c r="O340" i="2"/>
  <c r="U340" i="2"/>
  <c r="R340" i="2"/>
  <c r="V340" i="2"/>
  <c r="S340" i="2"/>
  <c r="H341" i="2"/>
  <c r="M341" i="2"/>
  <c r="O341" i="2"/>
  <c r="U341" i="2"/>
  <c r="R341" i="2"/>
  <c r="V341" i="2"/>
  <c r="S341" i="2"/>
  <c r="H342" i="2"/>
  <c r="M342" i="2"/>
  <c r="O342" i="2"/>
  <c r="U342" i="2"/>
  <c r="R342" i="2"/>
  <c r="V342" i="2"/>
  <c r="S342" i="2"/>
  <c r="H343" i="2"/>
  <c r="M343" i="2"/>
  <c r="O343" i="2"/>
  <c r="U343" i="2"/>
  <c r="R343" i="2"/>
  <c r="V343" i="2"/>
  <c r="S343" i="2"/>
  <c r="H344" i="2"/>
  <c r="M344" i="2"/>
  <c r="O344" i="2"/>
  <c r="U344" i="2"/>
  <c r="R344" i="2"/>
  <c r="V344" i="2"/>
  <c r="S344" i="2"/>
  <c r="H345" i="2"/>
  <c r="M345" i="2"/>
  <c r="O345" i="2"/>
  <c r="U345" i="2"/>
  <c r="R345" i="2"/>
  <c r="V345" i="2"/>
  <c r="S345" i="2"/>
  <c r="H346" i="2"/>
  <c r="M346" i="2"/>
  <c r="O346" i="2"/>
  <c r="U346" i="2"/>
  <c r="R346" i="2"/>
  <c r="V346" i="2"/>
  <c r="S346" i="2"/>
  <c r="H347" i="2"/>
  <c r="M347" i="2"/>
  <c r="O347" i="2"/>
  <c r="U347" i="2"/>
  <c r="R347" i="2"/>
  <c r="V347" i="2"/>
  <c r="S347" i="2"/>
  <c r="H348" i="2"/>
  <c r="M348" i="2"/>
  <c r="O348" i="2"/>
  <c r="U348" i="2"/>
  <c r="R348" i="2"/>
  <c r="V348" i="2"/>
  <c r="S348" i="2"/>
  <c r="H349" i="2"/>
  <c r="M349" i="2"/>
  <c r="O349" i="2"/>
  <c r="U349" i="2"/>
  <c r="R349" i="2"/>
  <c r="V349" i="2"/>
  <c r="S349" i="2"/>
  <c r="H350" i="2"/>
  <c r="M350" i="2"/>
  <c r="O350" i="2"/>
  <c r="U350" i="2"/>
  <c r="R350" i="2"/>
  <c r="V350" i="2"/>
  <c r="S350" i="2"/>
  <c r="H351" i="2"/>
  <c r="M351" i="2"/>
  <c r="O351" i="2"/>
  <c r="U351" i="2"/>
  <c r="R351" i="2"/>
  <c r="V351" i="2"/>
  <c r="S351" i="2"/>
  <c r="H352" i="2"/>
  <c r="M352" i="2"/>
  <c r="O352" i="2"/>
  <c r="U352" i="2"/>
  <c r="R352" i="2"/>
  <c r="V352" i="2"/>
  <c r="S352" i="2"/>
  <c r="H353" i="2"/>
  <c r="M353" i="2"/>
  <c r="O353" i="2"/>
  <c r="U353" i="2"/>
  <c r="R353" i="2"/>
  <c r="V353" i="2"/>
  <c r="S353" i="2"/>
  <c r="H354" i="2"/>
  <c r="M354" i="2"/>
  <c r="O354" i="2"/>
  <c r="U354" i="2"/>
  <c r="R354" i="2"/>
  <c r="V354" i="2"/>
  <c r="S354" i="2"/>
  <c r="H355" i="2"/>
  <c r="M355" i="2"/>
  <c r="O355" i="2"/>
  <c r="U355" i="2"/>
  <c r="R355" i="2"/>
  <c r="V355" i="2"/>
  <c r="S355" i="2"/>
  <c r="H356" i="2"/>
  <c r="M356" i="2"/>
  <c r="O356" i="2"/>
  <c r="U356" i="2"/>
  <c r="R356" i="2"/>
  <c r="V356" i="2"/>
  <c r="S356" i="2"/>
  <c r="H357" i="2"/>
  <c r="M357" i="2"/>
  <c r="O357" i="2"/>
  <c r="U357" i="2"/>
  <c r="R357" i="2"/>
  <c r="V357" i="2"/>
  <c r="S357" i="2"/>
  <c r="H358" i="2"/>
  <c r="M358" i="2"/>
  <c r="O358" i="2"/>
  <c r="U358" i="2"/>
  <c r="R358" i="2"/>
  <c r="V358" i="2"/>
  <c r="S358" i="2"/>
  <c r="H359" i="2"/>
  <c r="M359" i="2"/>
  <c r="O359" i="2"/>
  <c r="U359" i="2"/>
  <c r="R359" i="2"/>
  <c r="V359" i="2"/>
  <c r="S359" i="2"/>
  <c r="H360" i="2"/>
  <c r="M360" i="2"/>
  <c r="O360" i="2"/>
  <c r="U360" i="2"/>
  <c r="R360" i="2"/>
  <c r="V360" i="2"/>
  <c r="S360" i="2"/>
  <c r="H361" i="2"/>
  <c r="M361" i="2"/>
  <c r="O361" i="2"/>
  <c r="U361" i="2"/>
  <c r="R361" i="2"/>
  <c r="V361" i="2"/>
  <c r="S361" i="2"/>
  <c r="H362" i="2"/>
  <c r="M362" i="2"/>
  <c r="O362" i="2"/>
  <c r="U362" i="2"/>
  <c r="R362" i="2"/>
  <c r="V362" i="2"/>
  <c r="S362" i="2"/>
  <c r="H363" i="2"/>
  <c r="M363" i="2"/>
  <c r="O363" i="2"/>
  <c r="U363" i="2"/>
  <c r="R363" i="2"/>
  <c r="V363" i="2"/>
  <c r="S363" i="2"/>
  <c r="H364" i="2"/>
  <c r="M364" i="2"/>
  <c r="O364" i="2"/>
  <c r="U364" i="2"/>
  <c r="R364" i="2"/>
  <c r="V364" i="2"/>
  <c r="S364" i="2"/>
  <c r="H365" i="2"/>
  <c r="M365" i="2"/>
  <c r="O365" i="2"/>
  <c r="U365" i="2"/>
  <c r="R365" i="2"/>
  <c r="V365" i="2"/>
  <c r="S365" i="2"/>
  <c r="H366" i="2"/>
  <c r="M366" i="2"/>
  <c r="O366" i="2"/>
  <c r="U366" i="2"/>
  <c r="R366" i="2"/>
  <c r="V366" i="2"/>
  <c r="S366" i="2"/>
  <c r="H367" i="2"/>
  <c r="M367" i="2"/>
  <c r="O367" i="2"/>
  <c r="U367" i="2"/>
  <c r="R367" i="2"/>
  <c r="V367" i="2"/>
  <c r="S367" i="2"/>
  <c r="H368" i="2"/>
  <c r="M368" i="2"/>
  <c r="O368" i="2"/>
  <c r="U368" i="2"/>
  <c r="R368" i="2"/>
  <c r="V368" i="2"/>
  <c r="S368" i="2"/>
  <c r="H369" i="2"/>
  <c r="M369" i="2"/>
  <c r="O369" i="2"/>
  <c r="U369" i="2"/>
  <c r="R369" i="2"/>
  <c r="V369" i="2"/>
  <c r="S369" i="2"/>
  <c r="H370" i="2"/>
  <c r="M370" i="2"/>
  <c r="O370" i="2"/>
  <c r="U370" i="2"/>
  <c r="R370" i="2"/>
  <c r="V370" i="2"/>
  <c r="S370" i="2"/>
  <c r="H371" i="2"/>
  <c r="M371" i="2"/>
  <c r="O371" i="2"/>
  <c r="U371" i="2"/>
  <c r="R371" i="2"/>
  <c r="V371" i="2"/>
  <c r="S371" i="2"/>
  <c r="H372" i="2"/>
  <c r="M372" i="2"/>
  <c r="O372" i="2"/>
  <c r="U372" i="2"/>
  <c r="R372" i="2"/>
  <c r="V372" i="2"/>
  <c r="S372" i="2"/>
  <c r="H373" i="2"/>
  <c r="M373" i="2"/>
  <c r="O373" i="2"/>
  <c r="U373" i="2"/>
  <c r="R373" i="2"/>
  <c r="V373" i="2"/>
  <c r="S373" i="2"/>
  <c r="H374" i="2"/>
  <c r="M374" i="2"/>
  <c r="O374" i="2"/>
  <c r="U374" i="2"/>
  <c r="R374" i="2"/>
  <c r="V374" i="2"/>
  <c r="S374" i="2"/>
  <c r="H375" i="2"/>
  <c r="M375" i="2"/>
  <c r="O375" i="2"/>
  <c r="U375" i="2"/>
  <c r="R375" i="2"/>
  <c r="V375" i="2"/>
  <c r="S375" i="2"/>
  <c r="H376" i="2"/>
  <c r="M376" i="2"/>
  <c r="O376" i="2"/>
  <c r="U376" i="2"/>
  <c r="R376" i="2"/>
  <c r="V376" i="2"/>
  <c r="S376" i="2"/>
  <c r="H377" i="2"/>
  <c r="M377" i="2"/>
  <c r="O377" i="2"/>
  <c r="U377" i="2"/>
  <c r="R377" i="2"/>
  <c r="V377" i="2"/>
  <c r="S377" i="2"/>
  <c r="H378" i="2"/>
  <c r="M378" i="2"/>
  <c r="O378" i="2"/>
  <c r="U378" i="2"/>
  <c r="R378" i="2"/>
  <c r="V378" i="2"/>
  <c r="S378" i="2"/>
  <c r="H379" i="2"/>
  <c r="M379" i="2"/>
  <c r="O379" i="2"/>
  <c r="U379" i="2"/>
  <c r="R379" i="2"/>
  <c r="V379" i="2"/>
  <c r="S379" i="2"/>
  <c r="H380" i="2"/>
  <c r="M380" i="2"/>
  <c r="O380" i="2"/>
  <c r="U380" i="2"/>
  <c r="R380" i="2"/>
  <c r="V380" i="2"/>
  <c r="S380" i="2"/>
  <c r="H381" i="2"/>
  <c r="M381" i="2"/>
  <c r="O381" i="2"/>
  <c r="U381" i="2"/>
  <c r="R381" i="2"/>
  <c r="V381" i="2"/>
  <c r="S381" i="2"/>
  <c r="H382" i="2"/>
  <c r="M382" i="2"/>
  <c r="O382" i="2"/>
  <c r="U382" i="2"/>
  <c r="R382" i="2"/>
  <c r="V382" i="2"/>
  <c r="S382" i="2"/>
  <c r="H383" i="2"/>
  <c r="M383" i="2"/>
  <c r="O383" i="2"/>
  <c r="U383" i="2"/>
  <c r="R383" i="2"/>
  <c r="V383" i="2"/>
  <c r="S383" i="2"/>
  <c r="H384" i="2"/>
  <c r="M384" i="2"/>
  <c r="O384" i="2"/>
  <c r="U384" i="2"/>
  <c r="R384" i="2"/>
  <c r="V384" i="2"/>
  <c r="S384" i="2"/>
  <c r="H385" i="2"/>
  <c r="M385" i="2"/>
  <c r="O385" i="2"/>
  <c r="U385" i="2"/>
  <c r="R385" i="2"/>
  <c r="V385" i="2"/>
  <c r="S385" i="2"/>
  <c r="H386" i="2"/>
  <c r="M386" i="2"/>
  <c r="O386" i="2"/>
  <c r="U386" i="2"/>
  <c r="R386" i="2"/>
  <c r="V386" i="2"/>
  <c r="S386" i="2"/>
  <c r="H387" i="2"/>
  <c r="M387" i="2"/>
  <c r="O387" i="2"/>
  <c r="U387" i="2"/>
  <c r="R387" i="2"/>
  <c r="V387" i="2"/>
  <c r="S387" i="2"/>
  <c r="H388" i="2"/>
  <c r="M388" i="2"/>
  <c r="O388" i="2"/>
  <c r="U388" i="2"/>
  <c r="R388" i="2"/>
  <c r="V388" i="2"/>
  <c r="S388" i="2"/>
  <c r="H389" i="2"/>
  <c r="M389" i="2"/>
  <c r="O389" i="2"/>
  <c r="U389" i="2"/>
  <c r="R389" i="2"/>
  <c r="V389" i="2"/>
  <c r="S389" i="2"/>
  <c r="H390" i="2"/>
  <c r="M390" i="2"/>
  <c r="O390" i="2"/>
  <c r="U390" i="2"/>
  <c r="R390" i="2"/>
  <c r="V390" i="2"/>
  <c r="S390" i="2"/>
  <c r="H391" i="2"/>
  <c r="M391" i="2"/>
  <c r="O391" i="2"/>
  <c r="U391" i="2"/>
  <c r="R391" i="2"/>
  <c r="V391" i="2"/>
  <c r="S391" i="2"/>
  <c r="H392" i="2"/>
  <c r="M392" i="2"/>
  <c r="O392" i="2"/>
  <c r="U392" i="2"/>
  <c r="R392" i="2"/>
  <c r="V392" i="2"/>
  <c r="S392" i="2"/>
  <c r="H393" i="2"/>
  <c r="M393" i="2"/>
  <c r="O393" i="2"/>
  <c r="U393" i="2"/>
  <c r="R393" i="2"/>
  <c r="V393" i="2"/>
  <c r="S393" i="2"/>
  <c r="H394" i="2"/>
  <c r="M394" i="2"/>
  <c r="O394" i="2"/>
  <c r="U394" i="2"/>
  <c r="R394" i="2"/>
  <c r="V394" i="2"/>
  <c r="S394" i="2"/>
  <c r="H395" i="2"/>
  <c r="M395" i="2"/>
  <c r="O395" i="2"/>
  <c r="U395" i="2"/>
  <c r="R395" i="2"/>
  <c r="V395" i="2"/>
  <c r="S395" i="2"/>
  <c r="H396" i="2"/>
  <c r="M396" i="2"/>
  <c r="O396" i="2"/>
  <c r="U396" i="2"/>
  <c r="R396" i="2"/>
  <c r="V396" i="2"/>
  <c r="S396" i="2"/>
  <c r="H397" i="2"/>
  <c r="M397" i="2"/>
  <c r="O397" i="2"/>
  <c r="U397" i="2"/>
  <c r="R397" i="2"/>
  <c r="V397" i="2"/>
  <c r="S397" i="2"/>
  <c r="H398" i="2"/>
  <c r="M398" i="2"/>
  <c r="O398" i="2"/>
  <c r="U398" i="2"/>
  <c r="R398" i="2"/>
  <c r="V398" i="2"/>
  <c r="S398" i="2"/>
  <c r="H399" i="2"/>
  <c r="M399" i="2"/>
  <c r="O399" i="2"/>
  <c r="U399" i="2"/>
  <c r="R399" i="2"/>
  <c r="V399" i="2"/>
  <c r="S399" i="2"/>
  <c r="H400" i="2"/>
  <c r="M400" i="2"/>
  <c r="O400" i="2"/>
  <c r="U400" i="2"/>
  <c r="R400" i="2"/>
  <c r="V400" i="2"/>
  <c r="S400" i="2"/>
  <c r="H401" i="2"/>
  <c r="M401" i="2"/>
  <c r="O401" i="2"/>
  <c r="U401" i="2"/>
  <c r="R401" i="2"/>
  <c r="V401" i="2"/>
  <c r="S401" i="2"/>
  <c r="H402" i="2"/>
  <c r="M402" i="2"/>
  <c r="O402" i="2"/>
  <c r="U402" i="2"/>
  <c r="R402" i="2"/>
  <c r="V402" i="2"/>
  <c r="S402" i="2"/>
  <c r="H403" i="2"/>
  <c r="M403" i="2"/>
  <c r="O403" i="2"/>
  <c r="U403" i="2"/>
  <c r="R403" i="2"/>
  <c r="V403" i="2"/>
  <c r="S403" i="2"/>
  <c r="H404" i="2"/>
  <c r="M404" i="2"/>
  <c r="O404" i="2"/>
  <c r="U404" i="2"/>
  <c r="R404" i="2"/>
  <c r="V404" i="2"/>
  <c r="S404" i="2"/>
  <c r="H405" i="2"/>
  <c r="M405" i="2"/>
  <c r="O405" i="2"/>
  <c r="U405" i="2"/>
  <c r="R405" i="2"/>
  <c r="V405" i="2"/>
  <c r="S405" i="2"/>
  <c r="H406" i="2"/>
  <c r="M406" i="2"/>
  <c r="O406" i="2"/>
  <c r="U406" i="2"/>
  <c r="R406" i="2"/>
  <c r="V406" i="2"/>
  <c r="S406" i="2"/>
  <c r="H407" i="2"/>
  <c r="M407" i="2"/>
  <c r="O407" i="2"/>
  <c r="U407" i="2"/>
  <c r="R407" i="2"/>
  <c r="V407" i="2"/>
  <c r="S407" i="2"/>
  <c r="H408" i="2"/>
  <c r="M408" i="2"/>
  <c r="O408" i="2"/>
  <c r="U408" i="2"/>
  <c r="R408" i="2"/>
  <c r="V408" i="2"/>
  <c r="S408" i="2"/>
  <c r="H409" i="2"/>
  <c r="M409" i="2"/>
  <c r="O409" i="2"/>
  <c r="U409" i="2"/>
  <c r="R409" i="2"/>
  <c r="V409" i="2"/>
  <c r="S409" i="2"/>
  <c r="H410" i="2"/>
  <c r="M410" i="2"/>
  <c r="O410" i="2"/>
  <c r="U410" i="2"/>
  <c r="R410" i="2"/>
  <c r="V410" i="2"/>
  <c r="S410" i="2"/>
  <c r="H411" i="2"/>
  <c r="M411" i="2"/>
  <c r="O411" i="2"/>
  <c r="U411" i="2"/>
  <c r="R411" i="2"/>
  <c r="V411" i="2"/>
  <c r="S411" i="2"/>
  <c r="H412" i="2"/>
  <c r="M412" i="2"/>
  <c r="O412" i="2"/>
  <c r="U412" i="2"/>
  <c r="R412" i="2"/>
  <c r="V412" i="2"/>
  <c r="S412" i="2"/>
  <c r="H413" i="2"/>
  <c r="M413" i="2"/>
  <c r="O413" i="2"/>
  <c r="U413" i="2"/>
  <c r="R413" i="2"/>
  <c r="V413" i="2"/>
  <c r="S413" i="2"/>
  <c r="H414" i="2"/>
  <c r="M414" i="2"/>
  <c r="O414" i="2"/>
  <c r="U414" i="2"/>
  <c r="R414" i="2"/>
  <c r="V414" i="2"/>
  <c r="S414" i="2"/>
  <c r="H415" i="2"/>
  <c r="M415" i="2"/>
  <c r="O415" i="2"/>
  <c r="U415" i="2"/>
  <c r="R415" i="2"/>
  <c r="V415" i="2"/>
  <c r="S415" i="2"/>
  <c r="H416" i="2"/>
  <c r="M416" i="2"/>
  <c r="O416" i="2"/>
  <c r="U416" i="2"/>
  <c r="R416" i="2"/>
  <c r="V416" i="2"/>
  <c r="S416" i="2"/>
  <c r="H417" i="2"/>
  <c r="M417" i="2"/>
  <c r="O417" i="2"/>
  <c r="U417" i="2"/>
  <c r="R417" i="2"/>
  <c r="V417" i="2"/>
  <c r="S417" i="2"/>
  <c r="H418" i="2"/>
  <c r="M418" i="2"/>
  <c r="O418" i="2"/>
  <c r="U418" i="2"/>
  <c r="R418" i="2"/>
  <c r="V418" i="2"/>
  <c r="S418" i="2"/>
  <c r="H419" i="2"/>
  <c r="M419" i="2"/>
  <c r="O419" i="2"/>
  <c r="U419" i="2"/>
  <c r="R419" i="2"/>
  <c r="V419" i="2"/>
  <c r="S419" i="2"/>
  <c r="H420" i="2"/>
  <c r="M420" i="2"/>
  <c r="O420" i="2"/>
  <c r="U420" i="2"/>
  <c r="R420" i="2"/>
  <c r="V420" i="2"/>
  <c r="S420" i="2"/>
  <c r="H421" i="2"/>
  <c r="M421" i="2"/>
  <c r="O421" i="2"/>
  <c r="U421" i="2"/>
  <c r="R421" i="2"/>
  <c r="V421" i="2"/>
  <c r="S421" i="2"/>
  <c r="H422" i="2"/>
  <c r="M422" i="2"/>
  <c r="O422" i="2"/>
  <c r="U422" i="2"/>
  <c r="R422" i="2"/>
  <c r="V422" i="2"/>
  <c r="S422" i="2"/>
  <c r="H423" i="2"/>
  <c r="M423" i="2"/>
  <c r="O423" i="2"/>
  <c r="U423" i="2"/>
  <c r="R423" i="2"/>
  <c r="V423" i="2"/>
  <c r="S423" i="2"/>
  <c r="H424" i="2"/>
  <c r="M424" i="2"/>
  <c r="O424" i="2"/>
  <c r="U424" i="2"/>
  <c r="R424" i="2"/>
  <c r="V424" i="2"/>
  <c r="S424" i="2"/>
  <c r="H425" i="2"/>
  <c r="M425" i="2"/>
  <c r="O425" i="2"/>
  <c r="U425" i="2"/>
  <c r="R425" i="2"/>
  <c r="V425" i="2"/>
  <c r="S425" i="2"/>
  <c r="H426" i="2"/>
  <c r="M426" i="2"/>
  <c r="O426" i="2"/>
  <c r="U426" i="2"/>
  <c r="R426" i="2"/>
  <c r="V426" i="2"/>
  <c r="S426" i="2"/>
  <c r="H427" i="2"/>
  <c r="M427" i="2"/>
  <c r="O427" i="2"/>
  <c r="U427" i="2"/>
  <c r="R427" i="2"/>
  <c r="V427" i="2"/>
  <c r="S427" i="2"/>
  <c r="H428" i="2"/>
  <c r="M428" i="2"/>
  <c r="O428" i="2"/>
  <c r="U428" i="2"/>
  <c r="R428" i="2"/>
  <c r="V428" i="2"/>
  <c r="S428" i="2"/>
  <c r="H429" i="2"/>
  <c r="M429" i="2"/>
  <c r="O429" i="2"/>
  <c r="U429" i="2"/>
  <c r="R429" i="2"/>
  <c r="V429" i="2"/>
  <c r="S429" i="2"/>
  <c r="H430" i="2"/>
  <c r="M430" i="2"/>
  <c r="O430" i="2"/>
  <c r="U430" i="2"/>
  <c r="R430" i="2"/>
  <c r="V430" i="2"/>
  <c r="S430" i="2"/>
  <c r="H431" i="2"/>
  <c r="M431" i="2"/>
  <c r="O431" i="2"/>
  <c r="U431" i="2"/>
  <c r="R431" i="2"/>
  <c r="V431" i="2"/>
  <c r="S431" i="2"/>
  <c r="H432" i="2"/>
  <c r="M432" i="2"/>
  <c r="O432" i="2"/>
  <c r="U432" i="2"/>
  <c r="R432" i="2"/>
  <c r="V432" i="2"/>
  <c r="S432" i="2"/>
  <c r="H433" i="2"/>
  <c r="M433" i="2"/>
  <c r="O433" i="2"/>
  <c r="U433" i="2"/>
  <c r="R433" i="2"/>
  <c r="V433" i="2"/>
  <c r="S433" i="2"/>
  <c r="H434" i="2"/>
  <c r="M434" i="2"/>
  <c r="O434" i="2"/>
  <c r="U434" i="2"/>
  <c r="R434" i="2"/>
  <c r="V434" i="2"/>
  <c r="S434" i="2"/>
  <c r="H435" i="2"/>
  <c r="M435" i="2"/>
  <c r="O435" i="2"/>
  <c r="U435" i="2"/>
  <c r="R435" i="2"/>
  <c r="V435" i="2"/>
  <c r="S435" i="2"/>
  <c r="H436" i="2"/>
  <c r="M436" i="2"/>
  <c r="O436" i="2"/>
  <c r="U436" i="2"/>
  <c r="R436" i="2"/>
  <c r="V436" i="2"/>
  <c r="S436" i="2"/>
  <c r="H437" i="2"/>
  <c r="M437" i="2"/>
  <c r="O437" i="2"/>
  <c r="U437" i="2"/>
  <c r="R437" i="2"/>
  <c r="V437" i="2"/>
  <c r="S437" i="2"/>
  <c r="H438" i="2"/>
  <c r="M438" i="2"/>
  <c r="O438" i="2"/>
  <c r="U438" i="2"/>
  <c r="R438" i="2"/>
  <c r="V438" i="2"/>
  <c r="S438" i="2"/>
  <c r="H439" i="2"/>
  <c r="M439" i="2"/>
  <c r="O439" i="2"/>
  <c r="U439" i="2"/>
  <c r="R439" i="2"/>
  <c r="V439" i="2"/>
  <c r="S439" i="2"/>
  <c r="H440" i="2"/>
  <c r="M440" i="2"/>
  <c r="O440" i="2"/>
  <c r="U440" i="2"/>
  <c r="R440" i="2"/>
  <c r="V440" i="2"/>
  <c r="S440" i="2"/>
  <c r="H441" i="2"/>
  <c r="M441" i="2"/>
  <c r="O441" i="2"/>
  <c r="U441" i="2"/>
  <c r="R441" i="2"/>
  <c r="V441" i="2"/>
  <c r="S441" i="2"/>
  <c r="H442" i="2"/>
  <c r="M442" i="2"/>
  <c r="O442" i="2"/>
  <c r="U442" i="2"/>
  <c r="R442" i="2"/>
  <c r="V442" i="2"/>
  <c r="S442" i="2"/>
  <c r="H443" i="2"/>
  <c r="M443" i="2"/>
  <c r="O443" i="2"/>
  <c r="U443" i="2"/>
  <c r="R443" i="2"/>
  <c r="V443" i="2"/>
  <c r="S443" i="2"/>
  <c r="H444" i="2"/>
  <c r="M444" i="2"/>
  <c r="O444" i="2"/>
  <c r="U444" i="2"/>
  <c r="R444" i="2"/>
  <c r="V444" i="2"/>
  <c r="S444" i="2"/>
  <c r="H445" i="2"/>
  <c r="M445" i="2"/>
  <c r="O445" i="2"/>
  <c r="U445" i="2"/>
  <c r="R445" i="2"/>
  <c r="V445" i="2"/>
  <c r="S445" i="2"/>
  <c r="H446" i="2"/>
  <c r="M446" i="2"/>
  <c r="O446" i="2"/>
  <c r="U446" i="2"/>
  <c r="R446" i="2"/>
  <c r="V446" i="2"/>
  <c r="S446" i="2"/>
  <c r="H447" i="2"/>
  <c r="M447" i="2"/>
  <c r="O447" i="2"/>
  <c r="U447" i="2"/>
  <c r="R447" i="2"/>
  <c r="V447" i="2"/>
  <c r="S447" i="2"/>
  <c r="H448" i="2"/>
  <c r="M448" i="2"/>
  <c r="O448" i="2"/>
  <c r="U448" i="2"/>
  <c r="R448" i="2"/>
  <c r="V448" i="2"/>
  <c r="S448" i="2"/>
  <c r="H449" i="2"/>
  <c r="M449" i="2"/>
  <c r="O449" i="2"/>
  <c r="U449" i="2"/>
  <c r="R449" i="2"/>
  <c r="V449" i="2"/>
  <c r="S449" i="2"/>
  <c r="H450" i="2"/>
  <c r="M450" i="2"/>
  <c r="O450" i="2"/>
  <c r="U450" i="2"/>
  <c r="R450" i="2"/>
  <c r="V450" i="2"/>
  <c r="S450" i="2"/>
  <c r="H451" i="2"/>
  <c r="M451" i="2"/>
  <c r="O451" i="2"/>
  <c r="U451" i="2"/>
  <c r="R451" i="2"/>
  <c r="V451" i="2"/>
  <c r="S451" i="2"/>
  <c r="H452" i="2"/>
  <c r="M452" i="2"/>
  <c r="O452" i="2"/>
  <c r="U452" i="2"/>
  <c r="R452" i="2"/>
  <c r="V452" i="2"/>
  <c r="S452" i="2"/>
  <c r="H453" i="2"/>
  <c r="M453" i="2"/>
  <c r="O453" i="2"/>
  <c r="U453" i="2"/>
  <c r="R453" i="2"/>
  <c r="V453" i="2"/>
  <c r="S453" i="2"/>
  <c r="H454" i="2"/>
  <c r="M454" i="2"/>
  <c r="O454" i="2"/>
  <c r="U454" i="2"/>
  <c r="R454" i="2"/>
  <c r="V454" i="2"/>
  <c r="S454" i="2"/>
  <c r="T11" i="2"/>
  <c r="Q11" i="2"/>
  <c r="T12" i="2"/>
  <c r="Q12" i="2"/>
  <c r="T13" i="2"/>
  <c r="Q13" i="2"/>
  <c r="T14" i="2"/>
  <c r="Q14" i="2"/>
  <c r="T15" i="2"/>
  <c r="Q15" i="2"/>
  <c r="T16" i="2"/>
  <c r="Q16" i="2"/>
  <c r="T17" i="2"/>
  <c r="Q17" i="2"/>
  <c r="T18" i="2"/>
  <c r="Q18" i="2"/>
  <c r="T19" i="2"/>
  <c r="Q19" i="2"/>
  <c r="T20" i="2"/>
  <c r="Q20" i="2"/>
  <c r="T21" i="2"/>
  <c r="Q21" i="2"/>
  <c r="T22" i="2"/>
  <c r="Q22" i="2"/>
  <c r="T23" i="2"/>
  <c r="Q23" i="2"/>
  <c r="T24" i="2"/>
  <c r="Q24" i="2"/>
  <c r="T25" i="2"/>
  <c r="Q25" i="2"/>
  <c r="T26" i="2"/>
  <c r="Q26" i="2"/>
  <c r="T27" i="2"/>
  <c r="Q27" i="2"/>
  <c r="T28" i="2"/>
  <c r="Q28" i="2"/>
  <c r="T29" i="2"/>
  <c r="Q29" i="2"/>
  <c r="T30" i="2"/>
  <c r="Q30" i="2"/>
  <c r="T31" i="2"/>
  <c r="Q31" i="2"/>
  <c r="T32" i="2"/>
  <c r="Q32" i="2"/>
  <c r="T33" i="2"/>
  <c r="Q33" i="2"/>
  <c r="T34" i="2"/>
  <c r="Q34" i="2"/>
  <c r="T35" i="2"/>
  <c r="Q35" i="2"/>
  <c r="T36" i="2"/>
  <c r="Q36" i="2"/>
  <c r="T37" i="2"/>
  <c r="Q37" i="2"/>
  <c r="T38" i="2"/>
  <c r="Q38" i="2"/>
  <c r="T39" i="2"/>
  <c r="Q39" i="2"/>
  <c r="T40" i="2"/>
  <c r="Q40" i="2"/>
  <c r="T41" i="2"/>
  <c r="Q41" i="2"/>
  <c r="T42" i="2"/>
  <c r="Q42" i="2"/>
  <c r="T43" i="2"/>
  <c r="Q43" i="2"/>
  <c r="T44" i="2"/>
  <c r="Q44" i="2"/>
  <c r="T45" i="2"/>
  <c r="Q45" i="2"/>
  <c r="T46" i="2"/>
  <c r="Q46" i="2"/>
  <c r="T47" i="2"/>
  <c r="Q47" i="2"/>
  <c r="T48" i="2"/>
  <c r="Q48" i="2"/>
  <c r="T49" i="2"/>
  <c r="Q49" i="2"/>
  <c r="T50" i="2"/>
  <c r="Q50" i="2"/>
  <c r="T51" i="2"/>
  <c r="Q51" i="2"/>
  <c r="T52" i="2"/>
  <c r="Q52" i="2"/>
  <c r="T53" i="2"/>
  <c r="Q53" i="2"/>
  <c r="T54" i="2"/>
  <c r="Q54" i="2"/>
  <c r="T55" i="2"/>
  <c r="Q55" i="2"/>
  <c r="T56" i="2"/>
  <c r="Q56" i="2"/>
  <c r="T57" i="2"/>
  <c r="Q57" i="2"/>
  <c r="T58" i="2"/>
  <c r="Q58" i="2"/>
  <c r="T59" i="2"/>
  <c r="Q59" i="2"/>
  <c r="T60" i="2"/>
  <c r="Q60" i="2"/>
  <c r="T61" i="2"/>
  <c r="Q61" i="2"/>
  <c r="T62" i="2"/>
  <c r="Q62" i="2"/>
  <c r="T63" i="2"/>
  <c r="Q63" i="2"/>
  <c r="T64" i="2"/>
  <c r="Q64" i="2"/>
  <c r="T65" i="2"/>
  <c r="Q65" i="2"/>
  <c r="T66" i="2"/>
  <c r="Q66" i="2"/>
  <c r="T67" i="2"/>
  <c r="Q67" i="2"/>
  <c r="T68" i="2"/>
  <c r="Q68" i="2"/>
  <c r="T69" i="2"/>
  <c r="Q69" i="2"/>
  <c r="T70" i="2"/>
  <c r="Q70" i="2"/>
  <c r="T71" i="2"/>
  <c r="Q71" i="2"/>
  <c r="T72" i="2"/>
  <c r="Q72" i="2"/>
  <c r="T73" i="2"/>
  <c r="Q73" i="2"/>
  <c r="T74" i="2"/>
  <c r="Q74" i="2"/>
  <c r="T75" i="2"/>
  <c r="Q75" i="2"/>
  <c r="T76" i="2"/>
  <c r="Q76" i="2"/>
  <c r="T77" i="2"/>
  <c r="Q77" i="2"/>
  <c r="T78" i="2"/>
  <c r="Q78" i="2"/>
  <c r="T79" i="2"/>
  <c r="Q79" i="2"/>
  <c r="T80" i="2"/>
  <c r="Q80" i="2"/>
  <c r="T81" i="2"/>
  <c r="Q81" i="2"/>
  <c r="T82" i="2"/>
  <c r="Q82" i="2"/>
  <c r="T83" i="2"/>
  <c r="Q83" i="2"/>
  <c r="T84" i="2"/>
  <c r="Q84" i="2"/>
  <c r="T85" i="2"/>
  <c r="Q85" i="2"/>
  <c r="T86" i="2"/>
  <c r="Q86" i="2"/>
  <c r="T87" i="2"/>
  <c r="Q87" i="2"/>
  <c r="T88" i="2"/>
  <c r="Q88" i="2"/>
  <c r="T89" i="2"/>
  <c r="Q89" i="2"/>
  <c r="T90" i="2"/>
  <c r="Q90" i="2"/>
  <c r="T91" i="2"/>
  <c r="Q91" i="2"/>
  <c r="T92" i="2"/>
  <c r="Q92" i="2"/>
  <c r="T93" i="2"/>
  <c r="Q93" i="2"/>
  <c r="T94" i="2"/>
  <c r="Q94" i="2"/>
  <c r="T95" i="2"/>
  <c r="Q95" i="2"/>
  <c r="T96" i="2"/>
  <c r="Q96" i="2"/>
  <c r="T97" i="2"/>
  <c r="Q97" i="2"/>
  <c r="T98" i="2"/>
  <c r="Q98" i="2"/>
  <c r="T99" i="2"/>
  <c r="Q99" i="2"/>
  <c r="T100" i="2"/>
  <c r="Q100" i="2"/>
  <c r="T101" i="2"/>
  <c r="Q101" i="2"/>
  <c r="T102" i="2"/>
  <c r="Q102" i="2"/>
  <c r="T103" i="2"/>
  <c r="Q103" i="2"/>
  <c r="T104" i="2"/>
  <c r="Q104" i="2"/>
  <c r="T105" i="2"/>
  <c r="Q105" i="2"/>
  <c r="T106" i="2"/>
  <c r="Q106" i="2"/>
  <c r="T107" i="2"/>
  <c r="Q107" i="2"/>
  <c r="T108" i="2"/>
  <c r="Q108" i="2"/>
  <c r="T109" i="2"/>
  <c r="Q109" i="2"/>
  <c r="T110" i="2"/>
  <c r="Q110" i="2"/>
  <c r="T111" i="2"/>
  <c r="Q111" i="2"/>
  <c r="T112" i="2"/>
  <c r="Q112" i="2"/>
  <c r="T113" i="2"/>
  <c r="Q113" i="2"/>
  <c r="T114" i="2"/>
  <c r="Q114" i="2"/>
  <c r="T115" i="2"/>
  <c r="Q115" i="2"/>
  <c r="T116" i="2"/>
  <c r="Q116" i="2"/>
  <c r="T117" i="2"/>
  <c r="Q117" i="2"/>
  <c r="T118" i="2"/>
  <c r="Q118" i="2"/>
  <c r="T119" i="2"/>
  <c r="Q119" i="2"/>
  <c r="T120" i="2"/>
  <c r="Q120" i="2"/>
  <c r="T121" i="2"/>
  <c r="Q121" i="2"/>
  <c r="T122" i="2"/>
  <c r="Q122" i="2"/>
  <c r="T123" i="2"/>
  <c r="Q123" i="2"/>
  <c r="T124" i="2"/>
  <c r="Q124" i="2"/>
  <c r="T125" i="2"/>
  <c r="Q125" i="2"/>
  <c r="T126" i="2"/>
  <c r="Q126" i="2"/>
  <c r="T127" i="2"/>
  <c r="Q127" i="2"/>
  <c r="T128" i="2"/>
  <c r="Q128" i="2"/>
  <c r="T129" i="2"/>
  <c r="Q129" i="2"/>
  <c r="T130" i="2"/>
  <c r="Q130" i="2"/>
  <c r="T131" i="2"/>
  <c r="Q131" i="2"/>
  <c r="T132" i="2"/>
  <c r="Q132" i="2"/>
  <c r="T133" i="2"/>
  <c r="Q133" i="2"/>
  <c r="T134" i="2"/>
  <c r="Q134" i="2"/>
  <c r="T135" i="2"/>
  <c r="Q135" i="2"/>
  <c r="T136" i="2"/>
  <c r="Q136" i="2"/>
  <c r="T137" i="2"/>
  <c r="Q137" i="2"/>
  <c r="T138" i="2"/>
  <c r="Q138" i="2"/>
  <c r="T139" i="2"/>
  <c r="Q139" i="2"/>
  <c r="T140" i="2"/>
  <c r="Q140" i="2"/>
  <c r="T141" i="2"/>
  <c r="Q141" i="2"/>
  <c r="T142" i="2"/>
  <c r="Q142" i="2"/>
  <c r="T143" i="2"/>
  <c r="Q143" i="2"/>
  <c r="T144" i="2"/>
  <c r="Q144" i="2"/>
  <c r="T145" i="2"/>
  <c r="Q145" i="2"/>
  <c r="T146" i="2"/>
  <c r="Q146" i="2"/>
  <c r="T147" i="2"/>
  <c r="Q147" i="2"/>
  <c r="T148" i="2"/>
  <c r="Q148" i="2"/>
  <c r="T149" i="2"/>
  <c r="Q149" i="2"/>
  <c r="T150" i="2"/>
  <c r="Q150" i="2"/>
  <c r="T151" i="2"/>
  <c r="Q151" i="2"/>
  <c r="T152" i="2"/>
  <c r="Q152" i="2"/>
  <c r="T153" i="2"/>
  <c r="Q153" i="2"/>
  <c r="T154" i="2"/>
  <c r="Q154" i="2"/>
  <c r="T155" i="2"/>
  <c r="Q155" i="2"/>
  <c r="T156" i="2"/>
  <c r="Q156" i="2"/>
  <c r="T157" i="2"/>
  <c r="Q157" i="2"/>
  <c r="T158" i="2"/>
  <c r="Q158" i="2"/>
  <c r="T159" i="2"/>
  <c r="Q159" i="2"/>
  <c r="T160" i="2"/>
  <c r="Q160" i="2"/>
  <c r="T161" i="2"/>
  <c r="Q161" i="2"/>
  <c r="T162" i="2"/>
  <c r="Q162" i="2"/>
  <c r="T163" i="2"/>
  <c r="Q163" i="2"/>
  <c r="T164" i="2"/>
  <c r="Q164" i="2"/>
  <c r="T165" i="2"/>
  <c r="Q165" i="2"/>
  <c r="T166" i="2"/>
  <c r="Q166" i="2"/>
  <c r="T167" i="2"/>
  <c r="Q167" i="2"/>
  <c r="T168" i="2"/>
  <c r="Q168" i="2"/>
  <c r="T169" i="2"/>
  <c r="Q169" i="2"/>
  <c r="T170" i="2"/>
  <c r="Q170" i="2"/>
  <c r="T171" i="2"/>
  <c r="Q171" i="2"/>
  <c r="T172" i="2"/>
  <c r="Q172" i="2"/>
  <c r="T173" i="2"/>
  <c r="Q173" i="2"/>
  <c r="T174" i="2"/>
  <c r="Q174" i="2"/>
  <c r="T175" i="2"/>
  <c r="Q175" i="2"/>
  <c r="T176" i="2"/>
  <c r="Q176" i="2"/>
  <c r="T177" i="2"/>
  <c r="Q177" i="2"/>
  <c r="T178" i="2"/>
  <c r="Q178" i="2"/>
  <c r="T179" i="2"/>
  <c r="Q179" i="2"/>
  <c r="T180" i="2"/>
  <c r="Q180" i="2"/>
  <c r="T181" i="2"/>
  <c r="Q181" i="2"/>
  <c r="T182" i="2"/>
  <c r="Q182" i="2"/>
  <c r="T183" i="2"/>
  <c r="Q183" i="2"/>
  <c r="T184" i="2"/>
  <c r="Q184" i="2"/>
  <c r="T185" i="2"/>
  <c r="Q185" i="2"/>
  <c r="T186" i="2"/>
  <c r="Q186" i="2"/>
  <c r="T187" i="2"/>
  <c r="Q187" i="2"/>
  <c r="T188" i="2"/>
  <c r="Q188" i="2"/>
  <c r="T189" i="2"/>
  <c r="Q189" i="2"/>
  <c r="T190" i="2"/>
  <c r="Q190" i="2"/>
  <c r="T191" i="2"/>
  <c r="Q191" i="2"/>
  <c r="T192" i="2"/>
  <c r="Q192" i="2"/>
  <c r="T193" i="2"/>
  <c r="Q193" i="2"/>
  <c r="T194" i="2"/>
  <c r="Q194" i="2"/>
  <c r="T195" i="2"/>
  <c r="Q195" i="2"/>
  <c r="T196" i="2"/>
  <c r="Q196" i="2"/>
  <c r="T197" i="2"/>
  <c r="Q197" i="2"/>
  <c r="T198" i="2"/>
  <c r="Q198" i="2"/>
  <c r="T199" i="2"/>
  <c r="Q199" i="2"/>
  <c r="T200" i="2"/>
  <c r="Q200" i="2"/>
  <c r="T201" i="2"/>
  <c r="Q201" i="2"/>
  <c r="T202" i="2"/>
  <c r="Q202" i="2"/>
  <c r="T203" i="2"/>
  <c r="Q203" i="2"/>
  <c r="T204" i="2"/>
  <c r="Q204" i="2"/>
  <c r="T205" i="2"/>
  <c r="Q205" i="2"/>
  <c r="T206" i="2"/>
  <c r="Q206" i="2"/>
  <c r="T207" i="2"/>
  <c r="Q207" i="2"/>
  <c r="T208" i="2"/>
  <c r="Q208" i="2"/>
  <c r="T209" i="2"/>
  <c r="Q209" i="2"/>
  <c r="T210" i="2"/>
  <c r="Q210" i="2"/>
  <c r="T211" i="2"/>
  <c r="Q211" i="2"/>
  <c r="T212" i="2"/>
  <c r="Q212" i="2"/>
  <c r="T213" i="2"/>
  <c r="Q213" i="2"/>
  <c r="T214" i="2"/>
  <c r="Q214" i="2"/>
  <c r="T215" i="2"/>
  <c r="Q215" i="2"/>
  <c r="T216" i="2"/>
  <c r="Q216" i="2"/>
  <c r="T217" i="2"/>
  <c r="Q217" i="2"/>
  <c r="T218" i="2"/>
  <c r="Q218" i="2"/>
  <c r="T219" i="2"/>
  <c r="Q219" i="2"/>
  <c r="T220" i="2"/>
  <c r="Q220" i="2"/>
  <c r="T221" i="2"/>
  <c r="Q221" i="2"/>
  <c r="T222" i="2"/>
  <c r="Q222" i="2"/>
  <c r="T223" i="2"/>
  <c r="Q223" i="2"/>
  <c r="T224" i="2"/>
  <c r="Q224" i="2"/>
  <c r="T225" i="2"/>
  <c r="Q225" i="2"/>
  <c r="T226" i="2"/>
  <c r="Q226" i="2"/>
  <c r="T227" i="2"/>
  <c r="Q227" i="2"/>
  <c r="T228" i="2"/>
  <c r="Q228" i="2"/>
  <c r="T229" i="2"/>
  <c r="Q229" i="2"/>
  <c r="T230" i="2"/>
  <c r="Q230" i="2"/>
  <c r="T231" i="2"/>
  <c r="Q231" i="2"/>
  <c r="T232" i="2"/>
  <c r="Q232" i="2"/>
  <c r="T233" i="2"/>
  <c r="Q233" i="2"/>
  <c r="T234" i="2"/>
  <c r="Q234" i="2"/>
  <c r="T235" i="2"/>
  <c r="Q235" i="2"/>
  <c r="T236" i="2"/>
  <c r="Q236" i="2"/>
  <c r="T237" i="2"/>
  <c r="Q237" i="2"/>
  <c r="T238" i="2"/>
  <c r="Q238" i="2"/>
  <c r="T239" i="2"/>
  <c r="Q239" i="2"/>
  <c r="T240" i="2"/>
  <c r="Q240" i="2"/>
  <c r="T241" i="2"/>
  <c r="Q241" i="2"/>
  <c r="T242" i="2"/>
  <c r="Q242" i="2"/>
  <c r="T243" i="2"/>
  <c r="Q243" i="2"/>
  <c r="T244" i="2"/>
  <c r="Q244" i="2"/>
  <c r="T245" i="2"/>
  <c r="Q245" i="2"/>
  <c r="T246" i="2"/>
  <c r="Q246" i="2"/>
  <c r="T247" i="2"/>
  <c r="Q247" i="2"/>
  <c r="T248" i="2"/>
  <c r="Q248" i="2"/>
  <c r="T249" i="2"/>
  <c r="Q249" i="2"/>
  <c r="T250" i="2"/>
  <c r="Q250" i="2"/>
  <c r="T251" i="2"/>
  <c r="Q251" i="2"/>
  <c r="T252" i="2"/>
  <c r="Q252" i="2"/>
  <c r="T253" i="2"/>
  <c r="Q253" i="2"/>
  <c r="T254" i="2"/>
  <c r="Q254" i="2"/>
  <c r="T255" i="2"/>
  <c r="Q255" i="2"/>
  <c r="T256" i="2"/>
  <c r="Q256" i="2"/>
  <c r="T257" i="2"/>
  <c r="Q257" i="2"/>
  <c r="T258" i="2"/>
  <c r="Q258" i="2"/>
  <c r="T259" i="2"/>
  <c r="Q259" i="2"/>
  <c r="T260" i="2"/>
  <c r="Q260" i="2"/>
  <c r="T261" i="2"/>
  <c r="Q261" i="2"/>
  <c r="T262" i="2"/>
  <c r="Q262" i="2"/>
  <c r="T263" i="2"/>
  <c r="Q263" i="2"/>
  <c r="T264" i="2"/>
  <c r="Q264" i="2"/>
  <c r="T265" i="2"/>
  <c r="Q265" i="2"/>
  <c r="T266" i="2"/>
  <c r="Q266" i="2"/>
  <c r="T267" i="2"/>
  <c r="Q267" i="2"/>
  <c r="T268" i="2"/>
  <c r="Q268" i="2"/>
  <c r="T269" i="2"/>
  <c r="Q269" i="2"/>
  <c r="T270" i="2"/>
  <c r="Q270" i="2"/>
  <c r="T271" i="2"/>
  <c r="Q271" i="2"/>
  <c r="T272" i="2"/>
  <c r="Q272" i="2"/>
  <c r="T273" i="2"/>
  <c r="Q273" i="2"/>
  <c r="T274" i="2"/>
  <c r="Q274" i="2"/>
  <c r="T275" i="2"/>
  <c r="Q275" i="2"/>
  <c r="T276" i="2"/>
  <c r="Q276" i="2"/>
  <c r="T277" i="2"/>
  <c r="Q277" i="2"/>
  <c r="T278" i="2"/>
  <c r="Q278" i="2"/>
  <c r="T279" i="2"/>
  <c r="Q279" i="2"/>
  <c r="T280" i="2"/>
  <c r="Q280" i="2"/>
  <c r="T281" i="2"/>
  <c r="Q281" i="2"/>
  <c r="T282" i="2"/>
  <c r="Q282" i="2"/>
  <c r="T283" i="2"/>
  <c r="Q283" i="2"/>
  <c r="T284" i="2"/>
  <c r="Q284" i="2"/>
  <c r="T285" i="2"/>
  <c r="Q285" i="2"/>
  <c r="T286" i="2"/>
  <c r="Q286" i="2"/>
  <c r="T287" i="2"/>
  <c r="Q287" i="2"/>
  <c r="T288" i="2"/>
  <c r="Q288" i="2"/>
  <c r="T289" i="2"/>
  <c r="Q289" i="2"/>
  <c r="T290" i="2"/>
  <c r="Q290" i="2"/>
  <c r="T291" i="2"/>
  <c r="Q291" i="2"/>
  <c r="T292" i="2"/>
  <c r="Q292" i="2"/>
  <c r="T293" i="2"/>
  <c r="Q293" i="2"/>
  <c r="T294" i="2"/>
  <c r="Q294" i="2"/>
  <c r="T295" i="2"/>
  <c r="Q295" i="2"/>
  <c r="T296" i="2"/>
  <c r="Q296" i="2"/>
  <c r="T297" i="2"/>
  <c r="Q297" i="2"/>
  <c r="T298" i="2"/>
  <c r="Q298" i="2"/>
  <c r="T299" i="2"/>
  <c r="Q299" i="2"/>
  <c r="T300" i="2"/>
  <c r="Q300" i="2"/>
  <c r="T301" i="2"/>
  <c r="Q301" i="2"/>
  <c r="T302" i="2"/>
  <c r="Q302" i="2"/>
  <c r="T303" i="2"/>
  <c r="Q303" i="2"/>
  <c r="T304" i="2"/>
  <c r="Q304" i="2"/>
  <c r="T305" i="2"/>
  <c r="Q305" i="2"/>
  <c r="T306" i="2"/>
  <c r="Q306" i="2"/>
  <c r="T307" i="2"/>
  <c r="Q307" i="2"/>
  <c r="T308" i="2"/>
  <c r="Q308" i="2"/>
  <c r="T309" i="2"/>
  <c r="Q309" i="2"/>
  <c r="T310" i="2"/>
  <c r="Q310" i="2"/>
  <c r="T311" i="2"/>
  <c r="Q311" i="2"/>
  <c r="T312" i="2"/>
  <c r="Q312" i="2"/>
  <c r="T313" i="2"/>
  <c r="Q313" i="2"/>
  <c r="T314" i="2"/>
  <c r="Q314" i="2"/>
  <c r="T315" i="2"/>
  <c r="Q315" i="2"/>
  <c r="T316" i="2"/>
  <c r="Q316" i="2"/>
  <c r="T317" i="2"/>
  <c r="Q317" i="2"/>
  <c r="T318" i="2"/>
  <c r="Q318" i="2"/>
  <c r="T319" i="2"/>
  <c r="Q319" i="2"/>
  <c r="T320" i="2"/>
  <c r="Q320" i="2"/>
  <c r="T321" i="2"/>
  <c r="Q321" i="2"/>
  <c r="T322" i="2"/>
  <c r="Q322" i="2"/>
  <c r="T323" i="2"/>
  <c r="Q323" i="2"/>
  <c r="T324" i="2"/>
  <c r="Q324" i="2"/>
  <c r="T325" i="2"/>
  <c r="Q325" i="2"/>
  <c r="T326" i="2"/>
  <c r="Q326" i="2"/>
  <c r="T327" i="2"/>
  <c r="Q327" i="2"/>
  <c r="T328" i="2"/>
  <c r="Q328" i="2"/>
  <c r="T329" i="2"/>
  <c r="Q329" i="2"/>
  <c r="T330" i="2"/>
  <c r="Q330" i="2"/>
  <c r="T331" i="2"/>
  <c r="Q331" i="2"/>
  <c r="T332" i="2"/>
  <c r="Q332" i="2"/>
  <c r="T333" i="2"/>
  <c r="Q333" i="2"/>
  <c r="T334" i="2"/>
  <c r="Q334" i="2"/>
  <c r="T335" i="2"/>
  <c r="Q335" i="2"/>
  <c r="T336" i="2"/>
  <c r="Q336" i="2"/>
  <c r="T337" i="2"/>
  <c r="Q337" i="2"/>
  <c r="T338" i="2"/>
  <c r="Q338" i="2"/>
  <c r="T339" i="2"/>
  <c r="Q339" i="2"/>
  <c r="T340" i="2"/>
  <c r="Q340" i="2"/>
  <c r="T341" i="2"/>
  <c r="Q341" i="2"/>
  <c r="T342" i="2"/>
  <c r="Q342" i="2"/>
  <c r="T343" i="2"/>
  <c r="Q343" i="2"/>
  <c r="T344" i="2"/>
  <c r="Q344" i="2"/>
  <c r="T345" i="2"/>
  <c r="Q345" i="2"/>
  <c r="T346" i="2"/>
  <c r="Q346" i="2"/>
  <c r="T347" i="2"/>
  <c r="Q347" i="2"/>
  <c r="T348" i="2"/>
  <c r="Q348" i="2"/>
  <c r="T349" i="2"/>
  <c r="Q349" i="2"/>
  <c r="T350" i="2"/>
  <c r="Q350" i="2"/>
  <c r="T351" i="2"/>
  <c r="Q351" i="2"/>
  <c r="T352" i="2"/>
  <c r="Q352" i="2"/>
  <c r="T353" i="2"/>
  <c r="Q353" i="2"/>
  <c r="T354" i="2"/>
  <c r="Q354" i="2"/>
  <c r="T355" i="2"/>
  <c r="Q355" i="2"/>
  <c r="T356" i="2"/>
  <c r="Q356" i="2"/>
  <c r="T357" i="2"/>
  <c r="Q357" i="2"/>
  <c r="T358" i="2"/>
  <c r="Q358" i="2"/>
  <c r="T359" i="2"/>
  <c r="Q359" i="2"/>
  <c r="T360" i="2"/>
  <c r="Q360" i="2"/>
  <c r="T361" i="2"/>
  <c r="Q361" i="2"/>
  <c r="T362" i="2"/>
  <c r="Q362" i="2"/>
  <c r="T363" i="2"/>
  <c r="Q363" i="2"/>
  <c r="T364" i="2"/>
  <c r="Q364" i="2"/>
  <c r="T365" i="2"/>
  <c r="Q365" i="2"/>
  <c r="T366" i="2"/>
  <c r="Q366" i="2"/>
  <c r="T367" i="2"/>
  <c r="Q367" i="2"/>
  <c r="T368" i="2"/>
  <c r="Q368" i="2"/>
  <c r="T369" i="2"/>
  <c r="Q369" i="2"/>
  <c r="T370" i="2"/>
  <c r="Q370" i="2"/>
  <c r="T371" i="2"/>
  <c r="Q371" i="2"/>
  <c r="T372" i="2"/>
  <c r="Q372" i="2"/>
  <c r="T373" i="2"/>
  <c r="Q373" i="2"/>
  <c r="T374" i="2"/>
  <c r="Q374" i="2"/>
  <c r="T375" i="2"/>
  <c r="Q375" i="2"/>
  <c r="T376" i="2"/>
  <c r="Q376" i="2"/>
  <c r="T377" i="2"/>
  <c r="Q377" i="2"/>
  <c r="T378" i="2"/>
  <c r="Q378" i="2"/>
  <c r="T379" i="2"/>
  <c r="Q379" i="2"/>
  <c r="T380" i="2"/>
  <c r="Q380" i="2"/>
  <c r="T381" i="2"/>
  <c r="Q381" i="2"/>
  <c r="T382" i="2"/>
  <c r="Q382" i="2"/>
  <c r="T383" i="2"/>
  <c r="Q383" i="2"/>
  <c r="T384" i="2"/>
  <c r="Q384" i="2"/>
  <c r="T385" i="2"/>
  <c r="Q385" i="2"/>
  <c r="T386" i="2"/>
  <c r="Q386" i="2"/>
  <c r="T387" i="2"/>
  <c r="Q387" i="2"/>
  <c r="T388" i="2"/>
  <c r="Q388" i="2"/>
  <c r="T389" i="2"/>
  <c r="Q389" i="2"/>
  <c r="T390" i="2"/>
  <c r="Q390" i="2"/>
  <c r="T391" i="2"/>
  <c r="Q391" i="2"/>
  <c r="T392" i="2"/>
  <c r="Q392" i="2"/>
  <c r="T393" i="2"/>
  <c r="Q393" i="2"/>
  <c r="T394" i="2"/>
  <c r="Q394" i="2"/>
  <c r="T395" i="2"/>
  <c r="Q395" i="2"/>
  <c r="T396" i="2"/>
  <c r="Q396" i="2"/>
  <c r="T397" i="2"/>
  <c r="Q397" i="2"/>
  <c r="T398" i="2"/>
  <c r="Q398" i="2"/>
  <c r="T399" i="2"/>
  <c r="Q399" i="2"/>
  <c r="T400" i="2"/>
  <c r="Q400" i="2"/>
  <c r="T401" i="2"/>
  <c r="Q401" i="2"/>
  <c r="T402" i="2"/>
  <c r="Q402" i="2"/>
  <c r="T403" i="2"/>
  <c r="Q403" i="2"/>
  <c r="T404" i="2"/>
  <c r="Q404" i="2"/>
  <c r="T405" i="2"/>
  <c r="Q405" i="2"/>
  <c r="T406" i="2"/>
  <c r="Q406" i="2"/>
  <c r="T407" i="2"/>
  <c r="Q407" i="2"/>
  <c r="T408" i="2"/>
  <c r="Q408" i="2"/>
  <c r="T409" i="2"/>
  <c r="Q409" i="2"/>
  <c r="T410" i="2"/>
  <c r="Q410" i="2"/>
  <c r="T411" i="2"/>
  <c r="Q411" i="2"/>
  <c r="T412" i="2"/>
  <c r="Q412" i="2"/>
  <c r="T413" i="2"/>
  <c r="Q413" i="2"/>
  <c r="T414" i="2"/>
  <c r="Q414" i="2"/>
  <c r="T415" i="2"/>
  <c r="Q415" i="2"/>
  <c r="T416" i="2"/>
  <c r="Q416" i="2"/>
  <c r="T417" i="2"/>
  <c r="Q417" i="2"/>
  <c r="T418" i="2"/>
  <c r="Q418" i="2"/>
  <c r="T419" i="2"/>
  <c r="Q419" i="2"/>
  <c r="T420" i="2"/>
  <c r="Q420" i="2"/>
  <c r="T421" i="2"/>
  <c r="Q421" i="2"/>
  <c r="T422" i="2"/>
  <c r="Q422" i="2"/>
  <c r="T423" i="2"/>
  <c r="Q423" i="2"/>
  <c r="T424" i="2"/>
  <c r="Q424" i="2"/>
  <c r="T425" i="2"/>
  <c r="Q425" i="2"/>
  <c r="T426" i="2"/>
  <c r="Q426" i="2"/>
  <c r="T427" i="2"/>
  <c r="Q427" i="2"/>
  <c r="T428" i="2"/>
  <c r="Q428" i="2"/>
  <c r="T429" i="2"/>
  <c r="Q429" i="2"/>
  <c r="T430" i="2"/>
  <c r="Q430" i="2"/>
  <c r="T431" i="2"/>
  <c r="Q431" i="2"/>
  <c r="T432" i="2"/>
  <c r="Q432" i="2"/>
  <c r="T433" i="2"/>
  <c r="Q433" i="2"/>
  <c r="T434" i="2"/>
  <c r="Q434" i="2"/>
  <c r="T435" i="2"/>
  <c r="Q435" i="2"/>
  <c r="T436" i="2"/>
  <c r="Q436" i="2"/>
  <c r="T437" i="2"/>
  <c r="Q437" i="2"/>
  <c r="T438" i="2"/>
  <c r="Q438" i="2"/>
  <c r="T439" i="2"/>
  <c r="Q439" i="2"/>
  <c r="T440" i="2"/>
  <c r="Q440" i="2"/>
  <c r="T441" i="2"/>
  <c r="Q441" i="2"/>
  <c r="T442" i="2"/>
  <c r="Q442" i="2"/>
  <c r="T443" i="2"/>
  <c r="Q443" i="2"/>
  <c r="T444" i="2"/>
  <c r="Q444" i="2"/>
  <c r="T445" i="2"/>
  <c r="Q445" i="2"/>
  <c r="T446" i="2"/>
  <c r="Q446" i="2"/>
  <c r="T447" i="2"/>
  <c r="Q447" i="2"/>
  <c r="T448" i="2"/>
  <c r="Q448" i="2"/>
  <c r="T449" i="2"/>
  <c r="Q449" i="2"/>
  <c r="T450" i="2"/>
  <c r="Q450" i="2"/>
  <c r="T451" i="2"/>
  <c r="Q451" i="2"/>
  <c r="T452" i="2"/>
  <c r="Q452" i="2"/>
  <c r="T453" i="2"/>
  <c r="Q453" i="2"/>
  <c r="T454" i="2"/>
  <c r="Q454" i="2"/>
  <c r="H12" i="28"/>
  <c r="I12" i="28"/>
  <c r="J12" i="28"/>
  <c r="A11" i="28"/>
  <c r="E11" i="28"/>
  <c r="B2" i="28"/>
  <c r="C3" i="1"/>
  <c r="D4" i="2"/>
  <c r="C2" i="28"/>
  <c r="F3" i="1"/>
  <c r="F4" i="2"/>
  <c r="B3" i="28"/>
  <c r="C4" i="1"/>
  <c r="D5" i="2"/>
  <c r="B4" i="28"/>
  <c r="C5" i="1"/>
  <c r="D6" i="2"/>
  <c r="C4" i="28"/>
  <c r="F5" i="1"/>
  <c r="F6" i="2"/>
  <c r="B5" i="28"/>
  <c r="C6" i="1"/>
  <c r="D7" i="2"/>
  <c r="E5" i="31"/>
  <c r="C5" i="28"/>
  <c r="F6" i="1"/>
  <c r="F7" i="2"/>
  <c r="B6" i="28"/>
  <c r="C7" i="1"/>
  <c r="D8" i="2"/>
  <c r="C6" i="28"/>
  <c r="F7" i="1"/>
  <c r="F8" i="2"/>
  <c r="H8" i="2"/>
  <c r="F11" i="28"/>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H11" i="28"/>
  <c r="I11" i="28"/>
  <c r="J11" i="28"/>
  <c r="K11" i="28"/>
  <c r="AH16" i="35"/>
  <c r="AH82" i="35"/>
  <c r="L11" i="28"/>
  <c r="A12" i="28"/>
  <c r="E12" i="28"/>
  <c r="F12" i="28"/>
  <c r="K12" i="28"/>
  <c r="AH17" i="35"/>
  <c r="AH83" i="35"/>
  <c r="L12" i="28"/>
  <c r="A13" i="28"/>
  <c r="E13" i="28"/>
  <c r="F13" i="28"/>
  <c r="H13" i="28"/>
  <c r="I13" i="28"/>
  <c r="J13" i="28"/>
  <c r="K13" i="28"/>
  <c r="AH18" i="35"/>
  <c r="AH84" i="35"/>
  <c r="L13" i="28"/>
  <c r="A14" i="28"/>
  <c r="E14" i="28"/>
  <c r="F14" i="28"/>
  <c r="H14" i="28"/>
  <c r="I14" i="28"/>
  <c r="J14" i="28"/>
  <c r="K14" i="28"/>
  <c r="AH19" i="35"/>
  <c r="AH85" i="35"/>
  <c r="L14" i="28"/>
  <c r="A15" i="28"/>
  <c r="E15" i="28"/>
  <c r="F15" i="28"/>
  <c r="H15" i="28"/>
  <c r="I15" i="28"/>
  <c r="J15" i="28"/>
  <c r="K15" i="28"/>
  <c r="AH20" i="35"/>
  <c r="AH86" i="35"/>
  <c r="L15" i="28"/>
  <c r="A16" i="28"/>
  <c r="E16" i="28"/>
  <c r="F16" i="28"/>
  <c r="H16" i="28"/>
  <c r="I16" i="28"/>
  <c r="J16" i="28"/>
  <c r="K16" i="28"/>
  <c r="AH21" i="35"/>
  <c r="L16" i="28"/>
  <c r="A70" i="28"/>
  <c r="B70" i="28"/>
  <c r="C70" i="28"/>
  <c r="B97" i="10"/>
  <c r="H29" i="31"/>
  <c r="G96" i="10"/>
  <c r="C97" i="10"/>
  <c r="E45" i="10"/>
  <c r="E48" i="10"/>
  <c r="E50" i="10"/>
  <c r="E65" i="10"/>
  <c r="E68" i="10"/>
  <c r="E70" i="10"/>
  <c r="E93" i="10"/>
  <c r="E97" i="10"/>
  <c r="E70" i="28"/>
  <c r="L29" i="31"/>
  <c r="H67" i="28"/>
  <c r="I67" i="28"/>
  <c r="F70" i="28"/>
  <c r="H32" i="31"/>
  <c r="H35" i="31"/>
  <c r="H38" i="31"/>
  <c r="H39" i="31"/>
  <c r="L39" i="31"/>
  <c r="K67" i="28"/>
  <c r="G70" i="28"/>
  <c r="I70" i="28"/>
  <c r="E4" i="39"/>
  <c r="E5" i="39"/>
  <c r="E6" i="39"/>
  <c r="E7" i="39"/>
  <c r="E8" i="39"/>
  <c r="J70" i="28"/>
  <c r="Y16" i="35"/>
  <c r="I130" i="31"/>
  <c r="J130" i="31"/>
  <c r="I133" i="31"/>
  <c r="J133" i="31"/>
  <c r="I136" i="31"/>
  <c r="J136" i="31"/>
  <c r="J137" i="31"/>
  <c r="J34" i="32"/>
  <c r="L34" i="32"/>
  <c r="N34" i="32"/>
  <c r="O34" i="32"/>
  <c r="Q34" i="32"/>
  <c r="J13" i="32"/>
  <c r="L13" i="32"/>
  <c r="N13" i="32"/>
  <c r="O13" i="32"/>
  <c r="Q13" i="32"/>
  <c r="J14" i="32"/>
  <c r="L14" i="32"/>
  <c r="N14" i="32"/>
  <c r="O14" i="32"/>
  <c r="Q14" i="32"/>
  <c r="J15" i="32"/>
  <c r="L15" i="32"/>
  <c r="N15" i="32"/>
  <c r="O15" i="32"/>
  <c r="Q15" i="32"/>
  <c r="N16" i="32"/>
  <c r="O16" i="32"/>
  <c r="Q16" i="32"/>
  <c r="J17" i="32"/>
  <c r="L17" i="32"/>
  <c r="N17" i="32"/>
  <c r="O17" i="32"/>
  <c r="Q17" i="32"/>
  <c r="N18" i="32"/>
  <c r="O18" i="32"/>
  <c r="Q18" i="32"/>
  <c r="N19" i="32"/>
  <c r="O19" i="32"/>
  <c r="Q19" i="32"/>
  <c r="J20" i="32"/>
  <c r="L20" i="32"/>
  <c r="N20" i="32"/>
  <c r="O20" i="32"/>
  <c r="Q20" i="32"/>
  <c r="J21" i="32"/>
  <c r="L21" i="32"/>
  <c r="N21" i="32"/>
  <c r="O21" i="32"/>
  <c r="Q21" i="32"/>
  <c r="J22" i="32"/>
  <c r="L22" i="32"/>
  <c r="N22" i="32"/>
  <c r="O22" i="32"/>
  <c r="Q22" i="32"/>
  <c r="J23" i="32"/>
  <c r="L23" i="32"/>
  <c r="N23" i="32"/>
  <c r="O23" i="32"/>
  <c r="Q23" i="32"/>
  <c r="J24" i="32"/>
  <c r="L24" i="32"/>
  <c r="N24" i="32"/>
  <c r="O24" i="32"/>
  <c r="Q24" i="32"/>
  <c r="J25" i="32"/>
  <c r="L25" i="32"/>
  <c r="N25" i="32"/>
  <c r="O25" i="32"/>
  <c r="Q25" i="32"/>
  <c r="J26" i="32"/>
  <c r="L26" i="32"/>
  <c r="N26" i="32"/>
  <c r="O26" i="32"/>
  <c r="Q26" i="32"/>
  <c r="N27" i="32"/>
  <c r="O27" i="32"/>
  <c r="Q27" i="32"/>
  <c r="J28" i="32"/>
  <c r="L28" i="32"/>
  <c r="N28" i="32"/>
  <c r="O28" i="32"/>
  <c r="Q28" i="32"/>
  <c r="N29" i="32"/>
  <c r="O29" i="32"/>
  <c r="Q29" i="32"/>
  <c r="J30" i="32"/>
  <c r="L30" i="32"/>
  <c r="N30" i="32"/>
  <c r="O30" i="32"/>
  <c r="Q30" i="32"/>
  <c r="N31" i="32"/>
  <c r="O31" i="32"/>
  <c r="Q31" i="32"/>
  <c r="Q38" i="32"/>
  <c r="Q40" i="32"/>
  <c r="D40" i="29"/>
  <c r="D42" i="29"/>
  <c r="D45" i="29"/>
  <c r="D27" i="29"/>
  <c r="D33" i="29"/>
  <c r="R34" i="32"/>
  <c r="S34" i="32"/>
  <c r="U34" i="32"/>
  <c r="V34" i="32"/>
  <c r="AA34" i="32"/>
  <c r="AK34" i="32"/>
  <c r="AM34" i="32"/>
  <c r="AO34" i="32"/>
  <c r="I114" i="31"/>
  <c r="J114" i="31"/>
  <c r="I117" i="31"/>
  <c r="J117" i="31"/>
  <c r="I120" i="31"/>
  <c r="J120" i="31"/>
  <c r="I123" i="31"/>
  <c r="J123" i="31"/>
  <c r="I126" i="31"/>
  <c r="J126" i="31"/>
  <c r="J127" i="31"/>
  <c r="J139" i="31"/>
  <c r="L137" i="31"/>
  <c r="U16" i="35"/>
  <c r="V16" i="35"/>
  <c r="W16" i="35"/>
  <c r="X16" i="35"/>
  <c r="AE16" i="35"/>
  <c r="Y82" i="35"/>
  <c r="U82" i="35"/>
  <c r="V82" i="35"/>
  <c r="W82" i="35"/>
  <c r="X82" i="35"/>
  <c r="AE82" i="35"/>
  <c r="AD16" i="35"/>
  <c r="L70" i="28"/>
  <c r="M70" i="28"/>
  <c r="O70" i="28"/>
  <c r="P70" i="28"/>
  <c r="A71" i="28"/>
  <c r="B71" i="28"/>
  <c r="C71" i="28"/>
  <c r="D71" i="28"/>
  <c r="B98" i="10"/>
  <c r="C98" i="10"/>
  <c r="E98" i="10"/>
  <c r="E71" i="28"/>
  <c r="F71" i="28"/>
  <c r="G71" i="28"/>
  <c r="I71" i="28"/>
  <c r="J71" i="28"/>
  <c r="Y17" i="35"/>
  <c r="U17" i="35"/>
  <c r="V17" i="35"/>
  <c r="W17" i="35"/>
  <c r="X17" i="35"/>
  <c r="AE17" i="35"/>
  <c r="Y83" i="35"/>
  <c r="U83" i="35"/>
  <c r="V83" i="35"/>
  <c r="W83" i="35"/>
  <c r="X83" i="35"/>
  <c r="AE83" i="35"/>
  <c r="L71" i="28"/>
  <c r="M71" i="28"/>
  <c r="O71" i="28"/>
  <c r="P71" i="28"/>
  <c r="A72" i="28"/>
  <c r="B72" i="28"/>
  <c r="C72" i="28"/>
  <c r="B99" i="10"/>
  <c r="C99" i="10"/>
  <c r="E99" i="10"/>
  <c r="E72" i="28"/>
  <c r="F72" i="28"/>
  <c r="G72" i="28"/>
  <c r="I72" i="28"/>
  <c r="J72" i="28"/>
  <c r="Y18" i="35"/>
  <c r="U18" i="35"/>
  <c r="V18" i="35"/>
  <c r="W18" i="35"/>
  <c r="X18" i="35"/>
  <c r="AE18" i="35"/>
  <c r="Y84" i="35"/>
  <c r="U84" i="35"/>
  <c r="V84" i="35"/>
  <c r="W84" i="35"/>
  <c r="X84" i="35"/>
  <c r="AE84" i="35"/>
  <c r="L72" i="28"/>
  <c r="M72" i="28"/>
  <c r="O72" i="28"/>
  <c r="P72" i="28"/>
  <c r="A73" i="28"/>
  <c r="B73" i="28"/>
  <c r="C73" i="28"/>
  <c r="B100" i="10"/>
  <c r="C100" i="10"/>
  <c r="E100" i="10"/>
  <c r="E73" i="28"/>
  <c r="F73" i="28"/>
  <c r="G73" i="28"/>
  <c r="I73" i="28"/>
  <c r="J73" i="28"/>
  <c r="Y19" i="35"/>
  <c r="U19" i="35"/>
  <c r="V19" i="35"/>
  <c r="W19" i="35"/>
  <c r="X19" i="35"/>
  <c r="AE19" i="35"/>
  <c r="Y85" i="35"/>
  <c r="U85" i="35"/>
  <c r="V85" i="35"/>
  <c r="W85" i="35"/>
  <c r="X85" i="35"/>
  <c r="AE85" i="35"/>
  <c r="L73" i="28"/>
  <c r="M73" i="28"/>
  <c r="O73" i="28"/>
  <c r="P73" i="28"/>
  <c r="A74" i="28"/>
  <c r="B74" i="28"/>
  <c r="C74" i="28"/>
  <c r="B101" i="10"/>
  <c r="C101" i="10"/>
  <c r="E101" i="10"/>
  <c r="E74" i="28"/>
  <c r="F74" i="28"/>
  <c r="G74" i="28"/>
  <c r="I74" i="28"/>
  <c r="J74" i="28"/>
  <c r="Y20" i="35"/>
  <c r="U20" i="35"/>
  <c r="V20" i="35"/>
  <c r="W20" i="35"/>
  <c r="X20" i="35"/>
  <c r="AE20" i="35"/>
  <c r="Y86" i="35"/>
  <c r="U86" i="35"/>
  <c r="V86" i="35"/>
  <c r="W86" i="35"/>
  <c r="X86" i="35"/>
  <c r="AE86" i="35"/>
  <c r="L74" i="28"/>
  <c r="M74" i="28"/>
  <c r="O74" i="28"/>
  <c r="P74" i="28"/>
  <c r="A75" i="28"/>
  <c r="B75" i="28"/>
  <c r="C75" i="28"/>
  <c r="B102" i="10"/>
  <c r="C102" i="10"/>
  <c r="E102" i="10"/>
  <c r="E75" i="28"/>
  <c r="F75" i="28"/>
  <c r="G75" i="28"/>
  <c r="I75" i="28"/>
  <c r="J75" i="28"/>
  <c r="Y21" i="35"/>
  <c r="U21" i="35"/>
  <c r="V21" i="35"/>
  <c r="W21" i="35"/>
  <c r="X21" i="35"/>
  <c r="AE21" i="35"/>
  <c r="L75" i="28"/>
  <c r="M75" i="28"/>
  <c r="O75" i="28"/>
  <c r="P75" i="28"/>
  <c r="B110" i="10"/>
  <c r="C110" i="10"/>
  <c r="E110" i="10"/>
  <c r="B103" i="10"/>
  <c r="B104" i="10"/>
  <c r="B105" i="10"/>
  <c r="B106" i="10"/>
  <c r="C103" i="10"/>
  <c r="E103" i="10"/>
  <c r="C104" i="10"/>
  <c r="E104" i="10"/>
  <c r="C105" i="10"/>
  <c r="E105" i="10"/>
  <c r="C106" i="10"/>
  <c r="E106" i="10"/>
  <c r="B107" i="10"/>
  <c r="C107" i="10"/>
  <c r="E107" i="10"/>
  <c r="B108" i="10"/>
  <c r="C108" i="10"/>
  <c r="E108" i="10"/>
  <c r="B109" i="10"/>
  <c r="C109" i="10"/>
  <c r="E109" i="10"/>
  <c r="B111" i="10"/>
  <c r="C111" i="10"/>
  <c r="E111" i="10"/>
  <c r="B112" i="10"/>
  <c r="C112" i="10"/>
  <c r="E112" i="10"/>
  <c r="B113" i="10"/>
  <c r="C113" i="10"/>
  <c r="E113" i="10"/>
  <c r="B114" i="10"/>
  <c r="C114" i="10"/>
  <c r="E114" i="10"/>
  <c r="B115" i="10"/>
  <c r="C115" i="10"/>
  <c r="E115" i="10"/>
  <c r="B116" i="10"/>
  <c r="C116" i="10"/>
  <c r="E116" i="10"/>
  <c r="B117" i="10"/>
  <c r="C117" i="10"/>
  <c r="E117" i="10"/>
  <c r="B118" i="10"/>
  <c r="C118" i="10"/>
  <c r="E118" i="10"/>
  <c r="B119" i="10"/>
  <c r="C119" i="10"/>
  <c r="E119" i="10"/>
  <c r="B120" i="10"/>
  <c r="C120" i="10"/>
  <c r="E120" i="10"/>
  <c r="B121" i="10"/>
  <c r="C121" i="10"/>
  <c r="E121" i="10"/>
  <c r="B122" i="10"/>
  <c r="C122" i="10"/>
  <c r="E122" i="10"/>
  <c r="B123" i="10"/>
  <c r="C123" i="10"/>
  <c r="E123" i="10"/>
  <c r="B124" i="10"/>
  <c r="C124" i="10"/>
  <c r="E124" i="10"/>
  <c r="B125" i="10"/>
  <c r="C125" i="10"/>
  <c r="E125" i="10"/>
  <c r="B126" i="10"/>
  <c r="C126" i="10"/>
  <c r="E126" i="10"/>
  <c r="B127" i="10"/>
  <c r="C127" i="10"/>
  <c r="E127" i="10"/>
  <c r="B128" i="10"/>
  <c r="C128" i="10"/>
  <c r="E128" i="10"/>
  <c r="B129" i="10"/>
  <c r="C129" i="10"/>
  <c r="E129" i="10"/>
  <c r="B130" i="10"/>
  <c r="C130" i="10"/>
  <c r="E130" i="10"/>
  <c r="B131" i="10"/>
  <c r="C131" i="10"/>
  <c r="E131" i="10"/>
  <c r="B132" i="10"/>
  <c r="C132" i="10"/>
  <c r="E132" i="10"/>
  <c r="B133" i="10"/>
  <c r="C133" i="10"/>
  <c r="E133" i="10"/>
  <c r="B134" i="10"/>
  <c r="C134" i="10"/>
  <c r="E134" i="10"/>
  <c r="B135" i="10"/>
  <c r="C135" i="10"/>
  <c r="E135" i="10"/>
  <c r="B136" i="10"/>
  <c r="C136" i="10"/>
  <c r="E136" i="10"/>
  <c r="B137" i="10"/>
  <c r="C137" i="10"/>
  <c r="E137" i="10"/>
  <c r="B138" i="10"/>
  <c r="C138" i="10"/>
  <c r="E138" i="10"/>
  <c r="B139" i="10"/>
  <c r="C139" i="10"/>
  <c r="E139" i="10"/>
  <c r="B140" i="10"/>
  <c r="C140" i="10"/>
  <c r="E140" i="10"/>
  <c r="B141" i="10"/>
  <c r="C141" i="10"/>
  <c r="E141" i="10"/>
  <c r="B142" i="10"/>
  <c r="C142" i="10"/>
  <c r="E142" i="10"/>
  <c r="B143" i="10"/>
  <c r="C143" i="10"/>
  <c r="E143" i="10"/>
  <c r="B144" i="10"/>
  <c r="C144" i="10"/>
  <c r="E144" i="10"/>
  <c r="B145" i="10"/>
  <c r="C145" i="10"/>
  <c r="E145" i="10"/>
  <c r="B146" i="10"/>
  <c r="C146" i="10"/>
  <c r="E146" i="10"/>
  <c r="B147" i="10"/>
  <c r="C147" i="10"/>
  <c r="E147" i="10"/>
  <c r="B148" i="10"/>
  <c r="C148" i="10"/>
  <c r="E148" i="10"/>
  <c r="B149" i="10"/>
  <c r="C149" i="10"/>
  <c r="E149" i="10"/>
  <c r="W11" i="2"/>
  <c r="Y11" i="2"/>
  <c r="Z11" i="2"/>
  <c r="AA11" i="2"/>
  <c r="AC11" i="2"/>
  <c r="W12" i="2"/>
  <c r="Y12" i="2"/>
  <c r="Z12" i="2"/>
  <c r="AA12" i="2"/>
  <c r="AC12" i="2"/>
  <c r="W13" i="2"/>
  <c r="Y13" i="2"/>
  <c r="Z13" i="2"/>
  <c r="AA13" i="2"/>
  <c r="AC13" i="2"/>
  <c r="W14" i="2"/>
  <c r="Y14" i="2"/>
  <c r="Z14" i="2"/>
  <c r="AA14" i="2"/>
  <c r="AC14" i="2"/>
  <c r="W15" i="2"/>
  <c r="Y15" i="2"/>
  <c r="Z15" i="2"/>
  <c r="AA15" i="2"/>
  <c r="AC15" i="2"/>
  <c r="W16" i="2"/>
  <c r="Y16" i="2"/>
  <c r="Z16" i="2"/>
  <c r="AA16" i="2"/>
  <c r="AC16" i="2"/>
  <c r="W17" i="2"/>
  <c r="Y17" i="2"/>
  <c r="Z17" i="2"/>
  <c r="AA17" i="2"/>
  <c r="AC17" i="2"/>
  <c r="W18" i="2"/>
  <c r="Y18" i="2"/>
  <c r="Z18" i="2"/>
  <c r="AA18" i="2"/>
  <c r="AC18" i="2"/>
  <c r="W19" i="2"/>
  <c r="Y19" i="2"/>
  <c r="Z19" i="2"/>
  <c r="AA19" i="2"/>
  <c r="AC19" i="2"/>
  <c r="W20" i="2"/>
  <c r="Y20" i="2"/>
  <c r="Z20" i="2"/>
  <c r="AA20" i="2"/>
  <c r="AC20" i="2"/>
  <c r="W21" i="2"/>
  <c r="Y21" i="2"/>
  <c r="Z21" i="2"/>
  <c r="AA21" i="2"/>
  <c r="AC21" i="2"/>
  <c r="W22" i="2"/>
  <c r="Y22" i="2"/>
  <c r="Z22" i="2"/>
  <c r="W23" i="2"/>
  <c r="Y23" i="2"/>
  <c r="Z23" i="2"/>
  <c r="AA23" i="2"/>
  <c r="AC23" i="2"/>
  <c r="W24" i="2"/>
  <c r="Y24" i="2"/>
  <c r="Z24" i="2"/>
  <c r="AA24" i="2"/>
  <c r="AC24" i="2"/>
  <c r="W25" i="2"/>
  <c r="Y25" i="2"/>
  <c r="Z25" i="2"/>
  <c r="AA25" i="2"/>
  <c r="AC25" i="2"/>
  <c r="W26" i="2"/>
  <c r="Y26" i="2"/>
  <c r="Z26" i="2"/>
  <c r="AA26" i="2"/>
  <c r="AC26" i="2"/>
  <c r="W27" i="2"/>
  <c r="Y27" i="2"/>
  <c r="Z27" i="2"/>
  <c r="AA27" i="2"/>
  <c r="AC27" i="2"/>
  <c r="W28" i="2"/>
  <c r="Y28" i="2"/>
  <c r="Z28" i="2"/>
  <c r="AA28" i="2"/>
  <c r="AC28" i="2"/>
  <c r="W29" i="2"/>
  <c r="Y29" i="2"/>
  <c r="Z29" i="2"/>
  <c r="AA29" i="2"/>
  <c r="AC29" i="2"/>
  <c r="W30" i="2"/>
  <c r="Y30" i="2"/>
  <c r="Z30" i="2"/>
  <c r="AA30" i="2"/>
  <c r="AC30" i="2"/>
  <c r="W31" i="2"/>
  <c r="Y31" i="2"/>
  <c r="Z31" i="2"/>
  <c r="AA31" i="2"/>
  <c r="AC31" i="2"/>
  <c r="W32" i="2"/>
  <c r="Y32" i="2"/>
  <c r="Z32" i="2"/>
  <c r="AA32" i="2"/>
  <c r="AC32" i="2"/>
  <c r="W33" i="2"/>
  <c r="Y33" i="2"/>
  <c r="Z33" i="2"/>
  <c r="AA33" i="2"/>
  <c r="AC33" i="2"/>
  <c r="W34" i="2"/>
  <c r="Y34" i="2"/>
  <c r="Z34" i="2"/>
  <c r="AA34" i="2"/>
  <c r="AC34" i="2"/>
  <c r="W35" i="2"/>
  <c r="Y35" i="2"/>
  <c r="Z35" i="2"/>
  <c r="AA35" i="2"/>
  <c r="AC35" i="2"/>
  <c r="W36" i="2"/>
  <c r="Y36" i="2"/>
  <c r="Z36" i="2"/>
  <c r="AA36" i="2"/>
  <c r="AC36" i="2"/>
  <c r="W37" i="2"/>
  <c r="Y37" i="2"/>
  <c r="Z37" i="2"/>
  <c r="AA37" i="2"/>
  <c r="AC37" i="2"/>
  <c r="W38" i="2"/>
  <c r="Y38" i="2"/>
  <c r="Z38" i="2"/>
  <c r="AA38" i="2"/>
  <c r="AC38" i="2"/>
  <c r="W39" i="2"/>
  <c r="Y39" i="2"/>
  <c r="Z39" i="2"/>
  <c r="AA39" i="2"/>
  <c r="AC39" i="2"/>
  <c r="W40" i="2"/>
  <c r="Y40" i="2"/>
  <c r="Z40" i="2"/>
  <c r="AA40" i="2"/>
  <c r="AC40" i="2"/>
  <c r="W41" i="2"/>
  <c r="Y41" i="2"/>
  <c r="Z41" i="2"/>
  <c r="AA41" i="2"/>
  <c r="AC41" i="2"/>
  <c r="W42" i="2"/>
  <c r="Y42" i="2"/>
  <c r="Z42" i="2"/>
  <c r="AA42" i="2"/>
  <c r="AC42" i="2"/>
  <c r="W43" i="2"/>
  <c r="Y43" i="2"/>
  <c r="Z43" i="2"/>
  <c r="AA43" i="2"/>
  <c r="AC43" i="2"/>
  <c r="W44" i="2"/>
  <c r="Y44" i="2"/>
  <c r="Z44" i="2"/>
  <c r="AA44" i="2"/>
  <c r="AC44" i="2"/>
  <c r="W45" i="2"/>
  <c r="Y45" i="2"/>
  <c r="Z45" i="2"/>
  <c r="AA45" i="2"/>
  <c r="AC45" i="2"/>
  <c r="W46" i="2"/>
  <c r="Y46" i="2"/>
  <c r="Z46" i="2"/>
  <c r="AA46" i="2"/>
  <c r="AC46" i="2"/>
  <c r="W47" i="2"/>
  <c r="Y47" i="2"/>
  <c r="Z47" i="2"/>
  <c r="AA47" i="2"/>
  <c r="AC47" i="2"/>
  <c r="W48" i="2"/>
  <c r="Y48" i="2"/>
  <c r="Z48" i="2"/>
  <c r="AA48" i="2"/>
  <c r="AC48" i="2"/>
  <c r="W49" i="2"/>
  <c r="Y49" i="2"/>
  <c r="Z49" i="2"/>
  <c r="AA49" i="2"/>
  <c r="AC49" i="2"/>
  <c r="W50" i="2"/>
  <c r="Y50" i="2"/>
  <c r="Z50" i="2"/>
  <c r="AA50" i="2"/>
  <c r="AC50" i="2"/>
  <c r="W51" i="2"/>
  <c r="Y51" i="2"/>
  <c r="Z51" i="2"/>
  <c r="AA51" i="2"/>
  <c r="AC51" i="2"/>
  <c r="W52" i="2"/>
  <c r="Y52" i="2"/>
  <c r="Z52" i="2"/>
  <c r="AA52" i="2"/>
  <c r="AC52" i="2"/>
  <c r="W53" i="2"/>
  <c r="Y53" i="2"/>
  <c r="Z53" i="2"/>
  <c r="AA53" i="2"/>
  <c r="AC53" i="2"/>
  <c r="W54" i="2"/>
  <c r="Y54" i="2"/>
  <c r="Z54" i="2"/>
  <c r="AA54" i="2"/>
  <c r="AC54" i="2"/>
  <c r="W55" i="2"/>
  <c r="Y55" i="2"/>
  <c r="Z55" i="2"/>
  <c r="AA55" i="2"/>
  <c r="AC55" i="2"/>
  <c r="W56" i="2"/>
  <c r="Y56" i="2"/>
  <c r="Z56" i="2"/>
  <c r="AA56" i="2"/>
  <c r="AC56" i="2"/>
  <c r="W57" i="2"/>
  <c r="Y57" i="2"/>
  <c r="Z57" i="2"/>
  <c r="AA57" i="2"/>
  <c r="AC57" i="2"/>
  <c r="W58" i="2"/>
  <c r="Y58" i="2"/>
  <c r="Z58" i="2"/>
  <c r="AA58" i="2"/>
  <c r="AC58" i="2"/>
  <c r="W59" i="2"/>
  <c r="Y59" i="2"/>
  <c r="Z59" i="2"/>
  <c r="AA59" i="2"/>
  <c r="AC59" i="2"/>
  <c r="W60" i="2"/>
  <c r="Y60" i="2"/>
  <c r="Z60" i="2"/>
  <c r="AA60" i="2"/>
  <c r="AC60" i="2"/>
  <c r="W61" i="2"/>
  <c r="Y61" i="2"/>
  <c r="Z61" i="2"/>
  <c r="AA61" i="2"/>
  <c r="AC61" i="2"/>
  <c r="W62" i="2"/>
  <c r="Y62" i="2"/>
  <c r="Z62" i="2"/>
  <c r="AA62" i="2"/>
  <c r="AC62" i="2"/>
  <c r="W63" i="2"/>
  <c r="Y63" i="2"/>
  <c r="Z63" i="2"/>
  <c r="AA63" i="2"/>
  <c r="AC63" i="2"/>
  <c r="W64" i="2"/>
  <c r="Y64" i="2"/>
  <c r="Z64" i="2"/>
  <c r="AA64" i="2"/>
  <c r="AC64" i="2"/>
  <c r="W65" i="2"/>
  <c r="Y65" i="2"/>
  <c r="Z65" i="2"/>
  <c r="AA65" i="2"/>
  <c r="AC65" i="2"/>
  <c r="W66" i="2"/>
  <c r="Y66" i="2"/>
  <c r="Z66" i="2"/>
  <c r="AA66" i="2"/>
  <c r="AC66" i="2"/>
  <c r="W67" i="2"/>
  <c r="Y67" i="2"/>
  <c r="Z67" i="2"/>
  <c r="AA67" i="2"/>
  <c r="AC67" i="2"/>
  <c r="W68" i="2"/>
  <c r="Y68" i="2"/>
  <c r="Z68" i="2"/>
  <c r="AA68" i="2"/>
  <c r="AC68" i="2"/>
  <c r="W69" i="2"/>
  <c r="Y69" i="2"/>
  <c r="Z69" i="2"/>
  <c r="AA69" i="2"/>
  <c r="AC69" i="2"/>
  <c r="W70" i="2"/>
  <c r="Y70" i="2"/>
  <c r="Z70" i="2"/>
  <c r="AA70" i="2"/>
  <c r="AC70" i="2"/>
  <c r="W71" i="2"/>
  <c r="Y71" i="2"/>
  <c r="Z71" i="2"/>
  <c r="AA71" i="2"/>
  <c r="AC71" i="2"/>
  <c r="W72" i="2"/>
  <c r="Y72" i="2"/>
  <c r="Z72" i="2"/>
  <c r="AA72" i="2"/>
  <c r="AC72" i="2"/>
  <c r="W73" i="2"/>
  <c r="Y73" i="2"/>
  <c r="Z73" i="2"/>
  <c r="AA73" i="2"/>
  <c r="AC73" i="2"/>
  <c r="W74" i="2"/>
  <c r="Y74" i="2"/>
  <c r="Z74" i="2"/>
  <c r="AA74" i="2"/>
  <c r="AC74" i="2"/>
  <c r="W75" i="2"/>
  <c r="Y75" i="2"/>
  <c r="Z75" i="2"/>
  <c r="AA75" i="2"/>
  <c r="AC75" i="2"/>
  <c r="W76" i="2"/>
  <c r="Y76" i="2"/>
  <c r="Z76" i="2"/>
  <c r="AA76" i="2"/>
  <c r="AC76" i="2"/>
  <c r="W77" i="2"/>
  <c r="Y77" i="2"/>
  <c r="Z77" i="2"/>
  <c r="AA77" i="2"/>
  <c r="AC77" i="2"/>
  <c r="W78" i="2"/>
  <c r="Y78" i="2"/>
  <c r="Z78" i="2"/>
  <c r="AA78" i="2"/>
  <c r="AC78" i="2"/>
  <c r="W79" i="2"/>
  <c r="Y79" i="2"/>
  <c r="Z79" i="2"/>
  <c r="AA79" i="2"/>
  <c r="AC79" i="2"/>
  <c r="W80" i="2"/>
  <c r="Y80" i="2"/>
  <c r="Z80" i="2"/>
  <c r="AA80" i="2"/>
  <c r="AC80" i="2"/>
  <c r="W81" i="2"/>
  <c r="Y81" i="2"/>
  <c r="Z81" i="2"/>
  <c r="AA81" i="2"/>
  <c r="AC81" i="2"/>
  <c r="W82" i="2"/>
  <c r="Y82" i="2"/>
  <c r="Z82" i="2"/>
  <c r="AA82" i="2"/>
  <c r="AC82" i="2"/>
  <c r="W83" i="2"/>
  <c r="Y83" i="2"/>
  <c r="Z83" i="2"/>
  <c r="AA83" i="2"/>
  <c r="AC83" i="2"/>
  <c r="W84" i="2"/>
  <c r="Y84" i="2"/>
  <c r="Z84" i="2"/>
  <c r="AA84" i="2"/>
  <c r="AC84" i="2"/>
  <c r="W85" i="2"/>
  <c r="Y85" i="2"/>
  <c r="Z85" i="2"/>
  <c r="AA85" i="2"/>
  <c r="AC85" i="2"/>
  <c r="W86" i="2"/>
  <c r="Y86" i="2"/>
  <c r="Z86" i="2"/>
  <c r="AA86" i="2"/>
  <c r="AC86" i="2"/>
  <c r="W87" i="2"/>
  <c r="Y87" i="2"/>
  <c r="Z87" i="2"/>
  <c r="AA87" i="2"/>
  <c r="AC87" i="2"/>
  <c r="W88" i="2"/>
  <c r="Y88" i="2"/>
  <c r="Z88" i="2"/>
  <c r="AA88" i="2"/>
  <c r="AC88" i="2"/>
  <c r="W89" i="2"/>
  <c r="Y89" i="2"/>
  <c r="Z89" i="2"/>
  <c r="AA89" i="2"/>
  <c r="AC89" i="2"/>
  <c r="W90" i="2"/>
  <c r="Y90" i="2"/>
  <c r="Z90" i="2"/>
  <c r="AA90" i="2"/>
  <c r="AC90" i="2"/>
  <c r="W91" i="2"/>
  <c r="Y91" i="2"/>
  <c r="Z91" i="2"/>
  <c r="AA91" i="2"/>
  <c r="AC91" i="2"/>
  <c r="W92" i="2"/>
  <c r="Y92" i="2"/>
  <c r="Z92" i="2"/>
  <c r="AA92" i="2"/>
  <c r="AC92" i="2"/>
  <c r="W93" i="2"/>
  <c r="Y93" i="2"/>
  <c r="Z93" i="2"/>
  <c r="AA93" i="2"/>
  <c r="AC93" i="2"/>
  <c r="W94" i="2"/>
  <c r="Y94" i="2"/>
  <c r="Z94" i="2"/>
  <c r="AA94" i="2"/>
  <c r="AC94" i="2"/>
  <c r="W95" i="2"/>
  <c r="Y95" i="2"/>
  <c r="Z95" i="2"/>
  <c r="AA95" i="2"/>
  <c r="AC95" i="2"/>
  <c r="W96" i="2"/>
  <c r="Y96" i="2"/>
  <c r="Z96" i="2"/>
  <c r="AA96" i="2"/>
  <c r="AC96" i="2"/>
  <c r="W97" i="2"/>
  <c r="Y97" i="2"/>
  <c r="Z97" i="2"/>
  <c r="AA97" i="2"/>
  <c r="AC97" i="2"/>
  <c r="W98" i="2"/>
  <c r="Y98" i="2"/>
  <c r="Z98" i="2"/>
  <c r="AA98" i="2"/>
  <c r="AC98" i="2"/>
  <c r="W99" i="2"/>
  <c r="Y99" i="2"/>
  <c r="Z99" i="2"/>
  <c r="AA99" i="2"/>
  <c r="AC99" i="2"/>
  <c r="W100" i="2"/>
  <c r="Y100" i="2"/>
  <c r="Z100" i="2"/>
  <c r="AA100" i="2"/>
  <c r="AC100" i="2"/>
  <c r="W101" i="2"/>
  <c r="Y101" i="2"/>
  <c r="Z101" i="2"/>
  <c r="AA101" i="2"/>
  <c r="AC101" i="2"/>
  <c r="W102" i="2"/>
  <c r="Y102" i="2"/>
  <c r="Z102" i="2"/>
  <c r="AA102" i="2"/>
  <c r="AC102" i="2"/>
  <c r="W103" i="2"/>
  <c r="Y103" i="2"/>
  <c r="Z103" i="2"/>
  <c r="AA103" i="2"/>
  <c r="AC103" i="2"/>
  <c r="W104" i="2"/>
  <c r="Y104" i="2"/>
  <c r="Z104" i="2"/>
  <c r="AA104" i="2"/>
  <c r="AC104" i="2"/>
  <c r="W105" i="2"/>
  <c r="Y105" i="2"/>
  <c r="Z105" i="2"/>
  <c r="AA105" i="2"/>
  <c r="AC105" i="2"/>
  <c r="W106" i="2"/>
  <c r="Y106" i="2"/>
  <c r="Z106" i="2"/>
  <c r="AA106" i="2"/>
  <c r="AC106" i="2"/>
  <c r="W107" i="2"/>
  <c r="Y107" i="2"/>
  <c r="Z107" i="2"/>
  <c r="AA107" i="2"/>
  <c r="AC107" i="2"/>
  <c r="W108" i="2"/>
  <c r="Y108" i="2"/>
  <c r="Z108" i="2"/>
  <c r="AA108" i="2"/>
  <c r="AC108" i="2"/>
  <c r="W109" i="2"/>
  <c r="Y109" i="2"/>
  <c r="Z109" i="2"/>
  <c r="AA109" i="2"/>
  <c r="AC109" i="2"/>
  <c r="W110" i="2"/>
  <c r="Y110" i="2"/>
  <c r="Z110" i="2"/>
  <c r="AA110" i="2"/>
  <c r="AC110" i="2"/>
  <c r="W111" i="2"/>
  <c r="Y111" i="2"/>
  <c r="Z111" i="2"/>
  <c r="AA111" i="2"/>
  <c r="AC111" i="2"/>
  <c r="W112" i="2"/>
  <c r="Y112" i="2"/>
  <c r="Z112" i="2"/>
  <c r="AA112" i="2"/>
  <c r="AC112" i="2"/>
  <c r="W113" i="2"/>
  <c r="Y113" i="2"/>
  <c r="Z113" i="2"/>
  <c r="AA113" i="2"/>
  <c r="AC113" i="2"/>
  <c r="W114" i="2"/>
  <c r="Y114" i="2"/>
  <c r="Z114" i="2"/>
  <c r="AA114" i="2"/>
  <c r="AC114" i="2"/>
  <c r="W115" i="2"/>
  <c r="Y115" i="2"/>
  <c r="Z115" i="2"/>
  <c r="AA115" i="2"/>
  <c r="AC115" i="2"/>
  <c r="W116" i="2"/>
  <c r="Y116" i="2"/>
  <c r="Z116" i="2"/>
  <c r="AA116" i="2"/>
  <c r="AC116" i="2"/>
  <c r="W117" i="2"/>
  <c r="Y117" i="2"/>
  <c r="Z117" i="2"/>
  <c r="AA117" i="2"/>
  <c r="AC117" i="2"/>
  <c r="W118" i="2"/>
  <c r="Y118" i="2"/>
  <c r="Z118" i="2"/>
  <c r="AA118" i="2"/>
  <c r="AC118" i="2"/>
  <c r="W119" i="2"/>
  <c r="Y119" i="2"/>
  <c r="Z119" i="2"/>
  <c r="AA119" i="2"/>
  <c r="AC119" i="2"/>
  <c r="W120" i="2"/>
  <c r="Y120" i="2"/>
  <c r="Z120" i="2"/>
  <c r="AA120" i="2"/>
  <c r="AC120" i="2"/>
  <c r="W121" i="2"/>
  <c r="Y121" i="2"/>
  <c r="Z121" i="2"/>
  <c r="AA121" i="2"/>
  <c r="AC121" i="2"/>
  <c r="W122" i="2"/>
  <c r="Y122" i="2"/>
  <c r="Z122" i="2"/>
  <c r="AA122" i="2"/>
  <c r="AC122" i="2"/>
  <c r="W123" i="2"/>
  <c r="Y123" i="2"/>
  <c r="Z123" i="2"/>
  <c r="AA123" i="2"/>
  <c r="AC123" i="2"/>
  <c r="W124" i="2"/>
  <c r="Y124" i="2"/>
  <c r="Z124" i="2"/>
  <c r="AA124" i="2"/>
  <c r="AC124" i="2"/>
  <c r="W125" i="2"/>
  <c r="Y125" i="2"/>
  <c r="Z125" i="2"/>
  <c r="AA125" i="2"/>
  <c r="AC125" i="2"/>
  <c r="W126" i="2"/>
  <c r="Y126" i="2"/>
  <c r="Z126" i="2"/>
  <c r="AA126" i="2"/>
  <c r="AC126" i="2"/>
  <c r="W127" i="2"/>
  <c r="Y127" i="2"/>
  <c r="Z127" i="2"/>
  <c r="AA127" i="2"/>
  <c r="AC127" i="2"/>
  <c r="W128" i="2"/>
  <c r="Y128" i="2"/>
  <c r="Z128" i="2"/>
  <c r="AA128" i="2"/>
  <c r="AC128" i="2"/>
  <c r="W129" i="2"/>
  <c r="Y129" i="2"/>
  <c r="Z129" i="2"/>
  <c r="AA129" i="2"/>
  <c r="AC129" i="2"/>
  <c r="W130" i="2"/>
  <c r="Y130" i="2"/>
  <c r="Z130" i="2"/>
  <c r="AA130" i="2"/>
  <c r="AC130" i="2"/>
  <c r="W131" i="2"/>
  <c r="Y131" i="2"/>
  <c r="Z131" i="2"/>
  <c r="AA131" i="2"/>
  <c r="AC131" i="2"/>
  <c r="W132" i="2"/>
  <c r="Y132" i="2"/>
  <c r="Z132" i="2"/>
  <c r="AA132" i="2"/>
  <c r="AC132" i="2"/>
  <c r="W133" i="2"/>
  <c r="Y133" i="2"/>
  <c r="Z133" i="2"/>
  <c r="AA133" i="2"/>
  <c r="AC133" i="2"/>
  <c r="W134" i="2"/>
  <c r="Y134" i="2"/>
  <c r="Z134" i="2"/>
  <c r="AA134" i="2"/>
  <c r="AC134" i="2"/>
  <c r="W135" i="2"/>
  <c r="Y135" i="2"/>
  <c r="Z135" i="2"/>
  <c r="AA135" i="2"/>
  <c r="AC135" i="2"/>
  <c r="W136" i="2"/>
  <c r="Y136" i="2"/>
  <c r="Z136" i="2"/>
  <c r="AA136" i="2"/>
  <c r="AC136" i="2"/>
  <c r="W137" i="2"/>
  <c r="Y137" i="2"/>
  <c r="Z137" i="2"/>
  <c r="AA137" i="2"/>
  <c r="AC137" i="2"/>
  <c r="W138" i="2"/>
  <c r="Y138" i="2"/>
  <c r="Z138" i="2"/>
  <c r="AA138" i="2"/>
  <c r="AC138" i="2"/>
  <c r="W139" i="2"/>
  <c r="Y139" i="2"/>
  <c r="Z139" i="2"/>
  <c r="AA139" i="2"/>
  <c r="AC139" i="2"/>
  <c r="W140" i="2"/>
  <c r="Y140" i="2"/>
  <c r="Z140" i="2"/>
  <c r="AA140" i="2"/>
  <c r="AC140" i="2"/>
  <c r="W141" i="2"/>
  <c r="Y141" i="2"/>
  <c r="Z141" i="2"/>
  <c r="AA141" i="2"/>
  <c r="AC141" i="2"/>
  <c r="W142" i="2"/>
  <c r="Y142" i="2"/>
  <c r="Z142" i="2"/>
  <c r="AA142" i="2"/>
  <c r="AC142" i="2"/>
  <c r="W143" i="2"/>
  <c r="Y143" i="2"/>
  <c r="Z143" i="2"/>
  <c r="AA143" i="2"/>
  <c r="AC143" i="2"/>
  <c r="W144" i="2"/>
  <c r="Y144" i="2"/>
  <c r="Z144" i="2"/>
  <c r="AA144" i="2"/>
  <c r="AC144" i="2"/>
  <c r="W145" i="2"/>
  <c r="Y145" i="2"/>
  <c r="Z145" i="2"/>
  <c r="AA145" i="2"/>
  <c r="AC145" i="2"/>
  <c r="W146" i="2"/>
  <c r="Y146" i="2"/>
  <c r="Z146" i="2"/>
  <c r="AA146" i="2"/>
  <c r="AC146" i="2"/>
  <c r="W147" i="2"/>
  <c r="Y147" i="2"/>
  <c r="Z147" i="2"/>
  <c r="AA147" i="2"/>
  <c r="AC147" i="2"/>
  <c r="W148" i="2"/>
  <c r="Y148" i="2"/>
  <c r="Z148" i="2"/>
  <c r="AA148" i="2"/>
  <c r="AC148" i="2"/>
  <c r="W149" i="2"/>
  <c r="Y149" i="2"/>
  <c r="Z149" i="2"/>
  <c r="AA149" i="2"/>
  <c r="AC149" i="2"/>
  <c r="W150" i="2"/>
  <c r="Y150" i="2"/>
  <c r="Z150" i="2"/>
  <c r="AA150" i="2"/>
  <c r="AC150" i="2"/>
  <c r="W151" i="2"/>
  <c r="Y151" i="2"/>
  <c r="Z151" i="2"/>
  <c r="AA151" i="2"/>
  <c r="AC151" i="2"/>
  <c r="W152" i="2"/>
  <c r="Y152" i="2"/>
  <c r="Z152" i="2"/>
  <c r="AA152" i="2"/>
  <c r="AC152" i="2"/>
  <c r="W153" i="2"/>
  <c r="Y153" i="2"/>
  <c r="Z153" i="2"/>
  <c r="AA153" i="2"/>
  <c r="AC153" i="2"/>
  <c r="W154" i="2"/>
  <c r="Y154" i="2"/>
  <c r="Z154" i="2"/>
  <c r="AA154" i="2"/>
  <c r="AC154" i="2"/>
  <c r="W155" i="2"/>
  <c r="Y155" i="2"/>
  <c r="Z155" i="2"/>
  <c r="AA155" i="2"/>
  <c r="AC155" i="2"/>
  <c r="W156" i="2"/>
  <c r="Y156" i="2"/>
  <c r="Z156" i="2"/>
  <c r="AA156" i="2"/>
  <c r="AC156" i="2"/>
  <c r="W157" i="2"/>
  <c r="Y157" i="2"/>
  <c r="Z157" i="2"/>
  <c r="AA157" i="2"/>
  <c r="AC157" i="2"/>
  <c r="W158" i="2"/>
  <c r="Y158" i="2"/>
  <c r="Z158" i="2"/>
  <c r="AA158" i="2"/>
  <c r="AC158" i="2"/>
  <c r="W159" i="2"/>
  <c r="Y159" i="2"/>
  <c r="Z159" i="2"/>
  <c r="AA159" i="2"/>
  <c r="AC159" i="2"/>
  <c r="W160" i="2"/>
  <c r="Y160" i="2"/>
  <c r="Z160" i="2"/>
  <c r="AA160" i="2"/>
  <c r="AC160" i="2"/>
  <c r="W161" i="2"/>
  <c r="Y161" i="2"/>
  <c r="Z161" i="2"/>
  <c r="AA161" i="2"/>
  <c r="AC161" i="2"/>
  <c r="W162" i="2"/>
  <c r="Y162" i="2"/>
  <c r="Z162" i="2"/>
  <c r="AA162" i="2"/>
  <c r="AC162" i="2"/>
  <c r="W163" i="2"/>
  <c r="Y163" i="2"/>
  <c r="Z163" i="2"/>
  <c r="AA163" i="2"/>
  <c r="AC163" i="2"/>
  <c r="W164" i="2"/>
  <c r="Y164" i="2"/>
  <c r="Z164" i="2"/>
  <c r="AA164" i="2"/>
  <c r="AC164" i="2"/>
  <c r="W165" i="2"/>
  <c r="Y165" i="2"/>
  <c r="Z165" i="2"/>
  <c r="AA165" i="2"/>
  <c r="AC165" i="2"/>
  <c r="W166" i="2"/>
  <c r="Y166" i="2"/>
  <c r="Z166" i="2"/>
  <c r="AA166" i="2"/>
  <c r="AC166" i="2"/>
  <c r="W167" i="2"/>
  <c r="Y167" i="2"/>
  <c r="Z167" i="2"/>
  <c r="AA167" i="2"/>
  <c r="AC167" i="2"/>
  <c r="W168" i="2"/>
  <c r="Y168" i="2"/>
  <c r="Z168" i="2"/>
  <c r="AA168" i="2"/>
  <c r="AC168" i="2"/>
  <c r="W169" i="2"/>
  <c r="Y169" i="2"/>
  <c r="Z169" i="2"/>
  <c r="AA169" i="2"/>
  <c r="AC169" i="2"/>
  <c r="W170" i="2"/>
  <c r="Y170" i="2"/>
  <c r="Z170" i="2"/>
  <c r="AA170" i="2"/>
  <c r="AC170" i="2"/>
  <c r="W171" i="2"/>
  <c r="Y171" i="2"/>
  <c r="Z171" i="2"/>
  <c r="AA171" i="2"/>
  <c r="AC171" i="2"/>
  <c r="W172" i="2"/>
  <c r="Y172" i="2"/>
  <c r="Z172" i="2"/>
  <c r="AA172" i="2"/>
  <c r="AC172" i="2"/>
  <c r="W173" i="2"/>
  <c r="Y173" i="2"/>
  <c r="Z173" i="2"/>
  <c r="AA173" i="2"/>
  <c r="AC173" i="2"/>
  <c r="W174" i="2"/>
  <c r="Y174" i="2"/>
  <c r="Z174" i="2"/>
  <c r="AA174" i="2"/>
  <c r="AC174" i="2"/>
  <c r="W175" i="2"/>
  <c r="Y175" i="2"/>
  <c r="Z175" i="2"/>
  <c r="AA175" i="2"/>
  <c r="AC175" i="2"/>
  <c r="W176" i="2"/>
  <c r="Y176" i="2"/>
  <c r="Z176" i="2"/>
  <c r="AA176" i="2"/>
  <c r="AC176" i="2"/>
  <c r="W177" i="2"/>
  <c r="Y177" i="2"/>
  <c r="Z177" i="2"/>
  <c r="AA177" i="2"/>
  <c r="AC177" i="2"/>
  <c r="W178" i="2"/>
  <c r="Y178" i="2"/>
  <c r="Z178" i="2"/>
  <c r="AA178" i="2"/>
  <c r="AC178" i="2"/>
  <c r="E58" i="10"/>
  <c r="E63" i="10"/>
  <c r="E66" i="10"/>
  <c r="L97"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8" i="1"/>
  <c r="L99" i="1"/>
  <c r="L100" i="1"/>
  <c r="L101" i="1"/>
  <c r="L103" i="1"/>
  <c r="N97" i="1"/>
  <c r="M97" i="1"/>
  <c r="K97" i="1"/>
  <c r="C138" i="28"/>
  <c r="J33" i="32"/>
  <c r="L33" i="32"/>
  <c r="N33" i="32"/>
  <c r="O33" i="32"/>
  <c r="Q33" i="32"/>
  <c r="R33" i="32"/>
  <c r="S33" i="32"/>
  <c r="D54" i="29"/>
  <c r="D60" i="29"/>
  <c r="C62" i="29"/>
  <c r="C63" i="29"/>
  <c r="C64" i="29"/>
  <c r="C65" i="29"/>
  <c r="D66" i="29"/>
  <c r="U33" i="32"/>
  <c r="V33" i="32"/>
  <c r="AA33" i="32"/>
  <c r="AK33" i="32"/>
  <c r="AM33" i="32"/>
  <c r="AO33" i="32"/>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E18" i="10"/>
  <c r="E23" i="10"/>
  <c r="E25" i="10"/>
  <c r="E26" i="10"/>
  <c r="E28" i="10"/>
  <c r="E30" i="10"/>
  <c r="E38" i="10"/>
  <c r="E43" i="10"/>
  <c r="E46" i="10"/>
  <c r="G97" i="10"/>
  <c r="G98" i="10"/>
  <c r="G99" i="10"/>
  <c r="G100" i="10"/>
  <c r="G147" i="10"/>
  <c r="G148" i="10"/>
  <c r="G149" i="10"/>
  <c r="H16" i="31"/>
  <c r="J16" i="32"/>
  <c r="L16" i="32"/>
  <c r="R16" i="32"/>
  <c r="S16" i="32"/>
  <c r="U16" i="32"/>
  <c r="V16" i="32"/>
  <c r="AA16" i="32"/>
  <c r="AK16" i="32"/>
  <c r="AM16" i="32"/>
  <c r="AO16" i="32"/>
  <c r="I16" i="31"/>
  <c r="J16" i="31"/>
  <c r="H19" i="31"/>
  <c r="J18" i="32"/>
  <c r="L18" i="32"/>
  <c r="R18" i="32"/>
  <c r="S18" i="32"/>
  <c r="U18" i="32"/>
  <c r="V18" i="32"/>
  <c r="AA18" i="32"/>
  <c r="AK18" i="32"/>
  <c r="AM18" i="32"/>
  <c r="AO18" i="32"/>
  <c r="I19" i="31"/>
  <c r="J19" i="31"/>
  <c r="H22" i="31"/>
  <c r="J19" i="32"/>
  <c r="L19" i="32"/>
  <c r="R19" i="32"/>
  <c r="S19" i="32"/>
  <c r="U19" i="32"/>
  <c r="V19" i="32"/>
  <c r="AA19" i="32"/>
  <c r="AK19" i="32"/>
  <c r="AM19" i="32"/>
  <c r="AO19" i="32"/>
  <c r="I22" i="31"/>
  <c r="J22" i="31"/>
  <c r="H25" i="31"/>
  <c r="I25" i="31"/>
  <c r="J25" i="31"/>
  <c r="H28" i="31"/>
  <c r="J27" i="32"/>
  <c r="L27" i="32"/>
  <c r="R27" i="32"/>
  <c r="S27" i="32"/>
  <c r="U27" i="32"/>
  <c r="V27" i="32"/>
  <c r="AA27" i="32"/>
  <c r="AK27" i="32"/>
  <c r="AM27" i="32"/>
  <c r="AO27" i="32"/>
  <c r="I28" i="31"/>
  <c r="J28" i="31"/>
  <c r="J29" i="31"/>
  <c r="E39" i="31"/>
  <c r="J29" i="32"/>
  <c r="L29" i="32"/>
  <c r="R29" i="32"/>
  <c r="S29" i="32"/>
  <c r="U29" i="32"/>
  <c r="V29" i="32"/>
  <c r="AA29" i="32"/>
  <c r="AK29" i="32"/>
  <c r="AM29" i="32"/>
  <c r="AO29" i="32"/>
  <c r="I32" i="31"/>
  <c r="J32" i="31"/>
  <c r="I35" i="31"/>
  <c r="J35" i="31"/>
  <c r="R30" i="32"/>
  <c r="S30" i="32"/>
  <c r="U30" i="32"/>
  <c r="V30" i="32"/>
  <c r="AA30" i="32"/>
  <c r="AK30" i="32"/>
  <c r="AM30" i="32"/>
  <c r="AO30" i="32"/>
  <c r="I38" i="31"/>
  <c r="J38" i="31"/>
  <c r="J39" i="31"/>
  <c r="E152" i="10"/>
  <c r="J87" i="31"/>
  <c r="I52" i="31"/>
  <c r="G68" i="31"/>
  <c r="G42" i="31"/>
  <c r="H49" i="31"/>
  <c r="H52" i="31"/>
  <c r="J52" i="31"/>
  <c r="I55" i="31"/>
  <c r="H55" i="31"/>
  <c r="J55" i="31"/>
  <c r="I58" i="31"/>
  <c r="H58" i="31"/>
  <c r="J58" i="31"/>
  <c r="J60" i="31"/>
  <c r="I42" i="31"/>
  <c r="H42" i="31"/>
  <c r="J42" i="31"/>
  <c r="I45" i="31"/>
  <c r="H45" i="31"/>
  <c r="J45" i="31"/>
  <c r="I48" i="31"/>
  <c r="H48" i="31"/>
  <c r="J48" i="31"/>
  <c r="J49" i="31"/>
  <c r="J62" i="31"/>
  <c r="J89" i="31"/>
  <c r="L98" i="31"/>
  <c r="C148" i="28"/>
  <c r="D148" i="28"/>
  <c r="E148" i="28"/>
  <c r="F148" i="28"/>
  <c r="G148" i="28"/>
  <c r="C149" i="28"/>
  <c r="H46" i="5"/>
  <c r="B121" i="28"/>
  <c r="C121" i="28"/>
  <c r="O121" i="28"/>
  <c r="P121" i="28"/>
  <c r="Y179" i="2"/>
  <c r="Z179" i="2"/>
  <c r="Y180" i="2"/>
  <c r="Z180" i="2"/>
  <c r="Y181" i="2"/>
  <c r="Z181" i="2"/>
  <c r="Y182" i="2"/>
  <c r="Z182" i="2"/>
  <c r="Y183" i="2"/>
  <c r="Z183" i="2"/>
  <c r="Y184" i="2"/>
  <c r="Z184" i="2"/>
  <c r="Y185" i="2"/>
  <c r="Z185" i="2"/>
  <c r="Y186" i="2"/>
  <c r="Z186" i="2"/>
  <c r="Y187" i="2"/>
  <c r="Z187" i="2"/>
  <c r="Y188" i="2"/>
  <c r="Z188" i="2"/>
  <c r="Y189" i="2"/>
  <c r="Z189" i="2"/>
  <c r="Y190" i="2"/>
  <c r="Z190" i="2"/>
  <c r="Y191" i="2"/>
  <c r="Z191" i="2"/>
  <c r="Y192" i="2"/>
  <c r="Z192" i="2"/>
  <c r="Y193" i="2"/>
  <c r="Z193" i="2"/>
  <c r="Y194" i="2"/>
  <c r="Z194" i="2"/>
  <c r="Y195" i="2"/>
  <c r="Z195" i="2"/>
  <c r="Y196" i="2"/>
  <c r="Z196" i="2"/>
  <c r="Y197" i="2"/>
  <c r="Z197" i="2"/>
  <c r="Y198" i="2"/>
  <c r="Z198" i="2"/>
  <c r="Y199" i="2"/>
  <c r="Z199" i="2"/>
  <c r="Y200" i="2"/>
  <c r="Z200" i="2"/>
  <c r="Y201" i="2"/>
  <c r="Z201" i="2"/>
  <c r="Y202" i="2"/>
  <c r="Z202" i="2"/>
  <c r="Y203" i="2"/>
  <c r="Z203" i="2"/>
  <c r="Y204" i="2"/>
  <c r="Z204" i="2"/>
  <c r="Y205" i="2"/>
  <c r="Z205" i="2"/>
  <c r="Y206" i="2"/>
  <c r="Z206" i="2"/>
  <c r="Y207" i="2"/>
  <c r="Z207" i="2"/>
  <c r="Y208" i="2"/>
  <c r="Z208" i="2"/>
  <c r="Y209" i="2"/>
  <c r="Z209" i="2"/>
  <c r="Y210" i="2"/>
  <c r="Z210" i="2"/>
  <c r="Y211" i="2"/>
  <c r="Z211" i="2"/>
  <c r="Y212" i="2"/>
  <c r="Z212" i="2"/>
  <c r="Y213" i="2"/>
  <c r="Z213" i="2"/>
  <c r="Y214" i="2"/>
  <c r="Z214" i="2"/>
  <c r="Y215" i="2"/>
  <c r="Z215" i="2"/>
  <c r="Y216" i="2"/>
  <c r="Z216" i="2"/>
  <c r="Y217" i="2"/>
  <c r="Z217" i="2"/>
  <c r="Y218" i="2"/>
  <c r="Z218" i="2"/>
  <c r="Y219" i="2"/>
  <c r="Z219" i="2"/>
  <c r="Y220" i="2"/>
  <c r="Z220" i="2"/>
  <c r="Y221" i="2"/>
  <c r="Z221" i="2"/>
  <c r="Y222" i="2"/>
  <c r="Z222" i="2"/>
  <c r="Y223" i="2"/>
  <c r="Z223" i="2"/>
  <c r="Y224" i="2"/>
  <c r="Z224" i="2"/>
  <c r="Y225" i="2"/>
  <c r="Z225" i="2"/>
  <c r="Y226" i="2"/>
  <c r="Z226" i="2"/>
  <c r="Y227" i="2"/>
  <c r="Z227" i="2"/>
  <c r="Y228" i="2"/>
  <c r="Z228" i="2"/>
  <c r="Y229" i="2"/>
  <c r="Z229" i="2"/>
  <c r="Y230" i="2"/>
  <c r="Z230" i="2"/>
  <c r="Y231" i="2"/>
  <c r="Z231" i="2"/>
  <c r="Y232" i="2"/>
  <c r="Z232" i="2"/>
  <c r="Y233" i="2"/>
  <c r="Z233" i="2"/>
  <c r="Y234" i="2"/>
  <c r="Z234" i="2"/>
  <c r="Y235" i="2"/>
  <c r="Z235" i="2"/>
  <c r="Y236" i="2"/>
  <c r="Z236" i="2"/>
  <c r="Y237" i="2"/>
  <c r="Z237" i="2"/>
  <c r="Y238" i="2"/>
  <c r="Z238" i="2"/>
  <c r="Y239" i="2"/>
  <c r="Z239" i="2"/>
  <c r="Y240" i="2"/>
  <c r="Z240" i="2"/>
  <c r="Y241" i="2"/>
  <c r="Z241" i="2"/>
  <c r="Y242" i="2"/>
  <c r="Z242" i="2"/>
  <c r="Y243" i="2"/>
  <c r="Z243" i="2"/>
  <c r="Y244" i="2"/>
  <c r="Z244" i="2"/>
  <c r="Y245" i="2"/>
  <c r="Z245" i="2"/>
  <c r="Y246" i="2"/>
  <c r="Z246" i="2"/>
  <c r="Y247" i="2"/>
  <c r="Z247" i="2"/>
  <c r="Y248" i="2"/>
  <c r="Z248" i="2"/>
  <c r="Y249" i="2"/>
  <c r="Z249" i="2"/>
  <c r="Y250" i="2"/>
  <c r="Z250" i="2"/>
  <c r="Y251" i="2"/>
  <c r="Z251" i="2"/>
  <c r="Y252" i="2"/>
  <c r="Z252" i="2"/>
  <c r="Y253" i="2"/>
  <c r="Z253" i="2"/>
  <c r="Y254" i="2"/>
  <c r="Z254" i="2"/>
  <c r="Y255" i="2"/>
  <c r="Z255" i="2"/>
  <c r="Y256" i="2"/>
  <c r="Z256" i="2"/>
  <c r="Y257" i="2"/>
  <c r="Z257" i="2"/>
  <c r="Y258" i="2"/>
  <c r="Z258" i="2"/>
  <c r="Y259" i="2"/>
  <c r="Z259" i="2"/>
  <c r="Y260" i="2"/>
  <c r="Z260" i="2"/>
  <c r="Y261" i="2"/>
  <c r="Z261" i="2"/>
  <c r="Y262" i="2"/>
  <c r="Z262" i="2"/>
  <c r="Y263" i="2"/>
  <c r="Z263" i="2"/>
  <c r="Y264" i="2"/>
  <c r="Z264" i="2"/>
  <c r="Y265" i="2"/>
  <c r="Z265" i="2"/>
  <c r="Y266" i="2"/>
  <c r="Z266" i="2"/>
  <c r="Y267" i="2"/>
  <c r="Z267" i="2"/>
  <c r="Y268" i="2"/>
  <c r="Z268" i="2"/>
  <c r="Y269" i="2"/>
  <c r="Z269" i="2"/>
  <c r="Y270" i="2"/>
  <c r="Z270" i="2"/>
  <c r="Y271" i="2"/>
  <c r="Z271" i="2"/>
  <c r="Y272" i="2"/>
  <c r="Z272" i="2"/>
  <c r="Y273" i="2"/>
  <c r="Z273" i="2"/>
  <c r="Y274" i="2"/>
  <c r="Z274" i="2"/>
  <c r="Y275" i="2"/>
  <c r="Z275" i="2"/>
  <c r="Y276" i="2"/>
  <c r="Z276" i="2"/>
  <c r="Y277" i="2"/>
  <c r="Z277" i="2"/>
  <c r="Y278" i="2"/>
  <c r="Z278" i="2"/>
  <c r="Y279" i="2"/>
  <c r="Z279" i="2"/>
  <c r="Y280" i="2"/>
  <c r="Z280" i="2"/>
  <c r="Y281" i="2"/>
  <c r="Z281" i="2"/>
  <c r="Y282" i="2"/>
  <c r="Z282" i="2"/>
  <c r="Y283" i="2"/>
  <c r="Z283" i="2"/>
  <c r="Y284" i="2"/>
  <c r="Z284" i="2"/>
  <c r="Y285" i="2"/>
  <c r="Z285" i="2"/>
  <c r="Y286" i="2"/>
  <c r="Z286" i="2"/>
  <c r="Y287" i="2"/>
  <c r="Z287" i="2"/>
  <c r="Y288" i="2"/>
  <c r="Z288" i="2"/>
  <c r="Y289" i="2"/>
  <c r="Z289" i="2"/>
  <c r="Y290" i="2"/>
  <c r="Z290" i="2"/>
  <c r="Y291" i="2"/>
  <c r="Z291" i="2"/>
  <c r="Y292" i="2"/>
  <c r="Z292" i="2"/>
  <c r="Y293" i="2"/>
  <c r="Z293" i="2"/>
  <c r="Y294" i="2"/>
  <c r="Z294" i="2"/>
  <c r="Y295" i="2"/>
  <c r="Z295" i="2"/>
  <c r="Y296" i="2"/>
  <c r="Z296" i="2"/>
  <c r="Y297" i="2"/>
  <c r="Z297" i="2"/>
  <c r="Y298" i="2"/>
  <c r="Z298" i="2"/>
  <c r="Y299" i="2"/>
  <c r="Z299" i="2"/>
  <c r="Y300" i="2"/>
  <c r="Z300" i="2"/>
  <c r="Y301" i="2"/>
  <c r="Z301" i="2"/>
  <c r="Y302" i="2"/>
  <c r="Z302" i="2"/>
  <c r="Y303" i="2"/>
  <c r="Z303" i="2"/>
  <c r="Y304" i="2"/>
  <c r="Z304" i="2"/>
  <c r="Y305" i="2"/>
  <c r="Z305" i="2"/>
  <c r="Y306" i="2"/>
  <c r="Z306" i="2"/>
  <c r="Y307" i="2"/>
  <c r="Z307" i="2"/>
  <c r="Y308" i="2"/>
  <c r="Z308" i="2"/>
  <c r="Y309" i="2"/>
  <c r="Z309" i="2"/>
  <c r="Y310" i="2"/>
  <c r="Z310" i="2"/>
  <c r="Y311" i="2"/>
  <c r="Z311" i="2"/>
  <c r="Y312" i="2"/>
  <c r="Z312" i="2"/>
  <c r="Y313" i="2"/>
  <c r="Z313" i="2"/>
  <c r="Y314" i="2"/>
  <c r="Z314" i="2"/>
  <c r="Y315" i="2"/>
  <c r="Z315" i="2"/>
  <c r="Y316" i="2"/>
  <c r="Z316" i="2"/>
  <c r="Y317" i="2"/>
  <c r="Z317" i="2"/>
  <c r="Y318" i="2"/>
  <c r="Z318" i="2"/>
  <c r="Y319" i="2"/>
  <c r="Z319" i="2"/>
  <c r="Y320" i="2"/>
  <c r="Z320" i="2"/>
  <c r="Y321" i="2"/>
  <c r="Z321" i="2"/>
  <c r="Y322" i="2"/>
  <c r="Z322" i="2"/>
  <c r="Y323" i="2"/>
  <c r="Z323" i="2"/>
  <c r="Y324" i="2"/>
  <c r="Z324" i="2"/>
  <c r="Y325" i="2"/>
  <c r="Z325" i="2"/>
  <c r="Y326" i="2"/>
  <c r="Z326" i="2"/>
  <c r="Y327" i="2"/>
  <c r="Z327" i="2"/>
  <c r="Y328" i="2"/>
  <c r="Z328" i="2"/>
  <c r="Y329" i="2"/>
  <c r="Z329" i="2"/>
  <c r="Y330" i="2"/>
  <c r="Z330" i="2"/>
  <c r="Y331" i="2"/>
  <c r="Z331" i="2"/>
  <c r="Y332" i="2"/>
  <c r="Z332" i="2"/>
  <c r="Y333" i="2"/>
  <c r="Z333" i="2"/>
  <c r="Y334" i="2"/>
  <c r="Z334" i="2"/>
  <c r="Y335" i="2"/>
  <c r="Z335" i="2"/>
  <c r="Y336" i="2"/>
  <c r="Z336" i="2"/>
  <c r="Y337" i="2"/>
  <c r="Z337" i="2"/>
  <c r="Y338" i="2"/>
  <c r="Z338" i="2"/>
  <c r="Y339" i="2"/>
  <c r="Z339" i="2"/>
  <c r="Y340" i="2"/>
  <c r="Z340" i="2"/>
  <c r="Y341" i="2"/>
  <c r="Z341" i="2"/>
  <c r="Y342" i="2"/>
  <c r="Z342" i="2"/>
  <c r="Y343" i="2"/>
  <c r="Z343" i="2"/>
  <c r="Y344" i="2"/>
  <c r="Z344" i="2"/>
  <c r="Y345" i="2"/>
  <c r="Z345" i="2"/>
  <c r="Y346" i="2"/>
  <c r="Z346" i="2"/>
  <c r="Y347" i="2"/>
  <c r="Z347" i="2"/>
  <c r="Y348" i="2"/>
  <c r="Z348" i="2"/>
  <c r="Y349" i="2"/>
  <c r="Z349" i="2"/>
  <c r="Y350" i="2"/>
  <c r="Z350" i="2"/>
  <c r="Y351" i="2"/>
  <c r="Z351" i="2"/>
  <c r="Y352" i="2"/>
  <c r="Z352" i="2"/>
  <c r="Y353" i="2"/>
  <c r="Z353" i="2"/>
  <c r="Y354" i="2"/>
  <c r="Z354" i="2"/>
  <c r="Y355" i="2"/>
  <c r="Z355" i="2"/>
  <c r="Y356" i="2"/>
  <c r="Z356" i="2"/>
  <c r="Y357" i="2"/>
  <c r="Z357" i="2"/>
  <c r="Y358" i="2"/>
  <c r="Z358" i="2"/>
  <c r="Y359" i="2"/>
  <c r="Z359" i="2"/>
  <c r="Y360" i="2"/>
  <c r="Z360" i="2"/>
  <c r="Y361" i="2"/>
  <c r="Z361" i="2"/>
  <c r="Y362" i="2"/>
  <c r="Z362" i="2"/>
  <c r="Y363" i="2"/>
  <c r="Z363" i="2"/>
  <c r="Y364" i="2"/>
  <c r="Z364" i="2"/>
  <c r="Y365" i="2"/>
  <c r="Z365" i="2"/>
  <c r="Y366" i="2"/>
  <c r="Z366" i="2"/>
  <c r="Y367" i="2"/>
  <c r="Z367" i="2"/>
  <c r="Y368" i="2"/>
  <c r="Z368" i="2"/>
  <c r="Y369" i="2"/>
  <c r="Z369" i="2"/>
  <c r="Y370" i="2"/>
  <c r="Z370" i="2"/>
  <c r="Y371" i="2"/>
  <c r="Z371" i="2"/>
  <c r="Y372" i="2"/>
  <c r="Z372" i="2"/>
  <c r="Y373" i="2"/>
  <c r="Z373" i="2"/>
  <c r="Y374" i="2"/>
  <c r="Z374" i="2"/>
  <c r="Y375" i="2"/>
  <c r="Z375" i="2"/>
  <c r="Y376" i="2"/>
  <c r="Z376" i="2"/>
  <c r="Y377" i="2"/>
  <c r="Z377" i="2"/>
  <c r="Y378" i="2"/>
  <c r="Z378" i="2"/>
  <c r="Y379" i="2"/>
  <c r="Z379" i="2"/>
  <c r="Y380" i="2"/>
  <c r="Z380" i="2"/>
  <c r="Y381" i="2"/>
  <c r="Z381" i="2"/>
  <c r="Y382" i="2"/>
  <c r="Z382" i="2"/>
  <c r="Y383" i="2"/>
  <c r="Z383" i="2"/>
  <c r="Y384" i="2"/>
  <c r="Z384" i="2"/>
  <c r="Y385" i="2"/>
  <c r="Z385" i="2"/>
  <c r="Y386" i="2"/>
  <c r="Z386" i="2"/>
  <c r="Y387" i="2"/>
  <c r="Z387" i="2"/>
  <c r="Y388" i="2"/>
  <c r="Z388" i="2"/>
  <c r="Y389" i="2"/>
  <c r="Z389" i="2"/>
  <c r="Y390" i="2"/>
  <c r="Z390" i="2"/>
  <c r="Y391" i="2"/>
  <c r="Z391" i="2"/>
  <c r="Y392" i="2"/>
  <c r="Z392" i="2"/>
  <c r="Y393" i="2"/>
  <c r="Z393" i="2"/>
  <c r="Y394" i="2"/>
  <c r="Z394" i="2"/>
  <c r="Y395" i="2"/>
  <c r="Z395" i="2"/>
  <c r="Y396" i="2"/>
  <c r="Z396" i="2"/>
  <c r="Y397" i="2"/>
  <c r="Z397" i="2"/>
  <c r="Y398" i="2"/>
  <c r="Z398" i="2"/>
  <c r="Y399" i="2"/>
  <c r="Z399" i="2"/>
  <c r="Y400" i="2"/>
  <c r="Z400" i="2"/>
  <c r="Y401" i="2"/>
  <c r="Z401" i="2"/>
  <c r="Y402" i="2"/>
  <c r="Z402" i="2"/>
  <c r="Y403" i="2"/>
  <c r="Z403" i="2"/>
  <c r="Y404" i="2"/>
  <c r="Z404" i="2"/>
  <c r="Y405" i="2"/>
  <c r="Z405" i="2"/>
  <c r="Y406" i="2"/>
  <c r="Z406" i="2"/>
  <c r="Y407" i="2"/>
  <c r="Z407" i="2"/>
  <c r="Y408" i="2"/>
  <c r="Z408" i="2"/>
  <c r="Y409" i="2"/>
  <c r="Z409" i="2"/>
  <c r="Y410" i="2"/>
  <c r="Z410" i="2"/>
  <c r="Y411" i="2"/>
  <c r="Z411" i="2"/>
  <c r="Y412" i="2"/>
  <c r="Z412" i="2"/>
  <c r="Y413" i="2"/>
  <c r="Z413" i="2"/>
  <c r="Y414" i="2"/>
  <c r="Z414" i="2"/>
  <c r="Y415" i="2"/>
  <c r="Z415" i="2"/>
  <c r="Y416" i="2"/>
  <c r="Z416" i="2"/>
  <c r="Y417" i="2"/>
  <c r="Z417" i="2"/>
  <c r="Y418" i="2"/>
  <c r="Z418" i="2"/>
  <c r="Y419" i="2"/>
  <c r="Z419" i="2"/>
  <c r="Y420" i="2"/>
  <c r="Z420" i="2"/>
  <c r="Y421" i="2"/>
  <c r="Z421" i="2"/>
  <c r="Y422" i="2"/>
  <c r="Z422" i="2"/>
  <c r="Y423" i="2"/>
  <c r="Z423" i="2"/>
  <c r="Y424" i="2"/>
  <c r="Z424" i="2"/>
  <c r="Y425" i="2"/>
  <c r="Z425" i="2"/>
  <c r="Y426" i="2"/>
  <c r="Z426" i="2"/>
  <c r="Y427" i="2"/>
  <c r="Z427" i="2"/>
  <c r="Y428" i="2"/>
  <c r="Z428" i="2"/>
  <c r="Y429" i="2"/>
  <c r="Z429" i="2"/>
  <c r="Y430" i="2"/>
  <c r="Z430" i="2"/>
  <c r="Y431" i="2"/>
  <c r="Z431" i="2"/>
  <c r="Y432" i="2"/>
  <c r="Z432" i="2"/>
  <c r="Y433" i="2"/>
  <c r="Z433" i="2"/>
  <c r="Y434" i="2"/>
  <c r="Z434" i="2"/>
  <c r="Y435" i="2"/>
  <c r="Z435" i="2"/>
  <c r="Y436" i="2"/>
  <c r="Z436" i="2"/>
  <c r="Y437" i="2"/>
  <c r="Z437" i="2"/>
  <c r="Y438" i="2"/>
  <c r="Z438" i="2"/>
  <c r="Y439" i="2"/>
  <c r="Z439" i="2"/>
  <c r="Y440" i="2"/>
  <c r="Z440" i="2"/>
  <c r="Y441" i="2"/>
  <c r="Z441" i="2"/>
  <c r="Y442" i="2"/>
  <c r="Z442" i="2"/>
  <c r="Y443" i="2"/>
  <c r="Z443" i="2"/>
  <c r="Y444" i="2"/>
  <c r="Z444" i="2"/>
  <c r="Y445" i="2"/>
  <c r="Z445" i="2"/>
  <c r="Y446" i="2"/>
  <c r="Z446" i="2"/>
  <c r="Y447" i="2"/>
  <c r="Z447" i="2"/>
  <c r="Y448" i="2"/>
  <c r="Z448" i="2"/>
  <c r="Y449" i="2"/>
  <c r="Z449" i="2"/>
  <c r="Y450" i="2"/>
  <c r="Z450" i="2"/>
  <c r="Y451" i="2"/>
  <c r="Z451" i="2"/>
  <c r="Y452" i="2"/>
  <c r="Z452" i="2"/>
  <c r="Y453" i="2"/>
  <c r="Z453" i="2"/>
  <c r="Y454" i="2"/>
  <c r="Z454" i="2"/>
  <c r="J102" i="31"/>
  <c r="A121" i="28"/>
  <c r="I128" i="28"/>
  <c r="I129" i="28"/>
  <c r="I130" i="28"/>
  <c r="I131" i="28"/>
  <c r="I133" i="28"/>
  <c r="L131" i="28"/>
  <c r="L130" i="28"/>
  <c r="G136" i="28"/>
  <c r="K93" i="1"/>
  <c r="M93" i="1"/>
  <c r="N93" i="1"/>
  <c r="K90" i="1"/>
  <c r="M90" i="1"/>
  <c r="N90" i="1"/>
  <c r="J31" i="32"/>
  <c r="L31" i="32"/>
  <c r="Q39" i="32"/>
  <c r="D22" i="29"/>
  <c r="N68" i="1"/>
  <c r="M68" i="1"/>
  <c r="K68" i="1"/>
  <c r="N32" i="1"/>
  <c r="M32" i="1"/>
  <c r="K32" i="1"/>
  <c r="N47" i="1"/>
  <c r="M47" i="1"/>
  <c r="K47" i="1"/>
  <c r="N81" i="1"/>
  <c r="M81" i="1"/>
  <c r="K81" i="1"/>
  <c r="N40" i="1"/>
  <c r="M40" i="1"/>
  <c r="K40" i="1"/>
  <c r="N94" i="1"/>
  <c r="M94" i="1"/>
  <c r="K94" i="1"/>
  <c r="N95" i="1"/>
  <c r="M95" i="1"/>
  <c r="K95" i="1"/>
  <c r="K96" i="1"/>
  <c r="L89" i="31"/>
  <c r="N64" i="1"/>
  <c r="M64" i="1"/>
  <c r="K64" i="1"/>
  <c r="N76" i="1"/>
  <c r="M76" i="1"/>
  <c r="K76" i="1"/>
  <c r="R12" i="32"/>
  <c r="R13" i="32"/>
  <c r="S13" i="32"/>
  <c r="U13" i="32"/>
  <c r="V13" i="32"/>
  <c r="AA13" i="32"/>
  <c r="AK13" i="32"/>
  <c r="AM13" i="32"/>
  <c r="AO13" i="32"/>
  <c r="AQ13" i="32"/>
  <c r="AS13" i="32"/>
  <c r="AU13" i="32"/>
  <c r="R14" i="32"/>
  <c r="S14" i="32"/>
  <c r="U14" i="32"/>
  <c r="V14" i="32"/>
  <c r="AA14" i="32"/>
  <c r="AK14" i="32"/>
  <c r="AM14" i="32"/>
  <c r="AO14" i="32"/>
  <c r="AQ14" i="32"/>
  <c r="AS14" i="32"/>
  <c r="AU14" i="32"/>
  <c r="R15" i="32"/>
  <c r="S15" i="32"/>
  <c r="U15" i="32"/>
  <c r="V15" i="32"/>
  <c r="AA15" i="32"/>
  <c r="AK15" i="32"/>
  <c r="AM15" i="32"/>
  <c r="AO15" i="32"/>
  <c r="AQ15" i="32"/>
  <c r="AS15" i="32"/>
  <c r="AU15" i="32"/>
  <c r="AQ16" i="32"/>
  <c r="AS16" i="32"/>
  <c r="AU16" i="32"/>
  <c r="R17" i="32"/>
  <c r="S17" i="32"/>
  <c r="U17" i="32"/>
  <c r="V17" i="32"/>
  <c r="AA17" i="32"/>
  <c r="AK17" i="32"/>
  <c r="AM17" i="32"/>
  <c r="AO17" i="32"/>
  <c r="AQ17" i="32"/>
  <c r="AS17" i="32"/>
  <c r="AU17" i="32"/>
  <c r="AQ18" i="32"/>
  <c r="AS18" i="32"/>
  <c r="AU18" i="32"/>
  <c r="AQ19" i="32"/>
  <c r="AS19" i="32"/>
  <c r="AU19" i="32"/>
  <c r="R20" i="32"/>
  <c r="S20" i="32"/>
  <c r="U20" i="32"/>
  <c r="V20" i="32"/>
  <c r="AA20" i="32"/>
  <c r="AK20" i="32"/>
  <c r="AM20" i="32"/>
  <c r="AO20" i="32"/>
  <c r="AQ20" i="32"/>
  <c r="AS20" i="32"/>
  <c r="AU20" i="32"/>
  <c r="R21" i="32"/>
  <c r="S21" i="32"/>
  <c r="U21" i="32"/>
  <c r="V21" i="32"/>
  <c r="AA21" i="32"/>
  <c r="AK21" i="32"/>
  <c r="AM21" i="32"/>
  <c r="AO21" i="32"/>
  <c r="AQ21" i="32"/>
  <c r="AS21" i="32"/>
  <c r="AU21" i="32"/>
  <c r="R22" i="32"/>
  <c r="S22" i="32"/>
  <c r="U22" i="32"/>
  <c r="V22" i="32"/>
  <c r="AA22" i="32"/>
  <c r="AK22" i="32"/>
  <c r="AM22" i="32"/>
  <c r="AO22" i="32"/>
  <c r="AQ22" i="32"/>
  <c r="AS22" i="32"/>
  <c r="AU22" i="32"/>
  <c r="R23" i="32"/>
  <c r="S23" i="32"/>
  <c r="U23" i="32"/>
  <c r="V23" i="32"/>
  <c r="AA23" i="32"/>
  <c r="AK23" i="32"/>
  <c r="AM23" i="32"/>
  <c r="AO23" i="32"/>
  <c r="AQ23" i="32"/>
  <c r="AS23" i="32"/>
  <c r="AU23" i="32"/>
  <c r="R24" i="32"/>
  <c r="S24" i="32"/>
  <c r="U24" i="32"/>
  <c r="V24" i="32"/>
  <c r="AA24" i="32"/>
  <c r="AK24" i="32"/>
  <c r="AM24" i="32"/>
  <c r="AO24" i="32"/>
  <c r="AQ24" i="32"/>
  <c r="AS24" i="32"/>
  <c r="AU24" i="32"/>
  <c r="R25" i="32"/>
  <c r="S25" i="32"/>
  <c r="U25" i="32"/>
  <c r="V25" i="32"/>
  <c r="AA25" i="32"/>
  <c r="AK25" i="32"/>
  <c r="AM25" i="32"/>
  <c r="AO25" i="32"/>
  <c r="AQ25" i="32"/>
  <c r="AS25" i="32"/>
  <c r="AU25" i="32"/>
  <c r="R26" i="32"/>
  <c r="S26" i="32"/>
  <c r="U26" i="32"/>
  <c r="V26" i="32"/>
  <c r="AA26" i="32"/>
  <c r="AK26" i="32"/>
  <c r="AM26" i="32"/>
  <c r="AO26" i="32"/>
  <c r="AQ26" i="32"/>
  <c r="AS26" i="32"/>
  <c r="AU26" i="32"/>
  <c r="AQ27" i="32"/>
  <c r="AS27" i="32"/>
  <c r="AU27" i="32"/>
  <c r="R28" i="32"/>
  <c r="S28" i="32"/>
  <c r="U28" i="32"/>
  <c r="V28" i="32"/>
  <c r="AA28" i="32"/>
  <c r="AK28" i="32"/>
  <c r="AM28" i="32"/>
  <c r="AO28" i="32"/>
  <c r="AQ28" i="32"/>
  <c r="AS28" i="32"/>
  <c r="AU28" i="32"/>
  <c r="AQ29" i="32"/>
  <c r="AS29" i="32"/>
  <c r="AU29" i="32"/>
  <c r="AQ30" i="32"/>
  <c r="AS30" i="32"/>
  <c r="AU30" i="32"/>
  <c r="R31" i="32"/>
  <c r="S31" i="32"/>
  <c r="U31" i="32"/>
  <c r="V31" i="32"/>
  <c r="AA31" i="32"/>
  <c r="AK31" i="32"/>
  <c r="AM31" i="32"/>
  <c r="AO31" i="32"/>
  <c r="AQ31" i="32"/>
  <c r="AS31" i="32"/>
  <c r="AU31" i="32"/>
  <c r="R32" i="32"/>
  <c r="AQ33" i="32"/>
  <c r="AS33" i="32"/>
  <c r="AU33" i="32"/>
  <c r="AQ34" i="32"/>
  <c r="AS34" i="32"/>
  <c r="AU34" i="32"/>
  <c r="K53" i="1"/>
  <c r="M53" i="1"/>
  <c r="N53" i="1"/>
  <c r="N89" i="1"/>
  <c r="M89" i="1"/>
  <c r="K89" i="1"/>
  <c r="N83" i="1"/>
  <c r="M83" i="1"/>
  <c r="K83" i="1"/>
  <c r="H75" i="31"/>
  <c r="L75" i="31"/>
  <c r="J67" i="28"/>
  <c r="AH78" i="35"/>
  <c r="AH79" i="35"/>
  <c r="AH80" i="35"/>
  <c r="E83" i="10"/>
  <c r="E78" i="10"/>
  <c r="E85" i="10"/>
  <c r="E86" i="10"/>
  <c r="E88" i="10"/>
  <c r="E90" i="10"/>
  <c r="N58" i="1"/>
  <c r="M58" i="1"/>
  <c r="K58" i="1"/>
  <c r="N21" i="1"/>
  <c r="M21" i="1"/>
  <c r="K21" i="1"/>
  <c r="N12" i="1"/>
  <c r="M12" i="1"/>
  <c r="K12" i="1"/>
  <c r="N96" i="1"/>
  <c r="M96" i="1"/>
  <c r="N67" i="1"/>
  <c r="M67" i="1"/>
  <c r="K67" i="1"/>
  <c r="G137" i="28"/>
  <c r="L129" i="28"/>
  <c r="F145" i="31"/>
  <c r="L149" i="31"/>
  <c r="A31" i="32"/>
  <c r="A33" i="32"/>
  <c r="A34" i="32"/>
  <c r="L128" i="28"/>
  <c r="G138" i="28"/>
  <c r="E138" i="28"/>
  <c r="D16" i="29"/>
  <c r="D15" i="29"/>
  <c r="D14" i="29"/>
  <c r="A16" i="32"/>
  <c r="A18" i="32"/>
  <c r="A19" i="32"/>
  <c r="U12" i="32"/>
  <c r="B16" i="32"/>
  <c r="B18" i="32"/>
  <c r="B19" i="32"/>
  <c r="A27" i="32"/>
  <c r="B27" i="32"/>
  <c r="A29" i="32"/>
  <c r="B29" i="32"/>
  <c r="B31" i="32"/>
  <c r="A32" i="32"/>
  <c r="B32" i="32"/>
  <c r="G54" i="29"/>
  <c r="G60" i="29"/>
  <c r="F62" i="29"/>
  <c r="F63" i="29"/>
  <c r="F64" i="29"/>
  <c r="F65" i="29"/>
  <c r="G66" i="29"/>
  <c r="U32" i="32"/>
  <c r="B33" i="32"/>
  <c r="B34" i="32"/>
  <c r="AA186" i="2"/>
  <c r="AC186" i="2"/>
  <c r="AA189" i="2"/>
  <c r="AC189" i="2"/>
  <c r="AA196" i="2"/>
  <c r="AC196" i="2"/>
  <c r="AA201" i="2"/>
  <c r="AC201" i="2"/>
  <c r="AA202" i="2"/>
  <c r="AC202" i="2"/>
  <c r="AA211" i="2"/>
  <c r="AC211" i="2"/>
  <c r="AA215" i="2"/>
  <c r="AC215" i="2"/>
  <c r="AA216" i="2"/>
  <c r="AC216" i="2"/>
  <c r="AA231" i="2"/>
  <c r="AC231" i="2"/>
  <c r="AA234" i="2"/>
  <c r="AC234" i="2"/>
  <c r="AA249" i="2"/>
  <c r="AC249" i="2"/>
  <c r="AA253" i="2"/>
  <c r="AC253" i="2"/>
  <c r="AA265" i="2"/>
  <c r="AC265" i="2"/>
  <c r="AA273" i="2"/>
  <c r="AC273" i="2"/>
  <c r="AA275" i="2"/>
  <c r="AC275" i="2"/>
  <c r="AA276" i="2"/>
  <c r="AC276" i="2"/>
  <c r="AA280" i="2"/>
  <c r="AC280" i="2"/>
  <c r="AA281" i="2"/>
  <c r="AC281" i="2"/>
  <c r="AA290" i="2"/>
  <c r="AC290" i="2"/>
  <c r="AA292" i="2"/>
  <c r="AC292" i="2"/>
  <c r="AA309" i="2"/>
  <c r="AC309" i="2"/>
  <c r="AA311" i="2"/>
  <c r="AC311" i="2"/>
  <c r="AA312" i="2"/>
  <c r="AC312" i="2"/>
  <c r="AA314" i="2"/>
  <c r="AC314" i="2"/>
  <c r="AA316" i="2"/>
  <c r="AC316" i="2"/>
  <c r="AA317" i="2"/>
  <c r="AC317" i="2"/>
  <c r="AA318" i="2"/>
  <c r="AC318" i="2"/>
  <c r="AA320" i="2"/>
  <c r="AC320" i="2"/>
  <c r="AA321" i="2"/>
  <c r="AC321" i="2"/>
  <c r="AA324" i="2"/>
  <c r="AC324" i="2"/>
  <c r="AA329" i="2"/>
  <c r="AC329" i="2"/>
  <c r="AA331" i="2"/>
  <c r="AC331" i="2"/>
  <c r="AA332" i="2"/>
  <c r="AC332" i="2"/>
  <c r="AA347" i="2"/>
  <c r="AC347" i="2"/>
  <c r="AA362" i="2"/>
  <c r="AC362" i="2"/>
  <c r="AA368" i="2"/>
  <c r="AC368" i="2"/>
  <c r="AA373" i="2"/>
  <c r="AC373" i="2"/>
  <c r="AA376" i="2"/>
  <c r="AC376" i="2"/>
  <c r="AA377" i="2"/>
  <c r="AC377" i="2"/>
  <c r="AA378" i="2"/>
  <c r="AC378" i="2"/>
  <c r="AA380" i="2"/>
  <c r="AC380" i="2"/>
  <c r="AA384" i="2"/>
  <c r="AC384" i="2"/>
  <c r="AA388" i="2"/>
  <c r="AC388" i="2"/>
  <c r="AA393" i="2"/>
  <c r="AC393" i="2"/>
  <c r="AA400" i="2"/>
  <c r="AC400" i="2"/>
  <c r="AA401" i="2"/>
  <c r="AC401" i="2"/>
  <c r="AA403" i="2"/>
  <c r="AC403" i="2"/>
  <c r="AA408" i="2"/>
  <c r="AC408" i="2"/>
  <c r="AA419" i="2"/>
  <c r="AC419" i="2"/>
  <c r="AA421" i="2"/>
  <c r="AC421" i="2"/>
  <c r="AA423" i="2"/>
  <c r="AC423" i="2"/>
  <c r="AA437" i="2"/>
  <c r="AC437" i="2"/>
  <c r="AA438" i="2"/>
  <c r="AC438" i="2"/>
  <c r="AA446" i="2"/>
  <c r="AC446" i="2"/>
  <c r="AA452" i="2"/>
  <c r="AC452" i="2"/>
  <c r="AC16" i="35"/>
  <c r="AC17" i="35"/>
  <c r="AC18" i="35"/>
  <c r="AC19" i="35"/>
  <c r="AC20" i="35"/>
  <c r="AC21" i="35"/>
  <c r="AA82" i="35"/>
  <c r="AB82" i="35"/>
  <c r="AC82" i="35"/>
  <c r="AA83" i="35"/>
  <c r="AB83" i="35"/>
  <c r="AC83" i="35"/>
  <c r="AA84" i="35"/>
  <c r="AB84" i="35"/>
  <c r="AC84" i="35"/>
  <c r="AA85" i="35"/>
  <c r="AB85" i="35"/>
  <c r="AC85" i="35"/>
  <c r="AA86" i="35"/>
  <c r="AB86" i="35"/>
  <c r="AC86" i="35"/>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F2" i="34"/>
  <c r="C4" i="35"/>
  <c r="F3" i="34"/>
  <c r="C6" i="35"/>
  <c r="F4" i="34"/>
  <c r="C7" i="35"/>
  <c r="C8" i="35"/>
  <c r="E8" i="35"/>
  <c r="N19" i="1"/>
  <c r="M19" i="1"/>
  <c r="K19" i="1"/>
  <c r="N65" i="1"/>
  <c r="M65" i="1"/>
  <c r="N84" i="1"/>
  <c r="M84" i="1"/>
  <c r="K84" i="1"/>
  <c r="N70" i="1"/>
  <c r="M70" i="1"/>
  <c r="N71" i="1"/>
  <c r="M71" i="1"/>
  <c r="K71" i="1"/>
  <c r="N25" i="1"/>
  <c r="M25" i="1"/>
  <c r="N26" i="1"/>
  <c r="M26" i="1"/>
  <c r="N35" i="1"/>
  <c r="M35" i="1"/>
  <c r="K35" i="1"/>
  <c r="N36" i="1"/>
  <c r="M36" i="1"/>
  <c r="K36" i="1"/>
  <c r="N43" i="1"/>
  <c r="M43" i="1"/>
  <c r="N44" i="1"/>
  <c r="M44" i="1"/>
  <c r="K44" i="1"/>
  <c r="N57" i="1"/>
  <c r="M57" i="1"/>
  <c r="K57" i="1"/>
  <c r="N48" i="1"/>
  <c r="M48" i="1"/>
  <c r="K48" i="1"/>
  <c r="N78" i="1"/>
  <c r="M78" i="1"/>
  <c r="K78" i="1"/>
  <c r="N85" i="1"/>
  <c r="M85" i="1"/>
  <c r="K85" i="1"/>
  <c r="N72" i="1"/>
  <c r="M72" i="1"/>
  <c r="K72" i="1"/>
  <c r="N17" i="1"/>
  <c r="M17" i="1"/>
  <c r="K17" i="1"/>
  <c r="N69" i="1"/>
  <c r="M69" i="1"/>
  <c r="N63" i="1"/>
  <c r="M63" i="1"/>
  <c r="N60" i="1"/>
  <c r="M60" i="1"/>
  <c r="N55" i="1"/>
  <c r="M55" i="1"/>
  <c r="K55" i="1"/>
  <c r="N92" i="1"/>
  <c r="M92" i="1"/>
  <c r="K92" i="1"/>
  <c r="N82" i="1"/>
  <c r="M82" i="1"/>
  <c r="K82" i="1"/>
  <c r="N33" i="1"/>
  <c r="M33" i="1"/>
  <c r="K33" i="1"/>
  <c r="N74" i="1"/>
  <c r="M74" i="1"/>
  <c r="K74" i="1"/>
  <c r="N42" i="1"/>
  <c r="M42" i="1"/>
  <c r="M31" i="1"/>
  <c r="N31" i="1"/>
  <c r="M34" i="1"/>
  <c r="N34" i="1"/>
  <c r="N13" i="1"/>
  <c r="M13" i="1"/>
  <c r="K13" i="1"/>
  <c r="K11" i="1"/>
  <c r="M11" i="1"/>
  <c r="N11" i="1"/>
  <c r="K14" i="1"/>
  <c r="M14" i="1"/>
  <c r="N14" i="1"/>
  <c r="K15" i="1"/>
  <c r="M15" i="1"/>
  <c r="N15" i="1"/>
  <c r="K16" i="1"/>
  <c r="M16" i="1"/>
  <c r="N16" i="1"/>
  <c r="K18" i="1"/>
  <c r="M18" i="1"/>
  <c r="N18" i="1"/>
  <c r="M20" i="1"/>
  <c r="N20" i="1"/>
  <c r="M22" i="1"/>
  <c r="N22" i="1"/>
  <c r="M23" i="1"/>
  <c r="N23" i="1"/>
  <c r="M24" i="1"/>
  <c r="N24" i="1"/>
  <c r="K27" i="1"/>
  <c r="M27" i="1"/>
  <c r="N27" i="1"/>
  <c r="K28" i="1"/>
  <c r="M28" i="1"/>
  <c r="N28" i="1"/>
  <c r="K29" i="1"/>
  <c r="M29" i="1"/>
  <c r="N29" i="1"/>
  <c r="K30" i="1"/>
  <c r="M30" i="1"/>
  <c r="N30" i="1"/>
  <c r="K31" i="1"/>
  <c r="K34" i="1"/>
  <c r="M37" i="1"/>
  <c r="N37" i="1"/>
  <c r="M38" i="1"/>
  <c r="N38" i="1"/>
  <c r="M39" i="1"/>
  <c r="N39" i="1"/>
  <c r="M41" i="1"/>
  <c r="N41" i="1"/>
  <c r="K45" i="1"/>
  <c r="M45" i="1"/>
  <c r="N45" i="1"/>
  <c r="K46" i="1"/>
  <c r="M46" i="1"/>
  <c r="N46" i="1"/>
  <c r="K49" i="1"/>
  <c r="M49" i="1"/>
  <c r="N49" i="1"/>
  <c r="K50" i="1"/>
  <c r="M50" i="1"/>
  <c r="N50" i="1"/>
  <c r="K51" i="1"/>
  <c r="M51" i="1"/>
  <c r="N51" i="1"/>
  <c r="K52" i="1"/>
  <c r="M52" i="1"/>
  <c r="N52" i="1"/>
  <c r="K54" i="1"/>
  <c r="M54" i="1"/>
  <c r="N54" i="1"/>
  <c r="K56" i="1"/>
  <c r="M56" i="1"/>
  <c r="N56" i="1"/>
  <c r="M59" i="1"/>
  <c r="N59" i="1"/>
  <c r="M61" i="1"/>
  <c r="N61" i="1"/>
  <c r="M62" i="1"/>
  <c r="N62" i="1"/>
  <c r="M66" i="1"/>
  <c r="N66" i="1"/>
  <c r="K73" i="1"/>
  <c r="M73" i="1"/>
  <c r="N73" i="1"/>
  <c r="K75" i="1"/>
  <c r="M75" i="1"/>
  <c r="N75" i="1"/>
  <c r="K77" i="1"/>
  <c r="M77" i="1"/>
  <c r="N77" i="1"/>
  <c r="K79" i="1"/>
  <c r="M79" i="1"/>
  <c r="N79" i="1"/>
  <c r="K80" i="1"/>
  <c r="M80" i="1"/>
  <c r="N80" i="1"/>
  <c r="K86" i="1"/>
  <c r="M86" i="1"/>
  <c r="N86" i="1"/>
  <c r="K87" i="1"/>
  <c r="M87" i="1"/>
  <c r="N87" i="1"/>
  <c r="K88" i="1"/>
  <c r="M88" i="1"/>
  <c r="N88" i="1"/>
  <c r="K91" i="1"/>
  <c r="M91" i="1"/>
  <c r="N91" i="1"/>
  <c r="K98" i="1"/>
  <c r="M98" i="1"/>
  <c r="N98" i="1"/>
  <c r="K99" i="1"/>
  <c r="M99" i="1"/>
  <c r="N99" i="1"/>
  <c r="E8" i="5"/>
  <c r="D7" i="10"/>
  <c r="D6" i="32"/>
  <c r="C6" i="32"/>
  <c r="D5" i="32"/>
  <c r="C5" i="32"/>
  <c r="D4" i="32"/>
  <c r="C4" i="32"/>
  <c r="C3" i="32"/>
  <c r="D2" i="32"/>
  <c r="C2" i="32"/>
  <c r="J143" i="31"/>
  <c r="AC367" i="2"/>
  <c r="AC434" i="2"/>
  <c r="C137" i="28"/>
  <c r="C139" i="28"/>
  <c r="E139" i="28"/>
  <c r="G139" i="28"/>
  <c r="C136" i="28"/>
  <c r="AC255" i="2"/>
  <c r="AA255" i="2"/>
  <c r="AC254" i="2"/>
  <c r="AA254" i="2"/>
  <c r="AC252" i="2"/>
  <c r="AA252" i="2"/>
  <c r="AC251" i="2"/>
  <c r="AA251" i="2"/>
  <c r="AC250" i="2"/>
  <c r="AA250" i="2"/>
  <c r="AC248" i="2"/>
  <c r="AA248" i="2"/>
  <c r="AC247" i="2"/>
  <c r="AA247" i="2"/>
  <c r="AC246" i="2"/>
  <c r="AA246" i="2"/>
  <c r="AC245" i="2"/>
  <c r="AA245" i="2"/>
  <c r="AC244" i="2"/>
  <c r="AA244" i="2"/>
  <c r="AC243" i="2"/>
  <c r="AA243" i="2"/>
  <c r="AC242" i="2"/>
  <c r="AA242" i="2"/>
  <c r="AC241" i="2"/>
  <c r="AA241" i="2"/>
  <c r="AC240" i="2"/>
  <c r="AA240" i="2"/>
  <c r="AC239" i="2"/>
  <c r="AA239" i="2"/>
  <c r="AC238" i="2"/>
  <c r="AA238" i="2"/>
  <c r="AC237" i="2"/>
  <c r="AA237" i="2"/>
  <c r="AC236" i="2"/>
  <c r="AA236" i="2"/>
  <c r="AC235" i="2"/>
  <c r="AA235" i="2"/>
  <c r="AC233" i="2"/>
  <c r="AA233" i="2"/>
  <c r="AC232" i="2"/>
  <c r="AA232" i="2"/>
  <c r="AC230" i="2"/>
  <c r="AA230" i="2"/>
  <c r="AC229" i="2"/>
  <c r="AA229" i="2"/>
  <c r="AC228" i="2"/>
  <c r="AA228" i="2"/>
  <c r="AC227" i="2"/>
  <c r="AA227" i="2"/>
  <c r="AC226" i="2"/>
  <c r="AA226" i="2"/>
  <c r="AC225" i="2"/>
  <c r="AA225" i="2"/>
  <c r="AC224" i="2"/>
  <c r="AA224" i="2"/>
  <c r="AC223" i="2"/>
  <c r="AA223" i="2"/>
  <c r="AC222" i="2"/>
  <c r="AA222" i="2"/>
  <c r="AC221" i="2"/>
  <c r="AA221" i="2"/>
  <c r="AC220" i="2"/>
  <c r="AA220" i="2"/>
  <c r="AC219" i="2"/>
  <c r="AA219" i="2"/>
  <c r="AC218" i="2"/>
  <c r="AA218" i="2"/>
  <c r="AC217" i="2"/>
  <c r="AA217" i="2"/>
  <c r="AC214" i="2"/>
  <c r="AA214" i="2"/>
  <c r="AC213" i="2"/>
  <c r="AA213" i="2"/>
  <c r="AC212" i="2"/>
  <c r="AA212" i="2"/>
  <c r="AC210" i="2"/>
  <c r="AA210" i="2"/>
  <c r="AC209" i="2"/>
  <c r="AA209" i="2"/>
  <c r="AC208" i="2"/>
  <c r="AA208" i="2"/>
  <c r="AC207" i="2"/>
  <c r="AA207" i="2"/>
  <c r="AC206" i="2"/>
  <c r="AA206" i="2"/>
  <c r="AC205" i="2"/>
  <c r="AA205" i="2"/>
  <c r="AC204" i="2"/>
  <c r="AA204" i="2"/>
  <c r="AC203" i="2"/>
  <c r="AA203" i="2"/>
  <c r="AC200" i="2"/>
  <c r="AA200" i="2"/>
  <c r="AC199" i="2"/>
  <c r="AA199" i="2"/>
  <c r="AC198" i="2"/>
  <c r="AA198" i="2"/>
  <c r="AC197" i="2"/>
  <c r="AA197" i="2"/>
  <c r="AC195" i="2"/>
  <c r="AA195" i="2"/>
  <c r="AC194" i="2"/>
  <c r="AA194" i="2"/>
  <c r="AC193" i="2"/>
  <c r="AA193" i="2"/>
  <c r="AC192" i="2"/>
  <c r="AA192" i="2"/>
  <c r="AC191" i="2"/>
  <c r="AA191" i="2"/>
  <c r="AC190" i="2"/>
  <c r="AA190" i="2"/>
  <c r="AC188" i="2"/>
  <c r="AA188" i="2"/>
  <c r="AC187" i="2"/>
  <c r="AA187" i="2"/>
  <c r="AC185" i="2"/>
  <c r="AA185" i="2"/>
  <c r="AC184" i="2"/>
  <c r="AA184" i="2"/>
  <c r="AC183" i="2"/>
  <c r="AA183" i="2"/>
  <c r="AC182" i="2"/>
  <c r="AA182" i="2"/>
  <c r="AC181" i="2"/>
  <c r="AA181" i="2"/>
  <c r="AC180" i="2"/>
  <c r="AA180" i="2"/>
  <c r="AC179" i="2"/>
  <c r="AA179" i="2"/>
  <c r="AC379" i="2"/>
  <c r="AA379" i="2"/>
  <c r="AC375" i="2"/>
  <c r="AA375" i="2"/>
  <c r="AC374" i="2"/>
  <c r="AA374" i="2"/>
  <c r="AC372" i="2"/>
  <c r="AA372" i="2"/>
  <c r="AC371" i="2"/>
  <c r="AA371" i="2"/>
  <c r="AC370" i="2"/>
  <c r="AA370" i="2"/>
  <c r="AC369" i="2"/>
  <c r="AA369" i="2"/>
  <c r="AA367" i="2"/>
  <c r="AC366" i="2"/>
  <c r="AA366" i="2"/>
  <c r="AC365" i="2"/>
  <c r="AA365" i="2"/>
  <c r="AC364" i="2"/>
  <c r="AA364" i="2"/>
  <c r="AC363" i="2"/>
  <c r="AA363" i="2"/>
  <c r="AC361" i="2"/>
  <c r="AA361" i="2"/>
  <c r="AC360" i="2"/>
  <c r="AA360" i="2"/>
  <c r="AC359" i="2"/>
  <c r="AA359" i="2"/>
  <c r="AC358" i="2"/>
  <c r="AA358" i="2"/>
  <c r="AC357" i="2"/>
  <c r="AA357" i="2"/>
  <c r="AC356" i="2"/>
  <c r="AA356" i="2"/>
  <c r="AC355" i="2"/>
  <c r="AA355" i="2"/>
  <c r="AC354" i="2"/>
  <c r="AA354" i="2"/>
  <c r="AC353" i="2"/>
  <c r="AA353" i="2"/>
  <c r="AC352" i="2"/>
  <c r="AA352" i="2"/>
  <c r="AC351" i="2"/>
  <c r="AA351" i="2"/>
  <c r="AC350" i="2"/>
  <c r="AA350" i="2"/>
  <c r="AC349" i="2"/>
  <c r="AA349" i="2"/>
  <c r="AC348" i="2"/>
  <c r="AA348" i="2"/>
  <c r="AC346" i="2"/>
  <c r="AA346" i="2"/>
  <c r="AC345" i="2"/>
  <c r="AA345" i="2"/>
  <c r="AC344" i="2"/>
  <c r="AA344" i="2"/>
  <c r="AC343" i="2"/>
  <c r="AA343" i="2"/>
  <c r="AC342" i="2"/>
  <c r="AA342" i="2"/>
  <c r="AC341" i="2"/>
  <c r="AA341" i="2"/>
  <c r="AC340" i="2"/>
  <c r="AA340" i="2"/>
  <c r="AC339" i="2"/>
  <c r="AA339" i="2"/>
  <c r="AC338" i="2"/>
  <c r="AA338" i="2"/>
  <c r="AC337" i="2"/>
  <c r="AA337" i="2"/>
  <c r="AC336" i="2"/>
  <c r="AA336" i="2"/>
  <c r="AC335" i="2"/>
  <c r="AA335" i="2"/>
  <c r="AC334" i="2"/>
  <c r="AA334" i="2"/>
  <c r="AC333" i="2"/>
  <c r="AA333" i="2"/>
  <c r="AC330" i="2"/>
  <c r="AA330" i="2"/>
  <c r="AC328" i="2"/>
  <c r="AA328" i="2"/>
  <c r="AC327" i="2"/>
  <c r="AA327" i="2"/>
  <c r="AC326" i="2"/>
  <c r="AA326" i="2"/>
  <c r="AC325" i="2"/>
  <c r="AA325" i="2"/>
  <c r="AC323" i="2"/>
  <c r="AA323" i="2"/>
  <c r="AC322" i="2"/>
  <c r="AA322" i="2"/>
  <c r="AC319" i="2"/>
  <c r="AA319" i="2"/>
  <c r="AC315" i="2"/>
  <c r="AA315" i="2"/>
  <c r="AC313" i="2"/>
  <c r="AA313" i="2"/>
  <c r="AC310" i="2"/>
  <c r="AA310" i="2"/>
  <c r="AC308" i="2"/>
  <c r="AA308" i="2"/>
  <c r="AC307" i="2"/>
  <c r="AA307" i="2"/>
  <c r="AC306" i="2"/>
  <c r="AA306" i="2"/>
  <c r="AC305" i="2"/>
  <c r="AA305" i="2"/>
  <c r="AC304" i="2"/>
  <c r="AA304" i="2"/>
  <c r="AC303" i="2"/>
  <c r="AA303" i="2"/>
  <c r="AC302" i="2"/>
  <c r="AA302" i="2"/>
  <c r="AC301" i="2"/>
  <c r="AA301" i="2"/>
  <c r="AC300" i="2"/>
  <c r="AA300" i="2"/>
  <c r="AC299" i="2"/>
  <c r="AA299" i="2"/>
  <c r="AC298" i="2"/>
  <c r="AA298" i="2"/>
  <c r="AC297" i="2"/>
  <c r="AA297" i="2"/>
  <c r="AC296" i="2"/>
  <c r="AA296" i="2"/>
  <c r="AC295" i="2"/>
  <c r="AA295" i="2"/>
  <c r="AC294" i="2"/>
  <c r="AA294" i="2"/>
  <c r="AC293" i="2"/>
  <c r="AA293" i="2"/>
  <c r="AC291" i="2"/>
  <c r="AA291" i="2"/>
  <c r="AC289" i="2"/>
  <c r="AA289" i="2"/>
  <c r="AC288" i="2"/>
  <c r="AA288" i="2"/>
  <c r="AC287" i="2"/>
  <c r="AA287" i="2"/>
  <c r="AC286" i="2"/>
  <c r="AA286" i="2"/>
  <c r="AC285" i="2"/>
  <c r="AA285" i="2"/>
  <c r="AC284" i="2"/>
  <c r="AA284" i="2"/>
  <c r="AC283" i="2"/>
  <c r="AA283" i="2"/>
  <c r="AC282" i="2"/>
  <c r="AA282" i="2"/>
  <c r="AC279" i="2"/>
  <c r="AA279" i="2"/>
  <c r="AC278" i="2"/>
  <c r="AA278" i="2"/>
  <c r="AC277" i="2"/>
  <c r="AA277" i="2"/>
  <c r="AC274" i="2"/>
  <c r="AA274" i="2"/>
  <c r="AC272" i="2"/>
  <c r="AA272" i="2"/>
  <c r="AC271" i="2"/>
  <c r="AA271" i="2"/>
  <c r="AC270" i="2"/>
  <c r="AA270" i="2"/>
  <c r="AC269" i="2"/>
  <c r="AA269" i="2"/>
  <c r="AC268" i="2"/>
  <c r="AA268" i="2"/>
  <c r="AC267" i="2"/>
  <c r="AA267" i="2"/>
  <c r="AC266" i="2"/>
  <c r="AA266" i="2"/>
  <c r="AC264" i="2"/>
  <c r="AA264" i="2"/>
  <c r="AC263" i="2"/>
  <c r="AA263" i="2"/>
  <c r="AC262" i="2"/>
  <c r="AA262" i="2"/>
  <c r="AC261" i="2"/>
  <c r="AA261" i="2"/>
  <c r="AC260" i="2"/>
  <c r="AA260" i="2"/>
  <c r="AC259" i="2"/>
  <c r="AA259" i="2"/>
  <c r="AC258" i="2"/>
  <c r="AA258" i="2"/>
  <c r="AC257" i="2"/>
  <c r="AA257" i="2"/>
  <c r="AC256" i="2"/>
  <c r="AA256" i="2"/>
  <c r="AC381" i="2"/>
  <c r="AC382" i="2"/>
  <c r="AC383" i="2"/>
  <c r="AC385" i="2"/>
  <c r="AC386" i="2"/>
  <c r="AC387" i="2"/>
  <c r="AC389" i="2"/>
  <c r="AC390" i="2"/>
  <c r="AC391" i="2"/>
  <c r="AC392" i="2"/>
  <c r="AC394" i="2"/>
  <c r="AC395" i="2"/>
  <c r="AC396" i="2"/>
  <c r="AC397" i="2"/>
  <c r="AC398" i="2"/>
  <c r="AC399" i="2"/>
  <c r="AC402" i="2"/>
  <c r="AC404" i="2"/>
  <c r="AC405" i="2"/>
  <c r="AC406" i="2"/>
  <c r="AC407" i="2"/>
  <c r="AC409" i="2"/>
  <c r="AC410" i="2"/>
  <c r="AC411" i="2"/>
  <c r="AC412" i="2"/>
  <c r="AC413" i="2"/>
  <c r="AC414" i="2"/>
  <c r="AC415" i="2"/>
  <c r="AC416" i="2"/>
  <c r="AC417" i="2"/>
  <c r="AC418" i="2"/>
  <c r="AC420" i="2"/>
  <c r="AC422" i="2"/>
  <c r="AC424" i="2"/>
  <c r="AC425" i="2"/>
  <c r="AC426" i="2"/>
  <c r="AC427" i="2"/>
  <c r="AC428" i="2"/>
  <c r="AC429" i="2"/>
  <c r="AC430" i="2"/>
  <c r="AC431" i="2"/>
  <c r="AC432" i="2"/>
  <c r="AC433" i="2"/>
  <c r="AC435" i="2"/>
  <c r="AC436" i="2"/>
  <c r="AC439" i="2"/>
  <c r="AC440" i="2"/>
  <c r="AC441" i="2"/>
  <c r="AC442" i="2"/>
  <c r="AC443" i="2"/>
  <c r="AC444" i="2"/>
  <c r="AC445" i="2"/>
  <c r="AC447" i="2"/>
  <c r="AC448" i="2"/>
  <c r="AC449" i="2"/>
  <c r="AC450" i="2"/>
  <c r="AC451" i="2"/>
  <c r="AC453" i="2"/>
  <c r="J6" i="32"/>
  <c r="C7" i="29"/>
  <c r="AA381" i="2"/>
  <c r="AA382" i="2"/>
  <c r="AA383" i="2"/>
  <c r="AA385" i="2"/>
  <c r="AA386" i="2"/>
  <c r="AA387" i="2"/>
  <c r="AA389" i="2"/>
  <c r="AA390" i="2"/>
  <c r="AA391" i="2"/>
  <c r="AA392" i="2"/>
  <c r="AA394" i="2"/>
  <c r="AA395" i="2"/>
  <c r="AA396" i="2"/>
  <c r="AA397" i="2"/>
  <c r="AA398" i="2"/>
  <c r="AA399" i="2"/>
  <c r="AA402" i="2"/>
  <c r="AA404" i="2"/>
  <c r="AA405" i="2"/>
  <c r="AA406" i="2"/>
  <c r="AA407" i="2"/>
  <c r="AA409" i="2"/>
  <c r="AA410" i="2"/>
  <c r="AA411" i="2"/>
  <c r="AA412" i="2"/>
  <c r="AA413" i="2"/>
  <c r="AA414" i="2"/>
  <c r="AA415" i="2"/>
  <c r="AA416" i="2"/>
  <c r="AA417" i="2"/>
  <c r="AA418" i="2"/>
  <c r="AA420" i="2"/>
  <c r="AA422" i="2"/>
  <c r="AA424" i="2"/>
  <c r="AA425" i="2"/>
  <c r="AA426" i="2"/>
  <c r="AA427" i="2"/>
  <c r="AA428" i="2"/>
  <c r="AA429" i="2"/>
  <c r="AA430" i="2"/>
  <c r="AA431" i="2"/>
  <c r="AA432" i="2"/>
  <c r="AA433" i="2"/>
  <c r="AA434" i="2"/>
  <c r="AA435" i="2"/>
  <c r="AA436" i="2"/>
  <c r="AA439" i="2"/>
  <c r="AA440" i="2"/>
  <c r="AA441" i="2"/>
  <c r="AA442" i="2"/>
  <c r="AA443" i="2"/>
  <c r="AA444" i="2"/>
  <c r="AA445" i="2"/>
  <c r="AA447" i="2"/>
  <c r="AA448" i="2"/>
  <c r="AA449" i="2"/>
  <c r="AA450" i="2"/>
  <c r="AA451" i="2"/>
  <c r="AA453" i="2"/>
  <c r="H68" i="31"/>
  <c r="I68" i="31"/>
  <c r="J68" i="31"/>
  <c r="H71" i="31"/>
  <c r="I71" i="31"/>
  <c r="J71" i="31"/>
  <c r="H74" i="31"/>
  <c r="I74" i="31"/>
  <c r="J74" i="31"/>
  <c r="J75" i="31"/>
  <c r="H59" i="31"/>
  <c r="L59" i="31"/>
  <c r="L67" i="28"/>
  <c r="H78" i="31"/>
  <c r="H81" i="31"/>
  <c r="H84" i="31"/>
  <c r="H85" i="31"/>
  <c r="L85" i="31"/>
  <c r="M67" i="28"/>
  <c r="E12" i="33"/>
  <c r="I8" i="31"/>
  <c r="I8" i="39"/>
  <c r="G7" i="1"/>
  <c r="F6" i="28"/>
  <c r="J17" i="5"/>
  <c r="D135" i="31"/>
  <c r="D132" i="31"/>
  <c r="D129" i="31"/>
  <c r="D125" i="31"/>
  <c r="D122" i="31"/>
  <c r="D119" i="31"/>
  <c r="D116" i="31"/>
  <c r="N100" i="1"/>
  <c r="M100" i="1"/>
  <c r="G4" i="39"/>
  <c r="G6" i="39"/>
  <c r="G7" i="39"/>
  <c r="G8" i="39"/>
  <c r="E137" i="31"/>
  <c r="E127" i="31"/>
  <c r="A127" i="31"/>
  <c r="M21" i="5"/>
  <c r="L21" i="5"/>
  <c r="K21" i="5"/>
  <c r="J21" i="5"/>
  <c r="M20" i="5"/>
  <c r="L20" i="5"/>
  <c r="K20" i="5"/>
  <c r="J20" i="5"/>
  <c r="M19" i="5"/>
  <c r="L19" i="5"/>
  <c r="K19" i="5"/>
  <c r="J19" i="5"/>
  <c r="M18" i="5"/>
  <c r="L18" i="5"/>
  <c r="K18" i="5"/>
  <c r="J18" i="5"/>
  <c r="M17" i="5"/>
  <c r="L17" i="5"/>
  <c r="K17" i="5"/>
  <c r="N21" i="5"/>
  <c r="N20" i="5"/>
  <c r="N19" i="5"/>
  <c r="N18" i="5"/>
  <c r="N17" i="5"/>
  <c r="A69" i="28"/>
  <c r="I78" i="31"/>
  <c r="J78" i="31"/>
  <c r="I81" i="31"/>
  <c r="J81" i="31"/>
  <c r="I84" i="31"/>
  <c r="J84" i="31"/>
  <c r="J85" i="31"/>
  <c r="D145" i="28"/>
  <c r="E145" i="28"/>
  <c r="F145" i="28"/>
  <c r="G145" i="28"/>
  <c r="O108" i="1"/>
  <c r="L49" i="31"/>
  <c r="N101" i="1"/>
  <c r="M101" i="1"/>
  <c r="D4" i="34"/>
  <c r="D3" i="34"/>
  <c r="D2" i="34"/>
  <c r="G35" i="34"/>
  <c r="G45" i="31"/>
  <c r="E75" i="31"/>
  <c r="A75" i="31"/>
  <c r="E59" i="31"/>
  <c r="E85" i="31"/>
  <c r="B3" i="10"/>
  <c r="B4" i="10"/>
  <c r="B5" i="10"/>
  <c r="B6" i="10"/>
  <c r="C3" i="10"/>
  <c r="C5" i="10"/>
  <c r="C6" i="10"/>
  <c r="B7" i="10"/>
  <c r="C7" i="10"/>
  <c r="G78" i="31"/>
  <c r="F78" i="31"/>
  <c r="G81" i="31"/>
  <c r="F81" i="31"/>
  <c r="G84" i="31"/>
  <c r="F84" i="31"/>
  <c r="F85" i="31"/>
  <c r="F68" i="31"/>
  <c r="G71" i="31"/>
  <c r="F71" i="31"/>
  <c r="G74" i="31"/>
  <c r="F74" i="31"/>
  <c r="F75" i="31"/>
  <c r="G52" i="31"/>
  <c r="F52" i="31"/>
  <c r="G55" i="31"/>
  <c r="F55" i="31"/>
  <c r="G58" i="31"/>
  <c r="F58" i="31"/>
  <c r="F59" i="31"/>
  <c r="G48" i="31"/>
  <c r="F42" i="31"/>
  <c r="F45" i="31"/>
  <c r="F48" i="31"/>
  <c r="F49" i="31"/>
  <c r="D31" i="31"/>
  <c r="D54" i="31"/>
  <c r="E49" i="31"/>
  <c r="A49" i="31"/>
  <c r="E29" i="31"/>
  <c r="A29" i="31"/>
  <c r="D15" i="31"/>
  <c r="D18" i="31"/>
  <c r="D83" i="31"/>
  <c r="D80" i="31"/>
  <c r="D77" i="31"/>
  <c r="D73" i="31"/>
  <c r="D70" i="31"/>
  <c r="D67" i="31"/>
  <c r="D57" i="31"/>
  <c r="D51" i="31"/>
  <c r="D47" i="31"/>
  <c r="D44" i="31"/>
  <c r="D41" i="31"/>
  <c r="D37" i="31"/>
  <c r="D34" i="31"/>
  <c r="D27" i="31"/>
  <c r="D24" i="31"/>
  <c r="D21" i="31"/>
  <c r="R101" i="1"/>
  <c r="R102" i="1"/>
  <c r="C2" i="11"/>
  <c r="C4" i="11"/>
  <c r="C5" i="11"/>
  <c r="C2" i="29"/>
  <c r="C4" i="29"/>
  <c r="C5" i="29"/>
  <c r="C6" i="29"/>
  <c r="B4" i="5"/>
  <c r="C4" i="5"/>
  <c r="B5" i="5"/>
  <c r="B6" i="5"/>
  <c r="C6" i="5"/>
  <c r="B7" i="5"/>
  <c r="C7" i="5"/>
  <c r="B8" i="5"/>
  <c r="C8" i="5"/>
  <c r="B9" i="5"/>
  <c r="C9" i="5"/>
  <c r="M103" i="1"/>
  <c r="N103" i="1"/>
  <c r="C141" i="28"/>
  <c r="F136" i="31"/>
  <c r="F130" i="31"/>
  <c r="F120" i="31"/>
  <c r="F123" i="31"/>
  <c r="F117" i="31"/>
  <c r="K43" i="1"/>
  <c r="K42" i="1"/>
  <c r="K37" i="1"/>
  <c r="K38" i="1"/>
  <c r="K39" i="1"/>
  <c r="K41" i="1"/>
  <c r="K70" i="1"/>
  <c r="K69" i="1"/>
  <c r="K20" i="1"/>
  <c r="K22" i="1"/>
  <c r="K23" i="1"/>
  <c r="K24" i="1"/>
  <c r="E136" i="28"/>
  <c r="K26" i="1"/>
  <c r="K25" i="1"/>
  <c r="K65" i="1"/>
  <c r="K63" i="1"/>
  <c r="K60" i="1"/>
  <c r="K59" i="1"/>
  <c r="K61" i="1"/>
  <c r="K62" i="1"/>
  <c r="K66" i="1"/>
  <c r="F129" i="28"/>
  <c r="J149" i="31"/>
  <c r="L133" i="28"/>
  <c r="M128" i="28"/>
  <c r="M129" i="28"/>
  <c r="M130" i="28"/>
  <c r="M131" i="28"/>
  <c r="M133" i="28"/>
  <c r="H131" i="28"/>
  <c r="H129" i="28"/>
  <c r="H128" i="28"/>
  <c r="G131" i="28"/>
  <c r="G129" i="28"/>
  <c r="G128" i="28"/>
  <c r="F131" i="28"/>
  <c r="E131" i="28"/>
  <c r="E129" i="28"/>
  <c r="E128" i="28"/>
  <c r="D131" i="28"/>
  <c r="D129" i="28"/>
  <c r="D128" i="28"/>
  <c r="G141" i="28"/>
  <c r="C150" i="10"/>
  <c r="L96" i="31"/>
  <c r="J103" i="31"/>
  <c r="J104" i="31"/>
  <c r="J128" i="28"/>
  <c r="J129" i="28"/>
  <c r="J130" i="28"/>
  <c r="J131" i="28"/>
  <c r="J133" i="28"/>
  <c r="J150" i="31"/>
  <c r="J151" i="31"/>
  <c r="F114" i="31"/>
  <c r="F126" i="31"/>
  <c r="F127" i="31"/>
  <c r="L127" i="31"/>
  <c r="F133" i="31"/>
  <c r="F137" i="31"/>
  <c r="D136" i="28"/>
  <c r="D137" i="28"/>
  <c r="E137" i="28"/>
  <c r="D138" i="28"/>
  <c r="D139" i="28"/>
  <c r="D141" i="28"/>
  <c r="C131" i="28"/>
  <c r="C129" i="28"/>
  <c r="C128" i="28"/>
  <c r="F32" i="31"/>
  <c r="F35" i="31"/>
  <c r="F38" i="31"/>
  <c r="F39" i="31"/>
  <c r="F16" i="31"/>
  <c r="F19" i="31"/>
  <c r="F22" i="31"/>
  <c r="F25" i="31"/>
  <c r="F28" i="31"/>
  <c r="F29" i="31"/>
  <c r="J65" i="31"/>
  <c r="F136" i="28"/>
  <c r="F137" i="28"/>
  <c r="F138" i="28"/>
  <c r="F139" i="28"/>
  <c r="F141" i="28"/>
  <c r="Z86" i="35"/>
  <c r="Z85" i="35"/>
  <c r="Z84" i="35"/>
  <c r="Z83" i="35"/>
  <c r="Z82" i="35"/>
  <c r="AB21" i="35"/>
  <c r="AA21" i="35"/>
  <c r="Z21" i="35"/>
  <c r="AB20" i="35"/>
  <c r="AA20" i="35"/>
  <c r="Z20" i="35"/>
  <c r="AB19" i="35"/>
  <c r="AA19" i="35"/>
  <c r="Z19" i="35"/>
  <c r="AB18" i="35"/>
  <c r="AA18" i="35"/>
  <c r="Z18" i="35"/>
  <c r="AB17" i="35"/>
  <c r="AA17" i="35"/>
  <c r="Z17" i="35"/>
  <c r="AB16" i="35"/>
  <c r="AA16" i="35"/>
  <c r="Z16" i="35"/>
  <c r="F128" i="28"/>
  <c r="C130" i="28"/>
  <c r="D130" i="28"/>
  <c r="E130" i="28"/>
  <c r="F130" i="28"/>
  <c r="G130" i="28"/>
  <c r="H130" i="28"/>
</calcChain>
</file>

<file path=xl/comments1.xml><?xml version="1.0" encoding="utf-8"?>
<comments xmlns="http://schemas.openxmlformats.org/spreadsheetml/2006/main">
  <authors>
    <author>Lydia Huizinga</author>
    <author>ICCA bv</author>
  </authors>
  <commentList>
    <comment ref="L18" authorId="0">
      <text>
        <r>
          <rPr>
            <sz val="10"/>
            <color indexed="81"/>
            <rFont val="Verdana"/>
          </rPr>
          <t xml:space="preserve">
M2 Glas is zowel van Konijnenstraat 7 als 9.</t>
        </r>
      </text>
    </comment>
    <comment ref="L24" authorId="0">
      <text>
        <r>
          <rPr>
            <sz val="9"/>
            <color indexed="81"/>
            <rFont val="Verdana"/>
          </rPr>
          <t xml:space="preserve">
m2 Glas is totaal van Horizon Anker gebouw A en gebouw S -/- Kompas 1</t>
        </r>
      </text>
    </comment>
    <comment ref="L37" authorId="0">
      <text>
        <r>
          <rPr>
            <sz val="9"/>
            <color indexed="81"/>
            <rFont val="Verdana"/>
          </rPr>
          <t xml:space="preserve">
m2 Glas is totaal van Horizon Prisma gebouw C</t>
        </r>
      </text>
    </comment>
    <comment ref="D71" authorId="1">
      <text>
        <r>
          <rPr>
            <b/>
            <sz val="10"/>
            <color indexed="81"/>
            <rFont val="Verdana"/>
          </rPr>
          <t>Is gekoppeld aan Cel H46 Tabblad 1.8-Afroepprijs</t>
        </r>
      </text>
    </comment>
  </commentList>
</comments>
</file>

<file path=xl/comments2.xml><?xml version="1.0" encoding="utf-8"?>
<comments xmlns="http://schemas.openxmlformats.org/spreadsheetml/2006/main">
  <authors>
    <author>ICCA bv</author>
  </authors>
  <commentList>
    <comment ref="H46" authorId="0">
      <text>
        <r>
          <rPr>
            <b/>
            <sz val="9"/>
            <color indexed="81"/>
            <rFont val="Verdana"/>
          </rPr>
          <t>Wordt automatisch gekoppeld aan additionele kosten tabblad 1.1a-Jaarprijzen</t>
        </r>
      </text>
    </comment>
  </commentList>
</comments>
</file>

<file path=xl/sharedStrings.xml><?xml version="1.0" encoding="utf-8"?>
<sst xmlns="http://schemas.openxmlformats.org/spreadsheetml/2006/main" count="3422" uniqueCount="1104">
  <si>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</si>
  <si>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</si>
  <si>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</si>
  <si>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</si>
  <si>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</si>
  <si>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</si>
  <si>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</si>
  <si>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</si>
  <si>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</si>
  <si>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</si>
  <si>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</si>
  <si>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</si>
  <si>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</si>
  <si>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</si>
  <si>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</si>
  <si>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</si>
  <si>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</si>
  <si>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</si>
  <si>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</si>
  <si>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</si>
  <si>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</si>
  <si>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</si>
  <si>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</si>
  <si>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</si>
  <si>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</si>
  <si>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</si>
  <si>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</si>
  <si>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</si>
  <si>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</si>
  <si>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</si>
  <si>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</si>
  <si>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</si>
  <si>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</si>
  <si>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</si>
  <si>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</si>
  <si>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</si>
  <si>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</si>
  <si>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</si>
  <si>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</si>
  <si>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</si>
  <si>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</si>
  <si>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</si>
  <si>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</si>
  <si>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</si>
  <si>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</si>
  <si>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</si>
  <si>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</si>
  <si>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</si>
  <si>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</si>
  <si>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</si>
  <si>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</si>
  <si>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</si>
  <si>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</si>
  <si>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</si>
  <si>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</si>
  <si>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</si>
  <si>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</si>
  <si>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</si>
  <si>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</si>
  <si>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</si>
  <si>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</si>
  <si>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</si>
  <si>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</si>
  <si>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</si>
  <si>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</si>
  <si>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</si>
  <si>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</si>
  <si>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</si>
  <si>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</si>
  <si>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</si>
  <si>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</si>
  <si>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</si>
  <si>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</si>
  <si>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</si>
  <si>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</si>
  <si>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</si>
  <si>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</si>
  <si>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</si>
  <si>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</si>
  <si>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</si>
  <si>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</si>
  <si>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</si>
  <si>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</si>
  <si>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</si>
  <si>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</si>
  <si>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</si>
  <si>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</si>
  <si>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</si>
  <si>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</si>
  <si>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</si>
  <si>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</si>
  <si>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</si>
  <si>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</si>
  <si>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</si>
  <si>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</si>
  <si>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</si>
  <si>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</si>
  <si>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</si>
  <si>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</si>
  <si>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</si>
  <si>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</si>
  <si>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</si>
  <si>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</si>
  <si>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</si>
  <si>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</si>
  <si>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</si>
  <si>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</si>
  <si>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</si>
  <si>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</si>
  <si>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</si>
  <si>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</si>
  <si>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</si>
  <si>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</si>
  <si>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</si>
  <si>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</si>
  <si>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</si>
  <si>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</si>
  <si>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</si>
  <si>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</si>
  <si>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</si>
  <si>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</si>
  <si>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</si>
  <si>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</si>
  <si>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</si>
  <si>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</si>
  <si>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</si>
  <si>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</si>
  <si>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</si>
  <si>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</si>
  <si>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</si>
  <si>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</si>
  <si>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</si>
  <si>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</si>
  <si>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</si>
  <si>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</si>
  <si>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</si>
  <si>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</si>
  <si>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</si>
  <si>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</si>
  <si>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</si>
  <si>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</si>
  <si>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</si>
  <si>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</si>
  <si>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</si>
  <si>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</si>
  <si>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</si>
  <si>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</si>
  <si>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</si>
  <si>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</si>
  <si>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</si>
  <si>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</si>
  <si>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</si>
  <si>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</si>
  <si>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</si>
  <si>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</si>
  <si>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</si>
  <si>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</si>
  <si>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</si>
  <si>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</si>
  <si>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</si>
  <si>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</si>
  <si>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</si>
  <si>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</si>
  <si>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</si>
  <si>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</si>
  <si>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</si>
  <si>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</si>
  <si>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</si>
  <si>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</si>
  <si>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</si>
  <si>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</si>
  <si>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</si>
  <si>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</si>
  <si>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</si>
  <si>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</si>
  <si>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</si>
  <si>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</si>
  <si>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</si>
  <si>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</si>
  <si>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</si>
  <si>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</si>
  <si>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</si>
  <si>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</si>
  <si>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</si>
  <si>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</si>
  <si>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</si>
  <si>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</si>
  <si>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</si>
  <si>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</si>
  <si>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</si>
  <si>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</si>
  <si>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</si>
  <si>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</si>
  <si>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</si>
  <si>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</si>
  <si>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</si>
  <si>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</si>
  <si>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</si>
  <si>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</si>
  <si>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</si>
  <si>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</si>
  <si>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</si>
  <si>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</si>
  <si>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</si>
  <si>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</si>
  <si>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</si>
  <si>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</si>
  <si>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</si>
  <si>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</si>
  <si>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</si>
  <si>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</si>
  <si>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</si>
  <si>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</si>
  <si>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</si>
  <si>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</si>
  <si>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</si>
  <si>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</si>
  <si>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</si>
  <si>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</si>
  <si>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</si>
  <si>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</si>
  <si>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</si>
  <si>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</si>
  <si>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</si>
  <si>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</si>
  <si>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</si>
  <si>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</si>
  <si>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</si>
  <si>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</si>
  <si>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</si>
  <si>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</si>
  <si>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</si>
  <si>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</si>
  <si>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</si>
  <si>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</si>
  <si>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</si>
  <si>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</si>
  <si>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</si>
  <si>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</si>
  <si>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</si>
  <si>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</si>
  <si>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</si>
  <si>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</si>
  <si>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</si>
  <si>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</si>
  <si>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</si>
  <si>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</si>
  <si>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</si>
  <si>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</si>
  <si>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</si>
  <si>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</si>
  <si>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</si>
  <si>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</si>
  <si>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</si>
  <si>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</si>
  <si>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</si>
  <si>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</si>
  <si>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</si>
  <si>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</si>
  <si>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</si>
  <si>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</si>
  <si>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</si>
  <si>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</si>
  <si>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</si>
  <si>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</si>
  <si>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</si>
  <si>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</si>
  <si>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</si>
  <si>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</si>
  <si>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</si>
  <si>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</si>
  <si>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</si>
  <si>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</si>
  <si>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</si>
  <si>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</si>
  <si>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</si>
  <si>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</si>
  <si>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</si>
  <si>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</si>
  <si>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</si>
  <si>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</si>
  <si>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</si>
  <si>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</si>
  <si>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</si>
  <si>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</si>
  <si>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</si>
  <si>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</si>
  <si>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</si>
  <si>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</si>
  <si>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</si>
  <si>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</si>
  <si>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</si>
  <si>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</si>
  <si>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</si>
  <si>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</si>
  <si>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</si>
  <si>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</si>
  <si>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</si>
  <si>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</si>
  <si>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</si>
  <si>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</si>
  <si>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</si>
  <si>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</si>
  <si>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</si>
  <si>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</si>
  <si>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</si>
  <si>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keuken</t>
  </si>
  <si>
    <t>S</t>
  </si>
  <si>
    <t>L</t>
  </si>
  <si>
    <t>leslokaal</t>
  </si>
  <si>
    <t>pantry</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</si>
  <si>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</si>
  <si>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</si>
  <si>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</si>
  <si>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</si>
  <si>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</si>
  <si>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</si>
  <si>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</si>
  <si>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</si>
  <si>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</si>
  <si>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</si>
  <si>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</si>
  <si>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</si>
  <si>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</si>
  <si>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</si>
  <si>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</si>
  <si>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</si>
  <si>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</si>
  <si>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</si>
  <si>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</si>
  <si>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</si>
  <si>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</si>
  <si>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lift</t>
  </si>
  <si>
    <t>trappenhuis</t>
  </si>
  <si>
    <t>administratieve -, personeels- en vergaderruimte</t>
  </si>
  <si>
    <t>5 x per week - 40 weken</t>
  </si>
  <si>
    <t>1 x per week - 40 weken</t>
  </si>
  <si>
    <t>sanitaire ruimte (toilet-/doucheruimte)</t>
  </si>
  <si>
    <t>niet van toepassing</t>
  </si>
  <si>
    <t>tijdelijk niet van toepassing</t>
  </si>
  <si>
    <t>Kosten ziekteverzuim</t>
  </si>
  <si>
    <t>11.02 Werknemer meewerkend toezicht algemeen schoonmaakonderhoud</t>
  </si>
  <si>
    <t>11.02 Werknemer niet meewerkend toezicht algemeen schoonmaakonderhoud</t>
  </si>
  <si>
    <t>Oppervlakte (separatieglas dubbellvoudig gemeten)</t>
  </si>
  <si>
    <t>m2 buitenglas</t>
  </si>
  <si>
    <t>Tarief p/uur</t>
  </si>
  <si>
    <t xml:space="preserve"> € per m2 buitenglas</t>
  </si>
  <si>
    <t>€ per m2 binnenglas</t>
  </si>
  <si>
    <t>€ per m2 separatieglas</t>
  </si>
  <si>
    <t>Inzet arbeids middelen</t>
  </si>
  <si>
    <t>Regio</t>
  </si>
  <si>
    <t>Bedrag per beurt</t>
  </si>
  <si>
    <t>Inzet arbeidsmiddel (omschijving)</t>
  </si>
  <si>
    <t>Purmerend</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</si>
  <si>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</si>
  <si>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</si>
  <si>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</si>
  <si>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</si>
  <si>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</si>
  <si>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</si>
  <si>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</si>
  <si>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</si>
  <si>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</si>
  <si>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</si>
  <si>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</si>
  <si>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</si>
  <si>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</si>
  <si>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</si>
  <si>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</si>
  <si>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</si>
  <si>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</si>
  <si>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</si>
  <si>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</si>
  <si>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</si>
  <si>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</si>
  <si>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</si>
  <si>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[Waarvan WGA-vast]</t>
  </si>
  <si>
    <t>[Waarvan WGA-flex]</t>
  </si>
  <si>
    <t>[Waarvan ZW-flex]</t>
  </si>
  <si>
    <t>Totaal</t>
  </si>
  <si>
    <t>Kleine werkgever</t>
  </si>
  <si>
    <t>Middelgrote werkgever</t>
  </si>
  <si>
    <t>Grote werkgever</t>
  </si>
  <si>
    <t>[NAAM LEVERANCIER]</t>
  </si>
  <si>
    <t>Totaal uren per jaar</t>
  </si>
  <si>
    <t>Perentage inzet per locatieo.b.v. verhouding inzewt productie-uren</t>
  </si>
  <si>
    <t>Bedrag reservering per jaar/locatie</t>
  </si>
  <si>
    <t>Totaal uren per jaar per locatie</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</si>
  <si>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</si>
  <si>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</si>
  <si>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</si>
  <si>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</si>
  <si>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</si>
  <si>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</si>
  <si>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</si>
  <si>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Plaats</t>
  </si>
  <si>
    <t>M2 glas binnen- en buitenzijde</t>
  </si>
  <si>
    <t>aula, gemeenschappelijke ruimte, bibliotheek</t>
  </si>
  <si>
    <t>Glas bin/buit/sep</t>
  </si>
  <si>
    <t>Kosten per jaar buitenglas</t>
  </si>
  <si>
    <t>Kosten per jaar binnenglas</t>
  </si>
  <si>
    <t>Kosten per jaar separatie-glas</t>
  </si>
  <si>
    <t>Versie</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</si>
  <si>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</si>
  <si>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</si>
  <si>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</si>
  <si>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</si>
  <si>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</si>
  <si>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</si>
  <si>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</si>
  <si>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</si>
  <si>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</si>
  <si>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</si>
  <si>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</si>
  <si>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</si>
  <si>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</si>
  <si>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</si>
  <si>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</si>
  <si>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</si>
  <si>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</si>
  <si>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</si>
  <si>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</si>
  <si>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</si>
  <si>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</si>
  <si>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</si>
  <si>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</si>
  <si>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Perceel 1</t>
  </si>
  <si>
    <t>= invoervelden</t>
  </si>
  <si>
    <t>Stichting Altra - Horizon</t>
  </si>
  <si>
    <t>Regio Noord Holland</t>
  </si>
  <si>
    <t>SMO 2017</t>
  </si>
  <si>
    <t>GLAS 2017</t>
  </si>
  <si>
    <t>Kostenplaats -  LocatieAdres</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</si>
  <si>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</si>
  <si>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</si>
  <si>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</si>
  <si>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</si>
  <si>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</si>
  <si>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</si>
  <si>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</si>
  <si>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</si>
  <si>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</si>
  <si>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</si>
  <si>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</si>
  <si>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</si>
  <si>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</si>
  <si>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</si>
  <si>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</si>
  <si>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</si>
  <si>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</si>
  <si>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</si>
  <si>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</si>
  <si>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</si>
  <si>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</si>
  <si>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</si>
  <si>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</si>
  <si>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</si>
  <si>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</si>
  <si>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</si>
  <si>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</si>
  <si>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</si>
  <si>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</si>
  <si>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</si>
  <si>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</si>
  <si>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</si>
  <si>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</si>
  <si>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</si>
  <si>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</si>
  <si>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</si>
  <si>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</si>
  <si>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</si>
  <si>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</si>
  <si>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</si>
  <si>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</si>
  <si>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</si>
  <si>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</si>
  <si>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</si>
  <si>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</si>
  <si>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</si>
  <si>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</si>
  <si>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</si>
  <si>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kantine</t>
  </si>
  <si>
    <t>Soort locatie</t>
  </si>
  <si>
    <t>Hoofddorp</t>
  </si>
  <si>
    <t>B0.07</t>
  </si>
  <si>
    <t>B0.10</t>
  </si>
  <si>
    <t>B0.11</t>
  </si>
  <si>
    <t>B0.12</t>
  </si>
  <si>
    <t>B0.13</t>
  </si>
  <si>
    <t>B0.14</t>
  </si>
  <si>
    <t>B0.15</t>
  </si>
  <si>
    <t>B0.16</t>
  </si>
  <si>
    <t>B0.17</t>
  </si>
  <si>
    <t>B0.18</t>
  </si>
  <si>
    <t>B0.19</t>
  </si>
  <si>
    <t>B0.20</t>
  </si>
  <si>
    <t>B0.21</t>
  </si>
  <si>
    <t>B0.22</t>
  </si>
  <si>
    <t>B1.10</t>
  </si>
  <si>
    <t>B1.11</t>
  </si>
  <si>
    <t>B1.12</t>
  </si>
  <si>
    <t>B1.13</t>
  </si>
  <si>
    <t>B1.14</t>
  </si>
  <si>
    <t>B1.15</t>
  </si>
  <si>
    <t>B1.16</t>
  </si>
  <si>
    <t>C0.10</t>
  </si>
  <si>
    <t>C0.11a</t>
  </si>
  <si>
    <t>C0.11b</t>
  </si>
  <si>
    <t>C0.12</t>
  </si>
  <si>
    <t>C0.13</t>
  </si>
  <si>
    <t>C0.14</t>
  </si>
  <si>
    <t>C0.14a</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</si>
  <si>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</si>
  <si>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</si>
  <si>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</si>
  <si>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</si>
  <si>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</si>
  <si>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</si>
  <si>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</si>
  <si>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</si>
  <si>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</si>
  <si>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</si>
  <si>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</si>
  <si>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</si>
  <si>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</si>
  <si>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</si>
  <si>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</si>
  <si>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</si>
  <si>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</si>
  <si>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</si>
  <si>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</si>
  <si>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</si>
  <si>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</si>
  <si>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</si>
  <si>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</si>
  <si>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C1.10</t>
  </si>
  <si>
    <t>C1.11</t>
  </si>
  <si>
    <t>C1.12</t>
  </si>
  <si>
    <t>C1.13</t>
  </si>
  <si>
    <t>C1.14</t>
  </si>
  <si>
    <t>C1.15</t>
  </si>
  <si>
    <t>C1.16</t>
  </si>
  <si>
    <t>C1.17</t>
  </si>
  <si>
    <t>C1.18</t>
  </si>
  <si>
    <t>C1.19</t>
  </si>
  <si>
    <t>C1.20</t>
  </si>
  <si>
    <t>C1.21</t>
  </si>
  <si>
    <t>C1.22</t>
  </si>
  <si>
    <t>C1.23</t>
  </si>
  <si>
    <t>C1.24</t>
  </si>
  <si>
    <t>C1.3b</t>
  </si>
  <si>
    <t>C1.4a</t>
  </si>
  <si>
    <t>C1.4b</t>
  </si>
  <si>
    <t>D0.10</t>
  </si>
  <si>
    <t>D0.12</t>
  </si>
  <si>
    <t>D0.13</t>
  </si>
  <si>
    <t>D0.15</t>
  </si>
  <si>
    <t>D1.10</t>
  </si>
  <si>
    <t>D1.11</t>
  </si>
  <si>
    <t>werkkast</t>
  </si>
  <si>
    <t>1.02A</t>
  </si>
  <si>
    <t>1.09</t>
  </si>
  <si>
    <t>1.14A</t>
  </si>
  <si>
    <t>1.10</t>
  </si>
  <si>
    <t>1.11</t>
  </si>
  <si>
    <t>1.13</t>
  </si>
  <si>
    <t>1.14</t>
  </si>
  <si>
    <t>1.15</t>
  </si>
  <si>
    <t>1.16</t>
  </si>
  <si>
    <t>1.17</t>
  </si>
  <si>
    <t>1.18</t>
  </si>
  <si>
    <t>1.19</t>
  </si>
  <si>
    <t>1.20</t>
  </si>
  <si>
    <t>1.21</t>
  </si>
  <si>
    <t>1.29</t>
  </si>
  <si>
    <t>2.12</t>
  </si>
  <si>
    <t>2.16</t>
  </si>
  <si>
    <t>2.17</t>
  </si>
  <si>
    <t>2.18</t>
  </si>
  <si>
    <t>0.00</t>
  </si>
  <si>
    <t>1.01</t>
  </si>
  <si>
    <t>1.02</t>
  </si>
  <si>
    <t>1.03</t>
  </si>
  <si>
    <t>1.04</t>
  </si>
  <si>
    <t>1.05</t>
  </si>
  <si>
    <t>1.07</t>
  </si>
  <si>
    <t>1.08</t>
  </si>
  <si>
    <t>1.22</t>
  </si>
  <si>
    <t>2.01</t>
  </si>
  <si>
    <t>2.02</t>
  </si>
  <si>
    <t>2.03</t>
  </si>
  <si>
    <t>2.04</t>
  </si>
  <si>
    <t>2.05</t>
  </si>
  <si>
    <t>2.06</t>
  </si>
  <si>
    <t>2.08</t>
  </si>
  <si>
    <t>2.09</t>
  </si>
  <si>
    <t>2.11</t>
  </si>
  <si>
    <t>2.14</t>
  </si>
  <si>
    <t>2.15</t>
  </si>
  <si>
    <t>2.19</t>
  </si>
  <si>
    <t>2.21</t>
  </si>
  <si>
    <t>2.22</t>
  </si>
  <si>
    <t>3.02</t>
  </si>
  <si>
    <t>0.01A</t>
  </si>
  <si>
    <t>0.08A</t>
  </si>
  <si>
    <t>schacht</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</si>
  <si>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</si>
  <si>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</si>
  <si>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</si>
  <si>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</si>
  <si>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</si>
  <si>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</si>
  <si>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</si>
  <si>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</si>
  <si>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</si>
  <si>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</si>
  <si>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</si>
  <si>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</si>
  <si>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</si>
  <si>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</si>
  <si>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</si>
  <si>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</si>
  <si>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</si>
  <si>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</si>
  <si>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</si>
  <si>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</si>
  <si>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</si>
  <si>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</si>
  <si>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</si>
  <si>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</si>
  <si>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</si>
  <si>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</si>
  <si>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</si>
  <si>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</si>
  <si>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</si>
  <si>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</si>
  <si>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</si>
  <si>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</si>
  <si>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</si>
  <si>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</si>
  <si>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</si>
  <si>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</si>
  <si>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</si>
  <si>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</si>
  <si>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</si>
  <si>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</si>
  <si>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</si>
  <si>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</si>
  <si>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</si>
  <si>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</si>
  <si>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</si>
  <si>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</si>
  <si>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</si>
  <si>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</si>
  <si>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</si>
  <si>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</si>
  <si>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</si>
  <si>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</si>
  <si>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</si>
  <si>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B.55</t>
  </si>
  <si>
    <t>B.56</t>
  </si>
  <si>
    <t>B.57</t>
  </si>
  <si>
    <t>B.58</t>
  </si>
  <si>
    <t>B.59</t>
  </si>
  <si>
    <t>B.60</t>
  </si>
  <si>
    <t>B.61</t>
  </si>
  <si>
    <t>B.62</t>
  </si>
  <si>
    <t>B.63</t>
  </si>
  <si>
    <t>B.64</t>
  </si>
  <si>
    <t>B.65</t>
  </si>
  <si>
    <t>B.66</t>
  </si>
  <si>
    <t>B.67</t>
  </si>
  <si>
    <t>B.68</t>
  </si>
  <si>
    <t>B.69</t>
  </si>
  <si>
    <t>B.70</t>
  </si>
  <si>
    <t>B.71</t>
  </si>
  <si>
    <t>B.72</t>
  </si>
  <si>
    <t>na de klapdeur</t>
  </si>
  <si>
    <t>1.06</t>
  </si>
  <si>
    <t>dames-toilet + 1.16</t>
  </si>
  <si>
    <t>1.23</t>
  </si>
  <si>
    <t>1.24</t>
  </si>
  <si>
    <t>1.25</t>
  </si>
  <si>
    <t>1.26</t>
  </si>
  <si>
    <t>kantoor/flex</t>
  </si>
  <si>
    <t>1.27</t>
  </si>
  <si>
    <t>1.30</t>
  </si>
  <si>
    <t>1.31</t>
  </si>
  <si>
    <t>1.35</t>
  </si>
  <si>
    <t>1.36</t>
  </si>
  <si>
    <t>1.37</t>
  </si>
  <si>
    <t>1.38</t>
  </si>
  <si>
    <t>1.39</t>
  </si>
  <si>
    <t>1.40</t>
  </si>
  <si>
    <t>1e</t>
  </si>
  <si>
    <t>2e</t>
  </si>
  <si>
    <t>3e</t>
  </si>
  <si>
    <t>0.27A</t>
  </si>
  <si>
    <t>kleedruimten</t>
  </si>
  <si>
    <t>B</t>
  </si>
  <si>
    <t>A0.2</t>
  </si>
  <si>
    <t>A0.3</t>
  </si>
  <si>
    <t>A0.4</t>
  </si>
  <si>
    <t>A0.5</t>
  </si>
  <si>
    <t>A0.6</t>
  </si>
  <si>
    <t>A0.7</t>
  </si>
  <si>
    <t>administratie</t>
  </si>
  <si>
    <t>repro</t>
  </si>
  <si>
    <t>mediatheek</t>
  </si>
  <si>
    <t>spreekkamer</t>
  </si>
  <si>
    <t>berging</t>
  </si>
  <si>
    <t>toilet docent heren</t>
  </si>
  <si>
    <t>toiletten jongens</t>
  </si>
  <si>
    <t>gemeenschappelijke ruimte</t>
  </si>
  <si>
    <t>vaklokaaltekenen</t>
  </si>
  <si>
    <t>gang (verkeersruimte)</t>
  </si>
  <si>
    <t>groepslokaal1</t>
  </si>
  <si>
    <t>vluchttrappenhuis</t>
  </si>
  <si>
    <t>groepslokaal2</t>
  </si>
  <si>
    <t>zorg coördinator</t>
  </si>
  <si>
    <t>teamleider</t>
  </si>
  <si>
    <t>toiletmeisjes</t>
  </si>
  <si>
    <t>plein (verkeersruimte)</t>
  </si>
  <si>
    <t>toilet docenten</t>
  </si>
  <si>
    <t>groepslokaal3</t>
  </si>
  <si>
    <t>groepslokaal4</t>
  </si>
  <si>
    <t>groepslokaal5</t>
  </si>
  <si>
    <t>groepslokaal6</t>
  </si>
  <si>
    <t>time-out</t>
  </si>
  <si>
    <t>groepslokaal7</t>
  </si>
  <si>
    <t>groepslokaal8</t>
  </si>
  <si>
    <t>maatschappelijkwerker</t>
  </si>
  <si>
    <t>berging keuken</t>
  </si>
  <si>
    <t>vaklokaal handvaardigheid</t>
  </si>
  <si>
    <t>berging handvaardigheid</t>
  </si>
  <si>
    <t>conciërge</t>
  </si>
  <si>
    <t>berging conciërge</t>
  </si>
  <si>
    <t>patchkast</t>
  </si>
  <si>
    <t>vaklokaalmuziek</t>
  </si>
  <si>
    <t>berging muziek</t>
  </si>
  <si>
    <t>reproruimte</t>
  </si>
  <si>
    <t>lerarenpauzekamer</t>
  </si>
  <si>
    <t>toilet docent dames</t>
  </si>
  <si>
    <t>toiletten jongensen docent heren</t>
  </si>
  <si>
    <t>leermiddelenberging</t>
  </si>
  <si>
    <t>afdelingshoofd</t>
  </si>
  <si>
    <t>plein/trap(verkeersruimte)</t>
  </si>
  <si>
    <t>groepslokaal15</t>
  </si>
  <si>
    <t>groepslokaal16</t>
  </si>
  <si>
    <t>groepslokaal17</t>
  </si>
  <si>
    <t>groepslokaal18</t>
  </si>
  <si>
    <t>groepslokaal19</t>
  </si>
  <si>
    <t>groepslokaal9</t>
  </si>
  <si>
    <t>groepslokaal10</t>
  </si>
  <si>
    <t>groepslokaal11</t>
  </si>
  <si>
    <t>berging leermiddelen</t>
  </si>
  <si>
    <t>groepslokaal12</t>
  </si>
  <si>
    <t>groepslokaal13</t>
  </si>
  <si>
    <t>groepslokaal14</t>
  </si>
  <si>
    <t>dojozaal</t>
  </si>
  <si>
    <t>berging dojo</t>
  </si>
  <si>
    <t>fitnesszaal</t>
  </si>
  <si>
    <t>toiletm1</t>
  </si>
  <si>
    <t>kleedkamer j1</t>
  </si>
  <si>
    <t>berging wasmachine/droger</t>
  </si>
  <si>
    <t>toilet j1</t>
  </si>
  <si>
    <t>meterkast gas/water</t>
  </si>
  <si>
    <t>kleedkamer docenten</t>
  </si>
  <si>
    <t>plein/trap (verkeersruimte)</t>
  </si>
  <si>
    <t>toilet heren</t>
  </si>
  <si>
    <t>toilet dames</t>
  </si>
  <si>
    <t>gymzaal</t>
  </si>
  <si>
    <t>toestellenberging</t>
  </si>
  <si>
    <t>motorischetherapiezaal</t>
  </si>
  <si>
    <t>berging motorischetherapie</t>
  </si>
  <si>
    <t>kleedkamer jongens 2</t>
  </si>
  <si>
    <t>douches jongens</t>
  </si>
  <si>
    <t>kleedkamer jongens 3</t>
  </si>
  <si>
    <t>trap (verkeersruimte)</t>
  </si>
  <si>
    <t>Amsterdam</t>
  </si>
  <si>
    <t>Krommenie</t>
  </si>
  <si>
    <t>gang</t>
  </si>
  <si>
    <t>toilet</t>
  </si>
  <si>
    <t>douche</t>
  </si>
  <si>
    <t>sportvloer</t>
  </si>
  <si>
    <t>linoleum</t>
  </si>
  <si>
    <t>steen</t>
  </si>
  <si>
    <t>kantoor</t>
  </si>
  <si>
    <t>entree</t>
  </si>
  <si>
    <t>kantoorruimte</t>
  </si>
  <si>
    <t>praktijklokaal</t>
  </si>
  <si>
    <t>wasruimte</t>
  </si>
  <si>
    <t>sanitaire ruimte</t>
  </si>
  <si>
    <t>verkeersruimte</t>
  </si>
  <si>
    <t>sanitair</t>
  </si>
  <si>
    <t>toilet miva</t>
  </si>
  <si>
    <t>docentenkamer</t>
  </si>
  <si>
    <t>miva</t>
  </si>
  <si>
    <t>personeelskamer</t>
  </si>
  <si>
    <t>kleedruimte</t>
  </si>
  <si>
    <t>toilet meisjes</t>
  </si>
  <si>
    <t>toilet jongens</t>
  </si>
  <si>
    <t>vergaderruimte</t>
  </si>
  <si>
    <t>beton</t>
  </si>
  <si>
    <t>tapijt</t>
  </si>
  <si>
    <t>kantine, restaurant</t>
  </si>
  <si>
    <t>van den Berghlaan 130</t>
  </si>
  <si>
    <t>Tafelbergwerg 23</t>
  </si>
  <si>
    <t>Kortvoort 60</t>
  </si>
  <si>
    <t>Hofgeest 341</t>
  </si>
  <si>
    <t>0.00A</t>
  </si>
  <si>
    <t>0.00B</t>
  </si>
  <si>
    <t>0.03A</t>
  </si>
  <si>
    <t>0.09A</t>
  </si>
  <si>
    <t>0.28A</t>
  </si>
  <si>
    <t>0.28B</t>
  </si>
  <si>
    <t>0.28C</t>
  </si>
  <si>
    <t>0.31A</t>
  </si>
  <si>
    <t>0.31B</t>
  </si>
  <si>
    <t>0.37A</t>
  </si>
  <si>
    <t>1.02B</t>
  </si>
  <si>
    <t>1.28A</t>
  </si>
  <si>
    <t>1.29A</t>
  </si>
  <si>
    <t>1.36A</t>
  </si>
  <si>
    <t>1.39A</t>
  </si>
  <si>
    <t>3.1</t>
  </si>
  <si>
    <t>A1.1</t>
  </si>
  <si>
    <t>B0.1</t>
  </si>
  <si>
    <t>B0.2</t>
  </si>
  <si>
    <t>B0.3</t>
  </si>
  <si>
    <t>B0.4</t>
  </si>
  <si>
    <t>B0.5</t>
  </si>
  <si>
    <t>B0.6</t>
  </si>
  <si>
    <t>B0.8</t>
  </si>
  <si>
    <t>B0.8a</t>
  </si>
  <si>
    <t>B0.9</t>
  </si>
  <si>
    <t>B1.1</t>
  </si>
  <si>
    <t>B1.2</t>
  </si>
  <si>
    <t>B1.3</t>
  </si>
  <si>
    <t>B1.4</t>
  </si>
  <si>
    <t>B1.5</t>
  </si>
  <si>
    <t>B1.6</t>
  </si>
  <si>
    <t>B1.7</t>
  </si>
  <si>
    <t>B1.8</t>
  </si>
  <si>
    <t>B1.9</t>
  </si>
  <si>
    <t>C0.1</t>
  </si>
  <si>
    <t>C0.2</t>
  </si>
  <si>
    <t>C0.3</t>
  </si>
  <si>
    <t>C0.4</t>
  </si>
  <si>
    <t>C0.5</t>
  </si>
  <si>
    <t>C0.6</t>
  </si>
  <si>
    <t>C0.7</t>
  </si>
  <si>
    <t>C0.8</t>
  </si>
  <si>
    <t>C0.9</t>
  </si>
  <si>
    <t>C1.1</t>
  </si>
  <si>
    <t>C1.2</t>
  </si>
  <si>
    <t>C1.3a</t>
  </si>
  <si>
    <t>C1.5</t>
  </si>
  <si>
    <t>C1.6</t>
  </si>
  <si>
    <t>C1.7</t>
  </si>
  <si>
    <t>C1.8</t>
  </si>
  <si>
    <t>C1.9</t>
  </si>
  <si>
    <t>D0.1</t>
  </si>
  <si>
    <t>D0.2</t>
  </si>
  <si>
    <t>D0.3</t>
  </si>
  <si>
    <t>D0.4</t>
  </si>
  <si>
    <t>D0.5</t>
  </si>
  <si>
    <t>D0.6</t>
  </si>
  <si>
    <t>D0.7</t>
  </si>
  <si>
    <t>D0.8</t>
  </si>
  <si>
    <t>D0.9</t>
  </si>
  <si>
    <t>D0.11a</t>
  </si>
  <si>
    <t>D0.11b</t>
  </si>
  <si>
    <t>D1.1</t>
  </si>
  <si>
    <t>D1.2</t>
  </si>
  <si>
    <t>D1.3</t>
  </si>
  <si>
    <t>D1.4</t>
  </si>
  <si>
    <t>D1.5</t>
  </si>
  <si>
    <t>D1.6</t>
  </si>
  <si>
    <t>D1.7</t>
  </si>
  <si>
    <t>D1.8</t>
  </si>
  <si>
    <t>D1.9</t>
  </si>
  <si>
    <t>D2.5</t>
  </si>
  <si>
    <t>D2.1</t>
  </si>
  <si>
    <t>0.48 A</t>
  </si>
  <si>
    <t>meterkast</t>
  </si>
  <si>
    <t>nooduitgang</t>
  </si>
  <si>
    <t>flex/kantoorruimte</t>
  </si>
  <si>
    <t>opslagruimte algemeen</t>
  </si>
  <si>
    <t>opslagruimte</t>
  </si>
  <si>
    <t>invalide toilet</t>
  </si>
  <si>
    <t>heren/dames toilet</t>
  </si>
  <si>
    <t>training/vergaderruimte</t>
  </si>
  <si>
    <t>tussenruimte + repro</t>
  </si>
  <si>
    <t>flexplekken</t>
  </si>
  <si>
    <t>technische ruimte</t>
  </si>
  <si>
    <t>containerberging</t>
  </si>
  <si>
    <t>fietsenstalling / berging</t>
  </si>
  <si>
    <t>fietsenstalling /berging</t>
  </si>
  <si>
    <t>gespreksruimte</t>
  </si>
  <si>
    <t>gang verkeersruimte</t>
  </si>
  <si>
    <t>kantoor/flexruimte</t>
  </si>
  <si>
    <t>loopbrug</t>
  </si>
  <si>
    <t>noodtrappenhuis</t>
  </si>
  <si>
    <t>flexwerkplekken</t>
  </si>
  <si>
    <t>kantine en ontmoetingsruimte</t>
  </si>
  <si>
    <t>medewerkers kluisjes</t>
  </si>
  <si>
    <t>heren-toilet + 1.18</t>
  </si>
  <si>
    <t>heren-toilet</t>
  </si>
  <si>
    <t>kantoor-flex</t>
  </si>
  <si>
    <t>trap/hal</t>
  </si>
  <si>
    <t>ketelhuis</t>
  </si>
  <si>
    <t>bergingen a t/m 1.28 f</t>
  </si>
  <si>
    <t>klaslokaal 5 altra</t>
  </si>
  <si>
    <t>miva toilet altra bascule</t>
  </si>
  <si>
    <t>huiskamer bascule</t>
  </si>
  <si>
    <t>toiletgroep</t>
  </si>
  <si>
    <t>lokaal 1 school2care</t>
  </si>
  <si>
    <t>toiletgroep heren</t>
  </si>
  <si>
    <t>toiletgroep docenten</t>
  </si>
  <si>
    <t>teamkamer</t>
  </si>
  <si>
    <t>cv - ruimte</t>
  </si>
  <si>
    <t>douche-ruimte</t>
  </si>
  <si>
    <t>aula</t>
  </si>
  <si>
    <t>kluisruimte</t>
  </si>
  <si>
    <t>hoofdschakelaar electra</t>
  </si>
  <si>
    <t>locatiemanager</t>
  </si>
  <si>
    <t>kast -berging</t>
  </si>
  <si>
    <t>leslokaal 3</t>
  </si>
  <si>
    <t>leslokaal 2</t>
  </si>
  <si>
    <t>bascule</t>
  </si>
  <si>
    <t>leslokaal 4</t>
  </si>
  <si>
    <t>ruimte  okv</t>
  </si>
  <si>
    <t>ruimte okv</t>
  </si>
  <si>
    <t>technieklokaal</t>
  </si>
  <si>
    <t>kluis</t>
  </si>
  <si>
    <t>binas-lokaal</t>
  </si>
  <si>
    <t>cv-ruimte</t>
  </si>
  <si>
    <t>werkkamer/kantoor</t>
  </si>
  <si>
    <t>ruimte docenten</t>
  </si>
  <si>
    <t>kantoor/berging</t>
  </si>
  <si>
    <t>heren toilet</t>
  </si>
  <si>
    <t>dames toilet</t>
  </si>
  <si>
    <t>team coördinator</t>
  </si>
  <si>
    <t>personeelstoilet</t>
  </si>
  <si>
    <t>hydrofoor</t>
  </si>
  <si>
    <t>patchruimte</t>
  </si>
  <si>
    <t>kast sport</t>
  </si>
  <si>
    <t>docent gym</t>
  </si>
  <si>
    <t>toestellenberging gym</t>
  </si>
  <si>
    <t>motorisch therapielokaal</t>
  </si>
  <si>
    <t>groeps-leslokaal</t>
  </si>
  <si>
    <t>groeps/lokaal</t>
  </si>
  <si>
    <t>groeps/leslokaal</t>
  </si>
  <si>
    <t>personeelstoilet dames</t>
  </si>
  <si>
    <t>personeelstoilet heren</t>
  </si>
  <si>
    <t>kantoor artikelen</t>
  </si>
  <si>
    <t>vaklokaal informatica</t>
  </si>
  <si>
    <t>vaklokaal tekenen</t>
  </si>
  <si>
    <t>les/groepslokaal</t>
  </si>
  <si>
    <t>cv ruimte</t>
  </si>
  <si>
    <t>entree/hal</t>
  </si>
  <si>
    <t>therapieruimte</t>
  </si>
  <si>
    <t>entrehal</t>
  </si>
  <si>
    <t>overloop</t>
  </si>
  <si>
    <t>plein centrale garderobe</t>
  </si>
  <si>
    <t>lerarenkamer</t>
  </si>
  <si>
    <t>centrale garderobe</t>
  </si>
  <si>
    <t>praktijklokaal tekenen</t>
  </si>
  <si>
    <t>groepslokaal</t>
  </si>
  <si>
    <t>plein</t>
  </si>
  <si>
    <t>praktijklokaat ict</t>
  </si>
  <si>
    <t>berging binas</t>
  </si>
  <si>
    <t>vaklokaal binas</t>
  </si>
  <si>
    <t>vaklokaal ict</t>
  </si>
  <si>
    <t>berging ict</t>
  </si>
  <si>
    <t>kleedkamerm1</t>
  </si>
  <si>
    <t>meterkast elektra/ hkl</t>
  </si>
  <si>
    <t>administratie/secretariaat</t>
  </si>
  <si>
    <t>locatie-hoofd</t>
  </si>
  <si>
    <t>internbegeleider/zorgcoördinator</t>
  </si>
  <si>
    <t>gas/electra-ruimte</t>
  </si>
  <si>
    <t>schoonmaakruimte</t>
  </si>
  <si>
    <t>spreekkamer a</t>
  </si>
  <si>
    <t>jongens-wc</t>
  </si>
  <si>
    <t>wiskundelokaal (lokaal 1)</t>
  </si>
  <si>
    <t>nederlands (lokaal 2)</t>
  </si>
  <si>
    <t>spreekkamer b</t>
  </si>
  <si>
    <t>spreekkamer c</t>
  </si>
  <si>
    <t>jongen-wc</t>
  </si>
  <si>
    <t>entree (scholieren) tochtportaal</t>
  </si>
  <si>
    <t>at-lokaal</t>
  </si>
  <si>
    <t>berging at-lokaal</t>
  </si>
  <si>
    <t>mindervalide-wc</t>
  </si>
  <si>
    <t>patch-ruimte</t>
  </si>
  <si>
    <t>dames-heren wc</t>
  </si>
  <si>
    <t>lokaal maatschappijleer</t>
  </si>
  <si>
    <t>lokaal geschiedenis</t>
  </si>
  <si>
    <t>lokaal engels</t>
  </si>
  <si>
    <t>lokaal economie</t>
  </si>
  <si>
    <t>meisjes-wc</t>
  </si>
  <si>
    <t>print/kopieerruimte</t>
  </si>
  <si>
    <t>time-out lokaal</t>
  </si>
  <si>
    <t>aardrijkskunde lokaal 9</t>
  </si>
  <si>
    <t>entree lokaal 10</t>
  </si>
  <si>
    <t>groep 1</t>
  </si>
  <si>
    <t>groep 2</t>
  </si>
  <si>
    <t>groep 3</t>
  </si>
  <si>
    <t>repro/pantry</t>
  </si>
  <si>
    <t>stuc/tegels</t>
  </si>
  <si>
    <t>bgg</t>
  </si>
  <si>
    <t>logopedi incl ruimte 0.05</t>
  </si>
  <si>
    <t>centrale opslagruimte incl werkkast</t>
  </si>
  <si>
    <t>Altra Onderwijs</t>
  </si>
  <si>
    <t>Altra Kantoor</t>
  </si>
  <si>
    <t>Altra College Haarlemmermeer</t>
  </si>
  <si>
    <t>Altra College Bleichrodt</t>
  </si>
  <si>
    <t>Altra College Zuidoost</t>
  </si>
  <si>
    <t>Dr. Willem Dreesweg 8</t>
  </si>
  <si>
    <t>m2 separatie glas (dubbelz.)</t>
  </si>
  <si>
    <t>-/-</t>
  </si>
  <si>
    <t>Keuken</t>
  </si>
  <si>
    <t>slaapkamer</t>
  </si>
  <si>
    <t>entree, gang, hal, repro, kopieer, was/droogruimte</t>
  </si>
  <si>
    <t>m2 spiegels enkelzijdig</t>
  </si>
  <si>
    <t>Kosten per jaar spiegelglas</t>
  </si>
  <si>
    <t>uren per jaar buitenglas</t>
  </si>
  <si>
    <t>uren per jaar binnenglas</t>
  </si>
  <si>
    <t>uren per jaar separatieglas</t>
  </si>
  <si>
    <t>€ per m2 spiegelglas</t>
  </si>
  <si>
    <t>m2 binnenglas</t>
  </si>
  <si>
    <t>2 x per week - 51 weken</t>
  </si>
  <si>
    <t>3 x per week - 51 weken</t>
  </si>
  <si>
    <t>5 x per week - 51 weken</t>
  </si>
  <si>
    <t>Hoge en lage koelkasten</t>
  </si>
  <si>
    <t>Klein model</t>
  </si>
  <si>
    <t>Groot model</t>
  </si>
  <si>
    <t>&lt;5</t>
  </si>
  <si>
    <t>6. - 10</t>
  </si>
  <si>
    <t>11. - 15</t>
  </si>
  <si>
    <t>&gt;15</t>
  </si>
  <si>
    <t>Reiniging bebording benaming Altra</t>
  </si>
  <si>
    <t>Adres</t>
  </si>
  <si>
    <t>m2 bebording</t>
  </si>
  <si>
    <t>uren per jaar bebording</t>
  </si>
  <si>
    <t>Kosten per jaar bebording</t>
  </si>
  <si>
    <t xml:space="preserve"> € per m2 bebording</t>
  </si>
  <si>
    <t>Productienorm</t>
  </si>
  <si>
    <t>m2/p uur buitenglas</t>
  </si>
  <si>
    <t>m2/p uur binnenglas</t>
  </si>
  <si>
    <t>m2/p uur separatieglas</t>
  </si>
  <si>
    <t>m2/p uur spiegelglas</t>
  </si>
  <si>
    <t>m2/p uur bebording</t>
  </si>
  <si>
    <t>Totaal oppervlakte binnen-/ buiten-/ en separatieglas/bebording</t>
  </si>
  <si>
    <t>3 x per week - 40 weken</t>
  </si>
  <si>
    <t>1 x per week - 51 weken</t>
  </si>
  <si>
    <t>1 x per maand</t>
  </si>
  <si>
    <t>op afroep</t>
  </si>
  <si>
    <t>Sp</t>
  </si>
  <si>
    <t>gymzaal (berging)</t>
  </si>
  <si>
    <t>fiitness</t>
  </si>
  <si>
    <t>Calculatie code</t>
  </si>
  <si>
    <t>2 x per week - 45 weken</t>
  </si>
  <si>
    <t>5 x per week - 45 weken</t>
  </si>
  <si>
    <t>8 x per jaar</t>
  </si>
  <si>
    <t>opsllag ruimte</t>
  </si>
  <si>
    <t>opslag ICT</t>
  </si>
  <si>
    <t>Altra Jeugdhulp Hofgeest</t>
  </si>
  <si>
    <t>Altra Jeugdhulp Dr. Willem Dreesweg</t>
  </si>
  <si>
    <t>kengetal 12 weken 3 x per week invoeren in kolom kengetal periodiek</t>
  </si>
  <si>
    <t>2+5%</t>
  </si>
  <si>
    <t>Altra School2care</t>
  </si>
  <si>
    <t>Johan Braakensiekhof 31</t>
  </si>
  <si>
    <t>2 x per week - 40 weken</t>
  </si>
  <si>
    <t>speellokaal</t>
  </si>
  <si>
    <t xml:space="preserve">5 x per week - 40 weken + 3 x per week 11 weken </t>
  </si>
  <si>
    <t>Totaal vloeroppervlak</t>
  </si>
  <si>
    <t>Oplever-staat code</t>
  </si>
  <si>
    <t>Dieptereiniging keuken</t>
  </si>
  <si>
    <t>Prijs in € per M2 in staffelvorm</t>
  </si>
  <si>
    <t>&lt;25</t>
  </si>
  <si>
    <t>&gt;75</t>
  </si>
  <si>
    <t>46-75</t>
  </si>
  <si>
    <t>26-45</t>
  </si>
  <si>
    <t>FREQ. NOTA-TIE</t>
  </si>
  <si>
    <t>keuken (School2Care)</t>
  </si>
  <si>
    <t>5 x per week - 42 weken</t>
  </si>
  <si>
    <t>Dieptereiniging keuken School2Care</t>
  </si>
  <si>
    <t>Volgens programmacode Op Afroep</t>
  </si>
  <si>
    <t>Aantal uren per keer</t>
  </si>
  <si>
    <t>Tarief per uur</t>
  </si>
  <si>
    <t>Zie Bijlage E</t>
  </si>
  <si>
    <t>Volgens programmacode 17.002</t>
  </si>
  <si>
    <t>Buitenterrein</t>
  </si>
  <si>
    <t>Buitenterrein (o.a. fietsenstalling, speelplein, etc.)</t>
  </si>
  <si>
    <t>Verwijderen van zwerfvuil en asbakken legen</t>
  </si>
  <si>
    <t>Vegen</t>
  </si>
  <si>
    <t>&gt;501 m2</t>
  </si>
  <si>
    <t>In- en extern stof- en vlekvrij maken</t>
  </si>
  <si>
    <t>Toetsenbord en muis</t>
  </si>
  <si>
    <t>Uitwendig reinigen</t>
  </si>
  <si>
    <t>Alleen vloeronderhoud</t>
  </si>
  <si>
    <t>Alleen gegevens invoeren van locaties die behoren bij dit perceel</t>
  </si>
  <si>
    <t>180417 V2</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</si>
</sst>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3" formatCode="_(* #,##0.00_);_(* \(#,##0.00\);_(* &quot;-&quot;??_);_(@_)"/>
    <numFmt numFmtId="164" formatCode="_-* #,##0_-;_-* #,##0\-;_-* &quot;-&quot;_-;_-@_-"/>
    <numFmt numFmtId="165" formatCode="_-* #,##0.00_-;_-* #,##0.00\-;_-* &quot;-&quot;??_-;_-@_-"/>
    <numFmt numFmtId="166" formatCode="_(&quot;€&quot;* #,##0.00_);_(&quot;€&quot;* \(#,##0.00\);_(&quot;€&quot;* &quot;-&quot;??_);_(@_)"/>
    <numFmt numFmtId="167" formatCode="_(&quot;ƒ&quot;* #,##0.00_);_(&quot;ƒ&quot;* \(#,##0.00\);_(&quot;ƒ&quot;* &quot;-&quot;??_);_(@_)"/>
    <numFmt numFmtId="168" formatCode="_-* #,##0.00_-;\-* #,##0.00_-;_-* &quot;-&quot;??_-;_-@_-"/>
    <numFmt numFmtId="169" formatCode="&quot;Fl.&quot;#,##0;\-&quot;Fl.&quot;#,##0"/>
    <numFmt numFmtId="170" formatCode="&quot;Fl.&quot;#,##0;[Red]\-&quot;Fl.&quot;#,##0"/>
    <numFmt numFmtId="171" formatCode="_-&quot;ƒ&quot;\ * #,##0.00_-;_-&quot;ƒ&quot;\ * #,##0.00\-;_-&quot;ƒ&quot;\ * &quot;-&quot;??_-;_-@_-"/>
    <numFmt numFmtId="172" formatCode="0_)"/>
    <numFmt numFmtId="173" formatCode="General_)"/>
    <numFmt numFmtId="174" formatCode="0.00_)"/>
    <numFmt numFmtId="175" formatCode="0.000"/>
    <numFmt numFmtId="176" formatCode="_-* #,##0_-;_-* #,##0\-;_-* &quot;-&quot;??_-;_-@_-"/>
    <numFmt numFmtId="177" formatCode="00,000"/>
    <numFmt numFmtId="178" formatCode="0.0%"/>
    <numFmt numFmtId="179" formatCode="0.0"/>
    <numFmt numFmtId="180" formatCode="#,##0.0"/>
    <numFmt numFmtId="181" formatCode="_-* #,##0.000_-;_-* #,##0.000\-;_-* &quot;-&quot;??_-;_-@_-"/>
    <numFmt numFmtId="182" formatCode="0.000%"/>
    <numFmt numFmtId="183" formatCode="_-[$€-2]\ * #,##0.00_ ;_-[$€-2]\ * \-#,##0.00\ ;_-[$€-2]\ * &quot;-&quot;??_ ;_-@_ "/>
    <numFmt numFmtId="184" formatCode="_([$€-2]\ * #,##0.00_);_([$€-2]\ * \(#,##0.00\);_([$€-2]\ * &quot;-&quot;??_);_(@_)"/>
    <numFmt numFmtId="185" formatCode="#,000"/>
    <numFmt numFmtId="186" formatCode="_-[$€-2]\ * #,##0.00_-;_-[$€-2]\ * #,##0.00\-;_-[$€-2]\ * &quot;-&quot;??_-;_-@_-"/>
    <numFmt numFmtId="187" formatCode="mm/dd/yyyy"/>
    <numFmt numFmtId="188" formatCode="[$-413]d\-mmm\-yy;@"/>
    <numFmt numFmtId="189" formatCode="0.0000000%"/>
    <numFmt numFmtId="190" formatCode="0\ &quot;x per jaar&quot;"/>
    <numFmt numFmtId="191" formatCode="_-[$€-413]\ * #,##0.00_-;_-[$€-413]\ * #,##0.00\-;_-[$€-413]\ * &quot;-&quot;??_-;_-@_-"/>
    <numFmt numFmtId="192" formatCode="[$-413]d/mmm/yy;@"/>
    <numFmt numFmtId="193" formatCode="_(* #,##0.00000_);_(* \(#,##0.00000\);_(* &quot;-&quot;??_);_(@_)"/>
    <numFmt numFmtId="194" formatCode="dd/mmmm/yyyy"/>
  </numFmts>
  <fonts count="99" x14ac:knownFonts="1">
    <font>
      <sz val="10"/>
      <name val="MS Sans Serif"/>
    </font>
    <font>
      <sz val="10"/>
      <color theme="1"/>
      <name val="Verdana"/>
      <family val="2"/>
      <charset val="129"/>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ont>
    <font>
      <u/>
      <sz val="10"/>
      <color theme="11"/>
      <name val="MS Sans Serif"/>
    </font>
    <font>
      <b/>
      <sz val="10"/>
      <color rgb="FFFF0000"/>
      <name val="MS Sans Serif"/>
    </font>
    <font>
      <sz val="10"/>
      <color rgb="FFFF0000"/>
      <name val="Verdana"/>
    </font>
    <font>
      <sz val="10"/>
      <color rgb="FF000000"/>
      <name val="Verdana"/>
      <family val="2"/>
    </font>
    <font>
      <sz val="10"/>
      <color rgb="FF222222"/>
      <name val="Verdana"/>
    </font>
    <font>
      <b/>
      <sz val="10"/>
      <color indexed="81"/>
      <name val="Verdana"/>
    </font>
    <font>
      <b/>
      <sz val="9"/>
      <color indexed="81"/>
      <name val="Verdana"/>
    </font>
    <font>
      <sz val="9"/>
      <color indexed="81"/>
      <name val="Verdana"/>
    </font>
    <font>
      <sz val="10"/>
      <color indexed="81"/>
      <name val="Verdana"/>
    </font>
  </fonts>
  <fills count="22">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ABF8F"/>
        <bgColor rgb="FF000000"/>
      </patternFill>
    </fill>
    <fill>
      <patternFill patternType="solid">
        <fgColor rgb="FF008000"/>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style="thin">
        <color indexed="55"/>
      </right>
      <top style="thin">
        <color indexed="55"/>
      </top>
      <bottom/>
      <diagonal/>
    </border>
    <border>
      <left style="thin">
        <color theme="0" tint="-0.499984740745262"/>
      </left>
      <right style="thin">
        <color theme="0" tint="-0.499984740745262"/>
      </right>
      <top style="thin">
        <color theme="0" tint="-0.499984740745262"/>
      </top>
      <bottom/>
      <diagonal/>
    </border>
    <border>
      <left/>
      <right/>
      <top style="thin">
        <color auto="1"/>
      </top>
      <bottom/>
      <diagonal/>
    </border>
  </borders>
  <cellStyleXfs count="4030">
    <xf numFmtId="0" fontId="0" fillId="0" borderId="0"/>
    <xf numFmtId="0" fontId="46" fillId="3" borderId="1" applyNumberFormat="0" applyAlignment="0" applyProtection="0"/>
    <xf numFmtId="43" fontId="12" fillId="0" borderId="0" applyFont="0" applyFill="0" applyBorder="0" applyAlignment="0" applyProtection="0"/>
    <xf numFmtId="168"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9" fillId="0" borderId="0" applyFont="0" applyFill="0" applyBorder="0" applyAlignment="0" applyProtection="0"/>
    <xf numFmtId="170" fontId="21" fillId="0" borderId="0"/>
    <xf numFmtId="0" fontId="47" fillId="0" borderId="2" applyNumberFormat="0" applyFill="0" applyAlignment="0" applyProtection="0"/>
    <xf numFmtId="0" fontId="48" fillId="2" borderId="0" applyNumberFormat="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49" fillId="6" borderId="0"/>
    <xf numFmtId="165" fontId="50" fillId="0" borderId="0">
      <alignment horizontal="center" vertical="center" textRotation="90" wrapText="1"/>
    </xf>
    <xf numFmtId="0" fontId="51" fillId="5" borderId="4"/>
    <xf numFmtId="169" fontId="21" fillId="0" borderId="0"/>
    <xf numFmtId="0" fontId="52" fillId="4" borderId="0" applyNumberFormat="0" applyBorder="0" applyAlignment="0" applyProtection="0"/>
    <xf numFmtId="0" fontId="12" fillId="0" borderId="0"/>
    <xf numFmtId="0" fontId="24" fillId="0" borderId="0"/>
    <xf numFmtId="0" fontId="18" fillId="0" borderId="0"/>
    <xf numFmtId="0" fontId="13" fillId="0" borderId="0"/>
    <xf numFmtId="0" fontId="12" fillId="0" borderId="0"/>
    <xf numFmtId="0" fontId="11" fillId="0" borderId="0"/>
    <xf numFmtId="0" fontId="21" fillId="0" borderId="0"/>
    <xf numFmtId="0" fontId="19" fillId="0" borderId="0"/>
    <xf numFmtId="0" fontId="11" fillId="0" borderId="0"/>
    <xf numFmtId="0" fontId="14" fillId="0" borderId="0"/>
    <xf numFmtId="0" fontId="21" fillId="0" borderId="0"/>
    <xf numFmtId="0" fontId="12" fillId="0" borderId="0"/>
    <xf numFmtId="0" fontId="12" fillId="0" borderId="0"/>
    <xf numFmtId="0" fontId="15" fillId="0" borderId="0"/>
    <xf numFmtId="9" fontId="11" fillId="0" borderId="0" applyFont="0" applyFill="0" applyBorder="0" applyAlignment="0" applyProtection="0"/>
    <xf numFmtId="0" fontId="51" fillId="7" borderId="5" applyNumberFormat="0" applyFont="0" applyBorder="0">
      <alignment horizontal="center"/>
    </xf>
    <xf numFmtId="0" fontId="12" fillId="0" borderId="0"/>
    <xf numFmtId="0" fontId="53" fillId="0" borderId="0" applyNumberFormat="0" applyFill="0" applyBorder="0" applyAlignment="0" applyProtection="0"/>
    <xf numFmtId="0" fontId="54" fillId="0" borderId="6" applyNumberFormat="0" applyFill="0" applyAlignment="0" applyProtection="0"/>
    <xf numFmtId="171" fontId="11" fillId="0" borderId="0" applyFont="0" applyFill="0" applyBorder="0" applyAlignment="0" applyProtection="0"/>
    <xf numFmtId="0" fontId="55"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cellStyleXfs>
  <cellXfs count="857">
    <xf numFmtId="0" fontId="0" fillId="0" borderId="0" xfId="0"/>
    <xf numFmtId="0" fontId="21" fillId="0" borderId="0" xfId="0" applyFont="1"/>
    <xf numFmtId="0" fontId="21" fillId="0" borderId="0" xfId="28" applyFont="1" applyFill="1" applyProtection="1">
      <protection hidden="1"/>
    </xf>
    <xf numFmtId="182" fontId="21" fillId="0" borderId="0" xfId="20" applyNumberFormat="1" applyFont="1" applyFill="1" applyBorder="1" applyAlignment="1" applyProtection="1">
      <alignment vertical="center"/>
      <protection hidden="1"/>
    </xf>
    <xf numFmtId="182" fontId="21" fillId="0" borderId="0" xfId="31" applyNumberFormat="1" applyFont="1" applyFill="1" applyBorder="1" applyAlignment="1" applyProtection="1">
      <alignment vertical="center"/>
      <protection locked="0"/>
    </xf>
    <xf numFmtId="0" fontId="21" fillId="0" borderId="0" xfId="28" applyFont="1" applyFill="1" applyBorder="1" applyAlignment="1" applyProtection="1">
      <alignment vertical="center"/>
      <protection hidden="1"/>
    </xf>
    <xf numFmtId="0" fontId="24" fillId="0" borderId="0" xfId="28" applyFont="1" applyFill="1" applyBorder="1" applyAlignment="1" applyProtection="1">
      <alignment vertical="center"/>
      <protection hidden="1"/>
    </xf>
    <xf numFmtId="179" fontId="24" fillId="0" borderId="0" xfId="28" applyNumberFormat="1" applyFont="1" applyFill="1" applyBorder="1" applyAlignment="1" applyProtection="1">
      <alignment vertical="center"/>
      <protection hidden="1"/>
    </xf>
    <xf numFmtId="179" fontId="26" fillId="0" borderId="0" xfId="28" applyNumberFormat="1" applyFont="1" applyFill="1" applyBorder="1" applyAlignment="1" applyProtection="1">
      <alignment vertical="center"/>
      <protection hidden="1"/>
    </xf>
    <xf numFmtId="179" fontId="21" fillId="0" borderId="0" xfId="28" applyNumberFormat="1" applyFont="1" applyFill="1" applyBorder="1" applyAlignment="1" applyProtection="1">
      <alignment vertical="center"/>
      <protection hidden="1"/>
    </xf>
    <xf numFmtId="0" fontId="21" fillId="0" borderId="0" xfId="0" applyFont="1" applyFill="1" applyBorder="1" applyAlignment="1">
      <alignment vertical="center"/>
    </xf>
    <xf numFmtId="0" fontId="21" fillId="0" borderId="0" xfId="28" applyFont="1" applyFill="1" applyBorder="1" applyProtection="1">
      <protection hidden="1"/>
    </xf>
    <xf numFmtId="0" fontId="28" fillId="0" borderId="0" xfId="28" applyFont="1" applyFill="1" applyBorder="1" applyAlignment="1" applyProtection="1">
      <alignment horizontal="right" vertical="center"/>
      <protection hidden="1"/>
    </xf>
    <xf numFmtId="0" fontId="28" fillId="0" borderId="0" xfId="28" applyFont="1" applyFill="1" applyBorder="1" applyAlignment="1" applyProtection="1">
      <alignment horizontal="center" vertical="center"/>
      <protection hidden="1"/>
    </xf>
    <xf numFmtId="179" fontId="24" fillId="0" borderId="0" xfId="28" applyNumberFormat="1" applyFont="1" applyFill="1" applyBorder="1" applyAlignment="1" applyProtection="1">
      <alignment vertical="center"/>
      <protection locked="0"/>
    </xf>
    <xf numFmtId="2" fontId="21" fillId="0" borderId="0" xfId="20" applyNumberFormat="1" applyFont="1" applyFill="1" applyBorder="1" applyProtection="1">
      <protection hidden="1"/>
    </xf>
    <xf numFmtId="0" fontId="25" fillId="0" borderId="0" xfId="28" applyFont="1" applyFill="1" applyBorder="1" applyAlignment="1" applyProtection="1">
      <alignment horizontal="left" vertical="center"/>
      <protection hidden="1"/>
    </xf>
    <xf numFmtId="2" fontId="21" fillId="0" borderId="0" xfId="0" applyNumberFormat="1" applyFont="1" applyFill="1" applyBorder="1" applyAlignment="1">
      <alignment vertical="center"/>
    </xf>
    <xf numFmtId="2" fontId="27" fillId="0" borderId="0" xfId="20" applyNumberFormat="1" applyFont="1" applyFill="1" applyBorder="1" applyProtection="1">
      <protection hidden="1"/>
    </xf>
    <xf numFmtId="0" fontId="27" fillId="0" borderId="0" xfId="0" applyFont="1" applyFill="1" applyBorder="1"/>
    <xf numFmtId="9" fontId="22" fillId="0" borderId="0" xfId="20" applyNumberFormat="1" applyFont="1" applyFill="1" applyBorder="1" applyAlignment="1" applyProtection="1">
      <alignment horizontal="center" vertical="center"/>
      <protection hidden="1"/>
    </xf>
    <xf numFmtId="182" fontId="22" fillId="0" borderId="0" xfId="20" applyNumberFormat="1" applyFont="1" applyFill="1" applyBorder="1" applyAlignment="1" applyProtection="1">
      <alignment vertical="center"/>
      <protection hidden="1"/>
    </xf>
    <xf numFmtId="0" fontId="31" fillId="0" borderId="0" xfId="28" applyFont="1" applyFill="1" applyBorder="1" applyAlignment="1" applyProtection="1">
      <alignment horizontal="left" vertical="center"/>
      <protection hidden="1"/>
    </xf>
    <xf numFmtId="2" fontId="24" fillId="0" borderId="0" xfId="28" applyNumberFormat="1" applyFont="1" applyFill="1" applyBorder="1" applyAlignment="1" applyProtection="1">
      <alignment horizontal="right" vertical="center"/>
      <protection hidden="1"/>
    </xf>
    <xf numFmtId="0" fontId="29" fillId="0" borderId="0" xfId="28" applyFont="1" applyFill="1" applyBorder="1" applyAlignment="1" applyProtection="1">
      <alignment vertical="center"/>
      <protection hidden="1"/>
    </xf>
    <xf numFmtId="10" fontId="24" fillId="0" borderId="0" xfId="31" applyNumberFormat="1" applyFont="1" applyFill="1" applyBorder="1" applyAlignment="1" applyProtection="1">
      <alignment vertical="center"/>
      <protection hidden="1"/>
    </xf>
    <xf numFmtId="0" fontId="35" fillId="0" borderId="0" xfId="21" applyFont="1" applyFill="1" applyBorder="1" applyAlignment="1"/>
    <xf numFmtId="0" fontId="36" fillId="0" borderId="0" xfId="21" applyFont="1" applyFill="1" applyAlignment="1"/>
    <xf numFmtId="49" fontId="36" fillId="0" borderId="0" xfId="17" applyNumberFormat="1" applyFont="1" applyFill="1" applyBorder="1" applyAlignment="1" applyProtection="1">
      <alignment horizontal="left" vertical="top"/>
      <protection hidden="1"/>
    </xf>
    <xf numFmtId="49" fontId="37" fillId="0" borderId="0" xfId="21" applyNumberFormat="1" applyFont="1" applyFill="1" applyBorder="1" applyAlignment="1"/>
    <xf numFmtId="2" fontId="38" fillId="0" borderId="0" xfId="21" applyNumberFormat="1" applyFont="1" applyFill="1" applyBorder="1" applyAlignment="1"/>
    <xf numFmtId="2" fontId="38" fillId="0" borderId="0" xfId="21" applyNumberFormat="1" applyFont="1" applyFill="1" applyAlignment="1"/>
    <xf numFmtId="2" fontId="37" fillId="0" borderId="0" xfId="21" applyNumberFormat="1" applyFont="1" applyFill="1" applyAlignment="1"/>
    <xf numFmtId="0" fontId="38" fillId="0" borderId="0" xfId="21" applyFont="1" applyFill="1" applyAlignment="1"/>
    <xf numFmtId="184" fontId="35" fillId="0" borderId="0" xfId="21" applyNumberFormat="1" applyFont="1" applyFill="1" applyBorder="1" applyAlignment="1">
      <alignment horizontal="left"/>
    </xf>
    <xf numFmtId="49" fontId="36" fillId="0" borderId="0" xfId="21" applyNumberFormat="1" applyFont="1" applyFill="1" applyBorder="1" applyAlignment="1"/>
    <xf numFmtId="0" fontId="36" fillId="0" borderId="0" xfId="21" applyFont="1" applyFill="1" applyAlignment="1">
      <alignment horizontal="center"/>
    </xf>
    <xf numFmtId="176" fontId="36" fillId="0" borderId="0" xfId="17" applyNumberFormat="1" applyFont="1" applyFill="1" applyBorder="1" applyAlignment="1" applyProtection="1">
      <alignment horizontal="left" vertical="top"/>
      <protection hidden="1"/>
    </xf>
    <xf numFmtId="49" fontId="36" fillId="0" borderId="0" xfId="17" applyNumberFormat="1" applyFont="1" applyFill="1" applyBorder="1" applyAlignment="1" applyProtection="1">
      <alignment horizontal="left"/>
      <protection hidden="1"/>
    </xf>
    <xf numFmtId="43" fontId="36" fillId="0" borderId="0" xfId="2" applyFont="1" applyFill="1" applyAlignment="1"/>
    <xf numFmtId="1" fontId="36" fillId="0" borderId="0" xfId="2" applyNumberFormat="1" applyFont="1" applyFill="1" applyAlignment="1">
      <alignment horizontal="center"/>
    </xf>
    <xf numFmtId="183" fontId="36" fillId="0" borderId="0" xfId="5" applyNumberFormat="1" applyFont="1" applyFill="1" applyAlignment="1"/>
    <xf numFmtId="183" fontId="36" fillId="0" borderId="0" xfId="5" applyNumberFormat="1" applyFont="1" applyFill="1" applyAlignment="1">
      <alignment horizontal="right"/>
    </xf>
    <xf numFmtId="43" fontId="36" fillId="0" borderId="0" xfId="21" applyNumberFormat="1" applyFont="1" applyFill="1" applyAlignment="1"/>
    <xf numFmtId="43" fontId="36" fillId="0" borderId="7" xfId="2" applyFont="1" applyFill="1" applyBorder="1" applyAlignment="1"/>
    <xf numFmtId="183" fontId="36" fillId="0" borderId="7" xfId="5" applyNumberFormat="1" applyFont="1" applyFill="1" applyBorder="1" applyAlignment="1">
      <alignment horizontal="right"/>
    </xf>
    <xf numFmtId="49" fontId="35" fillId="0" borderId="0" xfId="17" applyNumberFormat="1" applyFont="1" applyFill="1" applyBorder="1" applyAlignment="1" applyProtection="1">
      <alignment horizontal="left"/>
      <protection hidden="1"/>
    </xf>
    <xf numFmtId="178" fontId="35" fillId="0" borderId="0" xfId="17" applyNumberFormat="1" applyFont="1" applyFill="1" applyBorder="1" applyAlignment="1" applyProtection="1">
      <alignment horizontal="center"/>
      <protection hidden="1"/>
    </xf>
    <xf numFmtId="43" fontId="35" fillId="0" borderId="0" xfId="2" applyFont="1" applyFill="1" applyBorder="1" applyAlignment="1" applyProtection="1">
      <alignment horizontal="left"/>
      <protection hidden="1"/>
    </xf>
    <xf numFmtId="0" fontId="35" fillId="0" borderId="0" xfId="17" applyNumberFormat="1" applyFont="1" applyFill="1" applyBorder="1" applyAlignment="1" applyProtection="1">
      <alignment horizontal="left"/>
      <protection hidden="1"/>
    </xf>
    <xf numFmtId="183" fontId="35" fillId="0" borderId="0" xfId="17" applyNumberFormat="1" applyFont="1" applyFill="1" applyBorder="1" applyAlignment="1" applyProtection="1">
      <alignment horizontal="left"/>
      <protection hidden="1"/>
    </xf>
    <xf numFmtId="0" fontId="36" fillId="0" borderId="0" xfId="17" applyFont="1" applyFill="1" applyBorder="1" applyAlignment="1" applyProtection="1">
      <alignment horizontal="left"/>
      <protection hidden="1"/>
    </xf>
    <xf numFmtId="178" fontId="35" fillId="0" borderId="0" xfId="31" applyNumberFormat="1" applyFont="1" applyFill="1" applyBorder="1" applyAlignment="1" applyProtection="1">
      <alignment horizontal="center"/>
      <protection hidden="1"/>
    </xf>
    <xf numFmtId="184" fontId="36" fillId="0" borderId="0" xfId="21" applyNumberFormat="1" applyFont="1" applyFill="1" applyAlignment="1"/>
    <xf numFmtId="43" fontId="36" fillId="0" borderId="0" xfId="2" applyFont="1" applyFill="1" applyAlignment="1">
      <alignment horizontal="center"/>
    </xf>
    <xf numFmtId="0" fontId="36" fillId="0" borderId="0" xfId="17" applyNumberFormat="1" applyFont="1" applyFill="1" applyBorder="1" applyAlignment="1" applyProtection="1">
      <alignment horizontal="center"/>
      <protection hidden="1"/>
    </xf>
    <xf numFmtId="49" fontId="35" fillId="0" borderId="0" xfId="21" applyNumberFormat="1" applyFont="1" applyFill="1" applyBorder="1" applyAlignment="1"/>
    <xf numFmtId="0" fontId="36" fillId="0" borderId="0" xfId="21" applyFont="1" applyFill="1" applyAlignment="1">
      <alignment horizontal="right"/>
    </xf>
    <xf numFmtId="184" fontId="35" fillId="0" borderId="0" xfId="17" applyNumberFormat="1" applyFont="1" applyFill="1" applyBorder="1" applyAlignment="1" applyProtection="1">
      <alignment horizontal="left"/>
      <protection hidden="1"/>
    </xf>
    <xf numFmtId="10" fontId="36" fillId="0" borderId="0" xfId="21" applyNumberFormat="1" applyFont="1" applyFill="1" applyAlignment="1">
      <alignment horizontal="right"/>
    </xf>
    <xf numFmtId="0" fontId="36" fillId="0" borderId="0" xfId="0" applyFont="1"/>
    <xf numFmtId="0" fontId="36" fillId="0" borderId="0" xfId="0" applyFont="1" applyAlignment="1">
      <alignment vertical="center"/>
    </xf>
    <xf numFmtId="0" fontId="36" fillId="0" borderId="0" xfId="21" applyFont="1" applyFill="1" applyAlignment="1">
      <alignment vertical="center"/>
    </xf>
    <xf numFmtId="1" fontId="36" fillId="0" borderId="0" xfId="33" applyNumberFormat="1" applyFont="1" applyAlignment="1">
      <alignment horizontal="center"/>
    </xf>
    <xf numFmtId="165" fontId="36" fillId="0" borderId="0" xfId="10" applyFont="1" applyAlignment="1">
      <alignment horizontal="left"/>
    </xf>
    <xf numFmtId="175" fontId="36" fillId="0" borderId="0" xfId="33" applyNumberFormat="1" applyFont="1" applyAlignment="1">
      <alignment horizontal="center"/>
    </xf>
    <xf numFmtId="3" fontId="36" fillId="0" borderId="0" xfId="33" applyNumberFormat="1" applyFont="1" applyAlignment="1">
      <alignment horizontal="right"/>
    </xf>
    <xf numFmtId="3" fontId="36" fillId="0" borderId="0" xfId="10" applyNumberFormat="1" applyFont="1" applyAlignment="1">
      <alignment horizontal="right"/>
    </xf>
    <xf numFmtId="165" fontId="36" fillId="0" borderId="0" xfId="10" applyFont="1" applyAlignment="1">
      <alignment horizontal="right"/>
    </xf>
    <xf numFmtId="165" fontId="36" fillId="0" borderId="0" xfId="10" applyFont="1" applyAlignment="1">
      <alignment horizontal="center"/>
    </xf>
    <xf numFmtId="0" fontId="36" fillId="0" borderId="0" xfId="33" applyFont="1" applyAlignment="1">
      <alignment horizontal="center"/>
    </xf>
    <xf numFmtId="0" fontId="36" fillId="0" borderId="0" xfId="33" applyFont="1"/>
    <xf numFmtId="2" fontId="37" fillId="0" borderId="0" xfId="21" applyNumberFormat="1" applyFont="1" applyFill="1" applyBorder="1" applyAlignment="1"/>
    <xf numFmtId="175" fontId="38" fillId="0" borderId="0" xfId="21" applyNumberFormat="1" applyFont="1" applyFill="1" applyAlignment="1"/>
    <xf numFmtId="3" fontId="38" fillId="0" borderId="0" xfId="21" applyNumberFormat="1" applyFont="1" applyFill="1" applyAlignment="1">
      <alignment horizontal="right"/>
    </xf>
    <xf numFmtId="0" fontId="38" fillId="0" borderId="0" xfId="21" applyFont="1" applyFill="1" applyAlignment="1">
      <alignment horizontal="right"/>
    </xf>
    <xf numFmtId="2" fontId="38" fillId="0" borderId="0" xfId="21" applyNumberFormat="1" applyFont="1" applyFill="1" applyBorder="1" applyAlignment="1">
      <alignment horizontal="left" vertical="top"/>
    </xf>
    <xf numFmtId="0" fontId="40" fillId="0" borderId="0" xfId="0" applyFont="1" applyAlignment="1">
      <alignment vertical="top"/>
    </xf>
    <xf numFmtId="0" fontId="36" fillId="0" borderId="0" xfId="33" applyFont="1" applyFill="1" applyAlignment="1">
      <alignment horizontal="center"/>
    </xf>
    <xf numFmtId="2" fontId="36" fillId="0" borderId="0" xfId="33" applyNumberFormat="1" applyFont="1" applyAlignment="1">
      <alignment horizontal="center"/>
    </xf>
    <xf numFmtId="2" fontId="36" fillId="0" borderId="0" xfId="10" applyNumberFormat="1" applyFont="1" applyAlignment="1">
      <alignment horizontal="left"/>
    </xf>
    <xf numFmtId="3" fontId="36" fillId="0" borderId="0" xfId="10" applyNumberFormat="1" applyFont="1" applyFill="1" applyAlignment="1">
      <alignment horizontal="right"/>
    </xf>
    <xf numFmtId="165" fontId="36" fillId="0" borderId="0" xfId="10" applyFont="1" applyFill="1" applyAlignment="1">
      <alignment horizontal="right"/>
    </xf>
    <xf numFmtId="1" fontId="36" fillId="0" borderId="0" xfId="33" applyNumberFormat="1" applyFont="1" applyFill="1" applyAlignment="1">
      <alignment horizontal="center"/>
    </xf>
    <xf numFmtId="165" fontId="36" fillId="0" borderId="0" xfId="10" applyFont="1" applyFill="1" applyAlignment="1">
      <alignment horizontal="left"/>
    </xf>
    <xf numFmtId="165" fontId="36" fillId="0" borderId="0" xfId="10" applyFont="1" applyFill="1" applyAlignment="1">
      <alignment horizontal="center"/>
    </xf>
    <xf numFmtId="175" fontId="36" fillId="0" borderId="0" xfId="33" applyNumberFormat="1" applyFont="1" applyFill="1" applyAlignment="1">
      <alignment horizontal="center"/>
    </xf>
    <xf numFmtId="3" fontId="36" fillId="0" borderId="0" xfId="33" applyNumberFormat="1" applyFont="1" applyFill="1" applyAlignment="1">
      <alignment horizontal="right"/>
    </xf>
    <xf numFmtId="0" fontId="36" fillId="0" borderId="0" xfId="33" applyFont="1" applyFill="1"/>
    <xf numFmtId="0" fontId="36" fillId="0" borderId="0" xfId="0" applyFont="1" applyFill="1"/>
    <xf numFmtId="0" fontId="35" fillId="0" borderId="0" xfId="0" applyFont="1" applyFill="1" applyAlignment="1"/>
    <xf numFmtId="0" fontId="36" fillId="0" borderId="0" xfId="0" applyFont="1" applyFill="1" applyAlignment="1"/>
    <xf numFmtId="0" fontId="36" fillId="8" borderId="0" xfId="0" applyFont="1" applyFill="1" applyAlignment="1">
      <alignment horizontal="center"/>
    </xf>
    <xf numFmtId="0" fontId="35" fillId="0" borderId="0" xfId="0" applyFont="1"/>
    <xf numFmtId="0" fontId="36" fillId="0" borderId="0" xfId="0" applyFont="1" applyAlignment="1">
      <alignment horizontal="center"/>
    </xf>
    <xf numFmtId="0" fontId="36" fillId="0" borderId="0" xfId="0" applyNumberFormat="1" applyFont="1" applyAlignment="1">
      <alignment horizontal="center"/>
    </xf>
    <xf numFmtId="0" fontId="36" fillId="0" borderId="0" xfId="0" applyNumberFormat="1" applyFont="1" applyAlignment="1"/>
    <xf numFmtId="180" fontId="36" fillId="0" borderId="0" xfId="0" applyNumberFormat="1" applyFont="1" applyAlignment="1">
      <alignment horizontal="right"/>
    </xf>
    <xf numFmtId="177" fontId="36" fillId="0" borderId="0" xfId="0" applyNumberFormat="1" applyFont="1" applyFill="1" applyAlignment="1">
      <alignment horizontal="center"/>
    </xf>
    <xf numFmtId="165" fontId="36" fillId="0" borderId="0" xfId="10" applyFont="1"/>
    <xf numFmtId="1" fontId="36" fillId="0" borderId="0" xfId="0" applyNumberFormat="1" applyFont="1" applyFill="1"/>
    <xf numFmtId="0" fontId="41" fillId="0" borderId="0" xfId="0" applyFont="1"/>
    <xf numFmtId="2" fontId="35" fillId="0" borderId="0" xfId="0" applyNumberFormat="1" applyFont="1"/>
    <xf numFmtId="2" fontId="35" fillId="0" borderId="0" xfId="0" applyNumberFormat="1" applyFont="1" applyAlignment="1">
      <alignment horizontal="center"/>
    </xf>
    <xf numFmtId="0" fontId="35" fillId="0" borderId="0" xfId="0" applyNumberFormat="1" applyFont="1" applyAlignment="1">
      <alignment horizontal="center"/>
    </xf>
    <xf numFmtId="0" fontId="35" fillId="0" borderId="0" xfId="0" applyNumberFormat="1" applyFont="1" applyAlignment="1"/>
    <xf numFmtId="180" fontId="35" fillId="0" borderId="0" xfId="0" applyNumberFormat="1" applyFont="1" applyAlignment="1">
      <alignment horizontal="right"/>
    </xf>
    <xf numFmtId="177" fontId="35" fillId="0" borderId="0" xfId="0" applyNumberFormat="1" applyFont="1" applyFill="1" applyAlignment="1">
      <alignment horizontal="center"/>
    </xf>
    <xf numFmtId="165" fontId="35" fillId="0" borderId="0" xfId="10" applyFont="1"/>
    <xf numFmtId="2" fontId="35" fillId="0" borderId="0" xfId="0" applyNumberFormat="1" applyFont="1" applyFill="1"/>
    <xf numFmtId="0" fontId="42" fillId="0" borderId="0" xfId="0" applyFont="1"/>
    <xf numFmtId="2" fontId="37" fillId="0" borderId="0" xfId="0" applyNumberFormat="1" applyFont="1" applyAlignment="1">
      <alignment horizontal="center"/>
    </xf>
    <xf numFmtId="2" fontId="37" fillId="0" borderId="0" xfId="0" applyNumberFormat="1" applyFont="1"/>
    <xf numFmtId="2" fontId="37" fillId="0" borderId="0" xfId="21" applyNumberFormat="1" applyFont="1" applyFill="1" applyBorder="1" applyAlignment="1">
      <alignment horizontal="center"/>
    </xf>
    <xf numFmtId="0" fontId="38" fillId="0" borderId="0" xfId="21" applyNumberFormat="1" applyFont="1" applyFill="1" applyBorder="1" applyAlignment="1"/>
    <xf numFmtId="0" fontId="36" fillId="0" borderId="0" xfId="0" applyFont="1" applyAlignment="1">
      <alignment vertical="top"/>
    </xf>
    <xf numFmtId="0" fontId="36" fillId="0" borderId="0" xfId="0" applyFont="1" applyAlignment="1">
      <alignment horizontal="right" vertical="top"/>
    </xf>
    <xf numFmtId="177" fontId="36" fillId="0" borderId="0" xfId="0" applyNumberFormat="1" applyFont="1" applyAlignment="1">
      <alignment horizontal="center"/>
    </xf>
    <xf numFmtId="0" fontId="36" fillId="0" borderId="0" xfId="0" applyFont="1" applyAlignment="1">
      <alignment horizontal="right"/>
    </xf>
    <xf numFmtId="2" fontId="37" fillId="0" borderId="0" xfId="0" applyNumberFormat="1" applyFont="1" applyAlignment="1">
      <alignment horizontal="left"/>
    </xf>
    <xf numFmtId="2" fontId="38" fillId="0" borderId="0" xfId="0" applyNumberFormat="1" applyFont="1" applyAlignment="1">
      <alignment horizontal="left"/>
    </xf>
    <xf numFmtId="2" fontId="36" fillId="0" borderId="0" xfId="17" applyNumberFormat="1" applyFont="1" applyFill="1" applyAlignment="1" applyProtection="1">
      <alignment horizontal="center"/>
      <protection hidden="1"/>
    </xf>
    <xf numFmtId="2" fontId="36" fillId="0" borderId="0" xfId="17" applyNumberFormat="1" applyFont="1" applyFill="1" applyProtection="1">
      <protection hidden="1"/>
    </xf>
    <xf numFmtId="0" fontId="36" fillId="0" borderId="0" xfId="17" applyFont="1" applyFill="1" applyProtection="1">
      <protection hidden="1"/>
    </xf>
    <xf numFmtId="0" fontId="36" fillId="0" borderId="0" xfId="17" applyNumberFormat="1" applyFont="1" applyFill="1" applyBorder="1" applyAlignment="1" applyProtection="1">
      <alignment horizontal="left"/>
      <protection hidden="1"/>
    </xf>
    <xf numFmtId="4" fontId="36" fillId="0" borderId="0" xfId="17" applyNumberFormat="1" applyFont="1" applyFill="1" applyBorder="1" applyAlignment="1" applyProtection="1">
      <alignment horizontal="center"/>
      <protection hidden="1"/>
    </xf>
    <xf numFmtId="0" fontId="36" fillId="0" borderId="0" xfId="17" applyFont="1" applyFill="1" applyBorder="1" applyAlignment="1" applyProtection="1">
      <alignment horizontal="center"/>
      <protection hidden="1"/>
    </xf>
    <xf numFmtId="184" fontId="36" fillId="0" borderId="0" xfId="17" applyNumberFormat="1" applyFont="1" applyFill="1" applyBorder="1" applyAlignment="1" applyProtection="1">
      <alignment horizontal="center"/>
      <protection hidden="1"/>
    </xf>
    <xf numFmtId="2" fontId="37" fillId="0" borderId="0" xfId="19" applyNumberFormat="1" applyFont="1" applyFill="1" applyBorder="1" applyAlignment="1">
      <alignment vertical="center"/>
    </xf>
    <xf numFmtId="2" fontId="38" fillId="0" borderId="0" xfId="19" applyNumberFormat="1" applyFont="1" applyFill="1" applyBorder="1" applyAlignment="1">
      <alignment vertical="center"/>
    </xf>
    <xf numFmtId="0" fontId="37" fillId="0" borderId="0" xfId="17" applyNumberFormat="1" applyFont="1" applyFill="1" applyBorder="1" applyAlignment="1" applyProtection="1">
      <alignment horizontal="left" vertical="center"/>
      <protection hidden="1"/>
    </xf>
    <xf numFmtId="0" fontId="36" fillId="0" borderId="0" xfId="0" applyFont="1" applyFill="1" applyAlignment="1">
      <alignment vertical="center"/>
    </xf>
    <xf numFmtId="0" fontId="36" fillId="0" borderId="0" xfId="0" applyFont="1" applyFill="1" applyAlignment="1">
      <alignment horizontal="center" vertical="center"/>
    </xf>
    <xf numFmtId="2" fontId="37" fillId="0" borderId="0" xfId="19" applyNumberFormat="1" applyFont="1" applyFill="1" applyBorder="1" applyAlignment="1">
      <alignment horizontal="center" vertical="center"/>
    </xf>
    <xf numFmtId="0" fontId="36" fillId="0" borderId="0" xfId="0" applyFont="1" applyFill="1" applyAlignment="1">
      <alignment horizontal="left" vertical="center" wrapText="1"/>
    </xf>
    <xf numFmtId="0" fontId="36" fillId="0" borderId="0" xfId="0" applyFont="1" applyFill="1" applyAlignment="1">
      <alignment vertical="center" wrapText="1"/>
    </xf>
    <xf numFmtId="0" fontId="36" fillId="0" borderId="0" xfId="0" applyFont="1" applyFill="1" applyAlignment="1">
      <alignment horizontal="left" vertical="center"/>
    </xf>
    <xf numFmtId="0" fontId="39" fillId="0" borderId="0" xfId="19" applyFont="1" applyAlignment="1">
      <alignment vertical="center"/>
    </xf>
    <xf numFmtId="0" fontId="39" fillId="0" borderId="0" xfId="19" applyFont="1" applyAlignment="1">
      <alignment horizontal="center" vertical="center"/>
    </xf>
    <xf numFmtId="0" fontId="36" fillId="0" borderId="0" xfId="0" applyFont="1" applyAlignment="1">
      <alignment horizontal="center" vertical="center"/>
    </xf>
    <xf numFmtId="2" fontId="37" fillId="0" borderId="0" xfId="21" applyNumberFormat="1" applyFont="1" applyFill="1" applyBorder="1" applyAlignment="1">
      <alignment vertical="center"/>
    </xf>
    <xf numFmtId="2" fontId="38" fillId="0" borderId="0" xfId="21" applyNumberFormat="1" applyFont="1" applyFill="1" applyBorder="1" applyAlignment="1">
      <alignment vertical="center"/>
    </xf>
    <xf numFmtId="2" fontId="39" fillId="0" borderId="0" xfId="19" applyNumberFormat="1" applyFont="1" applyFill="1" applyAlignment="1">
      <alignment vertical="center"/>
    </xf>
    <xf numFmtId="2" fontId="38" fillId="0" borderId="0" xfId="21" applyNumberFormat="1" applyFont="1" applyFill="1" applyBorder="1" applyAlignment="1">
      <alignment horizontal="left" vertical="center"/>
    </xf>
    <xf numFmtId="0" fontId="36" fillId="0" borderId="0" xfId="29" applyFont="1" applyFill="1" applyBorder="1" applyAlignment="1">
      <alignment vertical="center"/>
    </xf>
    <xf numFmtId="2" fontId="36" fillId="0" borderId="0" xfId="29" applyNumberFormat="1" applyFont="1" applyFill="1" applyBorder="1" applyAlignment="1">
      <alignment vertical="center"/>
    </xf>
    <xf numFmtId="2" fontId="36" fillId="0" borderId="0" xfId="29" applyNumberFormat="1" applyFont="1" applyFill="1" applyBorder="1" applyAlignment="1">
      <alignment horizontal="center" vertical="center"/>
    </xf>
    <xf numFmtId="0" fontId="39" fillId="0" borderId="0" xfId="19" applyFont="1" applyBorder="1" applyAlignment="1">
      <alignment vertical="center"/>
    </xf>
    <xf numFmtId="0" fontId="36" fillId="0" borderId="0" xfId="19" applyFont="1" applyFill="1" applyAlignment="1">
      <alignment horizontal="center" vertical="center"/>
    </xf>
    <xf numFmtId="0" fontId="35" fillId="0" borderId="0" xfId="0" applyFont="1" applyFill="1" applyAlignment="1">
      <alignment vertical="center"/>
    </xf>
    <xf numFmtId="0" fontId="39" fillId="0" borderId="0" xfId="19" applyFont="1" applyFill="1" applyBorder="1" applyAlignment="1">
      <alignment vertical="center"/>
    </xf>
    <xf numFmtId="0" fontId="36" fillId="0" borderId="0" xfId="19" applyFont="1" applyFill="1" applyBorder="1" applyAlignment="1">
      <alignment horizontal="center" vertical="center"/>
    </xf>
    <xf numFmtId="0" fontId="36" fillId="0" borderId="0" xfId="19" applyFont="1" applyFill="1" applyBorder="1" applyAlignment="1">
      <alignment vertical="center"/>
    </xf>
    <xf numFmtId="0" fontId="36" fillId="0" borderId="0" xfId="2" applyNumberFormat="1" applyFont="1" applyFill="1" applyAlignment="1"/>
    <xf numFmtId="178" fontId="36" fillId="0" borderId="0" xfId="31" applyNumberFormat="1" applyFont="1" applyFill="1" applyBorder="1" applyAlignment="1" applyProtection="1">
      <alignment horizontal="center"/>
      <protection hidden="1"/>
    </xf>
    <xf numFmtId="182" fontId="44" fillId="0" borderId="0" xfId="31" applyNumberFormat="1" applyFont="1" applyFill="1" applyBorder="1" applyAlignment="1" applyProtection="1">
      <alignment vertical="center"/>
      <protection locked="0"/>
    </xf>
    <xf numFmtId="0" fontId="30" fillId="0" borderId="0" xfId="0" applyFont="1" applyFill="1" applyBorder="1"/>
    <xf numFmtId="0" fontId="30" fillId="0" borderId="0" xfId="0" applyFont="1"/>
    <xf numFmtId="0" fontId="44" fillId="0" borderId="0" xfId="0" applyFont="1"/>
    <xf numFmtId="0" fontId="37" fillId="0" borderId="0" xfId="0" applyFont="1"/>
    <xf numFmtId="0" fontId="36" fillId="0" borderId="0" xfId="28" applyFont="1" applyFill="1" applyProtection="1">
      <protection hidden="1"/>
    </xf>
    <xf numFmtId="0" fontId="36" fillId="0" borderId="0" xfId="28" applyFont="1" applyFill="1" applyBorder="1" applyProtection="1">
      <protection hidden="1"/>
    </xf>
    <xf numFmtId="0" fontId="40" fillId="0" borderId="0" xfId="22" applyFont="1"/>
    <xf numFmtId="0" fontId="35" fillId="0" borderId="0" xfId="22" applyFont="1" applyAlignment="1">
      <alignment horizontal="center"/>
    </xf>
    <xf numFmtId="0" fontId="36" fillId="0" borderId="0" xfId="22" applyFont="1" applyFill="1" applyAlignment="1">
      <alignment vertical="center"/>
    </xf>
    <xf numFmtId="0" fontId="36" fillId="0" borderId="0" xfId="28" applyFont="1" applyFill="1" applyAlignment="1" applyProtection="1">
      <alignment vertical="center"/>
      <protection hidden="1"/>
    </xf>
    <xf numFmtId="0" fontId="36" fillId="0" borderId="0" xfId="28" applyFont="1" applyFill="1" applyBorder="1" applyAlignment="1" applyProtection="1">
      <alignment vertical="center"/>
      <protection hidden="1"/>
    </xf>
    <xf numFmtId="2" fontId="36" fillId="0" borderId="0" xfId="22" applyNumberFormat="1" applyFont="1" applyFill="1" applyAlignment="1">
      <alignment vertical="center"/>
    </xf>
    <xf numFmtId="2" fontId="36" fillId="0" borderId="0" xfId="28" applyNumberFormat="1" applyFont="1" applyFill="1" applyAlignment="1" applyProtection="1">
      <alignment vertical="center"/>
      <protection hidden="1"/>
    </xf>
    <xf numFmtId="0" fontId="35" fillId="0" borderId="0" xfId="28" applyFont="1" applyFill="1" applyBorder="1" applyAlignment="1" applyProtection="1">
      <alignment horizontal="center" vertical="center"/>
      <protection hidden="1"/>
    </xf>
    <xf numFmtId="0" fontId="35" fillId="0" borderId="0" xfId="28" applyFont="1" applyFill="1" applyBorder="1" applyAlignment="1" applyProtection="1">
      <alignment horizontal="right" vertical="center"/>
      <protection hidden="1"/>
    </xf>
    <xf numFmtId="2" fontId="35" fillId="0" borderId="0" xfId="22" applyNumberFormat="1" applyFont="1" applyAlignment="1">
      <alignment horizontal="center"/>
    </xf>
    <xf numFmtId="2" fontId="36" fillId="0" borderId="0" xfId="28" applyNumberFormat="1" applyFont="1" applyFill="1" applyBorder="1" applyAlignment="1" applyProtection="1">
      <alignment vertical="center"/>
      <protection hidden="1"/>
    </xf>
    <xf numFmtId="0" fontId="40" fillId="0" borderId="0" xfId="22" applyFont="1" applyFill="1" applyBorder="1"/>
    <xf numFmtId="2" fontId="37" fillId="0" borderId="0" xfId="28" applyNumberFormat="1" applyFont="1" applyFill="1" applyBorder="1" applyAlignment="1" applyProtection="1">
      <alignment vertical="center"/>
      <protection locked="0"/>
    </xf>
    <xf numFmtId="2" fontId="36" fillId="0" borderId="8" xfId="20" applyNumberFormat="1" applyFont="1" applyFill="1" applyBorder="1" applyProtection="1">
      <protection hidden="1"/>
    </xf>
    <xf numFmtId="2" fontId="36" fillId="0" borderId="0" xfId="20" applyNumberFormat="1" applyFont="1" applyFill="1" applyBorder="1" applyProtection="1">
      <protection hidden="1"/>
    </xf>
    <xf numFmtId="0" fontId="40" fillId="0" borderId="0" xfId="22" applyFont="1" applyFill="1"/>
    <xf numFmtId="0" fontId="35" fillId="0" borderId="0" xfId="28" applyFont="1" applyFill="1" applyBorder="1" applyAlignment="1" applyProtection="1">
      <alignment vertical="center"/>
      <protection hidden="1"/>
    </xf>
    <xf numFmtId="0" fontId="40" fillId="0" borderId="0" xfId="22" applyFont="1" applyBorder="1"/>
    <xf numFmtId="182" fontId="35" fillId="0" borderId="0" xfId="22" applyNumberFormat="1" applyFont="1" applyFill="1" applyBorder="1" applyAlignment="1"/>
    <xf numFmtId="0" fontId="35" fillId="0" borderId="8" xfId="28" applyFont="1" applyFill="1" applyBorder="1" applyAlignment="1" applyProtection="1">
      <alignment horizontal="left" vertical="center"/>
      <protection hidden="1"/>
    </xf>
    <xf numFmtId="0" fontId="35" fillId="0" borderId="0" xfId="28" applyFont="1" applyFill="1" applyBorder="1" applyAlignment="1" applyProtection="1">
      <alignment horizontal="left" vertical="center"/>
      <protection hidden="1"/>
    </xf>
    <xf numFmtId="10" fontId="35" fillId="0" borderId="0" xfId="31" applyNumberFormat="1" applyFont="1" applyFill="1" applyBorder="1" applyAlignment="1"/>
    <xf numFmtId="184" fontId="36" fillId="0" borderId="0" xfId="28" applyNumberFormat="1" applyFont="1" applyFill="1" applyBorder="1" applyAlignment="1" applyProtection="1">
      <alignment vertical="center"/>
      <protection hidden="1"/>
    </xf>
    <xf numFmtId="179" fontId="36" fillId="0" borderId="0" xfId="28" applyNumberFormat="1" applyFont="1" applyFill="1" applyBorder="1" applyAlignment="1" applyProtection="1">
      <alignment vertical="center"/>
      <protection hidden="1"/>
    </xf>
    <xf numFmtId="182" fontId="36" fillId="0" borderId="0" xfId="28" applyNumberFormat="1" applyFont="1" applyFill="1" applyBorder="1" applyAlignment="1" applyProtection="1">
      <alignment vertical="center"/>
      <protection hidden="1"/>
    </xf>
    <xf numFmtId="182" fontId="36" fillId="0" borderId="0" xfId="28" applyNumberFormat="1" applyFont="1" applyFill="1" applyBorder="1" applyAlignment="1" applyProtection="1">
      <alignment horizontal="right" vertical="center"/>
      <protection hidden="1"/>
    </xf>
    <xf numFmtId="0" fontId="36" fillId="0" borderId="0" xfId="28" applyFont="1" applyFill="1" applyBorder="1" applyAlignment="1" applyProtection="1">
      <alignment horizontal="right" vertical="center"/>
      <protection hidden="1"/>
    </xf>
    <xf numFmtId="0" fontId="35" fillId="0" borderId="0" xfId="28" applyFont="1" applyFill="1" applyBorder="1" applyAlignment="1" applyProtection="1">
      <protection hidden="1"/>
    </xf>
    <xf numFmtId="0" fontId="36" fillId="0" borderId="0" xfId="28" applyFont="1" applyFill="1" applyAlignment="1" applyProtection="1">
      <protection hidden="1"/>
    </xf>
    <xf numFmtId="0" fontId="36" fillId="0" borderId="0" xfId="22" applyFont="1" applyAlignment="1"/>
    <xf numFmtId="0" fontId="36" fillId="0" borderId="0" xfId="22" applyFont="1" applyFill="1" applyAlignment="1"/>
    <xf numFmtId="178" fontId="36" fillId="0" borderId="7" xfId="31" applyNumberFormat="1" applyFont="1" applyFill="1" applyBorder="1" applyAlignment="1" applyProtection="1">
      <alignment horizontal="center"/>
      <protection hidden="1"/>
    </xf>
    <xf numFmtId="184" fontId="35" fillId="0" borderId="0" xfId="2" applyNumberFormat="1" applyFont="1" applyFill="1" applyBorder="1" applyAlignment="1" applyProtection="1">
      <alignment horizontal="left"/>
      <protection hidden="1"/>
    </xf>
    <xf numFmtId="43" fontId="35" fillId="0" borderId="0" xfId="17" applyNumberFormat="1" applyFont="1" applyFill="1" applyBorder="1" applyAlignment="1" applyProtection="1">
      <alignment horizontal="left"/>
      <protection hidden="1"/>
    </xf>
    <xf numFmtId="182" fontId="35" fillId="8" borderId="1" xfId="20" applyNumberFormat="1" applyFont="1" applyFill="1" applyBorder="1" applyAlignment="1" applyProtection="1">
      <alignment horizontal="center" vertical="center"/>
      <protection hidden="1"/>
    </xf>
    <xf numFmtId="2" fontId="56" fillId="0" borderId="0" xfId="0" applyNumberFormat="1" applyFont="1"/>
    <xf numFmtId="43" fontId="36" fillId="0" borderId="0" xfId="2" applyFont="1" applyFill="1" applyBorder="1" applyAlignment="1"/>
    <xf numFmtId="43" fontId="21" fillId="0" borderId="0" xfId="0" applyNumberFormat="1" applyFont="1"/>
    <xf numFmtId="4" fontId="21" fillId="0" borderId="0" xfId="0" applyNumberFormat="1" applyFont="1"/>
    <xf numFmtId="183" fontId="36" fillId="0" borderId="0" xfId="21" applyNumberFormat="1" applyFont="1" applyFill="1" applyAlignment="1"/>
    <xf numFmtId="49" fontId="21" fillId="0" borderId="0" xfId="0" applyNumberFormat="1" applyFont="1"/>
    <xf numFmtId="184" fontId="21" fillId="0" borderId="0" xfId="0" applyNumberFormat="1" applyFont="1"/>
    <xf numFmtId="0" fontId="22" fillId="0" borderId="0" xfId="0" applyFont="1"/>
    <xf numFmtId="4" fontId="22" fillId="0" borderId="0" xfId="0" applyNumberFormat="1" applyFont="1"/>
    <xf numFmtId="2" fontId="22" fillId="0" borderId="0" xfId="0" applyNumberFormat="1" applyFont="1"/>
    <xf numFmtId="2" fontId="30" fillId="0" borderId="0" xfId="21" applyNumberFormat="1" applyFont="1" applyFill="1" applyBorder="1" applyAlignment="1"/>
    <xf numFmtId="2" fontId="38" fillId="0" borderId="0" xfId="21" applyNumberFormat="1" applyFont="1" applyFill="1" applyBorder="1" applyAlignment="1">
      <alignment horizontal="left"/>
    </xf>
    <xf numFmtId="0" fontId="35" fillId="0" borderId="0" xfId="17" applyNumberFormat="1" applyFont="1" applyFill="1" applyBorder="1" applyAlignment="1" applyProtection="1">
      <alignment horizontal="center"/>
      <protection hidden="1"/>
    </xf>
    <xf numFmtId="180" fontId="22" fillId="12" borderId="3" xfId="33" applyNumberFormat="1" applyFont="1" applyFill="1" applyBorder="1" applyAlignment="1">
      <alignment horizontal="center"/>
    </xf>
    <xf numFmtId="0" fontId="60" fillId="0" borderId="0" xfId="33" applyFont="1" applyFill="1"/>
    <xf numFmtId="186" fontId="22" fillId="12" borderId="0" xfId="21" applyNumberFormat="1" applyFont="1" applyFill="1" applyAlignment="1">
      <alignment horizontal="center"/>
    </xf>
    <xf numFmtId="0" fontId="21" fillId="0" borderId="0" xfId="0" applyFont="1" applyFill="1" applyBorder="1"/>
    <xf numFmtId="0" fontId="21" fillId="0" borderId="0" xfId="0" applyFont="1" applyBorder="1"/>
    <xf numFmtId="4" fontId="21" fillId="0" borderId="0" xfId="0" applyNumberFormat="1" applyFont="1" applyBorder="1"/>
    <xf numFmtId="0" fontId="21" fillId="0" borderId="0" xfId="0" applyFont="1" applyBorder="1" applyAlignment="1">
      <alignment horizontal="center"/>
    </xf>
    <xf numFmtId="43" fontId="36" fillId="0" borderId="0" xfId="0" applyNumberFormat="1" applyFont="1" applyBorder="1"/>
    <xf numFmtId="0" fontId="66" fillId="0" borderId="0" xfId="21" applyNumberFormat="1" applyFont="1" applyFill="1" applyBorder="1" applyAlignment="1"/>
    <xf numFmtId="0" fontId="67" fillId="0" borderId="0" xfId="21" applyNumberFormat="1" applyFont="1" applyFill="1" applyBorder="1" applyAlignment="1"/>
    <xf numFmtId="0" fontId="36" fillId="0" borderId="0" xfId="21" applyFont="1" applyFill="1" applyBorder="1" applyAlignment="1"/>
    <xf numFmtId="0" fontId="35" fillId="0" borderId="0" xfId="21" applyFont="1" applyFill="1" applyAlignment="1">
      <alignment vertical="top" wrapText="1"/>
    </xf>
    <xf numFmtId="49" fontId="35" fillId="0" borderId="0" xfId="17" applyNumberFormat="1" applyFont="1" applyFill="1" applyBorder="1" applyAlignment="1" applyProtection="1">
      <alignment horizontal="left" vertical="top" wrapText="1"/>
      <protection hidden="1"/>
    </xf>
    <xf numFmtId="0" fontId="35" fillId="0" borderId="0" xfId="21" applyFont="1" applyFill="1" applyAlignment="1">
      <alignment horizontal="center" vertical="top" wrapText="1"/>
    </xf>
    <xf numFmtId="0" fontId="35" fillId="0" borderId="0" xfId="17" applyFont="1" applyFill="1" applyBorder="1" applyAlignment="1" applyProtection="1">
      <alignment horizontal="center" vertical="top" wrapText="1"/>
      <protection hidden="1"/>
    </xf>
    <xf numFmtId="49" fontId="68" fillId="0" borderId="0" xfId="21" applyNumberFormat="1" applyFont="1" applyFill="1" applyBorder="1" applyAlignment="1"/>
    <xf numFmtId="2" fontId="69" fillId="0" borderId="0" xfId="21" applyNumberFormat="1" applyFont="1" applyFill="1" applyBorder="1" applyAlignment="1"/>
    <xf numFmtId="15" fontId="69" fillId="0" borderId="0" xfId="21" applyNumberFormat="1" applyFont="1" applyFill="1" applyBorder="1" applyAlignment="1">
      <alignment horizontal="left"/>
    </xf>
    <xf numFmtId="49" fontId="70" fillId="0" borderId="0" xfId="17" applyNumberFormat="1" applyFont="1" applyFill="1" applyBorder="1" applyAlignment="1" applyProtection="1">
      <alignment horizontal="left"/>
      <protection hidden="1"/>
    </xf>
    <xf numFmtId="49" fontId="71" fillId="0" borderId="0" xfId="17" applyNumberFormat="1" applyFont="1" applyFill="1" applyBorder="1" applyAlignment="1" applyProtection="1">
      <alignment horizontal="left"/>
      <protection hidden="1"/>
    </xf>
    <xf numFmtId="49" fontId="70" fillId="0" borderId="0" xfId="17" applyNumberFormat="1" applyFont="1" applyFill="1" applyBorder="1" applyAlignment="1" applyProtection="1">
      <alignment horizontal="left" vertical="center"/>
      <protection hidden="1"/>
    </xf>
    <xf numFmtId="0" fontId="35" fillId="0" borderId="0" xfId="17" applyNumberFormat="1" applyFont="1" applyFill="1" applyBorder="1" applyAlignment="1" applyProtection="1">
      <alignment horizontal="left" vertical="center"/>
      <protection hidden="1"/>
    </xf>
    <xf numFmtId="176" fontId="36" fillId="0" borderId="0" xfId="17" applyNumberFormat="1" applyFont="1" applyFill="1" applyBorder="1" applyAlignment="1" applyProtection="1">
      <alignment horizontal="left" vertical="center"/>
      <protection hidden="1"/>
    </xf>
    <xf numFmtId="183" fontId="36" fillId="0" borderId="0" xfId="21" applyNumberFormat="1" applyFont="1" applyFill="1" applyAlignment="1">
      <alignment vertical="center"/>
    </xf>
    <xf numFmtId="165" fontId="36" fillId="0" borderId="0" xfId="21" applyNumberFormat="1" applyFont="1" applyFill="1" applyAlignment="1">
      <alignment vertical="center"/>
    </xf>
    <xf numFmtId="178" fontId="35" fillId="0" borderId="0" xfId="17" applyNumberFormat="1" applyFont="1" applyFill="1" applyBorder="1" applyAlignment="1" applyProtection="1">
      <alignment horizontal="center" vertical="center"/>
      <protection hidden="1"/>
    </xf>
    <xf numFmtId="43" fontId="35" fillId="0" borderId="0" xfId="2" applyFont="1" applyFill="1" applyBorder="1" applyAlignment="1" applyProtection="1">
      <alignment horizontal="left" vertical="center"/>
      <protection hidden="1"/>
    </xf>
    <xf numFmtId="183" fontId="35" fillId="0" borderId="0" xfId="17" applyNumberFormat="1" applyFont="1" applyFill="1" applyBorder="1" applyAlignment="1" applyProtection="1">
      <alignment horizontal="left" vertical="center"/>
      <protection hidden="1"/>
    </xf>
    <xf numFmtId="184" fontId="36" fillId="0" borderId="0" xfId="22" applyNumberFormat="1" applyFont="1" applyAlignment="1">
      <alignment horizontal="center" vertical="center"/>
    </xf>
    <xf numFmtId="4" fontId="36" fillId="0" borderId="17" xfId="31" applyNumberFormat="1" applyFont="1" applyFill="1" applyBorder="1" applyAlignment="1" applyProtection="1">
      <alignment horizontal="center" vertical="center"/>
      <protection hidden="1"/>
    </xf>
    <xf numFmtId="10" fontId="36" fillId="0" borderId="17" xfId="31" applyNumberFormat="1" applyFont="1" applyFill="1" applyBorder="1" applyAlignment="1" applyProtection="1">
      <alignment horizontal="center" vertical="center"/>
      <protection hidden="1"/>
    </xf>
    <xf numFmtId="0" fontId="21" fillId="0" borderId="0" xfId="0" applyFont="1" applyAlignment="1">
      <alignment horizontal="center" vertical="center" textRotation="90"/>
    </xf>
    <xf numFmtId="0" fontId="21" fillId="0" borderId="0" xfId="0" applyFont="1" applyAlignment="1">
      <alignment horizontal="center" vertical="center"/>
    </xf>
    <xf numFmtId="0" fontId="72" fillId="0" borderId="0" xfId="0" applyFont="1" applyAlignment="1">
      <alignment horizontal="left" vertical="center"/>
    </xf>
    <xf numFmtId="0" fontId="62" fillId="0" borderId="0" xfId="0" applyFont="1" applyAlignment="1">
      <alignment horizontal="center" vertical="center" textRotation="90"/>
    </xf>
    <xf numFmtId="0" fontId="62" fillId="0" borderId="0" xfId="0" applyFont="1" applyAlignment="1">
      <alignment vertical="center"/>
    </xf>
    <xf numFmtId="0" fontId="62" fillId="0" borderId="0" xfId="0" applyFont="1" applyAlignment="1">
      <alignment horizontal="left" vertical="center"/>
    </xf>
    <xf numFmtId="2" fontId="35" fillId="0" borderId="0" xfId="21" applyNumberFormat="1" applyFont="1" applyFill="1" applyAlignment="1">
      <alignment vertical="center" wrapText="1"/>
    </xf>
    <xf numFmtId="183" fontId="36" fillId="0" borderId="0" xfId="21" applyNumberFormat="1" applyFont="1" applyFill="1" applyAlignment="1">
      <alignment horizontal="right" vertical="center"/>
    </xf>
    <xf numFmtId="43" fontId="36" fillId="0" borderId="0" xfId="21" applyNumberFormat="1" applyFont="1" applyFill="1" applyAlignment="1">
      <alignment vertical="center"/>
    </xf>
    <xf numFmtId="43" fontId="36" fillId="0" borderId="0" xfId="2" applyFont="1" applyFill="1" applyAlignment="1">
      <alignment vertical="center"/>
    </xf>
    <xf numFmtId="183" fontId="36" fillId="0" borderId="0" xfId="5" applyNumberFormat="1" applyFont="1" applyFill="1" applyAlignment="1">
      <alignment horizontal="right" vertical="center"/>
    </xf>
    <xf numFmtId="0" fontId="73" fillId="0" borderId="0" xfId="21" applyFont="1" applyFill="1" applyBorder="1" applyAlignment="1"/>
    <xf numFmtId="0" fontId="74" fillId="0" borderId="0" xfId="21" applyFont="1" applyFill="1" applyBorder="1" applyAlignment="1"/>
    <xf numFmtId="0" fontId="75" fillId="0" borderId="0" xfId="21" applyFont="1" applyFill="1" applyBorder="1" applyAlignment="1">
      <alignment vertical="top" wrapText="1"/>
    </xf>
    <xf numFmtId="0" fontId="73" fillId="0" borderId="0" xfId="21" applyFont="1" applyFill="1" applyBorder="1" applyAlignment="1">
      <alignment vertical="center"/>
    </xf>
    <xf numFmtId="0" fontId="38" fillId="0" borderId="0" xfId="21" applyFont="1" applyFill="1" applyBorder="1" applyAlignment="1"/>
    <xf numFmtId="0" fontId="35" fillId="0" borderId="0" xfId="21" applyFont="1" applyFill="1" applyBorder="1" applyAlignment="1">
      <alignment vertical="top" wrapText="1"/>
    </xf>
    <xf numFmtId="0" fontId="36" fillId="0" borderId="0" xfId="21" applyFont="1" applyFill="1" applyBorder="1" applyAlignment="1">
      <alignment vertical="center"/>
    </xf>
    <xf numFmtId="0" fontId="73" fillId="0" borderId="18" xfId="21" applyFont="1" applyFill="1" applyBorder="1" applyAlignment="1"/>
    <xf numFmtId="0" fontId="73" fillId="0" borderId="19" xfId="21" applyFont="1" applyFill="1" applyBorder="1" applyAlignment="1">
      <alignment vertical="center" wrapText="1"/>
    </xf>
    <xf numFmtId="0" fontId="23" fillId="0" borderId="0" xfId="21" applyFont="1" applyFill="1" applyBorder="1" applyAlignment="1"/>
    <xf numFmtId="0" fontId="33" fillId="0" borderId="0" xfId="21" applyFont="1" applyFill="1" applyBorder="1" applyAlignment="1"/>
    <xf numFmtId="0" fontId="61" fillId="0" borderId="0" xfId="21" applyFont="1" applyFill="1" applyBorder="1" applyAlignment="1">
      <alignment vertical="top" wrapText="1"/>
    </xf>
    <xf numFmtId="0" fontId="23" fillId="0" borderId="0" xfId="21" applyFont="1" applyFill="1" applyBorder="1" applyAlignment="1">
      <alignment vertical="center"/>
    </xf>
    <xf numFmtId="49" fontId="23" fillId="0" borderId="0" xfId="17" applyNumberFormat="1" applyFont="1" applyFill="1" applyBorder="1" applyAlignment="1" applyProtection="1">
      <alignment horizontal="left"/>
      <protection hidden="1"/>
    </xf>
    <xf numFmtId="43" fontId="23" fillId="0" borderId="0" xfId="2" applyFont="1" applyFill="1" applyBorder="1" applyAlignment="1"/>
    <xf numFmtId="2" fontId="70" fillId="14" borderId="0" xfId="0" applyNumberFormat="1" applyFont="1" applyFill="1" applyBorder="1" applyAlignment="1">
      <alignment vertical="center" wrapText="1"/>
    </xf>
    <xf numFmtId="49" fontId="70" fillId="14" borderId="0" xfId="17" applyNumberFormat="1" applyFont="1" applyFill="1" applyBorder="1" applyAlignment="1" applyProtection="1">
      <alignment horizontal="center" vertical="center" wrapText="1"/>
      <protection hidden="1"/>
    </xf>
    <xf numFmtId="0" fontId="22" fillId="0" borderId="0" xfId="0" applyFont="1" applyAlignment="1">
      <alignment vertical="center"/>
    </xf>
    <xf numFmtId="0" fontId="10" fillId="0" borderId="0" xfId="0" applyFont="1" applyAlignment="1">
      <alignment vertical="center"/>
    </xf>
    <xf numFmtId="2" fontId="70" fillId="14" borderId="0" xfId="0" applyNumberFormat="1" applyFont="1" applyFill="1" applyBorder="1" applyAlignment="1">
      <alignment horizontal="center" vertical="center" wrapText="1"/>
    </xf>
    <xf numFmtId="0" fontId="21" fillId="0" borderId="0" xfId="0" applyFont="1" applyAlignment="1">
      <alignment vertical="center"/>
    </xf>
    <xf numFmtId="0" fontId="0" fillId="0" borderId="0" xfId="0" applyAlignment="1">
      <alignment vertical="center"/>
    </xf>
    <xf numFmtId="4" fontId="21" fillId="0" borderId="0" xfId="0" applyNumberFormat="1" applyFont="1" applyAlignment="1">
      <alignment vertical="center"/>
    </xf>
    <xf numFmtId="184" fontId="66" fillId="14" borderId="0" xfId="0" applyNumberFormat="1" applyFont="1" applyFill="1" applyAlignment="1">
      <alignment vertical="center"/>
    </xf>
    <xf numFmtId="184" fontId="70" fillId="14" borderId="0" xfId="0" applyNumberFormat="1" applyFont="1" applyFill="1" applyAlignment="1">
      <alignment vertical="center"/>
    </xf>
    <xf numFmtId="186" fontId="21" fillId="0" borderId="0" xfId="0" applyNumberFormat="1" applyFont="1" applyAlignment="1">
      <alignment vertical="center"/>
    </xf>
    <xf numFmtId="0" fontId="21" fillId="14" borderId="0" xfId="0" applyFont="1" applyFill="1"/>
    <xf numFmtId="0" fontId="76" fillId="14" borderId="0" xfId="0" applyFont="1" applyFill="1"/>
    <xf numFmtId="0" fontId="77" fillId="14" borderId="0" xfId="26" applyFont="1" applyFill="1" applyBorder="1"/>
    <xf numFmtId="0" fontId="71" fillId="14" borderId="0" xfId="0" applyFont="1" applyFill="1"/>
    <xf numFmtId="0" fontId="78" fillId="14" borderId="0" xfId="0" applyFont="1" applyFill="1"/>
    <xf numFmtId="0" fontId="71" fillId="14" borderId="0" xfId="26" applyFont="1" applyFill="1" applyBorder="1"/>
    <xf numFmtId="0" fontId="79" fillId="14" borderId="0" xfId="26" applyFont="1" applyFill="1" applyBorder="1" applyAlignment="1">
      <alignment horizontal="right"/>
    </xf>
    <xf numFmtId="9" fontId="73" fillId="14" borderId="0" xfId="26" applyNumberFormat="1" applyFont="1" applyFill="1" applyBorder="1"/>
    <xf numFmtId="189" fontId="80" fillId="14" borderId="0" xfId="26" applyNumberFormat="1" applyFont="1" applyFill="1" applyBorder="1"/>
    <xf numFmtId="0" fontId="73" fillId="14" borderId="0" xfId="0" applyFont="1" applyFill="1"/>
    <xf numFmtId="10" fontId="81" fillId="14" borderId="0" xfId="26" applyNumberFormat="1" applyFont="1" applyFill="1" applyBorder="1" applyAlignment="1" applyProtection="1">
      <alignment horizontal="center"/>
      <protection locked="0" hidden="1"/>
    </xf>
    <xf numFmtId="4" fontId="21" fillId="14" borderId="0" xfId="0" applyNumberFormat="1" applyFont="1" applyFill="1"/>
    <xf numFmtId="0" fontId="59" fillId="13" borderId="19" xfId="26" applyFont="1" applyFill="1" applyBorder="1" applyAlignment="1">
      <alignment horizontal="center"/>
    </xf>
    <xf numFmtId="10" fontId="71" fillId="13" borderId="19" xfId="26" applyNumberFormat="1" applyFont="1" applyFill="1" applyBorder="1" applyAlignment="1" applyProtection="1">
      <alignment horizontal="center" vertical="center"/>
      <protection locked="0" hidden="1"/>
    </xf>
    <xf numFmtId="0" fontId="79" fillId="14" borderId="0" xfId="26" applyFont="1" applyFill="1" applyBorder="1" applyAlignment="1">
      <alignment horizontal="right" vertical="center"/>
    </xf>
    <xf numFmtId="188" fontId="59" fillId="10" borderId="19" xfId="26" applyNumberFormat="1" applyFont="1" applyFill="1" applyBorder="1" applyAlignment="1">
      <alignment horizontal="center" vertical="center"/>
    </xf>
    <xf numFmtId="0" fontId="59" fillId="10" borderId="19" xfId="26" applyFont="1" applyFill="1" applyBorder="1" applyAlignment="1">
      <alignment horizontal="center" vertical="center"/>
    </xf>
    <xf numFmtId="0" fontId="77" fillId="14" borderId="0" xfId="26" applyFont="1" applyFill="1" applyBorder="1" applyAlignment="1">
      <alignment vertical="center"/>
    </xf>
    <xf numFmtId="0" fontId="21" fillId="14" borderId="0" xfId="0" applyFont="1" applyFill="1" applyAlignment="1">
      <alignment vertical="center"/>
    </xf>
    <xf numFmtId="182" fontId="70" fillId="14" borderId="19" xfId="26" applyNumberFormat="1" applyFont="1" applyFill="1" applyBorder="1" applyAlignment="1" applyProtection="1">
      <alignment horizontal="center" vertical="center"/>
      <protection locked="0" hidden="1"/>
    </xf>
    <xf numFmtId="0" fontId="21" fillId="0" borderId="20" xfId="0" applyFont="1" applyFill="1" applyBorder="1"/>
    <xf numFmtId="0" fontId="21" fillId="0" borderId="20" xfId="0" applyFont="1" applyBorder="1"/>
    <xf numFmtId="0" fontId="21" fillId="0" borderId="21" xfId="0" applyFont="1" applyFill="1" applyBorder="1"/>
    <xf numFmtId="184" fontId="36" fillId="0" borderId="20" xfId="0" applyNumberFormat="1" applyFont="1" applyBorder="1"/>
    <xf numFmtId="184" fontId="36" fillId="0" borderId="21" xfId="0" applyNumberFormat="1" applyFont="1" applyBorder="1"/>
    <xf numFmtId="0" fontId="22" fillId="0" borderId="0" xfId="0" applyFont="1" applyAlignment="1">
      <alignment horizontal="right" vertical="center"/>
    </xf>
    <xf numFmtId="0" fontId="73" fillId="0" borderId="0" xfId="0" applyFont="1" applyAlignment="1">
      <alignment horizontal="center" vertical="center" textRotation="90"/>
    </xf>
    <xf numFmtId="0" fontId="73" fillId="0" borderId="0" xfId="0" applyFont="1" applyAlignment="1">
      <alignment horizontal="center" vertical="center"/>
    </xf>
    <xf numFmtId="173" fontId="32" fillId="9" borderId="10" xfId="0" applyNumberFormat="1" applyFont="1" applyFill="1" applyBorder="1" applyAlignment="1" applyProtection="1">
      <alignment horizontal="center"/>
    </xf>
    <xf numFmtId="172" fontId="70" fillId="14" borderId="0" xfId="0" applyNumberFormat="1" applyFont="1" applyFill="1" applyBorder="1" applyAlignment="1" applyProtection="1">
      <alignment horizontal="left" vertical="center" wrapText="1"/>
    </xf>
    <xf numFmtId="2" fontId="70" fillId="14" borderId="0" xfId="10" applyNumberFormat="1" applyFont="1" applyFill="1" applyBorder="1" applyAlignment="1" applyProtection="1">
      <alignment horizontal="left" vertical="center" wrapText="1"/>
    </xf>
    <xf numFmtId="2" fontId="70" fillId="14" borderId="0" xfId="0" applyNumberFormat="1" applyFont="1" applyFill="1" applyBorder="1" applyAlignment="1" applyProtection="1">
      <alignment horizontal="left" vertical="center" wrapText="1"/>
    </xf>
    <xf numFmtId="175" fontId="70" fillId="14" borderId="0" xfId="0" applyNumberFormat="1" applyFont="1" applyFill="1" applyBorder="1" applyAlignment="1" applyProtection="1">
      <alignment horizontal="center" vertical="center" wrapText="1"/>
    </xf>
    <xf numFmtId="3" fontId="70" fillId="14" borderId="0" xfId="0" applyNumberFormat="1" applyFont="1" applyFill="1" applyBorder="1" applyAlignment="1" applyProtection="1">
      <alignment horizontal="right" vertical="center" wrapText="1"/>
    </xf>
    <xf numFmtId="180" fontId="70" fillId="14" borderId="0" xfId="0" applyNumberFormat="1" applyFont="1" applyFill="1" applyBorder="1" applyAlignment="1">
      <alignment horizontal="center" vertical="center" wrapText="1"/>
    </xf>
    <xf numFmtId="174" fontId="70" fillId="14" borderId="0" xfId="0" applyNumberFormat="1" applyFont="1" applyFill="1" applyBorder="1" applyAlignment="1" applyProtection="1">
      <alignment horizontal="right" vertical="center" wrapText="1"/>
    </xf>
    <xf numFmtId="174" fontId="70" fillId="14" borderId="0" xfId="0" applyNumberFormat="1" applyFont="1" applyFill="1" applyBorder="1" applyAlignment="1" applyProtection="1">
      <alignment horizontal="center" vertical="center" wrapText="1"/>
    </xf>
    <xf numFmtId="0" fontId="36" fillId="13" borderId="10" xfId="0" applyNumberFormat="1" applyFont="1" applyFill="1" applyBorder="1" applyAlignment="1">
      <alignment horizontal="center"/>
    </xf>
    <xf numFmtId="0" fontId="36" fillId="13" borderId="10" xfId="11" quotePrefix="1" applyNumberFormat="1" applyFont="1" applyFill="1" applyBorder="1" applyAlignment="1">
      <alignment horizontal="center"/>
    </xf>
    <xf numFmtId="0" fontId="36" fillId="13" borderId="10" xfId="0" applyNumberFormat="1" applyFont="1" applyFill="1" applyBorder="1" applyAlignment="1">
      <alignment horizontal="left"/>
    </xf>
    <xf numFmtId="3" fontId="36" fillId="13" borderId="10" xfId="0" applyNumberFormat="1" applyFont="1" applyFill="1" applyBorder="1" applyAlignment="1">
      <alignment horizontal="right"/>
    </xf>
    <xf numFmtId="3" fontId="36" fillId="13" borderId="10" xfId="0" applyNumberFormat="1" applyFont="1" applyFill="1" applyBorder="1" applyAlignment="1" applyProtection="1">
      <alignment horizontal="right"/>
    </xf>
    <xf numFmtId="174" fontId="36" fillId="13" borderId="10" xfId="0" applyNumberFormat="1" applyFont="1" applyFill="1" applyBorder="1" applyAlignment="1" applyProtection="1">
      <alignment horizontal="right"/>
    </xf>
    <xf numFmtId="174" fontId="36" fillId="13" borderId="10" xfId="0" applyNumberFormat="1" applyFont="1" applyFill="1" applyBorder="1" applyAlignment="1" applyProtection="1">
      <alignment horizontal="left" indent="1"/>
    </xf>
    <xf numFmtId="0" fontId="35" fillId="14" borderId="19" xfId="33" applyFont="1" applyFill="1" applyBorder="1" applyAlignment="1">
      <alignment horizontal="center" vertical="center"/>
    </xf>
    <xf numFmtId="0" fontId="36" fillId="14" borderId="0" xfId="0" applyFont="1" applyFill="1" applyAlignment="1">
      <alignment horizontal="center"/>
    </xf>
    <xf numFmtId="165" fontId="36" fillId="15" borderId="19" xfId="10" applyFont="1" applyFill="1" applyBorder="1" applyAlignment="1">
      <alignment horizontal="center"/>
    </xf>
    <xf numFmtId="175" fontId="36" fillId="0" borderId="19" xfId="0" applyNumberFormat="1" applyFont="1" applyBorder="1"/>
    <xf numFmtId="0" fontId="70" fillId="14" borderId="0" xfId="0" applyFont="1" applyFill="1" applyBorder="1" applyAlignment="1">
      <alignment horizontal="center" vertical="center"/>
    </xf>
    <xf numFmtId="0" fontId="70" fillId="14" borderId="0" xfId="0" applyNumberFormat="1" applyFont="1" applyFill="1" applyBorder="1" applyAlignment="1">
      <alignment horizontal="center" vertical="center" wrapText="1"/>
    </xf>
    <xf numFmtId="0" fontId="70" fillId="14" borderId="0" xfId="0" applyNumberFormat="1" applyFont="1" applyFill="1" applyBorder="1" applyAlignment="1">
      <alignment vertical="center" wrapText="1"/>
    </xf>
    <xf numFmtId="0" fontId="70" fillId="14" borderId="0" xfId="0" applyFont="1" applyFill="1" applyBorder="1" applyAlignment="1">
      <alignment vertical="center" wrapText="1"/>
    </xf>
    <xf numFmtId="177" fontId="70" fillId="14" borderId="0" xfId="0" applyNumberFormat="1" applyFont="1" applyFill="1" applyBorder="1" applyAlignment="1">
      <alignment horizontal="center" vertical="center" wrapText="1"/>
    </xf>
    <xf numFmtId="165" fontId="70" fillId="14" borderId="0" xfId="10" applyFont="1" applyFill="1" applyBorder="1" applyAlignment="1">
      <alignment horizontal="center" vertical="center" wrapText="1"/>
    </xf>
    <xf numFmtId="181" fontId="70" fillId="14" borderId="0" xfId="10" applyNumberFormat="1" applyFont="1" applyFill="1" applyBorder="1" applyAlignment="1">
      <alignment horizontal="center" vertical="center" wrapText="1"/>
    </xf>
    <xf numFmtId="0" fontId="70" fillId="14" borderId="0" xfId="0" applyFont="1" applyFill="1" applyBorder="1" applyAlignment="1">
      <alignment vertical="center"/>
    </xf>
    <xf numFmtId="182" fontId="36" fillId="0" borderId="25" xfId="20" applyNumberFormat="1" applyFont="1" applyFill="1" applyBorder="1" applyAlignment="1" applyProtection="1">
      <alignment vertical="center"/>
      <protection hidden="1"/>
    </xf>
    <xf numFmtId="0" fontId="40" fillId="0" borderId="26" xfId="22" applyFont="1" applyFill="1" applyBorder="1"/>
    <xf numFmtId="0" fontId="36" fillId="0" borderId="27" xfId="20" applyFont="1" applyFill="1" applyBorder="1" applyAlignment="1" applyProtection="1">
      <alignment vertical="center"/>
      <protection hidden="1"/>
    </xf>
    <xf numFmtId="0" fontId="35" fillId="0" borderId="27" xfId="28" applyFont="1" applyFill="1" applyBorder="1" applyAlignment="1" applyProtection="1">
      <alignment horizontal="right" vertical="center"/>
      <protection hidden="1"/>
    </xf>
    <xf numFmtId="2" fontId="83" fillId="0" borderId="0" xfId="28" applyNumberFormat="1" applyFont="1" applyFill="1" applyBorder="1" applyAlignment="1" applyProtection="1">
      <alignment horizontal="left" vertical="center"/>
      <protection hidden="1"/>
    </xf>
    <xf numFmtId="2" fontId="71" fillId="0" borderId="0" xfId="20" applyNumberFormat="1" applyFont="1" applyFill="1" applyBorder="1" applyProtection="1">
      <protection hidden="1"/>
    </xf>
    <xf numFmtId="0" fontId="83" fillId="0" borderId="0" xfId="28" applyFont="1" applyFill="1" applyBorder="1" applyAlignment="1" applyProtection="1">
      <alignment horizontal="left" vertical="center"/>
      <protection hidden="1"/>
    </xf>
    <xf numFmtId="0" fontId="66" fillId="0" borderId="0" xfId="28" applyFont="1" applyFill="1" applyBorder="1" applyAlignment="1" applyProtection="1">
      <alignment horizontal="left" vertical="center"/>
      <protection hidden="1"/>
    </xf>
    <xf numFmtId="9" fontId="71" fillId="0" borderId="0" xfId="28" applyNumberFormat="1" applyFont="1" applyFill="1" applyBorder="1" applyAlignment="1" applyProtection="1">
      <alignment vertical="center"/>
      <protection hidden="1"/>
    </xf>
    <xf numFmtId="2" fontId="35" fillId="0" borderId="11" xfId="20" applyNumberFormat="1" applyFont="1" applyFill="1" applyBorder="1" applyAlignment="1" applyProtection="1">
      <alignment horizontal="center"/>
      <protection hidden="1"/>
    </xf>
    <xf numFmtId="2" fontId="36" fillId="0" borderId="19" xfId="20" applyNumberFormat="1" applyFont="1" applyFill="1" applyBorder="1" applyProtection="1">
      <protection hidden="1"/>
    </xf>
    <xf numFmtId="184" fontId="36" fillId="13" borderId="25" xfId="28" applyNumberFormat="1" applyFont="1" applyFill="1" applyBorder="1" applyAlignment="1" applyProtection="1">
      <alignment horizontal="left" vertical="center"/>
      <protection hidden="1"/>
    </xf>
    <xf numFmtId="182" fontId="35" fillId="16" borderId="25" xfId="31" applyNumberFormat="1" applyFont="1" applyFill="1" applyBorder="1" applyAlignment="1"/>
    <xf numFmtId="0" fontId="36" fillId="0" borderId="28" xfId="22" applyFont="1" applyFill="1" applyBorder="1"/>
    <xf numFmtId="0" fontId="40" fillId="0" borderId="29" xfId="22" applyFont="1" applyBorder="1"/>
    <xf numFmtId="0" fontId="36" fillId="0" borderId="28" xfId="28" applyFont="1" applyFill="1" applyBorder="1" applyAlignment="1" applyProtection="1">
      <alignment vertical="center"/>
      <protection hidden="1"/>
    </xf>
    <xf numFmtId="0" fontId="35" fillId="0" borderId="28" xfId="28" applyFont="1" applyFill="1" applyBorder="1" applyAlignment="1" applyProtection="1">
      <alignment horizontal="right" vertical="center"/>
      <protection hidden="1"/>
    </xf>
    <xf numFmtId="0" fontId="35" fillId="0" borderId="29" xfId="28" applyFont="1" applyFill="1" applyBorder="1" applyAlignment="1" applyProtection="1">
      <alignment horizontal="right" vertical="center"/>
      <protection hidden="1"/>
    </xf>
    <xf numFmtId="0" fontId="36" fillId="0" borderId="28" xfId="20" applyFont="1" applyFill="1" applyBorder="1" applyAlignment="1" applyProtection="1">
      <alignment vertical="center"/>
      <protection hidden="1"/>
    </xf>
    <xf numFmtId="182" fontId="36" fillId="14" borderId="25" xfId="20" applyNumberFormat="1" applyFont="1" applyFill="1" applyBorder="1" applyAlignment="1" applyProtection="1">
      <alignment vertical="center"/>
      <protection hidden="1"/>
    </xf>
    <xf numFmtId="184" fontId="36" fillId="14" borderId="25" xfId="28" applyNumberFormat="1" applyFont="1" applyFill="1" applyBorder="1" applyAlignment="1" applyProtection="1">
      <alignment horizontal="left" vertical="center"/>
      <protection hidden="1"/>
    </xf>
    <xf numFmtId="0" fontId="35" fillId="0" borderId="11" xfId="28" applyFont="1" applyFill="1" applyBorder="1" applyAlignment="1" applyProtection="1">
      <alignment horizontal="center" vertical="center"/>
      <protection hidden="1"/>
    </xf>
    <xf numFmtId="0" fontId="36" fillId="0" borderId="28" xfId="28" applyFont="1" applyFill="1" applyBorder="1" applyAlignment="1" applyProtection="1">
      <alignment horizontal="left" vertical="center"/>
      <protection hidden="1"/>
    </xf>
    <xf numFmtId="0" fontId="35" fillId="0" borderId="28" xfId="28" applyFont="1" applyFill="1" applyBorder="1" applyAlignment="1" applyProtection="1">
      <alignment vertical="center"/>
      <protection hidden="1"/>
    </xf>
    <xf numFmtId="2" fontId="36" fillId="0" borderId="29" xfId="22" applyNumberFormat="1" applyFont="1" applyFill="1" applyBorder="1" applyAlignment="1">
      <alignment vertical="center"/>
    </xf>
    <xf numFmtId="0" fontId="36" fillId="0" borderId="29" xfId="22" applyFont="1" applyFill="1" applyBorder="1" applyAlignment="1">
      <alignment vertical="center"/>
    </xf>
    <xf numFmtId="10" fontId="36" fillId="0" borderId="30" xfId="31" applyNumberFormat="1" applyFont="1" applyFill="1" applyBorder="1" applyAlignment="1" applyProtection="1">
      <alignment vertical="center"/>
      <protection hidden="1"/>
    </xf>
    <xf numFmtId="0" fontId="35" fillId="0" borderId="29" xfId="28" applyFont="1" applyFill="1" applyBorder="1" applyAlignment="1" applyProtection="1">
      <alignment vertical="center"/>
      <protection hidden="1"/>
    </xf>
    <xf numFmtId="2" fontId="36" fillId="14" borderId="19" xfId="28" applyNumberFormat="1" applyFont="1" applyFill="1" applyBorder="1" applyAlignment="1" applyProtection="1">
      <alignment horizontal="right" vertical="center"/>
      <protection hidden="1"/>
    </xf>
    <xf numFmtId="2" fontId="36" fillId="13" borderId="31" xfId="22" applyNumberFormat="1" applyFont="1" applyFill="1" applyBorder="1" applyAlignment="1">
      <alignment vertical="center"/>
    </xf>
    <xf numFmtId="0" fontId="36" fillId="13" borderId="32" xfId="22" applyFont="1" applyFill="1" applyBorder="1" applyAlignment="1">
      <alignment vertical="center"/>
    </xf>
    <xf numFmtId="0" fontId="36" fillId="13" borderId="31" xfId="22" applyFont="1" applyFill="1" applyBorder="1" applyAlignment="1">
      <alignment vertical="center"/>
    </xf>
    <xf numFmtId="0" fontId="36" fillId="13" borderId="30" xfId="22" applyFont="1" applyFill="1" applyBorder="1" applyAlignment="1">
      <alignment vertical="center"/>
    </xf>
    <xf numFmtId="10" fontId="36" fillId="13" borderId="30" xfId="31" applyNumberFormat="1" applyFont="1" applyFill="1" applyBorder="1" applyAlignment="1" applyProtection="1">
      <alignment vertical="center"/>
      <protection hidden="1"/>
    </xf>
    <xf numFmtId="2" fontId="35" fillId="16" borderId="29" xfId="28" applyNumberFormat="1" applyFont="1" applyFill="1" applyBorder="1" applyAlignment="1" applyProtection="1">
      <alignment vertical="center"/>
      <protection hidden="1"/>
    </xf>
    <xf numFmtId="0" fontId="36" fillId="14" borderId="19" xfId="28" applyFont="1" applyFill="1" applyBorder="1" applyAlignment="1" applyProtection="1">
      <protection hidden="1"/>
    </xf>
    <xf numFmtId="0" fontId="35" fillId="0" borderId="0" xfId="17" applyNumberFormat="1" applyFont="1" applyFill="1" applyBorder="1" applyAlignment="1" applyProtection="1">
      <alignment horizontal="left" vertical="top"/>
      <protection hidden="1"/>
    </xf>
    <xf numFmtId="0" fontId="36" fillId="0" borderId="0" xfId="17" applyFont="1" applyFill="1" applyBorder="1" applyAlignment="1" applyProtection="1">
      <alignment horizontal="right"/>
      <protection hidden="1"/>
    </xf>
    <xf numFmtId="0" fontId="38" fillId="0" borderId="0" xfId="24" applyFont="1" applyFill="1" applyBorder="1" applyProtection="1">
      <protection hidden="1"/>
    </xf>
    <xf numFmtId="166" fontId="35" fillId="0" borderId="0" xfId="6" applyFont="1" applyFill="1" applyBorder="1" applyAlignment="1" applyProtection="1">
      <alignment horizontal="right"/>
      <protection hidden="1"/>
    </xf>
    <xf numFmtId="184" fontId="36" fillId="14" borderId="19" xfId="17" applyNumberFormat="1" applyFont="1" applyFill="1" applyBorder="1" applyAlignment="1" applyProtection="1">
      <alignment horizontal="right"/>
      <protection hidden="1"/>
    </xf>
    <xf numFmtId="10" fontId="36" fillId="14" borderId="19" xfId="31" applyNumberFormat="1" applyFont="1" applyFill="1" applyBorder="1" applyAlignment="1" applyProtection="1">
      <alignment horizontal="center"/>
      <protection locked="0"/>
    </xf>
    <xf numFmtId="0" fontId="36" fillId="0" borderId="33" xfId="17" applyFont="1" applyFill="1" applyBorder="1" applyAlignment="1" applyProtection="1">
      <alignment horizontal="right"/>
      <protection hidden="1"/>
    </xf>
    <xf numFmtId="4" fontId="36" fillId="0" borderId="0" xfId="17" applyNumberFormat="1" applyFont="1" applyFill="1" applyBorder="1" applyAlignment="1" applyProtection="1">
      <alignment horizontal="right"/>
      <protection hidden="1"/>
    </xf>
    <xf numFmtId="184" fontId="36" fillId="13" borderId="33" xfId="17" applyNumberFormat="1" applyFont="1" applyFill="1" applyBorder="1" applyAlignment="1" applyProtection="1">
      <alignment horizontal="right"/>
      <protection hidden="1"/>
    </xf>
    <xf numFmtId="184" fontId="36" fillId="13" borderId="34" xfId="17" applyNumberFormat="1" applyFont="1" applyFill="1" applyBorder="1" applyAlignment="1" applyProtection="1">
      <alignment horizontal="right"/>
      <protection hidden="1"/>
    </xf>
    <xf numFmtId="184" fontId="36" fillId="13" borderId="35" xfId="17" applyNumberFormat="1" applyFont="1" applyFill="1" applyBorder="1" applyAlignment="1" applyProtection="1">
      <alignment horizontal="right"/>
      <protection hidden="1"/>
    </xf>
    <xf numFmtId="184" fontId="36" fillId="13" borderId="18" xfId="17" applyNumberFormat="1" applyFont="1" applyFill="1" applyBorder="1" applyAlignment="1" applyProtection="1">
      <alignment horizontal="right"/>
      <protection hidden="1"/>
    </xf>
    <xf numFmtId="184" fontId="35" fillId="13" borderId="0" xfId="17" applyNumberFormat="1" applyFont="1" applyFill="1" applyBorder="1" applyAlignment="1" applyProtection="1">
      <alignment horizontal="right"/>
      <protection hidden="1"/>
    </xf>
    <xf numFmtId="0" fontId="36" fillId="14" borderId="36" xfId="17" applyFont="1" applyFill="1" applyBorder="1" applyAlignment="1" applyProtection="1">
      <alignment horizontal="center"/>
      <protection hidden="1"/>
    </xf>
    <xf numFmtId="2" fontId="66" fillId="14" borderId="0" xfId="17" applyNumberFormat="1" applyFont="1" applyFill="1" applyBorder="1" applyAlignment="1" applyProtection="1">
      <alignment horizontal="left"/>
      <protection hidden="1"/>
    </xf>
    <xf numFmtId="0" fontId="36" fillId="0" borderId="0" xfId="0" applyFont="1" applyBorder="1"/>
    <xf numFmtId="0" fontId="36" fillId="0" borderId="33" xfId="17" applyFont="1" applyFill="1" applyBorder="1" applyAlignment="1" applyProtection="1">
      <alignment horizontal="center"/>
      <protection hidden="1"/>
    </xf>
    <xf numFmtId="0" fontId="35" fillId="14" borderId="19" xfId="19" applyFont="1" applyFill="1" applyBorder="1" applyAlignment="1">
      <alignment horizontal="center" vertical="center"/>
    </xf>
    <xf numFmtId="184" fontId="35" fillId="13" borderId="17" xfId="0" applyNumberFormat="1" applyFont="1" applyFill="1" applyBorder="1"/>
    <xf numFmtId="184" fontId="35" fillId="16" borderId="0" xfId="0" applyNumberFormat="1" applyFont="1" applyFill="1" applyBorder="1"/>
    <xf numFmtId="184" fontId="36" fillId="14" borderId="19" xfId="0" applyNumberFormat="1" applyFont="1" applyFill="1" applyBorder="1" applyAlignment="1">
      <alignment horizontal="center" vertical="center"/>
    </xf>
    <xf numFmtId="0" fontId="71" fillId="13" borderId="0" xfId="0" applyFont="1" applyFill="1" applyAlignment="1">
      <alignment vertical="center"/>
    </xf>
    <xf numFmtId="0" fontId="70" fillId="13" borderId="0" xfId="0" applyFont="1" applyFill="1" applyAlignment="1">
      <alignment vertical="center"/>
    </xf>
    <xf numFmtId="0" fontId="84" fillId="13" borderId="0" xfId="0" applyFont="1" applyFill="1" applyAlignment="1">
      <alignment vertical="center"/>
    </xf>
    <xf numFmtId="0" fontId="70" fillId="13" borderId="0" xfId="0" applyFont="1" applyFill="1" applyAlignment="1">
      <alignment horizontal="center" vertical="center"/>
    </xf>
    <xf numFmtId="0" fontId="70" fillId="13" borderId="0" xfId="0" applyFont="1" applyFill="1" applyAlignment="1">
      <alignment horizontal="right" vertical="center"/>
    </xf>
    <xf numFmtId="0" fontId="36" fillId="0" borderId="0" xfId="0" applyFont="1" applyFill="1" applyBorder="1" applyAlignment="1">
      <alignment vertical="center"/>
    </xf>
    <xf numFmtId="0" fontId="39" fillId="0" borderId="0" xfId="0" applyFont="1" applyFill="1" applyBorder="1" applyAlignment="1">
      <alignment vertical="center"/>
    </xf>
    <xf numFmtId="184" fontId="36" fillId="0" borderId="0" xfId="0" applyNumberFormat="1" applyFont="1" applyFill="1" applyBorder="1" applyAlignment="1">
      <alignment horizontal="right" vertical="center"/>
    </xf>
    <xf numFmtId="0" fontId="35" fillId="14" borderId="0" xfId="19" applyFont="1" applyFill="1" applyBorder="1" applyAlignment="1">
      <alignment horizontal="center" vertical="center"/>
    </xf>
    <xf numFmtId="3" fontId="35" fillId="0" borderId="0" xfId="33" applyNumberFormat="1" applyFont="1" applyAlignment="1">
      <alignment horizontal="right" vertical="center"/>
    </xf>
    <xf numFmtId="180" fontId="70" fillId="14" borderId="0" xfId="0" applyNumberFormat="1" applyFont="1" applyFill="1" applyBorder="1" applyAlignment="1" applyProtection="1">
      <alignment horizontal="right" vertical="center"/>
    </xf>
    <xf numFmtId="9" fontId="70" fillId="14" borderId="0" xfId="31" applyFont="1" applyFill="1" applyBorder="1" applyAlignment="1" applyProtection="1">
      <alignment horizontal="right" vertical="center"/>
    </xf>
    <xf numFmtId="186" fontId="21" fillId="14" borderId="0" xfId="0" applyNumberFormat="1" applyFont="1" applyFill="1"/>
    <xf numFmtId="186" fontId="35" fillId="0" borderId="0" xfId="21" applyNumberFormat="1" applyFont="1" applyFill="1" applyAlignment="1"/>
    <xf numFmtId="184" fontId="71" fillId="14" borderId="0" xfId="0" applyNumberFormat="1" applyFont="1" applyFill="1" applyAlignment="1">
      <alignment vertical="center"/>
    </xf>
    <xf numFmtId="186" fontId="21" fillId="0" borderId="20" xfId="0" applyNumberFormat="1" applyFont="1" applyBorder="1"/>
    <xf numFmtId="49" fontId="43" fillId="0" borderId="0" xfId="21" applyNumberFormat="1" applyFont="1" applyFill="1" applyBorder="1" applyAlignment="1"/>
    <xf numFmtId="4" fontId="36" fillId="0" borderId="0" xfId="5" applyNumberFormat="1" applyFont="1" applyFill="1" applyAlignment="1">
      <alignment horizontal="center"/>
    </xf>
    <xf numFmtId="0" fontId="36" fillId="0" borderId="0" xfId="33" applyFont="1" applyAlignment="1">
      <alignment vertical="center"/>
    </xf>
    <xf numFmtId="0" fontId="63" fillId="0" borderId="0" xfId="0" applyFont="1" applyAlignment="1">
      <alignment horizontal="center"/>
    </xf>
    <xf numFmtId="2" fontId="30" fillId="0" borderId="0" xfId="0" applyNumberFormat="1" applyFont="1"/>
    <xf numFmtId="2" fontId="21" fillId="0" borderId="0" xfId="0" applyNumberFormat="1" applyFont="1"/>
    <xf numFmtId="0" fontId="35" fillId="0" borderId="0" xfId="0" applyFont="1" applyAlignment="1">
      <alignment horizontal="left" vertical="center" wrapText="1"/>
    </xf>
    <xf numFmtId="0" fontId="22" fillId="16" borderId="0" xfId="0" applyFont="1" applyFill="1" applyAlignment="1">
      <alignment horizontal="center" vertical="center" wrapText="1"/>
    </xf>
    <xf numFmtId="182" fontId="36" fillId="13" borderId="19" xfId="20" applyNumberFormat="1" applyFont="1" applyFill="1" applyBorder="1" applyAlignment="1" applyProtection="1">
      <alignment vertical="center"/>
      <protection hidden="1"/>
    </xf>
    <xf numFmtId="182" fontId="44" fillId="0" borderId="0" xfId="31" applyNumberFormat="1" applyFont="1" applyFill="1" applyBorder="1" applyAlignment="1" applyProtection="1">
      <alignment horizontal="left" vertical="top" wrapText="1"/>
      <protection locked="0"/>
    </xf>
    <xf numFmtId="4" fontId="36" fillId="15" borderId="17" xfId="31" applyNumberFormat="1" applyFont="1" applyFill="1" applyBorder="1" applyAlignment="1" applyProtection="1">
      <alignment horizontal="center" vertical="center"/>
      <protection hidden="1"/>
    </xf>
    <xf numFmtId="182" fontId="21" fillId="0" borderId="0" xfId="31" applyNumberFormat="1" applyFont="1" applyFill="1" applyBorder="1" applyAlignment="1" applyProtection="1">
      <alignment horizontal="left" vertical="top" wrapText="1"/>
      <protection locked="0"/>
    </xf>
    <xf numFmtId="0" fontId="73" fillId="14" borderId="19" xfId="21" applyFont="1" applyFill="1" applyBorder="1" applyAlignment="1">
      <alignment horizontal="right" vertical="center"/>
    </xf>
    <xf numFmtId="182" fontId="85" fillId="0" borderId="0" xfId="31" applyNumberFormat="1" applyFont="1" applyFill="1" applyBorder="1" applyAlignment="1" applyProtection="1">
      <alignment horizontal="left" vertical="top"/>
      <protection locked="0"/>
    </xf>
    <xf numFmtId="182" fontId="44" fillId="0" borderId="0" xfId="31" applyNumberFormat="1" applyFont="1" applyFill="1" applyBorder="1" applyAlignment="1" applyProtection="1">
      <alignment vertical="top"/>
      <protection locked="0"/>
    </xf>
    <xf numFmtId="182" fontId="21" fillId="0" borderId="0" xfId="31" applyNumberFormat="1" applyFont="1" applyFill="1" applyBorder="1" applyAlignment="1" applyProtection="1">
      <alignment vertical="top"/>
      <protection locked="0"/>
    </xf>
    <xf numFmtId="0" fontId="36" fillId="14" borderId="0" xfId="28" applyFont="1" applyFill="1" applyBorder="1" applyAlignment="1" applyProtection="1">
      <protection hidden="1"/>
    </xf>
    <xf numFmtId="178" fontId="35" fillId="13" borderId="0" xfId="17" applyNumberFormat="1" applyFont="1" applyFill="1" applyBorder="1" applyAlignment="1" applyProtection="1">
      <alignment horizontal="center"/>
      <protection hidden="1"/>
    </xf>
    <xf numFmtId="186" fontId="21" fillId="0" borderId="0" xfId="0" applyNumberFormat="1" applyFont="1"/>
    <xf numFmtId="0" fontId="39" fillId="0" borderId="0" xfId="19" applyFont="1" applyFill="1" applyBorder="1" applyAlignment="1">
      <alignment horizontal="center" vertical="center"/>
    </xf>
    <xf numFmtId="0" fontId="21" fillId="0" borderId="21" xfId="0" applyFont="1" applyFill="1" applyBorder="1" applyAlignment="1">
      <alignment horizontal="center"/>
    </xf>
    <xf numFmtId="0" fontId="64" fillId="0" borderId="0" xfId="19" applyFont="1" applyAlignment="1">
      <alignment horizontal="center" vertical="center"/>
    </xf>
    <xf numFmtId="0" fontId="64" fillId="0" borderId="0" xfId="19" applyFont="1" applyAlignment="1">
      <alignment vertical="center"/>
    </xf>
    <xf numFmtId="2" fontId="38" fillId="0" borderId="0" xfId="21" applyNumberFormat="1" applyFont="1" applyFill="1" applyBorder="1" applyAlignment="1">
      <alignment horizontal="center" vertical="center"/>
    </xf>
    <xf numFmtId="2" fontId="39" fillId="0" borderId="0" xfId="19" applyNumberFormat="1" applyFont="1" applyFill="1" applyAlignment="1">
      <alignment horizontal="center" vertical="center"/>
    </xf>
    <xf numFmtId="0" fontId="21" fillId="0" borderId="37" xfId="0" applyFont="1" applyFill="1" applyBorder="1"/>
    <xf numFmtId="0" fontId="36" fillId="0" borderId="37" xfId="0" applyFont="1" applyBorder="1" applyAlignment="1">
      <alignment horizontal="center"/>
    </xf>
    <xf numFmtId="0" fontId="36" fillId="0" borderId="37" xfId="0" applyNumberFormat="1" applyFont="1" applyBorder="1" applyAlignment="1">
      <alignment horizontal="center"/>
    </xf>
    <xf numFmtId="0" fontId="36" fillId="0" borderId="37" xfId="0" applyFont="1" applyBorder="1"/>
    <xf numFmtId="0" fontId="36" fillId="0" borderId="37" xfId="10" applyNumberFormat="1" applyFont="1" applyFill="1" applyBorder="1" applyAlignment="1"/>
    <xf numFmtId="180" fontId="21" fillId="0" borderId="37" xfId="0" applyNumberFormat="1" applyFont="1" applyBorder="1" applyAlignment="1">
      <alignment horizontal="right"/>
    </xf>
    <xf numFmtId="177" fontId="36" fillId="0" borderId="37" xfId="0" applyNumberFormat="1" applyFont="1" applyBorder="1" applyAlignment="1">
      <alignment horizontal="center"/>
    </xf>
    <xf numFmtId="1" fontId="36" fillId="0" borderId="37" xfId="0" applyNumberFormat="1" applyFont="1" applyFill="1" applyBorder="1" applyAlignment="1">
      <alignment horizontal="center"/>
    </xf>
    <xf numFmtId="2" fontId="36" fillId="0" borderId="15" xfId="0" applyNumberFormat="1" applyFont="1" applyBorder="1" applyAlignment="1">
      <alignment horizontal="center"/>
    </xf>
    <xf numFmtId="175" fontId="36" fillId="0" borderId="36" xfId="0" applyNumberFormat="1" applyFont="1" applyBorder="1"/>
    <xf numFmtId="2" fontId="36" fillId="0" borderId="37" xfId="10" applyNumberFormat="1" applyFont="1" applyFill="1" applyBorder="1" applyAlignment="1">
      <alignment horizontal="center"/>
    </xf>
    <xf numFmtId="165" fontId="36" fillId="0" borderId="37" xfId="10" applyFont="1" applyBorder="1"/>
    <xf numFmtId="184" fontId="36" fillId="0" borderId="37" xfId="0" applyNumberFormat="1" applyFont="1" applyFill="1" applyBorder="1"/>
    <xf numFmtId="0" fontId="36" fillId="0" borderId="0" xfId="0" applyFont="1" applyFill="1" applyAlignment="1">
      <alignment horizontal="center"/>
    </xf>
    <xf numFmtId="0" fontId="35" fillId="0" borderId="0" xfId="0" applyFont="1" applyFill="1" applyAlignment="1">
      <alignment horizontal="center"/>
    </xf>
    <xf numFmtId="43" fontId="36" fillId="0" borderId="0" xfId="2" applyNumberFormat="1" applyFont="1" applyFill="1" applyBorder="1" applyAlignment="1">
      <alignment horizontal="left" indent="1"/>
    </xf>
    <xf numFmtId="0" fontId="64" fillId="0" borderId="0" xfId="19" applyFont="1" applyBorder="1" applyAlignment="1">
      <alignment vertical="center"/>
    </xf>
    <xf numFmtId="0" fontId="64" fillId="0" borderId="0" xfId="19" applyFont="1" applyAlignment="1">
      <alignment horizontal="center" vertical="center" wrapText="1"/>
    </xf>
    <xf numFmtId="0" fontId="71" fillId="14" borderId="0" xfId="0" applyFont="1" applyFill="1" applyAlignment="1">
      <alignment horizontal="center"/>
    </xf>
    <xf numFmtId="3" fontId="21" fillId="0" borderId="0" xfId="0" applyNumberFormat="1" applyFont="1" applyAlignment="1">
      <alignment horizontal="center"/>
    </xf>
    <xf numFmtId="177" fontId="70" fillId="0" borderId="0" xfId="0" applyNumberFormat="1" applyFont="1" applyFill="1" applyBorder="1" applyAlignment="1">
      <alignment horizontal="center" vertical="center" wrapText="1"/>
    </xf>
    <xf numFmtId="177" fontId="86" fillId="0" borderId="37" xfId="0" applyNumberFormat="1" applyFont="1" applyFill="1" applyBorder="1" applyAlignment="1">
      <alignment horizontal="center"/>
    </xf>
    <xf numFmtId="177" fontId="36" fillId="0" borderId="37" xfId="0" applyNumberFormat="1" applyFont="1" applyFill="1" applyBorder="1" applyAlignment="1">
      <alignment horizontal="center"/>
    </xf>
    <xf numFmtId="180" fontId="36" fillId="0" borderId="0" xfId="21" applyNumberFormat="1" applyFont="1" applyFill="1" applyAlignment="1">
      <alignment horizontal="right"/>
    </xf>
    <xf numFmtId="3" fontId="21" fillId="0" borderId="0" xfId="0" applyNumberFormat="1" applyFont="1"/>
    <xf numFmtId="0" fontId="35" fillId="14" borderId="0" xfId="33" applyFont="1" applyFill="1" applyBorder="1" applyAlignment="1">
      <alignment horizontal="center" vertical="center"/>
    </xf>
    <xf numFmtId="0" fontId="21" fillId="0" borderId="20" xfId="0" applyFont="1" applyFill="1" applyBorder="1" applyAlignment="1">
      <alignment vertical="center"/>
    </xf>
    <xf numFmtId="0" fontId="59" fillId="13" borderId="19" xfId="26" applyFont="1" applyFill="1" applyBorder="1" applyAlignment="1">
      <alignment horizontal="center"/>
    </xf>
    <xf numFmtId="0" fontId="21" fillId="14" borderId="20" xfId="0" applyFont="1" applyFill="1" applyBorder="1" applyAlignment="1">
      <alignment horizontal="center" vertical="center"/>
    </xf>
    <xf numFmtId="184" fontId="36" fillId="13" borderId="33" xfId="17" applyNumberFormat="1" applyFont="1" applyFill="1" applyBorder="1" applyAlignment="1" applyProtection="1">
      <alignment horizontal="right"/>
      <protection hidden="1"/>
    </xf>
    <xf numFmtId="184" fontId="36" fillId="13" borderId="34" xfId="17" applyNumberFormat="1" applyFont="1" applyFill="1" applyBorder="1" applyAlignment="1" applyProtection="1">
      <alignment horizontal="right"/>
      <protection hidden="1"/>
    </xf>
    <xf numFmtId="184" fontId="36" fillId="13" borderId="35" xfId="17" applyNumberFormat="1" applyFont="1" applyFill="1" applyBorder="1" applyAlignment="1" applyProtection="1">
      <alignment horizontal="right"/>
      <protection hidden="1"/>
    </xf>
    <xf numFmtId="184" fontId="36" fillId="13" borderId="18" xfId="17" applyNumberFormat="1" applyFont="1" applyFill="1" applyBorder="1" applyAlignment="1" applyProtection="1">
      <alignment horizontal="right"/>
      <protection hidden="1"/>
    </xf>
    <xf numFmtId="184" fontId="35" fillId="13" borderId="0" xfId="17" applyNumberFormat="1" applyFont="1" applyFill="1" applyBorder="1" applyAlignment="1" applyProtection="1">
      <alignment horizontal="right"/>
      <protection hidden="1"/>
    </xf>
    <xf numFmtId="4" fontId="36" fillId="0" borderId="20" xfId="0" applyNumberFormat="1" applyFont="1" applyBorder="1"/>
    <xf numFmtId="4" fontId="36" fillId="0" borderId="20" xfId="0" applyNumberFormat="1" applyFont="1" applyBorder="1" applyAlignment="1">
      <alignment horizontal="center"/>
    </xf>
    <xf numFmtId="0" fontId="36" fillId="14" borderId="19" xfId="17" applyNumberFormat="1" applyFont="1" applyFill="1" applyBorder="1" applyAlignment="1" applyProtection="1">
      <alignment horizontal="right"/>
      <protection hidden="1"/>
    </xf>
    <xf numFmtId="190" fontId="21" fillId="0" borderId="9" xfId="23" applyNumberFormat="1" applyFont="1" applyFill="1" applyBorder="1" applyAlignment="1">
      <alignment horizontal="center" vertical="center"/>
    </xf>
    <xf numFmtId="3" fontId="36" fillId="0" borderId="19" xfId="0" applyNumberFormat="1" applyFont="1" applyFill="1" applyBorder="1" applyAlignment="1">
      <alignment horizontal="center" vertical="center"/>
    </xf>
    <xf numFmtId="0" fontId="64" fillId="0" borderId="0" xfId="0" applyFont="1" applyAlignment="1">
      <alignment horizontal="center" vertical="center" wrapText="1"/>
    </xf>
    <xf numFmtId="0" fontId="64" fillId="0" borderId="0" xfId="0" applyFont="1" applyAlignment="1">
      <alignment vertical="center" wrapText="1"/>
    </xf>
    <xf numFmtId="4" fontId="36" fillId="0" borderId="9" xfId="23" applyNumberFormat="1" applyFont="1" applyFill="1" applyBorder="1" applyAlignment="1">
      <alignment horizontal="center" vertical="center"/>
    </xf>
    <xf numFmtId="184" fontId="36" fillId="0" borderId="12" xfId="23" applyNumberFormat="1" applyFont="1" applyFill="1" applyBorder="1" applyAlignment="1">
      <alignment horizontal="center" vertical="center"/>
    </xf>
    <xf numFmtId="184" fontId="36" fillId="8" borderId="9" xfId="23" applyNumberFormat="1" applyFont="1" applyFill="1" applyBorder="1" applyAlignment="1">
      <alignment horizontal="center" vertical="center"/>
    </xf>
    <xf numFmtId="184" fontId="36" fillId="8" borderId="12" xfId="23" applyNumberFormat="1" applyFont="1" applyFill="1" applyBorder="1" applyAlignment="1">
      <alignment horizontal="center" vertical="center"/>
    </xf>
    <xf numFmtId="49" fontId="60" fillId="0" borderId="0" xfId="2" applyNumberFormat="1" applyFont="1" applyFill="1" applyBorder="1" applyAlignment="1" applyProtection="1">
      <protection hidden="1"/>
    </xf>
    <xf numFmtId="0" fontId="21" fillId="0" borderId="0" xfId="23"/>
    <xf numFmtId="184" fontId="21" fillId="0" borderId="0" xfId="23" applyNumberFormat="1"/>
    <xf numFmtId="0" fontId="40" fillId="0" borderId="0" xfId="23" applyFont="1"/>
    <xf numFmtId="49" fontId="60" fillId="0" borderId="0" xfId="2" applyNumberFormat="1" applyFont="1" applyFill="1" applyBorder="1" applyAlignment="1" applyProtection="1">
      <alignment horizontal="center" wrapText="1"/>
      <protection hidden="1"/>
    </xf>
    <xf numFmtId="0" fontId="71" fillId="13" borderId="0" xfId="0" applyFont="1" applyFill="1" applyAlignment="1">
      <alignment vertical="center"/>
    </xf>
    <xf numFmtId="0" fontId="70" fillId="13" borderId="0" xfId="0" applyFont="1" applyFill="1" applyAlignment="1">
      <alignment vertical="center"/>
    </xf>
    <xf numFmtId="0" fontId="84" fillId="13" borderId="0" xfId="0" applyFont="1" applyFill="1" applyAlignment="1">
      <alignment vertical="center"/>
    </xf>
    <xf numFmtId="0" fontId="70" fillId="13" borderId="0" xfId="0" applyFont="1" applyFill="1" applyAlignment="1">
      <alignment horizontal="center" vertical="center"/>
    </xf>
    <xf numFmtId="0" fontId="35" fillId="0" borderId="0" xfId="0" applyFont="1" applyFill="1" applyAlignment="1">
      <alignment horizontal="right" vertical="center"/>
    </xf>
    <xf numFmtId="190" fontId="21" fillId="0" borderId="0" xfId="23" applyNumberFormat="1" applyFont="1" applyFill="1" applyBorder="1" applyAlignment="1">
      <alignment horizontal="center" vertical="center"/>
    </xf>
    <xf numFmtId="3" fontId="36" fillId="0" borderId="0" xfId="0" applyNumberFormat="1" applyFont="1" applyFill="1" applyBorder="1" applyAlignment="1">
      <alignment horizontal="center" vertical="center"/>
    </xf>
    <xf numFmtId="3" fontId="36" fillId="0" borderId="0" xfId="0" applyNumberFormat="1" applyFont="1" applyFill="1" applyBorder="1" applyAlignment="1">
      <alignment horizontal="left" vertical="top" wrapText="1"/>
    </xf>
    <xf numFmtId="191" fontId="36" fillId="0" borderId="19" xfId="36" applyNumberFormat="1" applyFont="1" applyFill="1" applyBorder="1" applyAlignment="1">
      <alignment horizontal="center" vertical="center"/>
    </xf>
    <xf numFmtId="0" fontId="34" fillId="11" borderId="0" xfId="0" applyFont="1" applyFill="1" applyAlignment="1">
      <alignment horizontal="center" vertical="center"/>
    </xf>
    <xf numFmtId="184" fontId="36" fillId="8" borderId="14" xfId="0" applyNumberFormat="1" applyFont="1" applyFill="1" applyBorder="1" applyAlignment="1">
      <alignment horizontal="center" vertical="center"/>
    </xf>
    <xf numFmtId="0" fontId="34" fillId="11" borderId="0" xfId="0" applyFont="1" applyFill="1" applyAlignment="1">
      <alignment horizontal="right" vertical="center"/>
    </xf>
    <xf numFmtId="184" fontId="36" fillId="0" borderId="13" xfId="0" applyNumberFormat="1" applyFont="1" applyFill="1" applyBorder="1" applyAlignment="1">
      <alignment horizontal="right" vertical="center"/>
    </xf>
    <xf numFmtId="184" fontId="36" fillId="0" borderId="14" xfId="0" applyNumberFormat="1" applyFont="1" applyFill="1" applyBorder="1" applyAlignment="1">
      <alignment horizontal="right" vertical="center"/>
    </xf>
    <xf numFmtId="184" fontId="36" fillId="8" borderId="0" xfId="0" applyNumberFormat="1" applyFont="1" applyFill="1" applyAlignment="1">
      <alignment vertical="center" wrapText="1"/>
    </xf>
    <xf numFmtId="0" fontId="35" fillId="18" borderId="17" xfId="28" applyFont="1" applyFill="1" applyBorder="1" applyAlignment="1" applyProtection="1">
      <alignment horizontal="center" vertical="center" textRotation="90"/>
      <protection hidden="1"/>
    </xf>
    <xf numFmtId="186" fontId="22" fillId="12" borderId="0" xfId="21" applyNumberFormat="1" applyFont="1" applyFill="1" applyAlignment="1">
      <alignment horizontal="center"/>
    </xf>
    <xf numFmtId="0" fontId="36" fillId="10" borderId="16" xfId="0" applyFont="1" applyFill="1" applyBorder="1" applyAlignment="1">
      <alignment horizontal="center"/>
    </xf>
    <xf numFmtId="0" fontId="24" fillId="0" borderId="19" xfId="18" applyBorder="1"/>
    <xf numFmtId="187" fontId="36" fillId="0" borderId="19" xfId="0" applyNumberFormat="1" applyFont="1" applyBorder="1"/>
    <xf numFmtId="192" fontId="36" fillId="0" borderId="19" xfId="0" applyNumberFormat="1" applyFont="1" applyBorder="1" applyAlignment="1">
      <alignment horizontal="center"/>
    </xf>
    <xf numFmtId="0" fontId="37" fillId="0" borderId="0" xfId="21" applyNumberFormat="1" applyFont="1" applyFill="1" applyBorder="1" applyAlignment="1">
      <alignment horizontal="left"/>
    </xf>
    <xf numFmtId="2" fontId="68" fillId="0" borderId="0" xfId="21" applyNumberFormat="1" applyFont="1" applyFill="1" applyBorder="1" applyAlignment="1"/>
    <xf numFmtId="0" fontId="0" fillId="13" borderId="0" xfId="0" applyFill="1" applyAlignment="1">
      <alignment vertical="center"/>
    </xf>
    <xf numFmtId="2" fontId="65" fillId="13" borderId="0" xfId="0" applyNumberFormat="1" applyFont="1" applyFill="1" applyAlignment="1">
      <alignment horizontal="center" vertical="center"/>
    </xf>
    <xf numFmtId="2" fontId="36" fillId="0" borderId="37" xfId="20" applyNumberFormat="1" applyFont="1" applyFill="1" applyBorder="1" applyProtection="1">
      <protection hidden="1"/>
    </xf>
    <xf numFmtId="0" fontId="36" fillId="0" borderId="37" xfId="22" applyFont="1" applyBorder="1"/>
    <xf numFmtId="2" fontId="35" fillId="13" borderId="39" xfId="20" applyNumberFormat="1" applyFont="1" applyFill="1" applyBorder="1" applyAlignment="1" applyProtection="1">
      <alignment horizontal="center"/>
      <protection hidden="1"/>
    </xf>
    <xf numFmtId="0" fontId="21" fillId="0" borderId="37" xfId="0" applyFont="1" applyBorder="1"/>
    <xf numFmtId="0" fontId="36" fillId="0" borderId="37" xfId="22" applyFont="1" applyFill="1" applyBorder="1"/>
    <xf numFmtId="0" fontId="36" fillId="0" borderId="37" xfId="20" applyFont="1" applyFill="1" applyBorder="1" applyAlignment="1" applyProtection="1">
      <alignment vertical="center"/>
      <protection hidden="1"/>
    </xf>
    <xf numFmtId="182" fontId="35" fillId="16" borderId="29" xfId="31" applyNumberFormat="1" applyFont="1" applyFill="1" applyBorder="1" applyAlignment="1" applyProtection="1">
      <alignment vertical="center"/>
      <protection hidden="1"/>
    </xf>
    <xf numFmtId="182" fontId="35" fillId="16" borderId="25" xfId="22" applyNumberFormat="1" applyFont="1" applyFill="1" applyBorder="1" applyAlignment="1"/>
    <xf numFmtId="0" fontId="73" fillId="14" borderId="0" xfId="0" applyFont="1" applyFill="1" applyBorder="1" applyAlignment="1">
      <alignment horizontal="center" vertical="center"/>
    </xf>
    <xf numFmtId="0" fontId="82" fillId="14" borderId="0" xfId="0" applyFont="1" applyFill="1" applyBorder="1"/>
    <xf numFmtId="0" fontId="87" fillId="14" borderId="0" xfId="0" applyFont="1" applyFill="1" applyBorder="1" applyAlignment="1">
      <alignment vertical="center"/>
    </xf>
    <xf numFmtId="0" fontId="21" fillId="14" borderId="17" xfId="0" applyFont="1" applyFill="1" applyBorder="1" applyAlignment="1">
      <alignment horizontal="center"/>
    </xf>
    <xf numFmtId="4" fontId="36" fillId="0" borderId="19" xfId="0" applyNumberFormat="1" applyFont="1" applyFill="1" applyBorder="1" applyAlignment="1">
      <alignment horizontal="center" vertical="center"/>
    </xf>
    <xf numFmtId="10" fontId="0" fillId="0" borderId="0" xfId="0" applyNumberFormat="1"/>
    <xf numFmtId="191" fontId="36" fillId="0" borderId="0" xfId="0" applyNumberFormat="1" applyFont="1"/>
    <xf numFmtId="184" fontId="36" fillId="0" borderId="37" xfId="0" applyNumberFormat="1" applyFont="1" applyFill="1" applyBorder="1"/>
    <xf numFmtId="0" fontId="36" fillId="0" borderId="37" xfId="22" applyFont="1" applyFill="1" applyBorder="1"/>
    <xf numFmtId="10" fontId="22" fillId="13" borderId="25" xfId="27" applyNumberFormat="1" applyFont="1" applyFill="1" applyBorder="1"/>
    <xf numFmtId="0" fontId="62" fillId="0" borderId="0" xfId="0" applyFont="1" applyFill="1" applyAlignment="1">
      <alignment vertical="center"/>
    </xf>
    <xf numFmtId="10" fontId="22" fillId="13" borderId="25" xfId="27" applyNumberFormat="1" applyFont="1" applyFill="1" applyBorder="1"/>
    <xf numFmtId="10" fontId="22" fillId="0" borderId="25" xfId="27" applyNumberFormat="1" applyFont="1" applyFill="1" applyBorder="1"/>
    <xf numFmtId="182" fontId="36" fillId="13" borderId="25" xfId="20" applyNumberFormat="1" applyFont="1" applyFill="1" applyBorder="1" applyAlignment="1" applyProtection="1">
      <alignment vertical="center"/>
      <protection hidden="1"/>
    </xf>
    <xf numFmtId="0" fontId="21" fillId="19" borderId="37" xfId="0" applyFont="1" applyFill="1" applyBorder="1"/>
    <xf numFmtId="0" fontId="36" fillId="19" borderId="37" xfId="22" applyFont="1" applyFill="1" applyBorder="1"/>
    <xf numFmtId="182" fontId="36" fillId="19" borderId="25" xfId="20" applyNumberFormat="1" applyFont="1" applyFill="1" applyBorder="1" applyAlignment="1" applyProtection="1">
      <alignment vertical="center"/>
      <protection hidden="1"/>
    </xf>
    <xf numFmtId="4" fontId="35" fillId="13" borderId="17" xfId="3" applyNumberFormat="1" applyFont="1" applyFill="1" applyBorder="1" applyAlignment="1" applyProtection="1">
      <alignment horizontal="center" vertical="center"/>
      <protection hidden="1"/>
    </xf>
    <xf numFmtId="193" fontId="21" fillId="0" borderId="0" xfId="0" applyNumberFormat="1" applyFont="1"/>
    <xf numFmtId="2" fontId="36" fillId="18" borderId="17" xfId="28" applyNumberFormat="1" applyFont="1" applyFill="1" applyBorder="1" applyAlignment="1" applyProtection="1">
      <alignment horizontal="center" vertical="center" textRotation="90"/>
      <protection hidden="1"/>
    </xf>
    <xf numFmtId="2" fontId="36" fillId="13" borderId="17" xfId="28" applyNumberFormat="1" applyFont="1" applyFill="1" applyBorder="1" applyAlignment="1" applyProtection="1">
      <alignment horizontal="center" vertical="center" textRotation="90"/>
      <protection hidden="1"/>
    </xf>
    <xf numFmtId="0" fontId="36" fillId="18" borderId="17" xfId="28" applyFont="1" applyFill="1" applyBorder="1" applyAlignment="1" applyProtection="1">
      <alignment horizontal="center" vertical="center" textRotation="90"/>
      <protection hidden="1"/>
    </xf>
    <xf numFmtId="0" fontId="43" fillId="18" borderId="17" xfId="28" applyNumberFormat="1" applyFont="1" applyFill="1" applyBorder="1" applyAlignment="1" applyProtection="1">
      <alignment horizontal="center" vertical="center" textRotation="90"/>
      <protection hidden="1"/>
    </xf>
    <xf numFmtId="182" fontId="43" fillId="13" borderId="17" xfId="31" applyNumberFormat="1" applyFont="1" applyFill="1" applyBorder="1" applyAlignment="1" applyProtection="1">
      <alignment horizontal="center" vertical="center"/>
      <protection hidden="1"/>
    </xf>
    <xf numFmtId="0" fontId="60" fillId="18" borderId="17" xfId="28" applyFont="1" applyFill="1" applyBorder="1" applyAlignment="1" applyProtection="1">
      <alignment horizontal="center" vertical="center" textRotation="90"/>
      <protection hidden="1"/>
    </xf>
    <xf numFmtId="4" fontId="36" fillId="13" borderId="17" xfId="3" applyNumberFormat="1" applyFont="1" applyFill="1" applyBorder="1" applyAlignment="1" applyProtection="1">
      <alignment horizontal="center" vertical="center"/>
      <protection locked="0"/>
    </xf>
    <xf numFmtId="4" fontId="36" fillId="17" borderId="17" xfId="3" applyNumberFormat="1" applyFont="1" applyFill="1" applyBorder="1" applyAlignment="1" applyProtection="1">
      <alignment horizontal="center" vertical="center"/>
      <protection locked="0"/>
    </xf>
    <xf numFmtId="4" fontId="43" fillId="13" borderId="17" xfId="3" applyNumberFormat="1" applyFont="1" applyFill="1" applyBorder="1" applyAlignment="1" applyProtection="1">
      <alignment horizontal="center" vertical="center"/>
      <protection locked="0"/>
    </xf>
    <xf numFmtId="4" fontId="35" fillId="13" borderId="17" xfId="4" applyNumberFormat="1" applyFont="1" applyFill="1" applyBorder="1" applyAlignment="1" applyProtection="1">
      <alignment horizontal="center" vertical="center"/>
      <protection hidden="1"/>
    </xf>
    <xf numFmtId="194" fontId="43" fillId="0" borderId="0" xfId="21" applyNumberFormat="1" applyFont="1" applyFill="1" applyAlignment="1"/>
    <xf numFmtId="186" fontId="36" fillId="0" borderId="0" xfId="21" applyNumberFormat="1" applyFont="1" applyFill="1" applyAlignment="1"/>
    <xf numFmtId="16" fontId="36" fillId="0" borderId="19" xfId="0" applyNumberFormat="1" applyFont="1" applyBorder="1" applyAlignment="1">
      <alignment horizontal="center"/>
    </xf>
    <xf numFmtId="0" fontId="0" fillId="0" borderId="0" xfId="0" applyAlignment="1">
      <alignment horizontal="center"/>
    </xf>
    <xf numFmtId="0" fontId="36" fillId="0" borderId="19" xfId="0" applyFont="1" applyBorder="1"/>
    <xf numFmtId="192" fontId="36" fillId="0" borderId="19" xfId="0" applyNumberFormat="1" applyFont="1" applyBorder="1" applyAlignment="1">
      <alignment horizontal="center"/>
    </xf>
    <xf numFmtId="0" fontId="21" fillId="0" borderId="37" xfId="0" applyFont="1" applyFill="1" applyBorder="1"/>
    <xf numFmtId="165" fontId="36" fillId="15" borderId="19" xfId="10" applyFont="1" applyFill="1" applyBorder="1" applyAlignment="1">
      <alignment horizontal="center"/>
    </xf>
    <xf numFmtId="175" fontId="36" fillId="0" borderId="36" xfId="0" applyNumberFormat="1" applyFont="1" applyBorder="1"/>
    <xf numFmtId="2" fontId="36" fillId="0" borderId="37" xfId="10" applyNumberFormat="1" applyFont="1" applyFill="1" applyBorder="1" applyAlignment="1">
      <alignment horizontal="center"/>
    </xf>
    <xf numFmtId="165" fontId="36" fillId="0" borderId="37" xfId="10" applyFont="1" applyBorder="1"/>
    <xf numFmtId="1" fontId="36" fillId="0" borderId="37" xfId="0" applyNumberFormat="1" applyFont="1" applyFill="1" applyBorder="1" applyAlignment="1">
      <alignment horizontal="center"/>
    </xf>
    <xf numFmtId="0" fontId="24" fillId="0" borderId="19" xfId="18" applyBorder="1"/>
    <xf numFmtId="187" fontId="36" fillId="0" borderId="19" xfId="0" applyNumberFormat="1" applyFont="1" applyBorder="1"/>
    <xf numFmtId="4" fontId="36" fillId="16" borderId="19" xfId="23" applyNumberFormat="1" applyFont="1" applyFill="1" applyBorder="1" applyAlignment="1">
      <alignment horizontal="center" vertical="center"/>
    </xf>
    <xf numFmtId="184" fontId="36" fillId="16" borderId="19" xfId="23" applyNumberFormat="1" applyFont="1" applyFill="1" applyBorder="1" applyAlignment="1">
      <alignment horizontal="center" vertical="center"/>
    </xf>
    <xf numFmtId="4" fontId="36" fillId="0" borderId="0" xfId="0" applyNumberFormat="1" applyFont="1"/>
    <xf numFmtId="9" fontId="35" fillId="13" borderId="17" xfId="0" applyNumberFormat="1" applyFont="1" applyFill="1" applyBorder="1" applyAlignment="1">
      <alignment horizont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right" vertical="center"/>
    </xf>
    <xf numFmtId="0" fontId="35" fillId="0" borderId="50" xfId="0" applyFont="1" applyBorder="1" applyAlignment="1">
      <alignment horizontal="center" vertical="center"/>
    </xf>
    <xf numFmtId="4" fontId="35" fillId="0" borderId="23" xfId="0" applyNumberFormat="1" applyFont="1" applyBorder="1" applyAlignment="1">
      <alignment horizontal="center" vertical="center"/>
    </xf>
    <xf numFmtId="4" fontId="36" fillId="13" borderId="17" xfId="0" applyNumberFormat="1" applyFont="1" applyFill="1" applyBorder="1" applyAlignment="1">
      <alignment horizontal="center"/>
    </xf>
    <xf numFmtId="0" fontId="43" fillId="0" borderId="0" xfId="0" applyFont="1" applyBorder="1" applyAlignment="1">
      <alignment horizontal="left" indent="4"/>
    </xf>
    <xf numFmtId="0" fontId="21" fillId="0" borderId="37" xfId="0" applyFont="1" applyBorder="1" applyAlignment="1">
      <alignment wrapText="1"/>
    </xf>
    <xf numFmtId="10" fontId="22" fillId="0" borderId="25" xfId="27" applyNumberFormat="1" applyFont="1" applyFill="1" applyBorder="1" applyAlignment="1">
      <alignment horizontal="right"/>
    </xf>
    <xf numFmtId="182" fontId="35" fillId="13" borderId="25" xfId="20" applyNumberFormat="1" applyFont="1" applyFill="1" applyBorder="1" applyAlignment="1" applyProtection="1">
      <alignment vertical="center"/>
      <protection hidden="1"/>
    </xf>
    <xf numFmtId="0" fontId="62" fillId="0" borderId="0" xfId="0" applyFont="1" applyAlignment="1">
      <alignment horizontal="center" vertical="center"/>
    </xf>
    <xf numFmtId="4" fontId="22" fillId="13" borderId="54" xfId="0" applyNumberFormat="1" applyFont="1" applyFill="1" applyBorder="1" applyAlignment="1">
      <alignment horizontal="center" vertical="center"/>
    </xf>
    <xf numFmtId="0" fontId="22" fillId="13" borderId="55" xfId="0" applyFont="1" applyFill="1" applyBorder="1" applyAlignment="1">
      <alignment vertical="center"/>
    </xf>
    <xf numFmtId="0" fontId="22" fillId="13" borderId="55" xfId="0" applyFont="1" applyFill="1" applyBorder="1" applyAlignment="1">
      <alignment horizontal="center" vertical="center"/>
    </xf>
    <xf numFmtId="0" fontId="21" fillId="13" borderId="55" xfId="0" applyFont="1" applyFill="1" applyBorder="1" applyAlignment="1">
      <alignment horizontal="center" vertical="center"/>
    </xf>
    <xf numFmtId="0" fontId="21" fillId="13" borderId="56" xfId="0" applyFont="1" applyFill="1" applyBorder="1" applyAlignment="1">
      <alignment horizontal="center" vertical="center"/>
    </xf>
    <xf numFmtId="0" fontId="22" fillId="13" borderId="57" xfId="0" applyFont="1" applyFill="1" applyBorder="1" applyAlignment="1">
      <alignment horizontal="center" vertical="center"/>
    </xf>
    <xf numFmtId="0" fontId="22" fillId="13" borderId="0" xfId="0" applyFont="1" applyFill="1" applyBorder="1" applyAlignment="1">
      <alignment vertical="center"/>
    </xf>
    <xf numFmtId="0" fontId="22" fillId="13" borderId="0" xfId="0" applyFont="1" applyFill="1" applyBorder="1" applyAlignment="1">
      <alignment horizontal="center" vertical="center"/>
    </xf>
    <xf numFmtId="0" fontId="21" fillId="13" borderId="0" xfId="0" applyFont="1" applyFill="1" applyBorder="1" applyAlignment="1">
      <alignment horizontal="center" vertical="center"/>
    </xf>
    <xf numFmtId="0" fontId="21" fillId="13" borderId="58" xfId="0" applyFont="1" applyFill="1" applyBorder="1" applyAlignment="1">
      <alignment horizontal="center" vertical="center"/>
    </xf>
    <xf numFmtId="0" fontId="22" fillId="13" borderId="60" xfId="0" applyFont="1" applyFill="1" applyBorder="1" applyAlignment="1">
      <alignment vertical="center"/>
    </xf>
    <xf numFmtId="0" fontId="22" fillId="13" borderId="60" xfId="0" applyFont="1" applyFill="1" applyBorder="1" applyAlignment="1">
      <alignment horizontal="center" vertical="center"/>
    </xf>
    <xf numFmtId="0" fontId="21" fillId="13" borderId="60" xfId="0" applyFont="1" applyFill="1" applyBorder="1" applyAlignment="1">
      <alignment horizontal="center" vertical="center"/>
    </xf>
    <xf numFmtId="0" fontId="21" fillId="13" borderId="61" xfId="0" applyFont="1" applyFill="1" applyBorder="1" applyAlignment="1">
      <alignment horizontal="center" vertical="center"/>
    </xf>
    <xf numFmtId="0" fontId="82" fillId="0" borderId="0" xfId="0" applyFont="1" applyAlignment="1">
      <alignment vertical="center"/>
    </xf>
    <xf numFmtId="0" fontId="73" fillId="0" borderId="0" xfId="0" applyFont="1" applyAlignment="1">
      <alignment vertical="center"/>
    </xf>
    <xf numFmtId="0" fontId="38" fillId="0" borderId="0" xfId="21" applyFont="1" applyFill="1" applyAlignment="1">
      <alignment vertical="center"/>
    </xf>
    <xf numFmtId="0" fontId="73" fillId="0" borderId="0" xfId="0" applyFont="1" applyAlignment="1">
      <alignment horizontal="center" vertical="center" textRotation="90" wrapText="1"/>
    </xf>
    <xf numFmtId="0" fontId="70" fillId="0" borderId="0" xfId="0" applyFont="1" applyAlignment="1">
      <alignment vertical="center" wrapText="1"/>
    </xf>
    <xf numFmtId="0" fontId="70" fillId="0" borderId="0" xfId="0" applyFont="1" applyAlignment="1">
      <alignment horizontal="center" vertical="center" wrapText="1"/>
    </xf>
    <xf numFmtId="0" fontId="22" fillId="0" borderId="0" xfId="0" applyFont="1" applyAlignment="1">
      <alignment horizontal="center" vertical="center" wrapText="1"/>
    </xf>
    <xf numFmtId="2" fontId="36" fillId="0" borderId="22" xfId="28" applyNumberFormat="1" applyFont="1" applyFill="1" applyBorder="1" applyAlignment="1" applyProtection="1">
      <alignment horizontal="center" vertical="center" textRotation="90" wrapText="1"/>
      <protection hidden="1"/>
    </xf>
    <xf numFmtId="2" fontId="36" fillId="0" borderId="23" xfId="28" applyNumberFormat="1" applyFont="1" applyFill="1" applyBorder="1" applyAlignment="1" applyProtection="1">
      <alignment horizontal="center" vertical="center" textRotation="90" wrapText="1"/>
      <protection hidden="1"/>
    </xf>
    <xf numFmtId="2" fontId="21" fillId="0" borderId="23" xfId="28" applyNumberFormat="1" applyFont="1" applyFill="1" applyBorder="1" applyAlignment="1" applyProtection="1">
      <alignment horizontal="center" vertical="center" textRotation="90" wrapText="1"/>
      <protection hidden="1"/>
    </xf>
    <xf numFmtId="0" fontId="36" fillId="0" borderId="23" xfId="28" applyFont="1" applyFill="1" applyBorder="1" applyAlignment="1" applyProtection="1">
      <alignment horizontal="center" vertical="center" textRotation="90" wrapText="1"/>
      <protection hidden="1"/>
    </xf>
    <xf numFmtId="0" fontId="35" fillId="0" borderId="23" xfId="28" applyFont="1" applyFill="1" applyBorder="1" applyAlignment="1" applyProtection="1">
      <alignment horizontal="center" vertical="center" textRotation="90" wrapText="1"/>
      <protection hidden="1"/>
    </xf>
    <xf numFmtId="0" fontId="21" fillId="0" borderId="0" xfId="0" applyFont="1" applyBorder="1" applyAlignment="1">
      <alignment horizontal="center" vertical="center" wrapText="1"/>
    </xf>
    <xf numFmtId="0" fontId="36" fillId="0" borderId="23" xfId="28" applyNumberFormat="1" applyFont="1" applyFill="1" applyBorder="1" applyAlignment="1" applyProtection="1">
      <alignment horizontal="center" vertical="center" textRotation="90" wrapText="1"/>
      <protection hidden="1"/>
    </xf>
    <xf numFmtId="0" fontId="43" fillId="0" borderId="23" xfId="28" applyNumberFormat="1" applyFont="1" applyFill="1" applyBorder="1" applyAlignment="1" applyProtection="1">
      <alignment horizontal="center" vertical="center" textRotation="90" wrapText="1"/>
      <protection hidden="1"/>
    </xf>
    <xf numFmtId="0" fontId="35" fillId="0" borderId="24" xfId="28" applyFont="1" applyFill="1" applyBorder="1" applyAlignment="1" applyProtection="1">
      <alignment horizontal="center" vertical="center" textRotation="90" wrapText="1"/>
      <protection hidden="1"/>
    </xf>
    <xf numFmtId="0" fontId="21" fillId="0" borderId="0" xfId="0" applyFont="1" applyAlignment="1">
      <alignment horizontal="center" vertical="center" wrapText="1"/>
    </xf>
    <xf numFmtId="0" fontId="21" fillId="0" borderId="0" xfId="0" applyFont="1" applyAlignment="1">
      <alignment horizontal="center" vertical="center" textRotation="90" wrapText="1"/>
    </xf>
    <xf numFmtId="0" fontId="72" fillId="0" borderId="0" xfId="0" applyFont="1" applyAlignment="1">
      <alignment vertical="center"/>
    </xf>
    <xf numFmtId="10" fontId="21" fillId="0" borderId="0" xfId="0" applyNumberFormat="1" applyFont="1" applyAlignment="1">
      <alignment horizontal="center" vertical="center"/>
    </xf>
    <xf numFmtId="179" fontId="21" fillId="0" borderId="21" xfId="0" applyNumberFormat="1" applyFont="1" applyFill="1" applyBorder="1" applyAlignment="1">
      <alignment horizontal="center"/>
    </xf>
    <xf numFmtId="2" fontId="36" fillId="0" borderId="20" xfId="2" applyNumberFormat="1" applyFont="1" applyFill="1" applyBorder="1" applyAlignment="1">
      <alignment horizontal="center"/>
    </xf>
    <xf numFmtId="2" fontId="36" fillId="0" borderId="20" xfId="0" applyNumberFormat="1" applyFont="1" applyBorder="1" applyAlignment="1">
      <alignment horizontal="center"/>
    </xf>
    <xf numFmtId="180" fontId="21" fillId="0" borderId="20" xfId="0" applyNumberFormat="1" applyFont="1" applyBorder="1" applyAlignment="1">
      <alignment horizontal="center"/>
    </xf>
    <xf numFmtId="180" fontId="21" fillId="0" borderId="26" xfId="0" applyNumberFormat="1" applyFont="1" applyBorder="1" applyAlignment="1">
      <alignment horizontal="center" vertical="center"/>
    </xf>
    <xf numFmtId="180" fontId="21" fillId="0" borderId="0" xfId="0" applyNumberFormat="1" applyFont="1"/>
    <xf numFmtId="180" fontId="21" fillId="0" borderId="38" xfId="0" applyNumberFormat="1" applyFont="1" applyBorder="1" applyAlignment="1">
      <alignment horizontal="center"/>
    </xf>
    <xf numFmtId="4" fontId="21" fillId="0" borderId="37" xfId="0" applyNumberFormat="1" applyFont="1" applyBorder="1" applyAlignment="1">
      <alignment horizontal="center" vertical="center"/>
    </xf>
    <xf numFmtId="4" fontId="21" fillId="0" borderId="38" xfId="0" applyNumberFormat="1" applyFont="1" applyBorder="1" applyAlignment="1">
      <alignment horizontal="center"/>
    </xf>
    <xf numFmtId="4" fontId="36" fillId="0" borderId="19" xfId="0" applyNumberFormat="1" applyFont="1" applyFill="1" applyBorder="1" applyAlignment="1">
      <alignment horizontal="center" vertical="top"/>
    </xf>
    <xf numFmtId="180" fontId="35" fillId="0" borderId="0" xfId="0" applyNumberFormat="1" applyFont="1" applyFill="1" applyAlignment="1">
      <alignment horizontal="center"/>
    </xf>
    <xf numFmtId="180" fontId="36" fillId="0" borderId="0" xfId="0" applyNumberFormat="1" applyFont="1" applyAlignment="1">
      <alignment horizontal="center"/>
    </xf>
    <xf numFmtId="180" fontId="35" fillId="0" borderId="0" xfId="0" applyNumberFormat="1" applyFont="1" applyAlignment="1">
      <alignment horizontal="center"/>
    </xf>
    <xf numFmtId="180" fontId="36" fillId="0" borderId="0" xfId="0" applyNumberFormat="1" applyFont="1" applyAlignment="1">
      <alignment horizontal="center" vertical="top"/>
    </xf>
    <xf numFmtId="186" fontId="35" fillId="0" borderId="0" xfId="21" applyNumberFormat="1" applyFont="1" applyFill="1" applyAlignment="1">
      <alignment vertical="center"/>
    </xf>
    <xf numFmtId="165" fontId="35" fillId="0" borderId="0" xfId="10" applyFont="1" applyAlignment="1">
      <alignment horizontal="center"/>
    </xf>
    <xf numFmtId="175" fontId="36" fillId="0" borderId="19" xfId="0" applyNumberFormat="1" applyFont="1" applyBorder="1" applyAlignment="1">
      <alignment horizontal="center"/>
    </xf>
    <xf numFmtId="0" fontId="41" fillId="0" borderId="0" xfId="0" applyFont="1" applyAlignment="1">
      <alignment horizontal="center"/>
    </xf>
    <xf numFmtId="0" fontId="42" fillId="0" borderId="0" xfId="0" applyFont="1" applyAlignment="1">
      <alignment horizontal="center"/>
    </xf>
    <xf numFmtId="0" fontId="35" fillId="0" borderId="0" xfId="0" applyFont="1" applyAlignment="1">
      <alignment horizontal="center"/>
    </xf>
    <xf numFmtId="0" fontId="70" fillId="14" borderId="0" xfId="0" applyFont="1" applyFill="1" applyBorder="1" applyAlignment="1">
      <alignment horizontal="center" vertical="center" wrapText="1"/>
    </xf>
    <xf numFmtId="184" fontId="36" fillId="0" borderId="37" xfId="0" applyNumberFormat="1" applyFont="1" applyFill="1" applyBorder="1" applyAlignment="1">
      <alignment horizontal="center"/>
    </xf>
    <xf numFmtId="191" fontId="36" fillId="0" borderId="37" xfId="0" applyNumberFormat="1" applyFont="1" applyBorder="1" applyAlignment="1">
      <alignment horizontal="center"/>
    </xf>
    <xf numFmtId="2" fontId="36" fillId="0" borderId="63" xfId="0" applyNumberFormat="1" applyFont="1" applyBorder="1" applyAlignment="1">
      <alignment horizontal="center"/>
    </xf>
    <xf numFmtId="4" fontId="86" fillId="20" borderId="19" xfId="0" applyNumberFormat="1" applyFont="1" applyFill="1" applyBorder="1" applyAlignment="1" applyProtection="1">
      <alignment horizontal="center" vertical="center"/>
      <protection hidden="1"/>
    </xf>
    <xf numFmtId="0" fontId="22" fillId="0" borderId="0" xfId="0" applyFont="1" applyAlignment="1">
      <alignment horizontal="left" indent="4"/>
    </xf>
    <xf numFmtId="0" fontId="21" fillId="0" borderId="0" xfId="0" applyFont="1" applyAlignment="1">
      <alignment horizontal="left" indent="4"/>
    </xf>
    <xf numFmtId="0" fontId="36" fillId="0" borderId="26" xfId="22" applyFont="1" applyFill="1" applyBorder="1"/>
    <xf numFmtId="0" fontId="43" fillId="0" borderId="27" xfId="20" applyFont="1" applyFill="1" applyBorder="1" applyAlignment="1" applyProtection="1">
      <alignment horizontal="left" vertical="center" indent="2"/>
      <protection hidden="1"/>
    </xf>
    <xf numFmtId="0" fontId="35" fillId="0" borderId="27" xfId="22" applyFont="1" applyFill="1" applyBorder="1"/>
    <xf numFmtId="10" fontId="86" fillId="20" borderId="19" xfId="0" applyNumberFormat="1" applyFont="1" applyFill="1" applyBorder="1" applyAlignment="1" applyProtection="1">
      <alignment horizontal="center" vertical="center"/>
      <protection hidden="1"/>
    </xf>
    <xf numFmtId="2" fontId="35" fillId="0" borderId="0" xfId="28" applyNumberFormat="1" applyFont="1" applyFill="1" applyAlignment="1" applyProtection="1">
      <alignment vertical="center"/>
      <protection hidden="1"/>
    </xf>
    <xf numFmtId="194" fontId="38" fillId="0" borderId="0" xfId="21" applyNumberFormat="1" applyFont="1" applyFill="1" applyAlignment="1">
      <alignment horizontal="left"/>
    </xf>
    <xf numFmtId="0" fontId="21" fillId="0" borderId="0" xfId="0" quotePrefix="1" applyFont="1" applyAlignment="1">
      <alignment vertical="center"/>
    </xf>
    <xf numFmtId="49" fontId="60" fillId="0" borderId="0" xfId="2" applyNumberFormat="1" applyFont="1" applyFill="1" applyBorder="1" applyAlignment="1" applyProtection="1">
      <alignment horizontal="left" indent="4"/>
      <protection hidden="1"/>
    </xf>
    <xf numFmtId="0" fontId="0" fillId="0" borderId="0" xfId="0" applyAlignment="1">
      <alignment horizontal="right"/>
    </xf>
    <xf numFmtId="15" fontId="0" fillId="0" borderId="0" xfId="0" applyNumberFormat="1" applyAlignment="1">
      <alignment horizontal="left"/>
    </xf>
    <xf numFmtId="2" fontId="36" fillId="0" borderId="37" xfId="10" applyNumberFormat="1" applyFont="1" applyFill="1" applyBorder="1" applyAlignment="1">
      <alignment horizontal="left"/>
    </xf>
    <xf numFmtId="0" fontId="36" fillId="0" borderId="37" xfId="0" applyNumberFormat="1" applyFont="1" applyFill="1" applyBorder="1" applyAlignment="1">
      <alignment horizontal="center"/>
    </xf>
    <xf numFmtId="0" fontId="36" fillId="0" borderId="37" xfId="0" applyFont="1" applyFill="1" applyBorder="1"/>
    <xf numFmtId="0" fontId="21" fillId="0" borderId="37" xfId="0" applyNumberFormat="1" applyFont="1" applyFill="1" applyBorder="1" applyAlignment="1">
      <alignment horizontal="center"/>
    </xf>
    <xf numFmtId="180" fontId="21" fillId="0" borderId="37" xfId="0" applyNumberFormat="1" applyFont="1" applyFill="1" applyBorder="1" applyAlignment="1">
      <alignment horizontal="center"/>
    </xf>
    <xf numFmtId="177" fontId="9" fillId="0" borderId="37" xfId="0" applyNumberFormat="1" applyFont="1" applyFill="1" applyBorder="1" applyAlignment="1">
      <alignment horizontal="center"/>
    </xf>
    <xf numFmtId="177" fontId="7" fillId="0" borderId="37" xfId="0" applyNumberFormat="1" applyFont="1" applyFill="1" applyBorder="1" applyAlignment="1">
      <alignment horizontal="center"/>
    </xf>
    <xf numFmtId="177" fontId="93" fillId="0" borderId="70" xfId="0" applyNumberFormat="1" applyFont="1" applyFill="1" applyBorder="1" applyAlignment="1">
      <alignment horizontal="center"/>
    </xf>
    <xf numFmtId="186" fontId="21" fillId="0" borderId="0" xfId="0" applyNumberFormat="1" applyFont="1" applyBorder="1"/>
    <xf numFmtId="184" fontId="36" fillId="0" borderId="0" xfId="0" applyNumberFormat="1" applyFont="1" applyBorder="1"/>
    <xf numFmtId="4" fontId="36" fillId="0" borderId="0" xfId="0" applyNumberFormat="1" applyFont="1" applyBorder="1"/>
    <xf numFmtId="4" fontId="36" fillId="0" borderId="0" xfId="0" applyNumberFormat="1" applyFont="1" applyBorder="1" applyAlignment="1">
      <alignment horizontal="center"/>
    </xf>
    <xf numFmtId="0" fontId="36" fillId="0" borderId="62" xfId="0" applyFont="1" applyFill="1" applyBorder="1" applyAlignment="1">
      <alignment horizontal="center"/>
    </xf>
    <xf numFmtId="0" fontId="36" fillId="0" borderId="37" xfId="0" applyFont="1" applyFill="1" applyBorder="1" applyAlignment="1">
      <alignment horizontal="center"/>
    </xf>
    <xf numFmtId="177" fontId="8" fillId="0" borderId="37" xfId="0" applyNumberFormat="1" applyFont="1" applyFill="1" applyBorder="1" applyAlignment="1">
      <alignment horizontal="center"/>
    </xf>
    <xf numFmtId="177" fontId="6" fillId="0" borderId="37" xfId="0" applyNumberFormat="1" applyFont="1" applyFill="1" applyBorder="1" applyAlignment="1">
      <alignment horizontal="center"/>
    </xf>
    <xf numFmtId="177" fontId="5" fillId="0" borderId="37" xfId="0" applyNumberFormat="1" applyFont="1" applyFill="1" applyBorder="1" applyAlignment="1">
      <alignment horizontal="center"/>
    </xf>
    <xf numFmtId="0" fontId="21" fillId="0" borderId="37" xfId="0" applyFont="1" applyFill="1" applyBorder="1" applyAlignment="1">
      <alignment horizontal="center"/>
    </xf>
    <xf numFmtId="0" fontId="21" fillId="0" borderId="21" xfId="0" applyFont="1" applyFill="1" applyBorder="1" applyAlignment="1">
      <alignment horizontal="left"/>
    </xf>
    <xf numFmtId="0" fontId="91" fillId="0" borderId="29" xfId="22" quotePrefix="1" applyFont="1" applyBorder="1" applyAlignment="1">
      <alignment horizontal="right"/>
    </xf>
    <xf numFmtId="2" fontId="92" fillId="0" borderId="0" xfId="28" quotePrefix="1" applyNumberFormat="1" applyFont="1" applyFill="1" applyAlignment="1" applyProtection="1">
      <alignment horizontal="left" vertical="center"/>
      <protection hidden="1"/>
    </xf>
    <xf numFmtId="0" fontId="66" fillId="14" borderId="0" xfId="17" applyNumberFormat="1" applyFont="1" applyFill="1" applyBorder="1" applyAlignment="1" applyProtection="1">
      <alignment horizontal="left" vertical="center"/>
      <protection hidden="1"/>
    </xf>
    <xf numFmtId="0" fontId="70" fillId="13" borderId="0" xfId="0" applyFont="1" applyFill="1" applyAlignment="1">
      <alignment horizontal="center" vertical="center"/>
    </xf>
    <xf numFmtId="0" fontId="64" fillId="0" borderId="0" xfId="19" applyFont="1" applyAlignment="1">
      <alignment horizontal="center" vertical="center"/>
    </xf>
    <xf numFmtId="0" fontId="21" fillId="0" borderId="21" xfId="0" applyFont="1" applyFill="1" applyBorder="1" applyAlignment="1">
      <alignment wrapText="1"/>
    </xf>
    <xf numFmtId="0" fontId="21" fillId="0" borderId="21" xfId="0" applyFont="1" applyFill="1" applyBorder="1" applyAlignment="1">
      <alignment horizontal="center" wrapText="1"/>
    </xf>
    <xf numFmtId="4" fontId="36" fillId="0" borderId="12" xfId="23" applyNumberFormat="1" applyFont="1" applyFill="1" applyBorder="1" applyAlignment="1">
      <alignment horizontal="center" vertical="center"/>
    </xf>
    <xf numFmtId="0" fontId="21" fillId="0" borderId="21" xfId="0" applyFont="1" applyFill="1" applyBorder="1" applyAlignment="1">
      <alignment vertical="center"/>
    </xf>
    <xf numFmtId="0" fontId="21" fillId="0" borderId="21" xfId="0" applyFont="1" applyFill="1" applyBorder="1" applyAlignment="1">
      <alignment horizontal="left" vertical="center"/>
    </xf>
    <xf numFmtId="0" fontId="21" fillId="0" borderId="21" xfId="0" applyFont="1" applyFill="1" applyBorder="1" applyAlignment="1">
      <alignment vertical="center" wrapText="1"/>
    </xf>
    <xf numFmtId="179" fontId="21" fillId="0" borderId="21" xfId="0" applyNumberFormat="1" applyFont="1" applyFill="1" applyBorder="1" applyAlignment="1">
      <alignment horizontal="center" vertical="center"/>
    </xf>
    <xf numFmtId="194" fontId="36" fillId="0" borderId="0" xfId="21" applyNumberFormat="1" applyFont="1" applyFill="1" applyAlignment="1">
      <alignment horizontal="left"/>
    </xf>
    <xf numFmtId="0" fontId="70" fillId="13" borderId="0" xfId="0" applyFont="1" applyFill="1" applyAlignment="1">
      <alignment horizontal="center" vertical="center"/>
    </xf>
    <xf numFmtId="16" fontId="70" fillId="13" borderId="0" xfId="0" applyNumberFormat="1" applyFont="1" applyFill="1" applyAlignment="1">
      <alignment horizontal="center" vertical="center"/>
    </xf>
    <xf numFmtId="4" fontId="36" fillId="18" borderId="9" xfId="23" applyNumberFormat="1" applyFont="1" applyFill="1" applyBorder="1" applyAlignment="1">
      <alignment horizontal="center" vertical="center"/>
    </xf>
    <xf numFmtId="4" fontId="36" fillId="18" borderId="12" xfId="23" applyNumberFormat="1" applyFont="1" applyFill="1" applyBorder="1" applyAlignment="1">
      <alignment horizontal="center" vertical="center"/>
    </xf>
    <xf numFmtId="4" fontId="36" fillId="18" borderId="19" xfId="23" applyNumberFormat="1" applyFont="1" applyFill="1" applyBorder="1" applyAlignment="1">
      <alignment horizontal="center" vertical="center"/>
    </xf>
    <xf numFmtId="3" fontId="36" fillId="18" borderId="19" xfId="0" applyNumberFormat="1" applyFont="1" applyFill="1" applyBorder="1" applyAlignment="1">
      <alignment horizontal="center" vertical="center"/>
    </xf>
    <xf numFmtId="190" fontId="21" fillId="18" borderId="9" xfId="23" applyNumberFormat="1" applyFont="1" applyFill="1" applyBorder="1" applyAlignment="1">
      <alignment horizontal="center" vertical="center"/>
    </xf>
    <xf numFmtId="0" fontId="21" fillId="18" borderId="21" xfId="0" applyFont="1" applyFill="1" applyBorder="1" applyAlignment="1">
      <alignment horizontal="center"/>
    </xf>
    <xf numFmtId="0" fontId="21" fillId="18" borderId="21" xfId="0" applyFont="1" applyFill="1" applyBorder="1" applyAlignment="1">
      <alignment horizontal="center" vertical="center"/>
    </xf>
    <xf numFmtId="179" fontId="21" fillId="18" borderId="21" xfId="0" applyNumberFormat="1" applyFont="1" applyFill="1" applyBorder="1" applyAlignment="1">
      <alignment horizontal="center"/>
    </xf>
    <xf numFmtId="0" fontId="64" fillId="0" borderId="0" xfId="0" applyFont="1" applyAlignment="1">
      <alignment vertical="center"/>
    </xf>
    <xf numFmtId="0" fontId="35" fillId="0" borderId="0" xfId="0" applyFont="1" applyAlignment="1">
      <alignment vertical="center"/>
    </xf>
    <xf numFmtId="0" fontId="21" fillId="0" borderId="0" xfId="0" applyFont="1" applyFill="1" applyBorder="1" applyAlignment="1">
      <alignment horizontal="center" wrapText="1"/>
    </xf>
    <xf numFmtId="0" fontId="21" fillId="0" borderId="0" xfId="0" applyFont="1" applyFill="1" applyBorder="1" applyAlignment="1">
      <alignment horizontal="center"/>
    </xf>
    <xf numFmtId="0" fontId="21" fillId="0" borderId="0" xfId="0" applyFont="1" applyBorder="1" applyAlignment="1">
      <alignment horizontal="center" vertical="center"/>
    </xf>
    <xf numFmtId="179" fontId="21" fillId="0" borderId="0" xfId="0" applyNumberFormat="1" applyFont="1" applyFill="1" applyBorder="1" applyAlignment="1">
      <alignment horizontal="center"/>
    </xf>
    <xf numFmtId="4" fontId="36" fillId="0" borderId="0" xfId="23" applyNumberFormat="1" applyFont="1" applyFill="1" applyBorder="1" applyAlignment="1">
      <alignment horizontal="center" vertical="center"/>
    </xf>
    <xf numFmtId="184" fontId="36" fillId="0" borderId="0" xfId="23" applyNumberFormat="1" applyFont="1" applyFill="1" applyBorder="1" applyAlignment="1">
      <alignment horizontal="center" vertical="center"/>
    </xf>
    <xf numFmtId="4" fontId="36" fillId="16" borderId="0" xfId="23" applyNumberFormat="1" applyFont="1" applyFill="1" applyBorder="1" applyAlignment="1">
      <alignment horizontal="center" vertical="center"/>
    </xf>
    <xf numFmtId="184" fontId="36" fillId="8" borderId="0" xfId="23" applyNumberFormat="1" applyFont="1" applyFill="1" applyBorder="1" applyAlignment="1">
      <alignment horizontal="center" vertical="center"/>
    </xf>
    <xf numFmtId="184" fontId="36" fillId="16" borderId="0" xfId="23" applyNumberFormat="1" applyFont="1" applyFill="1" applyBorder="1" applyAlignment="1">
      <alignment horizontal="center" vertical="center"/>
    </xf>
    <xf numFmtId="177" fontId="4" fillId="0" borderId="37" xfId="0" applyNumberFormat="1" applyFont="1" applyFill="1" applyBorder="1" applyAlignment="1">
      <alignment horizontal="center"/>
    </xf>
    <xf numFmtId="165" fontId="36" fillId="0" borderId="37" xfId="10" applyFont="1" applyFill="1" applyBorder="1"/>
    <xf numFmtId="4" fontId="36" fillId="0" borderId="0" xfId="0" applyNumberFormat="1" applyFont="1" applyAlignment="1">
      <alignment vertical="center"/>
    </xf>
    <xf numFmtId="192" fontId="36" fillId="0" borderId="19" xfId="0" applyNumberFormat="1" applyFont="1" applyFill="1" applyBorder="1" applyAlignment="1">
      <alignment horizontal="center"/>
    </xf>
    <xf numFmtId="165" fontId="36" fillId="0" borderId="0" xfId="10" applyFont="1" applyAlignment="1">
      <alignment horizontal="left" wrapText="1"/>
    </xf>
    <xf numFmtId="0" fontId="38" fillId="0" borderId="0" xfId="21" applyFont="1" applyFill="1" applyAlignment="1">
      <alignment wrapText="1"/>
    </xf>
    <xf numFmtId="2" fontId="38" fillId="0" borderId="0" xfId="21" applyNumberFormat="1" applyFont="1" applyFill="1" applyAlignment="1">
      <alignment wrapText="1"/>
    </xf>
    <xf numFmtId="0" fontId="40" fillId="0" borderId="0" xfId="0" applyFont="1" applyAlignment="1">
      <alignment vertical="top" wrapText="1"/>
    </xf>
    <xf numFmtId="194" fontId="43" fillId="0" borderId="0" xfId="21" applyNumberFormat="1" applyFont="1" applyFill="1" applyAlignment="1">
      <alignment wrapText="1"/>
    </xf>
    <xf numFmtId="2" fontId="36" fillId="0" borderId="0" xfId="10" applyNumberFormat="1" applyFont="1" applyAlignment="1">
      <alignment horizontal="left" wrapText="1"/>
    </xf>
    <xf numFmtId="0" fontId="36" fillId="13" borderId="10" xfId="0" applyNumberFormat="1" applyFont="1" applyFill="1" applyBorder="1" applyAlignment="1">
      <alignment horizontal="left" wrapText="1"/>
    </xf>
    <xf numFmtId="165" fontId="36" fillId="0" borderId="0" xfId="10" applyFont="1" applyAlignment="1">
      <alignment horizontal="center" wrapText="1"/>
    </xf>
    <xf numFmtId="165" fontId="36" fillId="0" borderId="0" xfId="10" applyFont="1" applyFill="1" applyAlignment="1">
      <alignment horizontal="center" wrapText="1"/>
    </xf>
    <xf numFmtId="165" fontId="36" fillId="0" borderId="0" xfId="10" applyFont="1" applyFill="1" applyAlignment="1">
      <alignment horizontal="left" wrapText="1"/>
    </xf>
    <xf numFmtId="0" fontId="0" fillId="0" borderId="0" xfId="0" applyAlignment="1">
      <alignment wrapText="1"/>
    </xf>
    <xf numFmtId="0" fontId="36" fillId="0" borderId="0" xfId="0" applyFont="1" applyAlignment="1">
      <alignment horizontal="left"/>
    </xf>
    <xf numFmtId="0" fontId="35" fillId="0" borderId="0" xfId="0" applyFont="1" applyAlignment="1">
      <alignment horizontal="left"/>
    </xf>
    <xf numFmtId="0" fontId="36" fillId="0" borderId="0" xfId="0" applyFont="1" applyAlignment="1">
      <alignment horizontal="left" vertical="top"/>
    </xf>
    <xf numFmtId="0" fontId="70" fillId="14" borderId="0" xfId="0" applyFont="1" applyFill="1" applyBorder="1" applyAlignment="1">
      <alignment horizontal="left" vertical="center" wrapText="1"/>
    </xf>
    <xf numFmtId="0" fontId="36" fillId="0" borderId="37" xfId="0" applyFont="1" applyFill="1" applyBorder="1" applyAlignment="1">
      <alignment horizontal="left"/>
    </xf>
    <xf numFmtId="190" fontId="21" fillId="14" borderId="9" xfId="23" applyNumberFormat="1" applyFont="1" applyFill="1" applyBorder="1" applyAlignment="1">
      <alignment horizontal="center" vertical="center"/>
    </xf>
    <xf numFmtId="179" fontId="21" fillId="14" borderId="21" xfId="0" applyNumberFormat="1" applyFont="1" applyFill="1" applyBorder="1" applyAlignment="1">
      <alignment horizontal="center" vertical="center"/>
    </xf>
    <xf numFmtId="0" fontId="21" fillId="14" borderId="21" xfId="0" applyFont="1" applyFill="1" applyBorder="1" applyAlignment="1">
      <alignment wrapText="1"/>
    </xf>
    <xf numFmtId="179" fontId="21" fillId="14" borderId="21" xfId="0" applyNumberFormat="1" applyFont="1" applyFill="1" applyBorder="1" applyAlignment="1">
      <alignment horizontal="center"/>
    </xf>
    <xf numFmtId="190" fontId="21" fillId="14" borderId="74" xfId="23" applyNumberFormat="1" applyFont="1" applyFill="1" applyBorder="1" applyAlignment="1">
      <alignment horizontal="center" vertical="center"/>
    </xf>
    <xf numFmtId="179" fontId="21" fillId="14" borderId="75" xfId="0" applyNumberFormat="1" applyFont="1" applyFill="1" applyBorder="1" applyAlignment="1">
      <alignment horizontal="center"/>
    </xf>
    <xf numFmtId="179" fontId="21" fillId="0" borderId="20" xfId="0" applyNumberFormat="1" applyFont="1" applyFill="1" applyBorder="1" applyAlignment="1">
      <alignment horizontal="center"/>
    </xf>
    <xf numFmtId="2" fontId="22" fillId="13" borderId="59" xfId="0" applyNumberFormat="1" applyFont="1" applyFill="1" applyBorder="1" applyAlignment="1">
      <alignment horizontal="center" vertical="center"/>
    </xf>
    <xf numFmtId="191" fontId="21" fillId="0" borderId="0" xfId="0" applyNumberFormat="1" applyFont="1" applyAlignment="1">
      <alignment vertical="center"/>
    </xf>
    <xf numFmtId="177" fontId="36" fillId="13" borderId="1" xfId="0" applyNumberFormat="1" applyFont="1" applyFill="1" applyBorder="1" applyAlignment="1">
      <alignment horizontal="center" vertical="center"/>
    </xf>
    <xf numFmtId="1" fontId="36" fillId="13" borderId="1" xfId="0" applyNumberFormat="1" applyFont="1" applyFill="1" applyBorder="1" applyAlignment="1">
      <alignment horizontal="center" vertical="center"/>
    </xf>
    <xf numFmtId="2" fontId="36" fillId="13" borderId="1" xfId="0" applyNumberFormat="1" applyFont="1" applyFill="1" applyBorder="1" applyAlignment="1">
      <alignment vertical="center"/>
    </xf>
    <xf numFmtId="0" fontId="36" fillId="13" borderId="1" xfId="0" applyNumberFormat="1" applyFont="1" applyFill="1" applyBorder="1" applyAlignment="1">
      <alignment horizontal="left" vertical="center" wrapText="1"/>
    </xf>
    <xf numFmtId="175" fontId="36" fillId="15" borderId="1" xfId="0" applyNumberFormat="1" applyFont="1" applyFill="1" applyBorder="1" applyAlignment="1">
      <alignment horizontal="center" vertical="center"/>
    </xf>
    <xf numFmtId="3" fontId="36" fillId="13" borderId="1" xfId="25" applyNumberFormat="1" applyFont="1" applyFill="1" applyBorder="1" applyAlignment="1">
      <alignment horizontal="right" vertical="center"/>
    </xf>
    <xf numFmtId="3" fontId="36" fillId="13" borderId="1" xfId="0" applyNumberFormat="1" applyFont="1" applyFill="1" applyBorder="1" applyAlignment="1">
      <alignment horizontal="right" vertical="center"/>
    </xf>
    <xf numFmtId="180" fontId="36" fillId="13" borderId="1" xfId="10" applyNumberFormat="1" applyFont="1" applyFill="1" applyBorder="1" applyAlignment="1">
      <alignment horizontal="right" vertical="center"/>
    </xf>
    <xf numFmtId="10" fontId="36" fillId="13" borderId="1" xfId="0" applyNumberFormat="1" applyFont="1" applyFill="1" applyBorder="1" applyAlignment="1" applyProtection="1">
      <alignment horizontal="right" vertical="center"/>
    </xf>
    <xf numFmtId="174" fontId="36" fillId="13" borderId="1" xfId="0" applyNumberFormat="1" applyFont="1" applyFill="1" applyBorder="1" applyAlignment="1" applyProtection="1">
      <alignment horizontal="left" vertical="center" indent="1"/>
    </xf>
    <xf numFmtId="173" fontId="32" fillId="9" borderId="1" xfId="0" applyNumberFormat="1" applyFont="1" applyFill="1" applyBorder="1" applyAlignment="1" applyProtection="1">
      <alignment horizontal="center" vertical="center"/>
    </xf>
    <xf numFmtId="174" fontId="36" fillId="13" borderId="1" xfId="0" applyNumberFormat="1" applyFont="1" applyFill="1" applyBorder="1" applyAlignment="1" applyProtection="1">
      <alignment vertical="center"/>
    </xf>
    <xf numFmtId="174" fontId="36" fillId="13" borderId="1" xfId="0" applyNumberFormat="1" applyFont="1" applyFill="1" applyBorder="1" applyAlignment="1" applyProtection="1">
      <alignment vertical="center" wrapText="1"/>
    </xf>
    <xf numFmtId="0" fontId="36" fillId="13" borderId="1" xfId="0" applyNumberFormat="1" applyFont="1" applyFill="1" applyBorder="1" applyAlignment="1">
      <alignment horizontal="left" vertical="center"/>
    </xf>
    <xf numFmtId="175" fontId="36" fillId="13" borderId="1" xfId="0" applyNumberFormat="1" applyFont="1" applyFill="1" applyBorder="1" applyAlignment="1">
      <alignment horizontal="center" vertical="center"/>
    </xf>
    <xf numFmtId="0" fontId="36" fillId="0" borderId="0" xfId="33" applyFont="1" applyFill="1" applyAlignment="1">
      <alignment vertical="center"/>
    </xf>
    <xf numFmtId="185" fontId="36" fillId="13" borderId="1" xfId="0" applyNumberFormat="1" applyFont="1" applyFill="1" applyBorder="1" applyAlignment="1">
      <alignment horizontal="center" vertical="center"/>
    </xf>
    <xf numFmtId="1" fontId="36" fillId="13" borderId="1" xfId="33" applyNumberFormat="1" applyFont="1" applyFill="1" applyBorder="1" applyAlignment="1">
      <alignment horizontal="center" vertical="center"/>
    </xf>
    <xf numFmtId="0" fontId="36" fillId="13" borderId="1" xfId="10" applyNumberFormat="1" applyFont="1" applyFill="1" applyBorder="1" applyAlignment="1">
      <alignment horizontal="left" vertical="center"/>
    </xf>
    <xf numFmtId="0" fontId="36" fillId="13" borderId="1" xfId="10" applyNumberFormat="1" applyFont="1" applyFill="1" applyBorder="1" applyAlignment="1">
      <alignment vertical="center" wrapText="1"/>
    </xf>
    <xf numFmtId="175" fontId="36" fillId="13" borderId="1" xfId="0" applyNumberFormat="1" applyFont="1" applyFill="1" applyBorder="1" applyAlignment="1">
      <alignment horizontal="left" vertical="center"/>
    </xf>
    <xf numFmtId="178" fontId="36" fillId="13" borderId="1" xfId="0" applyNumberFormat="1" applyFont="1" applyFill="1" applyBorder="1" applyAlignment="1" applyProtection="1">
      <alignment horizontal="right" vertical="center"/>
    </xf>
    <xf numFmtId="0" fontId="22" fillId="12" borderId="3" xfId="33" applyFont="1" applyFill="1" applyBorder="1" applyAlignment="1">
      <alignment horizontal="center" vertical="center"/>
    </xf>
    <xf numFmtId="191" fontId="21" fillId="0" borderId="0" xfId="0" applyNumberFormat="1" applyFont="1" applyBorder="1"/>
    <xf numFmtId="0" fontId="73" fillId="21" borderId="0" xfId="0" applyFont="1" applyFill="1" applyBorder="1" applyAlignment="1">
      <alignment horizontal="center" vertical="center"/>
    </xf>
    <xf numFmtId="0" fontId="21" fillId="0" borderId="23" xfId="0" applyFont="1" applyFill="1" applyBorder="1"/>
    <xf numFmtId="0" fontId="21" fillId="0" borderId="23" xfId="0" applyFont="1" applyBorder="1"/>
    <xf numFmtId="180" fontId="21" fillId="0" borderId="23" xfId="0" applyNumberFormat="1" applyFont="1" applyBorder="1" applyAlignment="1">
      <alignment horizontal="center"/>
    </xf>
    <xf numFmtId="0" fontId="21" fillId="14" borderId="23" xfId="0" applyFont="1" applyFill="1" applyBorder="1" applyAlignment="1">
      <alignment horizontal="center" vertical="center"/>
    </xf>
    <xf numFmtId="2" fontId="36" fillId="0" borderId="23" xfId="2" applyNumberFormat="1" applyFont="1" applyFill="1" applyBorder="1" applyAlignment="1">
      <alignment horizontal="center"/>
    </xf>
    <xf numFmtId="2" fontId="36" fillId="0" borderId="23" xfId="0" applyNumberFormat="1" applyFont="1" applyBorder="1" applyAlignment="1">
      <alignment horizontal="center"/>
    </xf>
    <xf numFmtId="179" fontId="21" fillId="0" borderId="23" xfId="0" applyNumberFormat="1" applyFont="1" applyBorder="1" applyAlignment="1">
      <alignment horizontal="center"/>
    </xf>
    <xf numFmtId="0" fontId="21" fillId="0" borderId="17" xfId="0" applyFont="1" applyFill="1" applyBorder="1"/>
    <xf numFmtId="0" fontId="21" fillId="0" borderId="17" xfId="0" applyFont="1" applyBorder="1"/>
    <xf numFmtId="0" fontId="21" fillId="14" borderId="17" xfId="0" applyFont="1" applyFill="1" applyBorder="1" applyAlignment="1">
      <alignment horizontal="center" vertical="center"/>
    </xf>
    <xf numFmtId="2" fontId="36" fillId="0" borderId="17" xfId="2" applyNumberFormat="1" applyFont="1" applyFill="1" applyBorder="1" applyAlignment="1">
      <alignment horizontal="center"/>
    </xf>
    <xf numFmtId="2" fontId="36" fillId="0" borderId="17" xfId="0" applyNumberFormat="1" applyFont="1" applyBorder="1" applyAlignment="1">
      <alignment horizontal="center"/>
    </xf>
    <xf numFmtId="0" fontId="94" fillId="0" borderId="17" xfId="0" applyFont="1" applyBorder="1"/>
    <xf numFmtId="2" fontId="71" fillId="14" borderId="0" xfId="17" applyNumberFormat="1" applyFont="1" applyFill="1" applyBorder="1" applyAlignment="1" applyProtection="1">
      <alignment horizontal="center" vertical="center" wrapText="1"/>
      <protection hidden="1"/>
    </xf>
    <xf numFmtId="177" fontId="3" fillId="0" borderId="37" xfId="0" applyNumberFormat="1" applyFont="1" applyFill="1" applyBorder="1" applyAlignment="1">
      <alignment horizontal="center"/>
    </xf>
    <xf numFmtId="0" fontId="21" fillId="14" borderId="17" xfId="0" applyFont="1" applyFill="1" applyBorder="1" applyAlignment="1">
      <alignment vertical="center"/>
    </xf>
    <xf numFmtId="0" fontId="21" fillId="14" borderId="23" xfId="0" applyFont="1" applyFill="1" applyBorder="1"/>
    <xf numFmtId="0" fontId="21" fillId="14" borderId="17" xfId="0" applyFont="1" applyFill="1" applyBorder="1"/>
    <xf numFmtId="0" fontId="70" fillId="13" borderId="0" xfId="0" applyFont="1" applyFill="1" applyAlignment="1">
      <alignment horizontal="center" vertical="center"/>
    </xf>
    <xf numFmtId="2" fontId="36" fillId="0" borderId="0" xfId="10" applyNumberFormat="1" applyFont="1" applyAlignment="1">
      <alignment horizontal="center"/>
    </xf>
    <xf numFmtId="2" fontId="35" fillId="0" borderId="0" xfId="10" applyNumberFormat="1" applyFont="1" applyAlignment="1">
      <alignment horizontal="center"/>
    </xf>
    <xf numFmtId="2" fontId="70" fillId="14" borderId="0" xfId="10" applyNumberFormat="1" applyFont="1" applyFill="1" applyBorder="1" applyAlignment="1">
      <alignment horizontal="center" vertical="center" wrapText="1"/>
    </xf>
    <xf numFmtId="2" fontId="36" fillId="15" borderId="19" xfId="10" applyNumberFormat="1" applyFont="1" applyFill="1" applyBorder="1" applyAlignment="1">
      <alignment horizontal="center"/>
    </xf>
    <xf numFmtId="2" fontId="36" fillId="0" borderId="0" xfId="0" applyNumberFormat="1" applyFont="1" applyAlignment="1">
      <alignment horizontal="center"/>
    </xf>
    <xf numFmtId="1" fontId="36" fillId="0" borderId="0" xfId="0" applyNumberFormat="1" applyFont="1" applyFill="1" applyAlignment="1">
      <alignment horizontal="center"/>
    </xf>
    <xf numFmtId="2" fontId="35" fillId="0" borderId="0" xfId="0" applyNumberFormat="1" applyFont="1" applyFill="1" applyAlignment="1">
      <alignment horizontal="center"/>
    </xf>
    <xf numFmtId="177" fontId="2" fillId="0" borderId="37" xfId="0" applyNumberFormat="1" applyFont="1" applyFill="1" applyBorder="1" applyAlignment="1">
      <alignment horizontal="center"/>
    </xf>
    <xf numFmtId="177" fontId="1" fillId="0" borderId="37" xfId="0" applyNumberFormat="1" applyFont="1" applyFill="1" applyBorder="1" applyAlignment="1">
      <alignment horizontal="center"/>
    </xf>
    <xf numFmtId="2" fontId="36" fillId="14" borderId="19" xfId="0" applyNumberFormat="1" applyFont="1" applyFill="1" applyBorder="1" applyAlignment="1">
      <alignment horizontal="center" vertical="center"/>
    </xf>
    <xf numFmtId="1" fontId="36" fillId="13" borderId="19" xfId="0" applyNumberFormat="1" applyFont="1" applyFill="1" applyBorder="1" applyAlignment="1">
      <alignment horizontal="center" vertical="center"/>
    </xf>
    <xf numFmtId="179" fontId="21" fillId="0" borderId="23" xfId="0" applyNumberFormat="1" applyFont="1" applyFill="1" applyBorder="1" applyAlignment="1">
      <alignment horizontal="center"/>
    </xf>
    <xf numFmtId="0" fontId="21" fillId="0" borderId="0" xfId="0" applyFont="1" applyFill="1" applyAlignment="1">
      <alignment horizontal="center" vertical="center"/>
    </xf>
    <xf numFmtId="0" fontId="21" fillId="14" borderId="21" xfId="0" applyFont="1" applyFill="1" applyBorder="1" applyAlignment="1">
      <alignment vertical="center"/>
    </xf>
    <xf numFmtId="0" fontId="70" fillId="13" borderId="0" xfId="0" applyFont="1" applyFill="1" applyAlignment="1">
      <alignment horizontal="center" vertical="center"/>
    </xf>
    <xf numFmtId="0" fontId="0" fillId="0" borderId="0" xfId="0" applyAlignment="1">
      <alignment horizontal="center" vertical="center"/>
    </xf>
    <xf numFmtId="3" fontId="36" fillId="13" borderId="19" xfId="0" applyNumberFormat="1" applyFont="1" applyFill="1" applyBorder="1" applyAlignment="1">
      <alignment horizontal="center" vertical="center"/>
    </xf>
    <xf numFmtId="0" fontId="0" fillId="0" borderId="0" xfId="0" applyFill="1" applyAlignment="1">
      <alignment vertical="center"/>
    </xf>
    <xf numFmtId="0" fontId="73" fillId="0" borderId="0" xfId="0" applyFont="1" applyFill="1" applyBorder="1" applyAlignment="1">
      <alignment horizontal="center" vertical="center"/>
    </xf>
    <xf numFmtId="0" fontId="87" fillId="0" borderId="0" xfId="0" applyFont="1" applyFill="1" applyBorder="1" applyAlignment="1">
      <alignment vertical="center"/>
    </xf>
    <xf numFmtId="186" fontId="21" fillId="0" borderId="20" xfId="0" applyNumberFormat="1" applyFont="1" applyFill="1" applyBorder="1"/>
    <xf numFmtId="184" fontId="36" fillId="0" borderId="20" xfId="0" applyNumberFormat="1" applyFont="1" applyFill="1" applyBorder="1"/>
    <xf numFmtId="4" fontId="36" fillId="0" borderId="20" xfId="0" applyNumberFormat="1" applyFont="1" applyFill="1" applyBorder="1"/>
    <xf numFmtId="4" fontId="36" fillId="0" borderId="20" xfId="0" applyNumberFormat="1" applyFont="1" applyFill="1" applyBorder="1" applyAlignment="1">
      <alignment horizontal="center"/>
    </xf>
    <xf numFmtId="184" fontId="36" fillId="0" borderId="21" xfId="0" applyNumberFormat="1" applyFont="1" applyFill="1" applyBorder="1"/>
    <xf numFmtId="191" fontId="21" fillId="0" borderId="0" xfId="0" applyNumberFormat="1" applyFont="1" applyFill="1" applyBorder="1"/>
    <xf numFmtId="191" fontId="21" fillId="0" borderId="0" xfId="0" applyNumberFormat="1" applyFont="1" applyFill="1" applyAlignment="1">
      <alignment vertical="center"/>
    </xf>
    <xf numFmtId="184" fontId="21" fillId="0" borderId="0" xfId="0" applyNumberFormat="1" applyFont="1" applyFill="1"/>
    <xf numFmtId="0" fontId="21" fillId="0" borderId="0" xfId="0" applyFont="1" applyFill="1"/>
    <xf numFmtId="186" fontId="21" fillId="0" borderId="0" xfId="0" applyNumberFormat="1" applyFont="1" applyFill="1"/>
    <xf numFmtId="0" fontId="0" fillId="0" borderId="0" xfId="0" applyFill="1"/>
    <xf numFmtId="184" fontId="36" fillId="0" borderId="20" xfId="0" applyNumberFormat="1" applyFont="1" applyFill="1" applyBorder="1" applyAlignment="1">
      <alignment horizontal="center"/>
    </xf>
    <xf numFmtId="191" fontId="21" fillId="0" borderId="0" xfId="0" applyNumberFormat="1" applyFont="1" applyFill="1" applyAlignment="1">
      <alignment horizontal="center" vertical="center"/>
    </xf>
    <xf numFmtId="43" fontId="35" fillId="0" borderId="76" xfId="2" applyFont="1" applyFill="1" applyBorder="1" applyAlignment="1" applyProtection="1">
      <alignment horizontal="left" vertical="center"/>
      <protection hidden="1"/>
    </xf>
    <xf numFmtId="43" fontId="35" fillId="0" borderId="76" xfId="2" applyFont="1" applyFill="1" applyBorder="1" applyAlignment="1" applyProtection="1">
      <alignment horizontal="left"/>
      <protection hidden="1"/>
    </xf>
    <xf numFmtId="182" fontId="44" fillId="0" borderId="0" xfId="31" applyNumberFormat="1" applyFont="1" applyFill="1" applyBorder="1" applyAlignment="1" applyProtection="1">
      <alignment vertical="center" wrapText="1"/>
      <protection locked="0"/>
    </xf>
    <xf numFmtId="182" fontId="57" fillId="0" borderId="0" xfId="31" applyNumberFormat="1" applyFont="1" applyFill="1" applyBorder="1" applyAlignment="1" applyProtection="1">
      <alignment vertical="top" wrapText="1"/>
      <protection locked="0"/>
    </xf>
    <xf numFmtId="0" fontId="58" fillId="0" borderId="0" xfId="0" applyFont="1" applyAlignment="1">
      <alignment vertical="top"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182" fontId="44" fillId="0" borderId="0" xfId="31" applyNumberFormat="1" applyFont="1" applyFill="1" applyBorder="1" applyAlignment="1" applyProtection="1">
      <alignment horizontal="left" vertical="center" wrapText="1"/>
      <protection locked="0"/>
    </xf>
    <xf numFmtId="0" fontId="35" fillId="16" borderId="40" xfId="0" applyFont="1" applyFill="1" applyBorder="1" applyAlignment="1">
      <alignment horizontal="left" vertical="center" wrapText="1"/>
    </xf>
    <xf numFmtId="0" fontId="35" fillId="16" borderId="41" xfId="0" applyFont="1" applyFill="1" applyBorder="1" applyAlignment="1">
      <alignment horizontal="left" vertical="center" wrapText="1"/>
    </xf>
    <xf numFmtId="0" fontId="35" fillId="16" borderId="42" xfId="0" applyFont="1" applyFill="1" applyBorder="1" applyAlignment="1">
      <alignment horizontal="left" vertical="center" wrapText="1"/>
    </xf>
    <xf numFmtId="0" fontId="35" fillId="16" borderId="43" xfId="0" applyFont="1" applyFill="1" applyBorder="1" applyAlignment="1">
      <alignment horizontal="left" vertical="center" wrapText="1"/>
    </xf>
    <xf numFmtId="0" fontId="35" fillId="16" borderId="0" xfId="0" applyFont="1" applyFill="1" applyBorder="1" applyAlignment="1">
      <alignment horizontal="left" vertical="center" wrapText="1"/>
    </xf>
    <xf numFmtId="0" fontId="35" fillId="16" borderId="44" xfId="0" applyFont="1" applyFill="1" applyBorder="1" applyAlignment="1">
      <alignment horizontal="left" vertical="center" wrapText="1"/>
    </xf>
    <xf numFmtId="0" fontId="35" fillId="16" borderId="45" xfId="0" applyFont="1" applyFill="1" applyBorder="1" applyAlignment="1">
      <alignment horizontal="left" vertical="center" wrapText="1"/>
    </xf>
    <xf numFmtId="0" fontId="35" fillId="16" borderId="46" xfId="0" applyFont="1" applyFill="1" applyBorder="1" applyAlignment="1">
      <alignment horizontal="left" vertical="center" wrapText="1"/>
    </xf>
    <xf numFmtId="0" fontId="35" fillId="16" borderId="47" xfId="0" applyFont="1" applyFill="1" applyBorder="1" applyAlignment="1">
      <alignment horizontal="left" vertical="center" wrapText="1"/>
    </xf>
    <xf numFmtId="182" fontId="44" fillId="0" borderId="0" xfId="31" applyNumberFormat="1" applyFont="1" applyFill="1" applyBorder="1" applyAlignment="1" applyProtection="1">
      <alignment horizontal="left" vertical="top" wrapText="1"/>
      <protection locked="0"/>
    </xf>
    <xf numFmtId="182" fontId="44" fillId="0" borderId="48" xfId="31" applyNumberFormat="1" applyFont="1" applyFill="1" applyBorder="1" applyAlignment="1" applyProtection="1">
      <alignment horizontal="left" vertical="top" wrapText="1"/>
      <protection locked="0"/>
    </xf>
    <xf numFmtId="0" fontId="30" fillId="0" borderId="0" xfId="0" applyFont="1" applyFill="1" applyBorder="1" applyAlignment="1">
      <alignment horizontal="left" wrapText="1"/>
    </xf>
    <xf numFmtId="0" fontId="88" fillId="0" borderId="0" xfId="17" applyFont="1" applyFill="1" applyBorder="1" applyAlignment="1" applyProtection="1">
      <alignment horizontal="right" vertical="center" wrapText="1"/>
      <protection hidden="1"/>
    </xf>
    <xf numFmtId="0" fontId="88" fillId="0" borderId="34" xfId="17" applyFont="1" applyFill="1" applyBorder="1" applyAlignment="1" applyProtection="1">
      <alignment horizontal="right" vertical="center" wrapText="1"/>
      <protection hidden="1"/>
    </xf>
    <xf numFmtId="49" fontId="36" fillId="0" borderId="0" xfId="21" applyNumberFormat="1" applyFont="1" applyFill="1" applyBorder="1" applyAlignment="1">
      <alignment horizontal="left" wrapText="1"/>
    </xf>
    <xf numFmtId="4" fontId="21" fillId="0" borderId="52" xfId="0" applyNumberFormat="1" applyFont="1" applyBorder="1" applyAlignment="1">
      <alignment horizontal="center"/>
    </xf>
    <xf numFmtId="4" fontId="21" fillId="0" borderId="53" xfId="0" applyNumberFormat="1" applyFont="1" applyBorder="1" applyAlignment="1">
      <alignment horizontal="center"/>
    </xf>
    <xf numFmtId="49" fontId="83" fillId="14" borderId="0" xfId="17" applyNumberFormat="1" applyFont="1" applyFill="1" applyBorder="1" applyAlignment="1" applyProtection="1">
      <alignment horizontal="center" wrapText="1"/>
      <protection hidden="1"/>
    </xf>
    <xf numFmtId="194" fontId="38" fillId="0" borderId="0" xfId="21" applyNumberFormat="1" applyFont="1" applyFill="1" applyAlignment="1">
      <alignment horizontal="center"/>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2" fontId="66" fillId="14" borderId="0" xfId="17" applyNumberFormat="1" applyFont="1" applyFill="1" applyBorder="1" applyAlignment="1" applyProtection="1">
      <alignment horizontal="center"/>
      <protection hidden="1"/>
    </xf>
    <xf numFmtId="3" fontId="35" fillId="14" borderId="36" xfId="17" applyNumberFormat="1" applyFont="1" applyFill="1" applyBorder="1" applyAlignment="1" applyProtection="1">
      <alignment horizontal="left" vertical="top" wrapText="1"/>
      <protection hidden="1"/>
    </xf>
    <xf numFmtId="3" fontId="35" fillId="14" borderId="49" xfId="17" applyNumberFormat="1" applyFont="1" applyFill="1" applyBorder="1" applyAlignment="1" applyProtection="1">
      <alignment horizontal="left" vertical="top" wrapText="1"/>
      <protection hidden="1"/>
    </xf>
    <xf numFmtId="3" fontId="35" fillId="14" borderId="25" xfId="17" applyNumberFormat="1" applyFont="1" applyFill="1" applyBorder="1" applyAlignment="1" applyProtection="1">
      <alignment horizontal="left" vertical="top" wrapText="1"/>
      <protection hidden="1"/>
    </xf>
    <xf numFmtId="0" fontId="34" fillId="11" borderId="0" xfId="0" applyFont="1" applyFill="1" applyAlignment="1">
      <alignment horizontal="center" vertical="center"/>
    </xf>
    <xf numFmtId="0" fontId="66" fillId="14" borderId="0" xfId="17" applyNumberFormat="1" applyFont="1" applyFill="1" applyBorder="1" applyAlignment="1" applyProtection="1">
      <alignment horizontal="left" vertical="center"/>
      <protection hidden="1"/>
    </xf>
    <xf numFmtId="0" fontId="36" fillId="0" borderId="0" xfId="0" applyFont="1" applyFill="1" applyAlignment="1">
      <alignment horizontal="left" vertical="center" wrapText="1"/>
    </xf>
    <xf numFmtId="0" fontId="70" fillId="13" borderId="0" xfId="0" applyFont="1" applyFill="1" applyAlignment="1">
      <alignment horizontal="center" vertical="center"/>
    </xf>
    <xf numFmtId="0" fontId="66" fillId="14" borderId="0" xfId="0" applyFont="1" applyFill="1" applyBorder="1" applyAlignment="1">
      <alignment horizontal="left" vertical="center" wrapText="1"/>
    </xf>
    <xf numFmtId="0" fontId="70" fillId="13" borderId="0" xfId="0" applyFont="1" applyFill="1" applyAlignment="1">
      <alignment horizontal="center" vertical="center" wrapText="1"/>
    </xf>
    <xf numFmtId="0" fontId="70" fillId="13" borderId="34" xfId="0" applyFont="1" applyFill="1" applyBorder="1" applyAlignment="1">
      <alignment horizontal="center" vertical="center" wrapText="1"/>
    </xf>
    <xf numFmtId="0" fontId="70" fillId="13" borderId="34" xfId="0" applyFont="1" applyFill="1" applyBorder="1" applyAlignment="1">
      <alignment horizontal="center" vertical="center"/>
    </xf>
    <xf numFmtId="0" fontId="64" fillId="0" borderId="71" xfId="19" applyFont="1" applyBorder="1" applyAlignment="1">
      <alignment horizontal="center" vertical="center"/>
    </xf>
    <xf numFmtId="0" fontId="64" fillId="0" borderId="72" xfId="19" applyFont="1" applyBorder="1" applyAlignment="1">
      <alignment horizontal="center" vertical="center"/>
    </xf>
    <xf numFmtId="0" fontId="64" fillId="0" borderId="73" xfId="19" applyFont="1" applyBorder="1" applyAlignment="1">
      <alignment horizontal="center" vertical="center"/>
    </xf>
    <xf numFmtId="3" fontId="36" fillId="0" borderId="49" xfId="0" applyNumberFormat="1" applyFont="1" applyFill="1" applyBorder="1" applyAlignment="1">
      <alignment horizontal="left" vertical="top" wrapText="1"/>
    </xf>
    <xf numFmtId="3" fontId="36" fillId="0" borderId="25" xfId="0" applyNumberFormat="1" applyFont="1" applyFill="1" applyBorder="1" applyAlignment="1">
      <alignment horizontal="left" vertical="top" wrapText="1"/>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3" fontId="36" fillId="0" borderId="36" xfId="0" applyNumberFormat="1" applyFont="1" applyFill="1" applyBorder="1" applyAlignment="1">
      <alignment horizontal="left" vertical="top" wrapText="1"/>
    </xf>
  </cellXfs>
  <cellStyles count="4030">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7" builtinId="9" hidden="1"/>
    <cellStyle name="Gevolgde hyperlink" xfId="2069" builtinId="9" hidden="1"/>
    <cellStyle name="Gevolgde hyperlink" xfId="2071" builtinId="9" hidden="1"/>
    <cellStyle name="Gevolgde hyperlink" xfId="2073" builtinId="9" hidden="1"/>
    <cellStyle name="Gevolgde hyperlink" xfId="2075" builtinId="9" hidden="1"/>
    <cellStyle name="Gevolgde hyperlink" xfId="2077" builtinId="9" hidden="1"/>
    <cellStyle name="Gevolgde hyperlink" xfId="2079" builtinId="9" hidden="1"/>
    <cellStyle name="Gevolgde hyperlink" xfId="2081" builtinId="9" hidden="1"/>
    <cellStyle name="Gevolgde hyperlink" xfId="2083" builtinId="9" hidden="1"/>
    <cellStyle name="Gevolgde hyperlink" xfId="2085" builtinId="9" hidden="1"/>
    <cellStyle name="Gevolgde hyperlink" xfId="2087" builtinId="9" hidden="1"/>
    <cellStyle name="Gevolgde hyperlink" xfId="2089" builtinId="9" hidden="1"/>
    <cellStyle name="Gevolgde hyperlink" xfId="2091" builtinId="9" hidden="1"/>
    <cellStyle name="Gevolgde hyperlink" xfId="2093" builtinId="9" hidden="1"/>
    <cellStyle name="Gevolgde hyperlink" xfId="2095" builtinId="9" hidden="1"/>
    <cellStyle name="Gevolgde hyperlink" xfId="2097" builtinId="9" hidden="1"/>
    <cellStyle name="Gevolgde hyperlink" xfId="2099" builtinId="9" hidden="1"/>
    <cellStyle name="Gevolgde hyperlink" xfId="2101" builtinId="9" hidden="1"/>
    <cellStyle name="Gevolgde hyperlink" xfId="2103" builtinId="9" hidden="1"/>
    <cellStyle name="Gevolgde hyperlink" xfId="2105" builtinId="9" hidden="1"/>
    <cellStyle name="Gevolgde hyperlink" xfId="2107" builtinId="9" hidden="1"/>
    <cellStyle name="Gevolgde hyperlink" xfId="2109" builtinId="9" hidden="1"/>
    <cellStyle name="Gevolgde hyperlink" xfId="2111" builtinId="9" hidden="1"/>
    <cellStyle name="Gevolgde hyperlink" xfId="2113" builtinId="9" hidden="1"/>
    <cellStyle name="Gevolgde hyperlink" xfId="2115" builtinId="9" hidden="1"/>
    <cellStyle name="Gevolgde hyperlink" xfId="2117" builtinId="9" hidden="1"/>
    <cellStyle name="Gevolgde hyperlink" xfId="2119" builtinId="9" hidden="1"/>
    <cellStyle name="Gevolgde hyperlink" xfId="2121" builtinId="9" hidden="1"/>
    <cellStyle name="Gevolgde hyperlink" xfId="2123" builtinId="9" hidden="1"/>
    <cellStyle name="Gevolgde hyperlink" xfId="2125" builtinId="9" hidden="1"/>
    <cellStyle name="Gevolgde hyperlink" xfId="2127" builtinId="9" hidden="1"/>
    <cellStyle name="Gevolgde hyperlink" xfId="2129" builtinId="9" hidden="1"/>
    <cellStyle name="Gevolgde hyperlink" xfId="2131" builtinId="9" hidden="1"/>
    <cellStyle name="Gevolgde hyperlink" xfId="2133" builtinId="9" hidden="1"/>
    <cellStyle name="Gevolgde hyperlink" xfId="2135" builtinId="9" hidden="1"/>
    <cellStyle name="Gevolgde hyperlink" xfId="2137" builtinId="9" hidden="1"/>
    <cellStyle name="Gevolgde hyperlink" xfId="2139" builtinId="9" hidden="1"/>
    <cellStyle name="Gevolgde hyperlink" xfId="2141" builtinId="9" hidden="1"/>
    <cellStyle name="Gevolgde hyperlink" xfId="2143" builtinId="9" hidden="1"/>
    <cellStyle name="Gevolgde hyperlink" xfId="2145" builtinId="9" hidden="1"/>
    <cellStyle name="Gevolgde hyperlink" xfId="2147" builtinId="9" hidden="1"/>
    <cellStyle name="Gevolgde hyperlink" xfId="2149" builtinId="9" hidden="1"/>
    <cellStyle name="Gevolgde hyperlink" xfId="2151" builtinId="9" hidden="1"/>
    <cellStyle name="Gevolgde hyperlink" xfId="2153" builtinId="9" hidden="1"/>
    <cellStyle name="Gevolgde hyperlink" xfId="2155" builtinId="9" hidden="1"/>
    <cellStyle name="Gevolgde hyperlink" xfId="2157" builtinId="9" hidden="1"/>
    <cellStyle name="Gevolgde hyperlink" xfId="2159" builtinId="9" hidden="1"/>
    <cellStyle name="Gevolgde hyperlink" xfId="2161" builtinId="9" hidden="1"/>
    <cellStyle name="Gevolgde hyperlink" xfId="2163" builtinId="9" hidden="1"/>
    <cellStyle name="Gevolgde hyperlink" xfId="2165" builtinId="9" hidden="1"/>
    <cellStyle name="Gevolgde hyperlink" xfId="2167" builtinId="9" hidden="1"/>
    <cellStyle name="Gevolgde hyperlink" xfId="2169" builtinId="9" hidden="1"/>
    <cellStyle name="Gevolgde hyperlink" xfId="2171" builtinId="9" hidden="1"/>
    <cellStyle name="Gevolgde hyperlink" xfId="2173" builtinId="9" hidden="1"/>
    <cellStyle name="Gevolgde hyperlink" xfId="2175" builtinId="9" hidden="1"/>
    <cellStyle name="Gevolgde hyperlink" xfId="2177" builtinId="9" hidden="1"/>
    <cellStyle name="Gevolgde hyperlink" xfId="2179" builtinId="9" hidden="1"/>
    <cellStyle name="Gevolgde hyperlink" xfId="2181" builtinId="9" hidden="1"/>
    <cellStyle name="Gevolgde hyperlink" xfId="2183" builtinId="9" hidden="1"/>
    <cellStyle name="Gevolgde hyperlink" xfId="2185" builtinId="9" hidden="1"/>
    <cellStyle name="Gevolgde hyperlink" xfId="2187" builtinId="9" hidden="1"/>
    <cellStyle name="Gevolgde hyperlink" xfId="2189" builtinId="9" hidden="1"/>
    <cellStyle name="Gevolgde hyperlink" xfId="2191" builtinId="9" hidden="1"/>
    <cellStyle name="Gevolgde hyperlink" xfId="2193" builtinId="9" hidden="1"/>
    <cellStyle name="Gevolgde hyperlink" xfId="2195" builtinId="9" hidden="1"/>
    <cellStyle name="Gevolgde hyperlink" xfId="2197" builtinId="9" hidden="1"/>
    <cellStyle name="Gevolgde hyperlink" xfId="2199" builtinId="9" hidden="1"/>
    <cellStyle name="Gevolgde hyperlink" xfId="2201" builtinId="9" hidden="1"/>
    <cellStyle name="Gevolgde hyperlink" xfId="2203" builtinId="9" hidden="1"/>
    <cellStyle name="Gevolgde hyperlink" xfId="2205" builtinId="9" hidden="1"/>
    <cellStyle name="Gevolgde hyperlink" xfId="2207" builtinId="9" hidden="1"/>
    <cellStyle name="Gevolgde hyperlink" xfId="2209" builtinId="9" hidden="1"/>
    <cellStyle name="Gevolgde hyperlink" xfId="2211" builtinId="9" hidden="1"/>
    <cellStyle name="Gevolgde hyperlink" xfId="2213" builtinId="9" hidden="1"/>
    <cellStyle name="Gevolgde hyperlink" xfId="2215" builtinId="9" hidden="1"/>
    <cellStyle name="Gevolgde hyperlink" xfId="2217" builtinId="9" hidden="1"/>
    <cellStyle name="Gevolgde hyperlink" xfId="2219" builtinId="9" hidden="1"/>
    <cellStyle name="Gevolgde hyperlink" xfId="2221" builtinId="9" hidden="1"/>
    <cellStyle name="Gevolgde hyperlink" xfId="2223" builtinId="9" hidden="1"/>
    <cellStyle name="Gevolgde hyperlink" xfId="2225" builtinId="9" hidden="1"/>
    <cellStyle name="Gevolgde hyperlink" xfId="2227" builtinId="9" hidden="1"/>
    <cellStyle name="Gevolgde hyperlink" xfId="2229" builtinId="9" hidden="1"/>
    <cellStyle name="Gevolgde hyperlink" xfId="2231" builtinId="9" hidden="1"/>
    <cellStyle name="Gevolgde hyperlink" xfId="2233" builtinId="9" hidden="1"/>
    <cellStyle name="Gevolgde hyperlink" xfId="2235" builtinId="9" hidden="1"/>
    <cellStyle name="Gevolgde hyperlink" xfId="2237" builtinId="9" hidden="1"/>
    <cellStyle name="Gevolgde hyperlink" xfId="2239" builtinId="9" hidden="1"/>
    <cellStyle name="Gevolgde hyperlink" xfId="2241" builtinId="9" hidden="1"/>
    <cellStyle name="Gevolgde hyperlink" xfId="2243" builtinId="9" hidden="1"/>
    <cellStyle name="Gevolgde hyperlink" xfId="2245" builtinId="9" hidden="1"/>
    <cellStyle name="Gevolgde hyperlink" xfId="2247" builtinId="9" hidden="1"/>
    <cellStyle name="Gevolgde hyperlink" xfId="2249" builtinId="9" hidden="1"/>
    <cellStyle name="Gevolgde hyperlink" xfId="2251" builtinId="9" hidden="1"/>
    <cellStyle name="Gevolgde hyperlink" xfId="2253" builtinId="9" hidden="1"/>
    <cellStyle name="Gevolgde hyperlink" xfId="2255" builtinId="9" hidden="1"/>
    <cellStyle name="Gevolgde hyperlink" xfId="2257" builtinId="9" hidden="1"/>
    <cellStyle name="Gevolgde hyperlink" xfId="2259" builtinId="9" hidden="1"/>
    <cellStyle name="Gevolgde hyperlink" xfId="2261" builtinId="9" hidden="1"/>
    <cellStyle name="Gevolgde hyperlink" xfId="2263" builtinId="9" hidden="1"/>
    <cellStyle name="Gevolgde hyperlink" xfId="2265" builtinId="9" hidden="1"/>
    <cellStyle name="Gevolgde hyperlink" xfId="2267"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17" builtinId="9" hidden="1"/>
    <cellStyle name="Gevolgde hyperlink" xfId="2619"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7"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3" builtinId="9" hidden="1"/>
    <cellStyle name="Gevolgde hyperlink" xfId="3315" builtinId="9" hidden="1"/>
    <cellStyle name="Gevolgde hyperlink" xfId="3317" builtinId="9" hidden="1"/>
    <cellStyle name="Gevolgde hyperlink" xfId="3319" builtinId="9" hidden="1"/>
    <cellStyle name="Gevolgde hyperlink" xfId="3321" builtinId="9" hidden="1"/>
    <cellStyle name="Gevolgde hyperlink" xfId="3323" builtinId="9" hidden="1"/>
    <cellStyle name="Gevolgde hyperlink" xfId="3325" builtinId="9" hidden="1"/>
    <cellStyle name="Gevolgde hyperlink" xfId="3327" builtinId="9" hidden="1"/>
    <cellStyle name="Gevolgde hyperlink" xfId="3329" builtinId="9" hidden="1"/>
    <cellStyle name="Gevolgde hyperlink" xfId="3331" builtinId="9" hidden="1"/>
    <cellStyle name="Gevolgde hyperlink" xfId="3333" builtinId="9" hidden="1"/>
    <cellStyle name="Gevolgde hyperlink" xfId="3335" builtinId="9" hidden="1"/>
    <cellStyle name="Gevolgde hyperlink" xfId="3337" builtinId="9" hidden="1"/>
    <cellStyle name="Gevolgde hyperlink" xfId="3339" builtinId="9" hidden="1"/>
    <cellStyle name="Gevolgde hyperlink" xfId="3341" builtinId="9" hidden="1"/>
    <cellStyle name="Gevolgde hyperlink" xfId="3343" builtinId="9" hidden="1"/>
    <cellStyle name="Gevolgde hyperlink" xfId="3345" builtinId="9" hidden="1"/>
    <cellStyle name="Gevolgde hyperlink" xfId="3347" builtinId="9" hidden="1"/>
    <cellStyle name="Gevolgde hyperlink" xfId="3349" builtinId="9" hidden="1"/>
    <cellStyle name="Gevolgde hyperlink" xfId="3351" builtinId="9" hidden="1"/>
    <cellStyle name="Gevolgde hyperlink" xfId="3353" builtinId="9" hidden="1"/>
    <cellStyle name="Gevolgde hyperlink" xfId="3355" builtinId="9" hidden="1"/>
    <cellStyle name="Gevolgde hyperlink" xfId="3357" builtinId="9" hidden="1"/>
    <cellStyle name="Gevolgde hyperlink" xfId="3359" builtinId="9" hidden="1"/>
    <cellStyle name="Gevolgde hyperlink" xfId="3361" builtinId="9" hidden="1"/>
    <cellStyle name="Gevolgde hyperlink" xfId="3363" builtinId="9" hidden="1"/>
    <cellStyle name="Gevolgde hyperlink" xfId="3365" builtinId="9" hidden="1"/>
    <cellStyle name="Gevolgde hyperlink" xfId="3367" builtinId="9" hidden="1"/>
    <cellStyle name="Gevolgde hyperlink" xfId="3369" builtinId="9" hidden="1"/>
    <cellStyle name="Gevolgde hyperlink" xfId="3371" builtinId="9" hidden="1"/>
    <cellStyle name="Gevolgde hyperlink" xfId="3373" builtinId="9" hidden="1"/>
    <cellStyle name="Gevolgde hyperlink" xfId="3375" builtinId="9" hidden="1"/>
    <cellStyle name="Gevolgde hyperlink" xfId="3377" builtinId="9" hidden="1"/>
    <cellStyle name="Gevolgde hyperlink" xfId="3379" builtinId="9" hidden="1"/>
    <cellStyle name="Gevolgde hyperlink" xfId="3381" builtinId="9" hidden="1"/>
    <cellStyle name="Gevolgde hyperlink" xfId="3383" builtinId="9" hidden="1"/>
    <cellStyle name="Gevolgde hyperlink" xfId="3385" builtinId="9" hidden="1"/>
    <cellStyle name="Gevolgde hyperlink" xfId="3387" builtinId="9" hidden="1"/>
    <cellStyle name="Gevolgde hyperlink" xfId="3389" builtinId="9" hidden="1"/>
    <cellStyle name="Gevolgde hyperlink" xfId="3391" builtinId="9" hidden="1"/>
    <cellStyle name="Gevolgde hyperlink" xfId="3393" builtinId="9" hidden="1"/>
    <cellStyle name="Gevolgde hyperlink" xfId="3395" builtinId="9" hidden="1"/>
    <cellStyle name="Gevolgde hyperlink" xfId="3397" builtinId="9" hidden="1"/>
    <cellStyle name="Gevolgde hyperlink" xfId="3399" builtinId="9" hidden="1"/>
    <cellStyle name="Gevolgde hyperlink" xfId="3401" builtinId="9" hidden="1"/>
    <cellStyle name="Gevolgde hyperlink" xfId="3403" builtinId="9" hidden="1"/>
    <cellStyle name="Gevolgde hyperlink" xfId="3405" builtinId="9" hidden="1"/>
    <cellStyle name="Gevolgde hyperlink" xfId="3407" builtinId="9" hidden="1"/>
    <cellStyle name="Gevolgde hyperlink" xfId="3409" builtinId="9" hidden="1"/>
    <cellStyle name="Gevolgde hyperlink" xfId="3411" builtinId="9" hidden="1"/>
    <cellStyle name="Gevolgde hyperlink" xfId="3413" builtinId="9" hidden="1"/>
    <cellStyle name="Gevolgde hyperlink" xfId="3415" builtinId="9" hidden="1"/>
    <cellStyle name="Gevolgde hyperlink" xfId="3417" builtinId="9" hidden="1"/>
    <cellStyle name="Gevolgde hyperlink" xfId="3419" builtinId="9" hidden="1"/>
    <cellStyle name="Gevolgde hyperlink" xfId="3421" builtinId="9" hidden="1"/>
    <cellStyle name="Gevolgde hyperlink" xfId="3423" builtinId="9" hidden="1"/>
    <cellStyle name="Gevolgde hyperlink" xfId="3425" builtinId="9" hidden="1"/>
    <cellStyle name="Gevolgde hyperlink" xfId="3427" builtinId="9" hidden="1"/>
    <cellStyle name="Gevolgde hyperlink" xfId="3429" builtinId="9" hidden="1"/>
    <cellStyle name="Gevolgde hyperlink" xfId="3431" builtinId="9" hidden="1"/>
    <cellStyle name="Gevolgde hyperlink" xfId="3433" builtinId="9" hidden="1"/>
    <cellStyle name="Gevolgde hyperlink" xfId="3435" builtinId="9" hidden="1"/>
    <cellStyle name="Gevolgde hyperlink" xfId="3437" builtinId="9" hidden="1"/>
    <cellStyle name="Gevolgde hyperlink" xfId="3439" builtinId="9" hidden="1"/>
    <cellStyle name="Gevolgde hyperlink" xfId="3441" builtinId="9" hidden="1"/>
    <cellStyle name="Gevolgde hyperlink" xfId="3443" builtinId="9" hidden="1"/>
    <cellStyle name="Gevolgde hyperlink" xfId="3445" builtinId="9" hidden="1"/>
    <cellStyle name="Gevolgde hyperlink" xfId="3447" builtinId="9" hidden="1"/>
    <cellStyle name="Gevolgde hyperlink" xfId="3449" builtinId="9" hidden="1"/>
    <cellStyle name="Gevolgde hyperlink" xfId="3451" builtinId="9" hidden="1"/>
    <cellStyle name="Gevolgde hyperlink" xfId="3453" builtinId="9" hidden="1"/>
    <cellStyle name="Gevolgde hyperlink" xfId="3455" builtinId="9" hidden="1"/>
    <cellStyle name="Gevolgde hyperlink" xfId="3457" builtinId="9" hidden="1"/>
    <cellStyle name="Gevolgde hyperlink" xfId="3459" builtinId="9" hidden="1"/>
    <cellStyle name="Gevolgde hyperlink" xfId="3461" builtinId="9" hidden="1"/>
    <cellStyle name="Gevolgde hyperlink" xfId="3463" builtinId="9" hidden="1"/>
    <cellStyle name="Gevolgde hyperlink" xfId="3465" builtinId="9" hidden="1"/>
    <cellStyle name="Gevolgde hyperlink" xfId="3467" builtinId="9" hidden="1"/>
    <cellStyle name="Gevolgde hyperlink" xfId="3469" builtinId="9" hidden="1"/>
    <cellStyle name="Gevolgde hyperlink" xfId="3471" builtinId="9" hidden="1"/>
    <cellStyle name="Gevolgde hyperlink" xfId="3473" builtinId="9" hidden="1"/>
    <cellStyle name="Gevolgde hyperlink" xfId="3475" builtinId="9" hidden="1"/>
    <cellStyle name="Gevolgde hyperlink" xfId="3477" builtinId="9" hidden="1"/>
    <cellStyle name="Gevolgde hyperlink" xfId="3479" builtinId="9" hidden="1"/>
    <cellStyle name="Gevolgde hyperlink" xfId="3481" builtinId="9" hidden="1"/>
    <cellStyle name="Gevolgde hyperlink" xfId="3483" builtinId="9" hidden="1"/>
    <cellStyle name="Gevolgde hyperlink" xfId="3485" builtinId="9" hidden="1"/>
    <cellStyle name="Gevolgde hyperlink" xfId="3487" builtinId="9" hidden="1"/>
    <cellStyle name="Gevolgde hyperlink" xfId="3489" builtinId="9" hidden="1"/>
    <cellStyle name="Gevolgde hyperlink" xfId="3491" builtinId="9" hidden="1"/>
    <cellStyle name="Gevolgde hyperlink" xfId="3493" builtinId="9" hidden="1"/>
    <cellStyle name="Gevolgde hyperlink" xfId="3495" builtinId="9" hidden="1"/>
    <cellStyle name="Gevolgde hyperlink" xfId="3497" builtinId="9" hidden="1"/>
    <cellStyle name="Gevolgde hyperlink" xfId="3499" builtinId="9" hidden="1"/>
    <cellStyle name="Gevolgde hyperlink" xfId="3501" builtinId="9" hidden="1"/>
    <cellStyle name="Gevolgde hyperlink" xfId="3503" builtinId="9" hidden="1"/>
    <cellStyle name="Gevolgde hyperlink" xfId="3505" builtinId="9" hidden="1"/>
    <cellStyle name="Gevolgde hyperlink" xfId="3507" builtinId="9" hidden="1"/>
    <cellStyle name="Gevolgde hyperlink" xfId="3509" builtinId="9" hidden="1"/>
    <cellStyle name="Gevolgde hyperlink" xfId="3511" builtinId="9" hidden="1"/>
    <cellStyle name="Gevolgde hyperlink" xfId="3513" builtinId="9" hidden="1"/>
    <cellStyle name="Gevolgde hyperlink" xfId="3515" builtinId="9" hidden="1"/>
    <cellStyle name="Gevolgde hyperlink" xfId="3517" builtinId="9" hidden="1"/>
    <cellStyle name="Gevolgde hyperlink" xfId="3519" builtinId="9" hidden="1"/>
    <cellStyle name="Gevolgde hyperlink" xfId="3521" builtinId="9" hidden="1"/>
    <cellStyle name="Gevolgde hyperlink" xfId="3523" builtinId="9" hidden="1"/>
    <cellStyle name="Gevolgde hyperlink" xfId="3525" builtinId="9" hidden="1"/>
    <cellStyle name="Gevolgde hyperlink" xfId="3527" builtinId="9" hidden="1"/>
    <cellStyle name="Gevolgde hyperlink" xfId="3529" builtinId="9" hidden="1"/>
    <cellStyle name="Gevolgde hyperlink" xfId="3531" builtinId="9" hidden="1"/>
    <cellStyle name="Gevolgde hyperlink" xfId="3533" builtinId="9" hidden="1"/>
    <cellStyle name="Gevolgde hyperlink" xfId="3535" builtinId="9" hidden="1"/>
    <cellStyle name="Gevolgde hyperlink" xfId="3537" builtinId="9" hidden="1"/>
    <cellStyle name="Gevolgde hyperlink" xfId="3539" builtinId="9" hidden="1"/>
    <cellStyle name="Gevolgde hyperlink" xfId="3541" builtinId="9" hidden="1"/>
    <cellStyle name="Gevolgde hyperlink" xfId="3543" builtinId="9" hidden="1"/>
    <cellStyle name="Gevolgde hyperlink" xfId="3545" builtinId="9" hidden="1"/>
    <cellStyle name="Gevolgde hyperlink" xfId="3547" builtinId="9" hidden="1"/>
    <cellStyle name="Gevolgde hyperlink" xfId="3549" builtinId="9" hidden="1"/>
    <cellStyle name="Gevolgde hyperlink" xfId="3551" builtinId="9" hidden="1"/>
    <cellStyle name="Gevolgde hyperlink" xfId="3553" builtinId="9" hidden="1"/>
    <cellStyle name="Gevolgde hyperlink" xfId="3555" builtinId="9" hidden="1"/>
    <cellStyle name="Gevolgde hyperlink" xfId="3557" builtinId="9" hidden="1"/>
    <cellStyle name="Gevolgde hyperlink" xfId="3559" builtinId="9" hidden="1"/>
    <cellStyle name="Gevolgde hyperlink" xfId="3561" builtinId="9" hidden="1"/>
    <cellStyle name="Gevolgde hyperlink" xfId="3563" builtinId="9" hidden="1"/>
    <cellStyle name="Gevolgde hyperlink" xfId="3565" builtinId="9" hidden="1"/>
    <cellStyle name="Gevolgde hyperlink" xfId="3567" builtinId="9" hidden="1"/>
    <cellStyle name="Gevolgde hyperlink" xfId="3569" builtinId="9" hidden="1"/>
    <cellStyle name="Gevolgde hyperlink" xfId="3571" builtinId="9" hidden="1"/>
    <cellStyle name="Gevolgde hyperlink" xfId="3573" builtinId="9" hidden="1"/>
    <cellStyle name="Gevolgde hyperlink" xfId="3575" builtinId="9" hidden="1"/>
    <cellStyle name="Gevolgde hyperlink" xfId="3577" builtinId="9" hidden="1"/>
    <cellStyle name="Gevolgde hyperlink" xfId="3579" builtinId="9" hidden="1"/>
    <cellStyle name="Gevolgde hyperlink" xfId="3581" builtinId="9" hidden="1"/>
    <cellStyle name="Gevolgde hyperlink" xfId="3583" builtinId="9" hidden="1"/>
    <cellStyle name="Gevolgde hyperlink" xfId="3585" builtinId="9" hidden="1"/>
    <cellStyle name="Gevolgde hyperlink" xfId="3587" builtinId="9" hidden="1"/>
    <cellStyle name="Gevolgde hyperlink" xfId="3589" builtinId="9" hidden="1"/>
    <cellStyle name="Gevolgde hyperlink" xfId="3591" builtinId="9" hidden="1"/>
    <cellStyle name="Gevolgde hyperlink" xfId="3593" builtinId="9" hidden="1"/>
    <cellStyle name="Gevolgde hyperlink" xfId="3595" builtinId="9" hidden="1"/>
    <cellStyle name="Gevolgde hyperlink" xfId="3597" builtinId="9" hidden="1"/>
    <cellStyle name="Gevolgde hyperlink" xfId="3599" builtinId="9" hidden="1"/>
    <cellStyle name="Gevolgde hyperlink" xfId="3601" builtinId="9" hidden="1"/>
    <cellStyle name="Gevolgde hyperlink" xfId="3603" builtinId="9" hidden="1"/>
    <cellStyle name="Gevolgde hyperlink" xfId="3605" builtinId="9" hidden="1"/>
    <cellStyle name="Gevolgde hyperlink" xfId="3607" builtinId="9" hidden="1"/>
    <cellStyle name="Gevolgde hyperlink" xfId="3609" builtinId="9" hidden="1"/>
    <cellStyle name="Gevolgde hyperlink" xfId="3611" builtinId="9" hidden="1"/>
    <cellStyle name="Gevolgde hyperlink" xfId="3613" builtinId="9" hidden="1"/>
    <cellStyle name="Gevolgde hyperlink" xfId="3615" builtinId="9" hidden="1"/>
    <cellStyle name="Gevolgde hyperlink" xfId="3617" builtinId="9" hidden="1"/>
    <cellStyle name="Gevolgde hyperlink" xfId="3619" builtinId="9" hidden="1"/>
    <cellStyle name="Gevolgde hyperlink" xfId="3621" builtinId="9" hidden="1"/>
    <cellStyle name="Gevolgde hyperlink" xfId="3623" builtinId="9" hidden="1"/>
    <cellStyle name="Gevolgde hyperlink" xfId="3625" builtinId="9" hidden="1"/>
    <cellStyle name="Gevolgde hyperlink" xfId="3627" builtinId="9" hidden="1"/>
    <cellStyle name="Gevolgde hyperlink" xfId="3629" builtinId="9" hidden="1"/>
    <cellStyle name="Gevolgde hyperlink" xfId="3631" builtinId="9" hidden="1"/>
    <cellStyle name="Gevolgde hyperlink" xfId="3633" builtinId="9" hidden="1"/>
    <cellStyle name="Gevolgde hyperlink" xfId="3635" builtinId="9" hidden="1"/>
    <cellStyle name="Gevolgde hyperlink" xfId="3637" builtinId="9" hidden="1"/>
    <cellStyle name="Gevolgde hyperlink" xfId="3639" builtinId="9" hidden="1"/>
    <cellStyle name="Gevolgde hyperlink" xfId="3641" builtinId="9" hidden="1"/>
    <cellStyle name="Gevolgde hyperlink" xfId="3643" builtinId="9" hidden="1"/>
    <cellStyle name="Gevolgde hyperlink" xfId="3645" builtinId="9" hidden="1"/>
    <cellStyle name="Gevolgde hyperlink" xfId="3647" builtinId="9" hidden="1"/>
    <cellStyle name="Gevolgde hyperlink" xfId="3649" builtinId="9" hidden="1"/>
    <cellStyle name="Gevolgde hyperlink" xfId="3651" builtinId="9" hidden="1"/>
    <cellStyle name="Gevolgde hyperlink" xfId="3653" builtinId="9" hidden="1"/>
    <cellStyle name="Gevolgde hyperlink" xfId="3655" builtinId="9" hidden="1"/>
    <cellStyle name="Gevolgde hyperlink" xfId="3657" builtinId="9" hidden="1"/>
    <cellStyle name="Gevolgde hyperlink" xfId="3659" builtinId="9" hidden="1"/>
    <cellStyle name="Gevolgde hyperlink" xfId="3661" builtinId="9" hidden="1"/>
    <cellStyle name="Gevolgde hyperlink" xfId="3663" builtinId="9" hidden="1"/>
    <cellStyle name="Gevolgde hyperlink" xfId="3665" builtinId="9" hidden="1"/>
    <cellStyle name="Gevolgde hyperlink" xfId="3667" builtinId="9" hidden="1"/>
    <cellStyle name="Gevolgde hyperlink" xfId="3669" builtinId="9" hidden="1"/>
    <cellStyle name="Gevolgde hyperlink" xfId="3671" builtinId="9" hidden="1"/>
    <cellStyle name="Gevolgde hyperlink" xfId="3673" builtinId="9" hidden="1"/>
    <cellStyle name="Gevolgde hyperlink" xfId="3675" builtinId="9" hidden="1"/>
    <cellStyle name="Gevolgde hyperlink" xfId="3677" builtinId="9" hidden="1"/>
    <cellStyle name="Gevolgde hyperlink" xfId="3679" builtinId="9" hidden="1"/>
    <cellStyle name="Gevolgde hyperlink" xfId="3681" builtinId="9" hidden="1"/>
    <cellStyle name="Gevolgde hyperlink" xfId="3683" builtinId="9" hidden="1"/>
    <cellStyle name="Gevolgde hyperlink" xfId="3685" builtinId="9" hidden="1"/>
    <cellStyle name="Gevolgde hyperlink" xfId="3687" builtinId="9" hidden="1"/>
    <cellStyle name="Gevolgde hyperlink" xfId="3689" builtinId="9" hidden="1"/>
    <cellStyle name="Gevolgde hyperlink" xfId="3691" builtinId="9" hidden="1"/>
    <cellStyle name="Gevolgde hyperlink" xfId="3693" builtinId="9" hidden="1"/>
    <cellStyle name="Gevolgde hyperlink" xfId="3695" builtinId="9" hidden="1"/>
    <cellStyle name="Gevolgde hyperlink" xfId="3697" builtinId="9" hidden="1"/>
    <cellStyle name="Gevolgde hyperlink" xfId="3699" builtinId="9" hidden="1"/>
    <cellStyle name="Gevolgde hyperlink" xfId="3701" builtinId="9" hidden="1"/>
    <cellStyle name="Gevolgde hyperlink" xfId="3703" builtinId="9" hidden="1"/>
    <cellStyle name="Gevolgde hyperlink" xfId="3705" builtinId="9" hidden="1"/>
    <cellStyle name="Gevolgde hyperlink" xfId="3707" builtinId="9" hidden="1"/>
    <cellStyle name="Gevolgde hyperlink" xfId="3709" builtinId="9" hidden="1"/>
    <cellStyle name="Gevolgde hyperlink" xfId="3711" builtinId="9" hidden="1"/>
    <cellStyle name="Gevolgde hyperlink" xfId="3713" builtinId="9" hidden="1"/>
    <cellStyle name="Gevolgde hyperlink" xfId="3715" builtinId="9" hidden="1"/>
    <cellStyle name="Gevolgde hyperlink" xfId="3717" builtinId="9" hidden="1"/>
    <cellStyle name="Gevolgde hyperlink" xfId="3719" builtinId="9" hidden="1"/>
    <cellStyle name="Gevolgde hyperlink" xfId="3721" builtinId="9" hidden="1"/>
    <cellStyle name="Gevolgde hyperlink" xfId="3723" builtinId="9" hidden="1"/>
    <cellStyle name="Gevolgde hyperlink" xfId="3725" builtinId="9" hidden="1"/>
    <cellStyle name="Gevolgde hyperlink" xfId="3727" builtinId="9" hidden="1"/>
    <cellStyle name="Gevolgde hyperlink" xfId="3729" builtinId="9" hidden="1"/>
    <cellStyle name="Gevolgde hyperlink" xfId="3731" builtinId="9" hidden="1"/>
    <cellStyle name="Gevolgde hyperlink" xfId="3733" builtinId="9" hidden="1"/>
    <cellStyle name="Gevolgde hyperlink" xfId="3735" builtinId="9" hidden="1"/>
    <cellStyle name="Gevolgde hyperlink" xfId="3737" builtinId="9" hidden="1"/>
    <cellStyle name="Gevolgde hyperlink" xfId="3739" builtinId="9" hidden="1"/>
    <cellStyle name="Gevolgde hyperlink" xfId="3741" builtinId="9" hidden="1"/>
    <cellStyle name="Gevolgde hyperlink" xfId="3743" builtinId="9" hidden="1"/>
    <cellStyle name="Gevolgde hyperlink" xfId="3745" builtinId="9" hidden="1"/>
    <cellStyle name="Gevolgde hyperlink" xfId="3747" builtinId="9" hidden="1"/>
    <cellStyle name="Gevolgde hyperlink" xfId="3749" builtinId="9" hidden="1"/>
    <cellStyle name="Gevolgde hyperlink" xfId="3751" builtinId="9" hidden="1"/>
    <cellStyle name="Gevolgde hyperlink" xfId="3753" builtinId="9" hidden="1"/>
    <cellStyle name="Gevolgde hyperlink" xfId="3755" builtinId="9" hidden="1"/>
    <cellStyle name="Gevolgde hyperlink" xfId="3757" builtinId="9" hidden="1"/>
    <cellStyle name="Gevolgde hyperlink" xfId="3759" builtinId="9" hidden="1"/>
    <cellStyle name="Gevolgde hyperlink" xfId="3761" builtinId="9" hidden="1"/>
    <cellStyle name="Gevolgde hyperlink" xfId="3763" builtinId="9" hidden="1"/>
    <cellStyle name="Gevolgde hyperlink" xfId="3765" builtinId="9" hidden="1"/>
    <cellStyle name="Gevolgde hyperlink" xfId="3767" builtinId="9" hidden="1"/>
    <cellStyle name="Gevolgde hyperlink" xfId="3769" builtinId="9" hidden="1"/>
    <cellStyle name="Gevolgde hyperlink" xfId="3771" builtinId="9" hidden="1"/>
    <cellStyle name="Gevolgde hyperlink" xfId="3773" builtinId="9" hidden="1"/>
    <cellStyle name="Gevolgde hyperlink" xfId="3775" builtinId="9" hidden="1"/>
    <cellStyle name="Gevolgde hyperlink" xfId="3777" builtinId="9" hidden="1"/>
    <cellStyle name="Gevolgde hyperlink" xfId="3779" builtinId="9" hidden="1"/>
    <cellStyle name="Gevolgde hyperlink" xfId="3781" builtinId="9" hidden="1"/>
    <cellStyle name="Gevolgde hyperlink" xfId="3783" builtinId="9" hidden="1"/>
    <cellStyle name="Gevolgde hyperlink" xfId="3785" builtinId="9" hidden="1"/>
    <cellStyle name="Gevolgde hyperlink" xfId="3787" builtinId="9" hidden="1"/>
    <cellStyle name="Gevolgde hyperlink" xfId="3789" builtinId="9" hidden="1"/>
    <cellStyle name="Gevolgde hyperlink" xfId="3791" builtinId="9" hidden="1"/>
    <cellStyle name="Gevolgde hyperlink" xfId="3793" builtinId="9" hidden="1"/>
    <cellStyle name="Gevolgde hyperlink" xfId="3795" builtinId="9" hidden="1"/>
    <cellStyle name="Gevolgde hyperlink" xfId="3797" builtinId="9" hidden="1"/>
    <cellStyle name="Gevolgde hyperlink" xfId="3799" builtinId="9" hidden="1"/>
    <cellStyle name="Gevolgde hyperlink" xfId="3801" builtinId="9" hidden="1"/>
    <cellStyle name="Gevolgde hyperlink" xfId="3803" builtinId="9" hidden="1"/>
    <cellStyle name="Gevolgde hyperlink" xfId="3805" builtinId="9" hidden="1"/>
    <cellStyle name="Gevolgde hyperlink" xfId="3807" builtinId="9" hidden="1"/>
    <cellStyle name="Gevolgde hyperlink" xfId="3809" builtinId="9" hidden="1"/>
    <cellStyle name="Gevolgde hyperlink" xfId="3811" builtinId="9" hidden="1"/>
    <cellStyle name="Gevolgde hyperlink" xfId="3813" builtinId="9" hidden="1"/>
    <cellStyle name="Gevolgde hyperlink" xfId="3815" builtinId="9" hidden="1"/>
    <cellStyle name="Gevolgde hyperlink" xfId="3817" builtinId="9" hidden="1"/>
    <cellStyle name="Gevolgde hyperlink" xfId="3819" builtinId="9" hidden="1"/>
    <cellStyle name="Gevolgde hyperlink" xfId="3821" builtinId="9" hidden="1"/>
    <cellStyle name="Gevolgde hyperlink" xfId="3823" builtinId="9" hidden="1"/>
    <cellStyle name="Gevolgde hyperlink" xfId="3825" builtinId="9" hidden="1"/>
    <cellStyle name="Gevolgde hyperlink" xfId="3827" builtinId="9" hidden="1"/>
    <cellStyle name="Gevolgde hyperlink" xfId="3829" builtinId="9" hidden="1"/>
    <cellStyle name="Gevolgde hyperlink" xfId="3831" builtinId="9" hidden="1"/>
    <cellStyle name="Gevolgde hyperlink" xfId="3833" builtinId="9" hidden="1"/>
    <cellStyle name="Gevolgde hyperlink" xfId="3835" builtinId="9" hidden="1"/>
    <cellStyle name="Gevolgde hyperlink" xfId="3837" builtinId="9" hidden="1"/>
    <cellStyle name="Gevolgde hyperlink" xfId="3839" builtinId="9" hidden="1"/>
    <cellStyle name="Gevolgde hyperlink" xfId="3841" builtinId="9" hidden="1"/>
    <cellStyle name="Gevolgde hyperlink" xfId="3843" builtinId="9" hidden="1"/>
    <cellStyle name="Gevolgde hyperlink" xfId="3845" builtinId="9" hidden="1"/>
    <cellStyle name="Gevolgde hyperlink" xfId="3847" builtinId="9" hidden="1"/>
    <cellStyle name="Gevolgde hyperlink" xfId="3849" builtinId="9" hidden="1"/>
    <cellStyle name="Gevolgde hyperlink" xfId="3851" builtinId="9" hidden="1"/>
    <cellStyle name="Gevolgde hyperlink" xfId="3853" builtinId="9" hidden="1"/>
    <cellStyle name="Gevolgde hyperlink" xfId="3855" builtinId="9" hidden="1"/>
    <cellStyle name="Gevolgde hyperlink" xfId="3857" builtinId="9" hidden="1"/>
    <cellStyle name="Gevolgde hyperlink" xfId="3859" builtinId="9" hidden="1"/>
    <cellStyle name="Gevolgde hyperlink" xfId="3861" builtinId="9" hidden="1"/>
    <cellStyle name="Gevolgde hyperlink" xfId="3863" builtinId="9" hidden="1"/>
    <cellStyle name="Gevolgde hyperlink" xfId="3865" builtinId="9" hidden="1"/>
    <cellStyle name="Gevolgde hyperlink" xfId="3867" builtinId="9" hidden="1"/>
    <cellStyle name="Gevolgde hyperlink" xfId="3869" builtinId="9" hidden="1"/>
    <cellStyle name="Gevolgde hyperlink" xfId="3871" builtinId="9" hidden="1"/>
    <cellStyle name="Gevolgde hyperlink" xfId="3873" builtinId="9" hidden="1"/>
    <cellStyle name="Gevolgde hyperlink" xfId="3875" builtinId="9" hidden="1"/>
    <cellStyle name="Gevolgde hyperlink" xfId="3877" builtinId="9" hidden="1"/>
    <cellStyle name="Gevolgde hyperlink" xfId="3879" builtinId="9" hidden="1"/>
    <cellStyle name="Gevolgde hyperlink" xfId="3881" builtinId="9" hidden="1"/>
    <cellStyle name="Gevolgde hyperlink" xfId="3883" builtinId="9" hidden="1"/>
    <cellStyle name="Gevolgde hyperlink" xfId="3885" builtinId="9" hidden="1"/>
    <cellStyle name="Gevolgde hyperlink" xfId="3887" builtinId="9" hidden="1"/>
    <cellStyle name="Gevolgde hyperlink" xfId="3889" builtinId="9" hidden="1"/>
    <cellStyle name="Gevolgde hyperlink" xfId="3891" builtinId="9" hidden="1"/>
    <cellStyle name="Gevolgde hyperlink" xfId="3893" builtinId="9" hidden="1"/>
    <cellStyle name="Gevolgde hyperlink" xfId="3895" builtinId="9" hidden="1"/>
    <cellStyle name="Gevolgde hyperlink" xfId="3897" builtinId="9" hidden="1"/>
    <cellStyle name="Gevolgde hyperlink" xfId="3899" builtinId="9" hidden="1"/>
    <cellStyle name="Gevolgde hyperlink" xfId="3901" builtinId="9" hidden="1"/>
    <cellStyle name="Gevolgde hyperlink" xfId="3903" builtinId="9" hidden="1"/>
    <cellStyle name="Gevolgde hyperlink" xfId="3905" builtinId="9" hidden="1"/>
    <cellStyle name="Gevolgde hyperlink" xfId="3907" builtinId="9" hidden="1"/>
    <cellStyle name="Gevolgde hyperlink" xfId="3909" builtinId="9" hidden="1"/>
    <cellStyle name="Gevolgde hyperlink" xfId="3911" builtinId="9" hidden="1"/>
    <cellStyle name="Gevolgde hyperlink" xfId="3913" builtinId="9" hidden="1"/>
    <cellStyle name="Gevolgde hyperlink" xfId="3915" builtinId="9" hidden="1"/>
    <cellStyle name="Gevolgde hyperlink" xfId="3917" builtinId="9" hidden="1"/>
    <cellStyle name="Gevolgde hyperlink" xfId="3919" builtinId="9" hidden="1"/>
    <cellStyle name="Gevolgde hyperlink" xfId="3921" builtinId="9" hidden="1"/>
    <cellStyle name="Gevolgde hyperlink" xfId="3923" builtinId="9" hidden="1"/>
    <cellStyle name="Gevolgde hyperlink" xfId="3925" builtinId="9" hidden="1"/>
    <cellStyle name="Gevolgde hyperlink" xfId="3927" builtinId="9" hidden="1"/>
    <cellStyle name="Gevolgde hyperlink" xfId="3929" builtinId="9" hidden="1"/>
    <cellStyle name="Gevolgde hyperlink" xfId="3931" builtinId="9" hidden="1"/>
    <cellStyle name="Gevolgde hyperlink" xfId="3933" builtinId="9" hidden="1"/>
    <cellStyle name="Gevolgde hyperlink" xfId="3935" builtinId="9" hidden="1"/>
    <cellStyle name="Gevolgde hyperlink" xfId="3937" builtinId="9" hidden="1"/>
    <cellStyle name="Gevolgde hyperlink" xfId="3939" builtinId="9" hidden="1"/>
    <cellStyle name="Gevolgde hyperlink" xfId="3941" builtinId="9" hidden="1"/>
    <cellStyle name="Gevolgde hyperlink" xfId="3943" builtinId="9" hidden="1"/>
    <cellStyle name="Gevolgde hyperlink" xfId="3945" builtinId="9" hidden="1"/>
    <cellStyle name="Gevolgde hyperlink" xfId="3947" builtinId="9" hidden="1"/>
    <cellStyle name="Gevolgde hyperlink" xfId="3949" builtinId="9" hidden="1"/>
    <cellStyle name="Gevolgde hyperlink" xfId="3951" builtinId="9" hidden="1"/>
    <cellStyle name="Gevolgde hyperlink" xfId="3953" builtinId="9" hidden="1"/>
    <cellStyle name="Gevolgde hyperlink" xfId="3955" builtinId="9" hidden="1"/>
    <cellStyle name="Gevolgde hyperlink" xfId="3957" builtinId="9" hidden="1"/>
    <cellStyle name="Gevolgde hyperlink" xfId="3959" builtinId="9" hidden="1"/>
    <cellStyle name="Gevolgde hyperlink" xfId="3961" builtinId="9" hidden="1"/>
    <cellStyle name="Gevolgde hyperlink" xfId="3963" builtinId="9" hidden="1"/>
    <cellStyle name="Gevolgde hyperlink" xfId="3965" builtinId="9" hidden="1"/>
    <cellStyle name="Gevolgde hyperlink" xfId="3967" builtinId="9" hidden="1"/>
    <cellStyle name="Gevolgde hyperlink" xfId="3969" builtinId="9" hidden="1"/>
    <cellStyle name="Gevolgde hyperlink" xfId="3971" builtinId="9" hidden="1"/>
    <cellStyle name="Gevolgde hyperlink" xfId="3973" builtinId="9" hidden="1"/>
    <cellStyle name="Gevolgde hyperlink" xfId="3975" builtinId="9" hidden="1"/>
    <cellStyle name="Gevolgde hyperlink" xfId="3977" builtinId="9" hidden="1"/>
    <cellStyle name="Gevolgde hyperlink" xfId="3979" builtinId="9" hidden="1"/>
    <cellStyle name="Gevolgde hyperlink" xfId="3981" builtinId="9" hidden="1"/>
    <cellStyle name="Gevolgde hyperlink" xfId="3983" builtinId="9" hidden="1"/>
    <cellStyle name="Gevolgde hyperlink" xfId="3985" builtinId="9" hidden="1"/>
    <cellStyle name="Gevolgde hyperlink" xfId="3987" builtinId="9" hidden="1"/>
    <cellStyle name="Gevolgde hyperlink" xfId="3989" builtinId="9" hidden="1"/>
    <cellStyle name="Gevolgde hyperlink" xfId="3991" builtinId="9" hidden="1"/>
    <cellStyle name="Gevolgde hyperlink" xfId="3993" builtinId="9" hidden="1"/>
    <cellStyle name="Gevolgde hyperlink" xfId="3995" builtinId="9" hidden="1"/>
    <cellStyle name="Gevolgde hyperlink" xfId="3997" builtinId="9" hidden="1"/>
    <cellStyle name="Gevolgde hyperlink" xfId="3999" builtinId="9" hidden="1"/>
    <cellStyle name="Gevolgde hyperlink" xfId="4001" builtinId="9" hidden="1"/>
    <cellStyle name="Gevolgde hyperlink" xfId="4003" builtinId="9" hidden="1"/>
    <cellStyle name="Gevolgde hyperlink" xfId="4005" builtinId="9" hidden="1"/>
    <cellStyle name="Gevolgde hyperlink" xfId="4007" builtinId="9" hidden="1"/>
    <cellStyle name="Gevolgde hyperlink" xfId="4009" builtinId="9" hidden="1"/>
    <cellStyle name="Gevolgde hyperlink" xfId="4011" builtinId="9" hidden="1"/>
    <cellStyle name="Gevolgde hyperlink" xfId="4013" builtinId="9" hidden="1"/>
    <cellStyle name="Gevolgde hyperlink" xfId="4015" builtinId="9" hidden="1"/>
    <cellStyle name="Gevolgde hyperlink" xfId="4017" builtinId="9" hidden="1"/>
    <cellStyle name="Gevolgde hyperlink" xfId="4019" builtinId="9" hidden="1"/>
    <cellStyle name="Gevolgde hyperlink" xfId="4021" builtinId="9" hidden="1"/>
    <cellStyle name="Gevolgde hyperlink" xfId="4023" builtinId="9" hidden="1"/>
    <cellStyle name="Gevolgde hyperlink" xfId="4025" builtinId="9" hidden="1"/>
    <cellStyle name="Gevolgde hyperlink" xfId="4027" builtinId="9" hidden="1"/>
    <cellStyle name="Gevolgde hyperlink" xfId="4029"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37">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11" name="Afbeelding 10"/>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12" name="Afbeelding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14" name="Afbeelding 1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15" name="Afbeelding 14"/>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16" name="Afbeelding 15"/>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17" name="Afbeelding 16"/>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18" name="Afbeelding 17"/>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9" name="Afbeelding 18"/>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60</xdr:row>
      <xdr:rowOff>88900</xdr:rowOff>
    </xdr:from>
    <xdr:to>
      <xdr:col>8</xdr:col>
      <xdr:colOff>0</xdr:colOff>
      <xdr:row>60</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27</xdr:col>
      <xdr:colOff>711200</xdr:colOff>
      <xdr:row>102</xdr:row>
      <xdr:rowOff>25400</xdr:rowOff>
    </xdr:from>
    <xdr:to>
      <xdr:col>31</xdr:col>
      <xdr:colOff>126555</xdr:colOff>
      <xdr:row>106</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30</xdr:col>
      <xdr:colOff>508000</xdr:colOff>
      <xdr:row>93</xdr:row>
      <xdr:rowOff>0</xdr:rowOff>
    </xdr:from>
    <xdr:to>
      <xdr:col>30</xdr:col>
      <xdr:colOff>508000</xdr:colOff>
      <xdr:row>102</xdr:row>
      <xdr:rowOff>76200</xdr:rowOff>
    </xdr:to>
    <xdr:cxnSp macro="">
      <xdr:nvCxnSpPr>
        <xdr:cNvPr id="21198" name="Straight Arrow Connector 4"/>
        <xdr:cNvCxnSpPr>
          <a:cxnSpLocks noChangeShapeType="1"/>
        </xdr:cNvCxnSpPr>
      </xdr:nvCxnSpPr>
      <xdr:spPr bwMode="auto">
        <a:xfrm flipV="1">
          <a:off x="27368500" y="16827500"/>
          <a:ext cx="0" cy="15367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110</xdr:row>
      <xdr:rowOff>50800</xdr:rowOff>
    </xdr:from>
    <xdr:to>
      <xdr:col>10</xdr:col>
      <xdr:colOff>0</xdr:colOff>
      <xdr:row>112</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15</xdr:row>
      <xdr:rowOff>114300</xdr:rowOff>
    </xdr:from>
    <xdr:to>
      <xdr:col>8</xdr:col>
      <xdr:colOff>254000</xdr:colOff>
      <xdr:row>31</xdr:row>
      <xdr:rowOff>139700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98500" y="3276600"/>
          <a:ext cx="71755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31036" name="Rounded Rectangle 1"/>
        <xdr:cNvSpPr>
          <a:spLocks noChangeArrowheads="1"/>
        </xdr:cNvSpPr>
      </xdr:nvSpPr>
      <xdr:spPr bwMode="auto">
        <a:xfrm>
          <a:off x="304800" y="88900"/>
          <a:ext cx="180848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12700</xdr:colOff>
      <xdr:row>8</xdr:row>
      <xdr:rowOff>110074</xdr:rowOff>
    </xdr:from>
    <xdr:to>
      <xdr:col>13</xdr:col>
      <xdr:colOff>25400</xdr:colOff>
      <xdr:row>10</xdr:row>
      <xdr:rowOff>8474</xdr:rowOff>
    </xdr:to>
    <xdr:sp macro="" textlink="">
      <xdr:nvSpPr>
        <xdr:cNvPr id="31037" name="Rounded Rectangle 2"/>
        <xdr:cNvSpPr>
          <a:spLocks noChangeArrowheads="1"/>
        </xdr:cNvSpPr>
      </xdr:nvSpPr>
      <xdr:spPr bwMode="auto">
        <a:xfrm>
          <a:off x="317500" y="1481674"/>
          <a:ext cx="191389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67</xdr:row>
      <xdr:rowOff>101600</xdr:rowOff>
    </xdr:from>
    <xdr:to>
      <xdr:col>13</xdr:col>
      <xdr:colOff>12700</xdr:colOff>
      <xdr:row>69</xdr:row>
      <xdr:rowOff>0</xdr:rowOff>
    </xdr:to>
    <xdr:sp macro="" textlink="">
      <xdr:nvSpPr>
        <xdr:cNvPr id="31038" name="Rounded Rectangle 3"/>
        <xdr:cNvSpPr>
          <a:spLocks noChangeArrowheads="1"/>
        </xdr:cNvSpPr>
      </xdr:nvSpPr>
      <xdr:spPr bwMode="auto">
        <a:xfrm>
          <a:off x="266700" y="13195300"/>
          <a:ext cx="195707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124</xdr:row>
      <xdr:rowOff>127000</xdr:rowOff>
    </xdr:from>
    <xdr:to>
      <xdr:col>13</xdr:col>
      <xdr:colOff>0</xdr:colOff>
      <xdr:row>126</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132</xdr:row>
      <xdr:rowOff>0</xdr:rowOff>
    </xdr:from>
    <xdr:to>
      <xdr:col>10</xdr:col>
      <xdr:colOff>0</xdr:colOff>
      <xdr:row>133</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132</xdr:row>
      <xdr:rowOff>0</xdr:rowOff>
    </xdr:from>
    <xdr:to>
      <xdr:col>12</xdr:col>
      <xdr:colOff>1871134</xdr:colOff>
      <xdr:row>133</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132</xdr:row>
      <xdr:rowOff>127000</xdr:rowOff>
    </xdr:from>
    <xdr:to>
      <xdr:col>7</xdr:col>
      <xdr:colOff>165100</xdr:colOff>
      <xdr:row>134</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102</xdr:row>
      <xdr:rowOff>0</xdr:rowOff>
    </xdr:from>
    <xdr:to>
      <xdr:col>14</xdr:col>
      <xdr:colOff>76200</xdr:colOff>
      <xdr:row>103</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508000</xdr:colOff>
      <xdr:row>3</xdr:row>
      <xdr:rowOff>0</xdr:rowOff>
    </xdr:from>
    <xdr:to>
      <xdr:col>9</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8</xdr:row>
      <xdr:rowOff>124793</xdr:rowOff>
    </xdr:from>
    <xdr:to>
      <xdr:col>25</xdr:col>
      <xdr:colOff>949739</xdr:colOff>
      <xdr:row>9</xdr:row>
      <xdr:rowOff>505793</xdr:rowOff>
    </xdr:to>
    <xdr:sp macro="" textlink="">
      <xdr:nvSpPr>
        <xdr:cNvPr id="1731" name="Rounded Rectangle 2"/>
        <xdr:cNvSpPr>
          <a:spLocks noChangeArrowheads="1"/>
        </xdr:cNvSpPr>
      </xdr:nvSpPr>
      <xdr:spPr bwMode="auto">
        <a:xfrm>
          <a:off x="0" y="1847576"/>
          <a:ext cx="25919043" cy="546652"/>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25400</xdr:colOff>
      <xdr:row>26</xdr:row>
      <xdr:rowOff>88900</xdr:rowOff>
    </xdr:from>
    <xdr:to>
      <xdr:col>4</xdr:col>
      <xdr:colOff>393700</xdr:colOff>
      <xdr:row>44</xdr:row>
      <xdr:rowOff>88900</xdr:rowOff>
    </xdr:to>
    <xdr:sp macro="" textlink="">
      <xdr:nvSpPr>
        <xdr:cNvPr id="3" name="Vierkante haak rechts 2"/>
        <xdr:cNvSpPr/>
      </xdr:nvSpPr>
      <xdr:spPr bwMode="auto">
        <a:xfrm>
          <a:off x="8991600" y="4711700"/>
          <a:ext cx="368300" cy="30353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izinga/Downloads/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izinga/Downloads/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uizinga/Downloads/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59"/>
      <c r="C2" s="112" t="str">
        <f>'1.0-Contractblad'!E2</f>
        <v>Stichting Altra - Horizon</v>
      </c>
    </row>
    <row r="3" spans="1:9" ht="16">
      <c r="A3" s="29" t="s">
        <v>162</v>
      </c>
      <c r="B3" s="159"/>
      <c r="C3" s="112" t="s">
        <v>161</v>
      </c>
    </row>
    <row r="4" spans="1:9" ht="16">
      <c r="A4" s="29" t="s">
        <v>52</v>
      </c>
      <c r="B4" s="159"/>
      <c r="C4" s="112" t="str">
        <f>'1.0-Contractblad'!E4</f>
        <v>Regio Noord Holland</v>
      </c>
    </row>
    <row r="5" spans="1:9" ht="16">
      <c r="A5" s="29" t="s">
        <v>217</v>
      </c>
      <c r="B5" s="159"/>
      <c r="C5" s="112" t="str">
        <f>'1.0-Contractblad'!E5</f>
        <v>180417 V2</v>
      </c>
    </row>
    <row r="6" spans="1:9"/>
    <row r="7" spans="1:9"/>
    <row r="8" spans="1:9" ht="18">
      <c r="A8" s="197" t="s">
        <v>33</v>
      </c>
      <c r="B8" s="160"/>
      <c r="C8" s="2"/>
      <c r="D8" s="2"/>
      <c r="E8" s="2"/>
      <c r="F8" s="11"/>
      <c r="G8" s="11"/>
      <c r="H8" s="11"/>
    </row>
    <row r="9" spans="1:9" ht="26" customHeight="1">
      <c r="A9" s="197" t="s">
        <v>224</v>
      </c>
      <c r="B9" s="176"/>
      <c r="C9" s="15"/>
      <c r="D9" s="15"/>
      <c r="E9" s="15"/>
      <c r="F9" s="5"/>
      <c r="G9" s="5"/>
      <c r="H9" s="5"/>
    </row>
    <row r="10" spans="1:9" ht="16">
      <c r="A10" s="18"/>
      <c r="B10" s="15"/>
      <c r="C10" s="15"/>
      <c r="D10" s="15"/>
      <c r="E10" s="15"/>
      <c r="F10" s="13"/>
      <c r="G10" s="12"/>
      <c r="H10" s="5"/>
    </row>
    <row r="11" spans="1:9" ht="16">
      <c r="A11" s="19" t="s">
        <v>20</v>
      </c>
      <c r="B11" s="3"/>
      <c r="C11" s="3"/>
      <c r="G11" s="12"/>
      <c r="I11" s="196"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805" t="s">
        <v>82</v>
      </c>
      <c r="C14" s="805"/>
      <c r="D14" s="805"/>
      <c r="E14" s="805"/>
      <c r="F14" s="805"/>
      <c r="G14" s="805"/>
      <c r="H14" s="805"/>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806" t="s">
        <v>231</v>
      </c>
      <c r="C27" s="807"/>
      <c r="D27" s="807"/>
      <c r="E27" s="807"/>
      <c r="F27" s="807"/>
      <c r="G27" s="807"/>
      <c r="H27" s="5"/>
    </row>
    <row r="28" spans="1:8">
      <c r="B28" s="807"/>
      <c r="C28" s="807"/>
      <c r="D28" s="807"/>
      <c r="E28" s="807"/>
      <c r="F28" s="807"/>
      <c r="G28" s="807"/>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7"/>
    </row>
    <row r="38" spans="1:8">
      <c r="B38" s="158"/>
    </row>
    <row r="39" spans="1:8"/>
    <row r="40" spans="1:8" ht="16">
      <c r="A40" s="157"/>
    </row>
    <row r="41" spans="1:8">
      <c r="B41" s="158"/>
    </row>
    <row r="42" spans="1:8"/>
    <row r="43" spans="1:8" ht="16">
      <c r="A43" s="157"/>
    </row>
    <row r="44" spans="1:8"/>
    <row r="45" spans="1:8"/>
    <row r="46" spans="1:8"/>
    <row r="47" spans="1:8"/>
    <row r="48" spans="1:8"/>
    <row r="49"/>
  </sheetData>
  <dataConsolidate/>
  <mergeCells count="2">
    <mergeCell ref="B14:H14"/>
    <mergeCell ref="B27:G28"/>
  </mergeCells>
  <phoneticPr fontId="17"/>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zoomScaleSheetLayoutView="75" workbookViewId="0"/>
  </sheetViews>
  <sheetFormatPr baseColWidth="10" defaultColWidth="10.7109375" defaultRowHeight="13" zeroHeight="1" x14ac:dyDescent="0"/>
  <cols>
    <col min="1" max="1" width="14.42578125" style="162" customWidth="1"/>
    <col min="2" max="2" width="45.5703125" style="162" customWidth="1"/>
    <col min="3" max="3" width="21.5703125" style="162" customWidth="1"/>
    <col min="4" max="4" width="19.28515625" style="162" customWidth="1"/>
    <col min="5" max="5" width="5" style="162" customWidth="1"/>
    <col min="6" max="6" width="14.7109375" style="162" customWidth="1"/>
    <col min="7" max="7" width="15.28515625" style="162" customWidth="1"/>
    <col min="8" max="8" width="12.140625" style="162" customWidth="1"/>
    <col min="9" max="9" width="7.85546875" style="162" customWidth="1"/>
    <col min="10" max="10" width="27" style="162" customWidth="1"/>
    <col min="11" max="16384" width="10.7109375" style="162"/>
  </cols>
  <sheetData>
    <row r="1" spans="2:11"/>
    <row r="2" spans="2:11" ht="16">
      <c r="B2" s="72" t="s">
        <v>160</v>
      </c>
      <c r="C2" s="30" t="str">
        <f>'1.3-Basis ruimtestaat'!F4</f>
        <v>Stichting Altra - Horizon</v>
      </c>
      <c r="E2" s="160"/>
      <c r="F2" s="160"/>
      <c r="G2" s="161"/>
      <c r="H2" s="161"/>
      <c r="I2" s="161"/>
    </row>
    <row r="3" spans="2:11" ht="16">
      <c r="B3" s="72" t="s">
        <v>112</v>
      </c>
      <c r="C3" s="72" t="s">
        <v>369</v>
      </c>
      <c r="D3" s="163"/>
      <c r="E3" s="164"/>
      <c r="F3" s="165"/>
      <c r="G3" s="166"/>
      <c r="H3" s="166"/>
      <c r="I3" s="166"/>
    </row>
    <row r="4" spans="2:11" ht="16">
      <c r="B4" s="72" t="s">
        <v>144</v>
      </c>
      <c r="C4" s="30" t="str">
        <f>'1.3-Basis ruimtestaat'!F6</f>
        <v>Regio Noord Holland</v>
      </c>
      <c r="D4" s="72"/>
      <c r="E4" s="167"/>
      <c r="F4" s="168"/>
      <c r="G4" s="169"/>
      <c r="H4" s="170"/>
      <c r="I4" s="166"/>
    </row>
    <row r="5" spans="2:11" ht="16">
      <c r="B5" s="72" t="s">
        <v>217</v>
      </c>
      <c r="C5" s="30" t="str">
        <f>'1.3-Basis ruimtestaat'!F7</f>
        <v>180417 V2</v>
      </c>
      <c r="D5" s="171"/>
      <c r="E5" s="167"/>
      <c r="F5" s="168"/>
      <c r="G5" s="169"/>
      <c r="H5" s="170"/>
      <c r="I5" s="166"/>
    </row>
    <row r="6" spans="2:11" ht="16">
      <c r="B6" s="72" t="s">
        <v>158</v>
      </c>
      <c r="C6" s="30" t="str">
        <f>'1.3-Basis ruimtestaat'!F8</f>
        <v>[NAAM LEVERANCIER]</v>
      </c>
      <c r="D6" s="171"/>
      <c r="E6" s="171"/>
      <c r="F6" s="172"/>
      <c r="G6" s="169"/>
      <c r="H6" s="170"/>
      <c r="I6" s="166"/>
      <c r="J6" s="173"/>
      <c r="K6" s="173"/>
    </row>
    <row r="7" spans="2:11" ht="16">
      <c r="B7" s="72" t="s">
        <v>8</v>
      </c>
      <c r="C7" s="639">
        <f>Voorblad!$E$15</f>
        <v>42917</v>
      </c>
      <c r="D7" s="168"/>
      <c r="E7" s="168"/>
      <c r="F7" s="168"/>
      <c r="G7" s="169"/>
      <c r="H7" s="170"/>
      <c r="I7" s="166"/>
    </row>
    <row r="8" spans="2:11" ht="16">
      <c r="B8" s="174"/>
      <c r="C8" s="168"/>
      <c r="D8" s="168"/>
      <c r="E8" s="168"/>
      <c r="F8" s="168"/>
      <c r="G8" s="169"/>
      <c r="H8" s="170"/>
      <c r="I8" s="166"/>
    </row>
    <row r="9" spans="2:11" ht="18">
      <c r="B9" s="338" t="s">
        <v>184</v>
      </c>
      <c r="C9" s="339"/>
      <c r="D9" s="339"/>
      <c r="E9" s="339"/>
      <c r="F9" s="339"/>
      <c r="G9" s="169"/>
      <c r="H9" s="170"/>
      <c r="I9" s="166"/>
    </row>
    <row r="10" spans="2:11">
      <c r="B10" s="175"/>
      <c r="C10" s="176"/>
      <c r="D10" s="176"/>
      <c r="E10" s="176"/>
      <c r="F10" s="176"/>
      <c r="G10" s="166"/>
      <c r="H10" s="166"/>
      <c r="I10" s="166"/>
    </row>
    <row r="11" spans="2:11">
      <c r="B11" s="507"/>
      <c r="C11" s="508"/>
      <c r="D11" s="509" t="s">
        <v>228</v>
      </c>
      <c r="E11" s="176"/>
      <c r="F11" s="176"/>
      <c r="G11" s="169"/>
      <c r="H11" s="170"/>
      <c r="I11" s="166"/>
    </row>
    <row r="12" spans="2:11">
      <c r="B12" s="510" t="s">
        <v>373</v>
      </c>
      <c r="C12" s="511"/>
      <c r="D12" s="334"/>
      <c r="E12" s="176"/>
      <c r="F12" s="169"/>
      <c r="G12" s="170"/>
      <c r="H12" s="166"/>
    </row>
    <row r="13" spans="2:11">
      <c r="B13" s="569" t="s">
        <v>390</v>
      </c>
      <c r="C13" s="523"/>
      <c r="D13" s="531"/>
      <c r="E13" s="176"/>
      <c r="F13" s="169"/>
      <c r="G13" s="170"/>
      <c r="H13" s="166"/>
    </row>
    <row r="14" spans="2:11">
      <c r="B14" s="570"/>
      <c r="C14" s="523" t="s">
        <v>380</v>
      </c>
      <c r="D14" s="528">
        <f>IF(B14="x",C14,0)</f>
        <v>0</v>
      </c>
      <c r="E14" s="176"/>
      <c r="F14" s="169"/>
      <c r="G14" s="170"/>
      <c r="H14" s="166"/>
    </row>
    <row r="15" spans="2:11">
      <c r="B15" s="570"/>
      <c r="C15" s="523" t="s">
        <v>381</v>
      </c>
      <c r="D15" s="528">
        <f>IF(B15="x",C15,0)</f>
        <v>0</v>
      </c>
      <c r="E15" s="176"/>
      <c r="F15" s="169"/>
      <c r="G15" s="170"/>
      <c r="H15" s="166"/>
    </row>
    <row r="16" spans="2:11">
      <c r="B16" s="570"/>
      <c r="C16" s="523" t="s">
        <v>382</v>
      </c>
      <c r="D16" s="528">
        <f>IF(B16="x",C16,0)</f>
        <v>0</v>
      </c>
      <c r="E16" s="176"/>
      <c r="F16" s="169"/>
      <c r="G16" s="170"/>
      <c r="H16" s="166"/>
    </row>
    <row r="17" spans="2:9">
      <c r="B17" s="529"/>
      <c r="C17" s="530"/>
      <c r="D17" s="531"/>
      <c r="E17" s="176"/>
      <c r="F17" s="169"/>
      <c r="G17" s="170"/>
      <c r="H17" s="166"/>
    </row>
    <row r="18" spans="2:9">
      <c r="B18" s="336" t="s">
        <v>163</v>
      </c>
      <c r="C18" s="634"/>
      <c r="D18" s="526"/>
      <c r="E18" s="176"/>
      <c r="F18" s="169"/>
      <c r="G18" s="170"/>
      <c r="H18" s="166"/>
    </row>
    <row r="19" spans="2:9">
      <c r="B19" s="635" t="s">
        <v>376</v>
      </c>
      <c r="C19" s="634"/>
      <c r="D19" s="527"/>
      <c r="E19" s="176"/>
      <c r="F19" s="169"/>
      <c r="G19" s="170"/>
      <c r="H19" s="166"/>
    </row>
    <row r="20" spans="2:9">
      <c r="B20" s="635" t="s">
        <v>377</v>
      </c>
      <c r="C20" s="634"/>
      <c r="D20" s="527"/>
      <c r="E20" s="176"/>
      <c r="F20" s="169"/>
      <c r="G20" s="170"/>
      <c r="H20" s="166"/>
      <c r="I20" s="177"/>
    </row>
    <row r="21" spans="2:9">
      <c r="B21" s="635" t="s">
        <v>378</v>
      </c>
      <c r="C21" s="634"/>
      <c r="D21" s="527"/>
      <c r="E21" s="176"/>
      <c r="F21" s="169"/>
      <c r="G21" s="170"/>
      <c r="H21" s="166"/>
    </row>
    <row r="22" spans="2:9">
      <c r="B22" s="636" t="s">
        <v>379</v>
      </c>
      <c r="C22" s="634"/>
      <c r="D22" s="524">
        <f>SUM(D12:D21)</f>
        <v>0</v>
      </c>
      <c r="E22" s="176"/>
      <c r="F22" s="169"/>
      <c r="G22" s="170"/>
      <c r="H22" s="166"/>
    </row>
    <row r="23" spans="2:9">
      <c r="B23" s="529"/>
      <c r="C23" s="530"/>
      <c r="D23" s="531"/>
      <c r="E23" s="176"/>
      <c r="F23" s="169"/>
      <c r="G23" s="170"/>
      <c r="H23" s="166"/>
    </row>
    <row r="24" spans="2:9">
      <c r="B24" s="510" t="s">
        <v>374</v>
      </c>
      <c r="C24" s="511"/>
      <c r="D24" s="334"/>
      <c r="E24" s="176"/>
      <c r="F24" s="169"/>
      <c r="G24" s="170"/>
      <c r="H24" s="166"/>
    </row>
    <row r="25" spans="2:9">
      <c r="B25" s="512" t="s">
        <v>18</v>
      </c>
      <c r="C25" s="511"/>
      <c r="D25" s="334"/>
      <c r="E25" s="176"/>
      <c r="F25" s="169"/>
      <c r="G25" s="170"/>
      <c r="H25" s="166"/>
    </row>
    <row r="26" spans="2:9">
      <c r="B26" s="510" t="s">
        <v>19</v>
      </c>
      <c r="C26" s="511"/>
      <c r="D26" s="334"/>
      <c r="E26" s="176"/>
      <c r="F26" s="169"/>
      <c r="G26" s="170"/>
      <c r="H26" s="166"/>
    </row>
    <row r="27" spans="2:9">
      <c r="B27" s="512" t="s">
        <v>375</v>
      </c>
      <c r="C27" s="511"/>
      <c r="D27" s="571">
        <f>D45</f>
        <v>0</v>
      </c>
      <c r="E27" s="176"/>
      <c r="F27" s="169"/>
      <c r="G27" s="170"/>
      <c r="H27" s="166"/>
    </row>
    <row r="28" spans="2:9">
      <c r="B28" s="512" t="s">
        <v>130</v>
      </c>
      <c r="C28" s="511"/>
      <c r="D28" s="334"/>
      <c r="E28" s="176"/>
      <c r="F28" s="169"/>
      <c r="G28" s="170"/>
      <c r="H28" s="166"/>
    </row>
    <row r="29" spans="2:9">
      <c r="B29" s="512" t="s">
        <v>131</v>
      </c>
      <c r="C29" s="511"/>
      <c r="D29" s="334"/>
      <c r="E29" s="176"/>
      <c r="F29" s="169"/>
      <c r="G29" s="170"/>
      <c r="H29" s="166"/>
    </row>
    <row r="30" spans="2:9">
      <c r="B30" s="512" t="s">
        <v>132</v>
      </c>
      <c r="C30" s="511"/>
      <c r="D30" s="334"/>
      <c r="E30" s="176"/>
      <c r="F30" s="169"/>
      <c r="G30" s="170"/>
      <c r="H30" s="166"/>
    </row>
    <row r="31" spans="2:9">
      <c r="B31" s="512" t="s">
        <v>164</v>
      </c>
      <c r="C31" s="511"/>
      <c r="D31" s="334"/>
      <c r="E31" s="176"/>
      <c r="F31" s="169"/>
      <c r="G31" s="170"/>
      <c r="H31" s="166"/>
    </row>
    <row r="32" spans="2:9">
      <c r="B32" s="336"/>
      <c r="C32" s="335"/>
      <c r="D32" s="334"/>
      <c r="E32" s="176"/>
      <c r="F32" s="169"/>
      <c r="G32" s="170"/>
      <c r="H32" s="166"/>
    </row>
    <row r="33" spans="2:11">
      <c r="B33" s="337"/>
      <c r="C33" s="337" t="s">
        <v>11</v>
      </c>
      <c r="D33" s="514">
        <f>SUM(D22:D32)</f>
        <v>0</v>
      </c>
      <c r="E33" s="176"/>
      <c r="F33" s="169"/>
      <c r="G33" s="170"/>
      <c r="H33" s="166"/>
    </row>
    <row r="34" spans="2:11">
      <c r="B34" s="178"/>
      <c r="C34" s="179"/>
      <c r="D34" s="180"/>
      <c r="E34" s="168"/>
      <c r="F34" s="166"/>
      <c r="G34" s="170"/>
      <c r="H34" s="166"/>
    </row>
    <row r="35" spans="2:11">
      <c r="E35" s="168"/>
      <c r="F35" s="168"/>
      <c r="G35" s="166"/>
      <c r="H35" s="170"/>
      <c r="I35" s="166"/>
    </row>
    <row r="36" spans="2:11">
      <c r="B36" s="175"/>
      <c r="C36" s="176"/>
      <c r="D36" s="176"/>
      <c r="E36" s="168"/>
      <c r="F36" s="168"/>
      <c r="G36" s="166"/>
      <c r="H36" s="166"/>
      <c r="I36" s="166"/>
    </row>
    <row r="37" spans="2:11" ht="18">
      <c r="B37" s="338" t="s">
        <v>139</v>
      </c>
      <c r="C37" s="339"/>
      <c r="D37" s="339"/>
      <c r="E37" s="168"/>
      <c r="F37" s="168"/>
      <c r="G37" s="169"/>
      <c r="H37" s="170"/>
      <c r="I37" s="166"/>
    </row>
    <row r="38" spans="2:11">
      <c r="B38" s="175"/>
      <c r="C38" s="176"/>
      <c r="D38" s="176"/>
      <c r="E38" s="168"/>
      <c r="F38" s="168"/>
      <c r="G38" s="166"/>
      <c r="H38" s="166"/>
      <c r="I38" s="166"/>
      <c r="J38" s="177"/>
    </row>
    <row r="39" spans="2:11">
      <c r="B39" s="176"/>
      <c r="C39" s="176"/>
      <c r="D39" s="343" t="s">
        <v>133</v>
      </c>
      <c r="E39" s="168"/>
      <c r="F39" s="168"/>
      <c r="G39" s="166"/>
      <c r="H39" s="166"/>
      <c r="I39" s="166"/>
      <c r="J39" s="177"/>
    </row>
    <row r="40" spans="2:11">
      <c r="B40" s="347" t="s">
        <v>134</v>
      </c>
      <c r="C40" s="348"/>
      <c r="D40" s="345">
        <f>IF('1.5 Opbouw uurtarieven'!Q40=0,0,'1.5 Opbouw uurtarieven'!Q40)</f>
        <v>0</v>
      </c>
      <c r="E40" s="168"/>
      <c r="F40" s="168"/>
      <c r="G40" s="182"/>
      <c r="H40" s="177"/>
      <c r="I40" s="166"/>
      <c r="J40" s="177"/>
      <c r="K40" s="177"/>
    </row>
    <row r="41" spans="2:11">
      <c r="B41" s="347" t="s">
        <v>118</v>
      </c>
      <c r="C41" s="663"/>
      <c r="D41" s="354"/>
      <c r="E41" s="664" t="s">
        <v>1020</v>
      </c>
      <c r="F41" s="168"/>
      <c r="G41" s="169"/>
      <c r="H41" s="170"/>
      <c r="I41" s="166"/>
      <c r="J41" s="177"/>
      <c r="K41" s="177"/>
    </row>
    <row r="42" spans="2:11">
      <c r="B42" s="347" t="s">
        <v>30</v>
      </c>
      <c r="C42" s="348"/>
      <c r="D42" s="345">
        <f>D40-D41</f>
        <v>0</v>
      </c>
      <c r="E42" s="168"/>
      <c r="F42" s="168"/>
      <c r="G42" s="170"/>
      <c r="I42" s="166"/>
      <c r="J42" s="177"/>
      <c r="K42" s="177"/>
    </row>
    <row r="43" spans="2:11">
      <c r="B43" s="352" t="s">
        <v>31</v>
      </c>
      <c r="C43" s="348"/>
      <c r="D43" s="353"/>
      <c r="E43" s="168"/>
      <c r="F43" s="168"/>
      <c r="G43" s="169"/>
      <c r="H43" s="170"/>
      <c r="I43" s="166"/>
      <c r="J43" s="177"/>
    </row>
    <row r="44" spans="2:11">
      <c r="B44" s="175"/>
      <c r="C44" s="179"/>
      <c r="D44" s="344"/>
      <c r="E44" s="168"/>
      <c r="F44" s="168"/>
      <c r="G44" s="166"/>
      <c r="H44" s="166"/>
      <c r="I44" s="166"/>
      <c r="J44" s="177"/>
    </row>
    <row r="45" spans="2:11">
      <c r="B45" s="350"/>
      <c r="C45" s="351" t="s">
        <v>119</v>
      </c>
      <c r="D45" s="346">
        <f>IF(D42=0,0,(D42/D40)*D43)</f>
        <v>0</v>
      </c>
      <c r="E45" s="168"/>
      <c r="F45" s="168"/>
      <c r="G45" s="166"/>
      <c r="H45" s="170"/>
      <c r="I45" s="184"/>
      <c r="J45" s="177"/>
    </row>
    <row r="46" spans="2:11">
      <c r="B46" s="178"/>
      <c r="C46" s="179"/>
      <c r="D46" s="183"/>
      <c r="E46" s="168"/>
      <c r="F46" s="168"/>
      <c r="G46" s="166"/>
      <c r="H46" s="170"/>
      <c r="I46" s="166"/>
      <c r="J46" s="177"/>
    </row>
    <row r="47" spans="2:11">
      <c r="B47" s="175"/>
      <c r="C47" s="176"/>
      <c r="D47" s="176"/>
      <c r="E47" s="168"/>
      <c r="F47" s="168"/>
      <c r="G47" s="166"/>
      <c r="H47" s="170"/>
      <c r="I47" s="166"/>
    </row>
    <row r="48" spans="2:11">
      <c r="B48" s="175"/>
      <c r="C48" s="176"/>
      <c r="D48" s="176"/>
      <c r="E48" s="168"/>
      <c r="F48" s="168"/>
      <c r="G48" s="166"/>
      <c r="H48" s="166"/>
      <c r="I48" s="166"/>
    </row>
    <row r="49" spans="2:9" ht="18">
      <c r="B49" s="340" t="s">
        <v>12</v>
      </c>
      <c r="C49" s="341" t="s">
        <v>425</v>
      </c>
      <c r="D49" s="342"/>
      <c r="E49" s="168"/>
      <c r="F49" s="638" t="s">
        <v>66</v>
      </c>
      <c r="G49" s="166"/>
      <c r="H49" s="166"/>
      <c r="I49" s="166"/>
    </row>
    <row r="50" spans="2:9">
      <c r="B50" s="181"/>
      <c r="C50" s="164"/>
      <c r="D50" s="182"/>
      <c r="E50" s="168"/>
      <c r="F50" s="168"/>
      <c r="G50" s="166"/>
      <c r="H50" s="166"/>
      <c r="I50" s="166"/>
    </row>
    <row r="51" spans="2:9">
      <c r="B51" s="181"/>
      <c r="C51" s="355" t="s">
        <v>391</v>
      </c>
      <c r="D51" s="182"/>
      <c r="E51" s="168"/>
      <c r="F51" s="355" t="s">
        <v>391</v>
      </c>
      <c r="G51" s="182"/>
      <c r="H51" s="185"/>
      <c r="I51" s="166"/>
    </row>
    <row r="52" spans="2:9">
      <c r="B52" s="356" t="s">
        <v>13</v>
      </c>
      <c r="C52" s="362"/>
      <c r="D52" s="182"/>
      <c r="E52" s="168"/>
      <c r="F52" s="362"/>
      <c r="G52" s="182"/>
      <c r="H52" s="185"/>
      <c r="I52" s="185"/>
    </row>
    <row r="53" spans="2:9">
      <c r="B53" s="356" t="s">
        <v>14</v>
      </c>
      <c r="C53" s="362"/>
      <c r="D53" s="358"/>
      <c r="E53" s="168"/>
      <c r="F53" s="362"/>
      <c r="G53" s="358"/>
      <c r="H53" s="185"/>
      <c r="I53" s="185"/>
    </row>
    <row r="54" spans="2:9">
      <c r="B54" s="357" t="s">
        <v>15</v>
      </c>
      <c r="C54" s="363"/>
      <c r="D54" s="368">
        <f>C52-C53</f>
        <v>0</v>
      </c>
      <c r="E54" s="168"/>
      <c r="F54" s="363"/>
      <c r="G54" s="368">
        <f>F52-F53</f>
        <v>0</v>
      </c>
      <c r="H54" s="185"/>
      <c r="I54" s="185"/>
    </row>
    <row r="55" spans="2:9">
      <c r="B55" s="357"/>
      <c r="C55" s="364"/>
      <c r="D55" s="361"/>
      <c r="E55" s="168"/>
      <c r="F55" s="364"/>
      <c r="G55" s="361"/>
      <c r="H55" s="185"/>
      <c r="I55" s="185"/>
    </row>
    <row r="56" spans="2:9">
      <c r="B56" s="356" t="s">
        <v>103</v>
      </c>
      <c r="C56" s="362"/>
      <c r="D56" s="359"/>
      <c r="E56" s="168"/>
      <c r="F56" s="362"/>
      <c r="G56" s="359"/>
      <c r="H56" s="185"/>
      <c r="I56" s="185"/>
    </row>
    <row r="57" spans="2:9">
      <c r="B57" s="356" t="s">
        <v>48</v>
      </c>
      <c r="C57" s="362"/>
      <c r="D57" s="359"/>
      <c r="E57" s="168"/>
      <c r="F57" s="362"/>
      <c r="G57" s="359"/>
      <c r="H57" s="185"/>
      <c r="I57" s="185"/>
    </row>
    <row r="58" spans="2:9">
      <c r="B58" s="356" t="s">
        <v>104</v>
      </c>
      <c r="C58" s="362"/>
      <c r="D58" s="359"/>
      <c r="E58" s="168"/>
      <c r="F58" s="362"/>
      <c r="G58" s="359"/>
      <c r="H58" s="185"/>
      <c r="I58" s="185"/>
    </row>
    <row r="59" spans="2:9">
      <c r="B59" s="356" t="s">
        <v>105</v>
      </c>
      <c r="C59" s="362"/>
      <c r="D59" s="359"/>
      <c r="E59" s="168"/>
      <c r="F59" s="362">
        <v>0</v>
      </c>
      <c r="G59" s="359"/>
      <c r="H59" s="185"/>
      <c r="I59" s="185"/>
    </row>
    <row r="60" spans="2:9">
      <c r="B60" s="357" t="s">
        <v>55</v>
      </c>
      <c r="C60" s="365"/>
      <c r="D60" s="368">
        <f>D54-SUM(C56:C59)</f>
        <v>0</v>
      </c>
      <c r="E60" s="168"/>
      <c r="F60" s="365"/>
      <c r="G60" s="368">
        <f>G54-SUM(F56:F59)</f>
        <v>0</v>
      </c>
      <c r="H60" s="185"/>
      <c r="I60" s="185"/>
    </row>
    <row r="61" spans="2:9">
      <c r="B61" s="357"/>
      <c r="C61" s="366"/>
      <c r="D61" s="361"/>
      <c r="E61" s="168"/>
      <c r="F61" s="366"/>
      <c r="G61" s="361"/>
      <c r="H61" s="185"/>
      <c r="I61" s="185"/>
    </row>
    <row r="62" spans="2:9">
      <c r="B62" s="349" t="s">
        <v>125</v>
      </c>
      <c r="C62" s="367">
        <f>IF(C56=0,0,C56/$D$60)</f>
        <v>0</v>
      </c>
      <c r="D62" s="359"/>
      <c r="E62" s="168"/>
      <c r="F62" s="367">
        <f>IF(F56=0,0,F56/$G$60)</f>
        <v>0</v>
      </c>
      <c r="G62" s="359"/>
      <c r="H62" s="185"/>
      <c r="I62" s="185"/>
    </row>
    <row r="63" spans="2:9">
      <c r="B63" s="349" t="s">
        <v>48</v>
      </c>
      <c r="C63" s="367">
        <f>IF(C57=0,0,C57/$D$60)</f>
        <v>0</v>
      </c>
      <c r="D63" s="359"/>
      <c r="E63" s="168"/>
      <c r="F63" s="367">
        <f>IF(F57=0,0,F57/$G$60)</f>
        <v>0</v>
      </c>
      <c r="G63" s="359"/>
      <c r="H63" s="185"/>
      <c r="I63" s="185"/>
    </row>
    <row r="64" spans="2:9">
      <c r="B64" s="349" t="s">
        <v>215</v>
      </c>
      <c r="C64" s="367">
        <f>IF(C58=0,0,C58/$D$60)</f>
        <v>0</v>
      </c>
      <c r="D64" s="359"/>
      <c r="E64" s="168"/>
      <c r="F64" s="367">
        <f>IF(F58=0,0,F58/$G$60)</f>
        <v>0</v>
      </c>
      <c r="G64" s="359"/>
      <c r="H64" s="185"/>
      <c r="I64" s="185"/>
    </row>
    <row r="65" spans="2:10">
      <c r="B65" s="349" t="s">
        <v>105</v>
      </c>
      <c r="C65" s="360">
        <f>IF(C59=0,0,C59/$D$60)</f>
        <v>0</v>
      </c>
      <c r="D65" s="359"/>
      <c r="E65" s="168"/>
      <c r="F65" s="367">
        <f>IF(F59=0,0,F59/$G$60)</f>
        <v>0</v>
      </c>
      <c r="G65" s="359"/>
      <c r="H65" s="186"/>
      <c r="I65" s="187"/>
    </row>
    <row r="66" spans="2:10">
      <c r="B66" s="350"/>
      <c r="C66" s="350" t="s">
        <v>1</v>
      </c>
      <c r="D66" s="513">
        <f>SUM(C62:C65)</f>
        <v>0</v>
      </c>
      <c r="E66" s="168"/>
      <c r="F66" s="350"/>
      <c r="G66" s="513">
        <f>SUM(F62:F65)</f>
        <v>0</v>
      </c>
      <c r="H66" s="186"/>
      <c r="I66" s="188"/>
    </row>
    <row r="67" spans="2:10">
      <c r="B67" s="189"/>
      <c r="C67" s="189"/>
      <c r="D67" s="189"/>
      <c r="E67" s="168"/>
      <c r="F67" s="168"/>
      <c r="G67" s="166"/>
      <c r="H67" s="161"/>
      <c r="I67" s="161"/>
    </row>
    <row r="68" spans="2:10">
      <c r="B68" s="369" t="s">
        <v>32</v>
      </c>
      <c r="C68" s="190"/>
      <c r="D68" s="190"/>
      <c r="E68" s="168"/>
      <c r="F68" s="168"/>
      <c r="G68" s="161"/>
      <c r="H68" s="161"/>
      <c r="I68" s="161"/>
      <c r="J68" s="177"/>
    </row>
    <row r="69" spans="2:10">
      <c r="B69" s="191"/>
      <c r="C69" s="192"/>
      <c r="D69" s="192"/>
      <c r="E69" s="190"/>
      <c r="F69" s="190"/>
      <c r="G69" s="161"/>
      <c r="H69" s="161"/>
      <c r="I69" s="161"/>
    </row>
    <row r="70" spans="2:10"/>
    <row r="71" spans="2:10"/>
    <row r="72" spans="2:10"/>
    <row r="73" spans="2:10"/>
    <row r="74" spans="2:10"/>
    <row r="75" spans="2:10"/>
    <row r="76" spans="2:10"/>
    <row r="77" spans="2:10"/>
    <row r="78" spans="2:10"/>
    <row r="79" spans="2:10"/>
    <row r="80" spans="2:10"/>
    <row r="81"/>
    <row r="82"/>
    <row r="83"/>
  </sheetData>
  <dataConsolidate/>
  <phoneticPr fontId="17"/>
  <conditionalFormatting sqref="C41">
    <cfRule type="expression" dxfId="99" priority="1">
      <formula>"D40=&gt;0"</formula>
    </cfRule>
  </conditionalFormatting>
  <pageMargins left="0.98" right="0.59" top="1.3800000000000001" bottom="0.79000000000000015" header="0.39000000000000007" footer="0.2"/>
  <pageSetup paperSize="9" scale="56"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1" workbookViewId="0">
      <selection activeCell="C36" sqref="C36"/>
    </sheetView>
  </sheetViews>
  <sheetFormatPr baseColWidth="10" defaultColWidth="0" defaultRowHeight="13" zeroHeight="1" x14ac:dyDescent="0"/>
  <cols>
    <col min="1" max="1" width="11.140625" style="305" hidden="1" customWidth="1"/>
    <col min="2" max="2" width="2.28515625" style="305" customWidth="1"/>
    <col min="3" max="3" width="74.140625" style="572" customWidth="1"/>
    <col min="4" max="4" width="16.85546875" style="242" customWidth="1"/>
    <col min="5" max="5" width="7.85546875" style="242" customWidth="1"/>
    <col min="6" max="6" width="6.5703125" style="242" bestFit="1" customWidth="1"/>
    <col min="7" max="7" width="7.42578125" style="242" hidden="1" customWidth="1"/>
    <col min="8" max="8" width="7.5703125" style="242" hidden="1" customWidth="1"/>
    <col min="9" max="9" width="5.5703125" style="242" hidden="1" customWidth="1"/>
    <col min="10" max="10" width="7.140625" style="242" customWidth="1"/>
    <col min="11" max="11" width="6.42578125" style="242" customWidth="1"/>
    <col min="12" max="12" width="7.140625" style="242" bestFit="1" customWidth="1"/>
    <col min="13" max="13" width="0.7109375" style="242" customWidth="1"/>
    <col min="14" max="14" width="7" style="242" bestFit="1" customWidth="1"/>
    <col min="15" max="15" width="7.140625" style="242" bestFit="1" customWidth="1"/>
    <col min="16" max="16" width="1.28515625" style="242" customWidth="1"/>
    <col min="17" max="17" width="8.28515625" style="242" customWidth="1"/>
    <col min="18" max="18" width="10.140625" style="242" bestFit="1" customWidth="1"/>
    <col min="19" max="19" width="7.140625" style="242" bestFit="1" customWidth="1"/>
    <col min="20" max="20" width="0.7109375" style="242" customWidth="1"/>
    <col min="21" max="21" width="9.85546875" style="242" customWidth="1"/>
    <col min="22" max="22" width="7.140625" style="242" bestFit="1" customWidth="1"/>
    <col min="23" max="23" width="0.7109375" style="242" customWidth="1"/>
    <col min="24" max="25" width="5.5703125" style="242" bestFit="1" customWidth="1"/>
    <col min="26" max="26" width="6.85546875" style="242" customWidth="1"/>
    <col min="27" max="27" width="7.140625" style="242" bestFit="1" customWidth="1"/>
    <col min="28" max="28" width="0.7109375" style="242" customWidth="1"/>
    <col min="29" max="29" width="7" style="242" bestFit="1" customWidth="1"/>
    <col min="30" max="36" width="5.5703125" style="242" bestFit="1" customWidth="1"/>
    <col min="37" max="37" width="8.7109375" style="242" bestFit="1" customWidth="1"/>
    <col min="38" max="38" width="0.7109375" style="242" customWidth="1"/>
    <col min="39" max="39" width="6" style="242" bestFit="1" customWidth="1"/>
    <col min="40" max="40" width="0.7109375" style="242" customWidth="1"/>
    <col min="41" max="41" width="7.140625" style="242" bestFit="1" customWidth="1"/>
    <col min="42" max="42" width="0.7109375" style="242" customWidth="1"/>
    <col min="43" max="43" width="7.140625" style="242" bestFit="1" customWidth="1"/>
    <col min="44" max="44" width="0.7109375" style="242" customWidth="1"/>
    <col min="45" max="45" width="7.140625" style="242" bestFit="1" customWidth="1"/>
    <col min="46" max="46" width="0.7109375" style="242" customWidth="1"/>
    <col min="47" max="47" width="7.140625" style="242" bestFit="1" customWidth="1"/>
    <col min="48" max="48" width="1.28515625" style="242" customWidth="1"/>
    <col min="49" max="49" width="10.5703125" style="242" hidden="1" customWidth="1"/>
    <col min="50" max="50" width="0" style="242" hidden="1" customWidth="1"/>
    <col min="51" max="16384" width="8.85546875" style="242" hidden="1"/>
  </cols>
  <sheetData>
    <row r="1" spans="1:50" s="273" customFormat="1">
      <c r="A1" s="587"/>
      <c r="B1" s="588"/>
      <c r="C1" s="272"/>
      <c r="D1" s="272"/>
      <c r="E1" s="272"/>
      <c r="F1" s="272"/>
      <c r="G1" s="272"/>
      <c r="H1" s="272"/>
      <c r="I1" s="272"/>
      <c r="J1" s="272"/>
      <c r="K1" s="272"/>
      <c r="L1" s="272"/>
      <c r="M1" s="272"/>
      <c r="N1" s="272"/>
      <c r="O1" s="272"/>
      <c r="P1" s="272"/>
      <c r="Q1" s="272"/>
      <c r="T1" s="272"/>
      <c r="W1" s="272"/>
      <c r="AB1" s="272"/>
      <c r="AL1" s="272"/>
      <c r="AN1" s="272"/>
      <c r="AP1" s="272"/>
      <c r="AR1" s="272"/>
      <c r="AT1" s="272"/>
    </row>
    <row r="2" spans="1:50" s="273" customFormat="1" ht="16">
      <c r="A2" s="587"/>
      <c r="B2" s="305"/>
      <c r="C2" s="140" t="str">
        <f>'1.0-Contractblad'!D2</f>
        <v>Naam opdrachtgever</v>
      </c>
      <c r="D2" s="141" t="str">
        <f>'1.0-Contractblad'!E2</f>
        <v>Stichting Altra - Horizon</v>
      </c>
      <c r="E2" s="589"/>
      <c r="F2" s="272"/>
      <c r="G2" s="272"/>
      <c r="H2" s="272"/>
      <c r="I2" s="272"/>
      <c r="J2" s="272"/>
      <c r="K2" s="272"/>
      <c r="L2" s="272"/>
      <c r="M2" s="272"/>
      <c r="N2" s="272"/>
      <c r="O2" s="272"/>
      <c r="P2" s="272"/>
      <c r="Q2" s="272"/>
      <c r="T2" s="272"/>
      <c r="W2" s="272"/>
      <c r="AB2" s="272"/>
      <c r="AL2" s="272"/>
      <c r="AN2" s="272"/>
      <c r="AP2" s="272"/>
      <c r="AR2" s="272"/>
      <c r="AT2" s="272"/>
    </row>
    <row r="3" spans="1:50" s="273" customFormat="1" ht="16">
      <c r="A3" s="587"/>
      <c r="B3" s="305"/>
      <c r="C3" s="140" t="str">
        <f>'1.0-Contractblad'!D3</f>
        <v>Omschrijving blad</v>
      </c>
      <c r="D3" s="141" t="s">
        <v>268</v>
      </c>
      <c r="E3" s="589"/>
      <c r="F3" s="272"/>
      <c r="G3" s="272"/>
      <c r="H3" s="272"/>
      <c r="I3" s="272"/>
      <c r="J3" s="272"/>
      <c r="K3" s="272"/>
      <c r="L3" s="272"/>
      <c r="M3" s="272"/>
      <c r="N3" s="272"/>
      <c r="O3" s="272"/>
      <c r="P3" s="272"/>
      <c r="Q3" s="272"/>
      <c r="T3" s="272"/>
      <c r="W3" s="272"/>
      <c r="AB3" s="272"/>
      <c r="AL3" s="272"/>
      <c r="AN3" s="272"/>
      <c r="AP3" s="272"/>
      <c r="AR3" s="272"/>
      <c r="AT3" s="272"/>
    </row>
    <row r="4" spans="1:50" s="273" customFormat="1" ht="16">
      <c r="A4" s="587"/>
      <c r="B4" s="305"/>
      <c r="C4" s="140" t="str">
        <f>'1.0-Contractblad'!D4</f>
        <v>Adres/plaats</v>
      </c>
      <c r="D4" s="141" t="str">
        <f>'1.0-Contractblad'!E4</f>
        <v>Regio Noord Holland</v>
      </c>
      <c r="E4" s="589"/>
      <c r="F4" s="272"/>
      <c r="G4" s="272"/>
      <c r="H4" s="272"/>
      <c r="I4" s="272"/>
      <c r="J4" s="272"/>
      <c r="K4" s="272"/>
      <c r="L4" s="272"/>
      <c r="M4" s="272"/>
      <c r="N4" s="272"/>
      <c r="O4" s="272"/>
      <c r="P4" s="272"/>
      <c r="Q4" s="272"/>
      <c r="T4" s="272"/>
      <c r="W4" s="272"/>
      <c r="AB4" s="272"/>
      <c r="AL4" s="272"/>
      <c r="AN4" s="272"/>
      <c r="AP4" s="272"/>
      <c r="AR4" s="272"/>
      <c r="AT4" s="272"/>
    </row>
    <row r="5" spans="1:50" s="273" customFormat="1" ht="16">
      <c r="A5" s="587"/>
      <c r="B5" s="305"/>
      <c r="C5" s="140" t="str">
        <f>'1.0-Contractblad'!D5</f>
        <v>Besteknummer</v>
      </c>
      <c r="D5" s="141" t="str">
        <f>'1.0-Contractblad'!E5</f>
        <v>180417 V2</v>
      </c>
      <c r="E5" s="589"/>
      <c r="F5" s="272"/>
      <c r="G5" s="272"/>
      <c r="H5" s="272"/>
      <c r="I5" s="272"/>
      <c r="J5" s="272"/>
      <c r="K5" s="272"/>
      <c r="L5" s="272"/>
      <c r="M5" s="272"/>
      <c r="N5" s="272"/>
      <c r="O5" s="272"/>
      <c r="P5" s="272"/>
      <c r="Q5" s="637"/>
      <c r="R5" s="640" t="s">
        <v>427</v>
      </c>
      <c r="T5" s="272"/>
      <c r="W5" s="272"/>
      <c r="AB5" s="272"/>
      <c r="AL5" s="272"/>
      <c r="AN5" s="272"/>
      <c r="AP5" s="272"/>
      <c r="AR5" s="272"/>
      <c r="AT5" s="272"/>
    </row>
    <row r="6" spans="1:50" s="273" customFormat="1" ht="16">
      <c r="A6" s="587"/>
      <c r="B6" s="305"/>
      <c r="C6" s="140" t="str">
        <f>'1.0-Contractblad'!D6</f>
        <v>Naam leverancier</v>
      </c>
      <c r="D6" s="141" t="str">
        <f>'1.0-Contractblad'!E6</f>
        <v>[NAAM LEVERANCIER]</v>
      </c>
      <c r="E6" s="589"/>
      <c r="F6" s="272"/>
      <c r="G6" s="272"/>
      <c r="H6" s="272"/>
      <c r="I6" s="272"/>
      <c r="J6" s="833">
        <f>Voorblad!$E$15</f>
        <v>42917</v>
      </c>
      <c r="K6" s="833"/>
      <c r="L6" s="833"/>
      <c r="M6" s="833"/>
      <c r="N6" s="272"/>
      <c r="O6" s="272"/>
      <c r="P6" s="272"/>
      <c r="Q6" s="272"/>
      <c r="T6" s="272"/>
      <c r="W6" s="272"/>
      <c r="AB6" s="272"/>
      <c r="AL6" s="272"/>
      <c r="AN6" s="272"/>
      <c r="AP6" s="272"/>
      <c r="AR6" s="272"/>
      <c r="AT6" s="272"/>
    </row>
    <row r="7" spans="1:50" s="273" customFormat="1">
      <c r="A7" s="587"/>
      <c r="B7" s="305"/>
      <c r="C7" s="272"/>
      <c r="D7" s="272"/>
      <c r="E7" s="272"/>
      <c r="F7" s="272"/>
      <c r="G7" s="272"/>
      <c r="H7" s="272"/>
      <c r="I7" s="272"/>
      <c r="J7" s="272"/>
      <c r="K7" s="272"/>
      <c r="L7" s="272"/>
      <c r="M7" s="272"/>
      <c r="N7" s="272"/>
      <c r="O7" s="272"/>
      <c r="P7" s="272"/>
      <c r="Q7" s="272"/>
      <c r="T7" s="272"/>
      <c r="W7" s="272"/>
      <c r="AB7" s="272"/>
      <c r="AL7" s="272"/>
      <c r="AN7" s="272"/>
      <c r="AP7" s="272"/>
      <c r="AR7" s="272"/>
      <c r="AT7" s="272"/>
    </row>
    <row r="8" spans="1:50" s="273" customFormat="1">
      <c r="A8" s="587"/>
      <c r="B8" s="305"/>
      <c r="C8" s="272"/>
      <c r="D8" s="272"/>
      <c r="E8" s="272"/>
      <c r="F8" s="272"/>
      <c r="G8" s="272"/>
      <c r="H8" s="272"/>
      <c r="I8" s="272"/>
      <c r="J8" s="272"/>
      <c r="K8" s="272"/>
      <c r="L8" s="272"/>
      <c r="M8" s="272"/>
      <c r="N8" s="272"/>
      <c r="O8" s="272"/>
      <c r="P8" s="272"/>
      <c r="Q8" s="272"/>
      <c r="T8" s="272"/>
      <c r="W8" s="272"/>
      <c r="AB8" s="272"/>
      <c r="AL8" s="272"/>
      <c r="AN8" s="272"/>
      <c r="AP8" s="272"/>
      <c r="AR8" s="272"/>
      <c r="AT8" s="272"/>
    </row>
    <row r="9" spans="1:50"/>
    <row r="10" spans="1:50"/>
    <row r="11" spans="1:50" s="604" customFormat="1" ht="255.75" customHeight="1">
      <c r="A11" s="590"/>
      <c r="B11" s="590"/>
      <c r="C11" s="591" t="s">
        <v>253</v>
      </c>
      <c r="D11" s="592" t="s">
        <v>254</v>
      </c>
      <c r="E11" s="593" t="s">
        <v>252</v>
      </c>
      <c r="F11" s="594" t="s">
        <v>170</v>
      </c>
      <c r="G11" s="595"/>
      <c r="H11" s="595" t="s">
        <v>29</v>
      </c>
      <c r="I11" s="596" t="s">
        <v>331</v>
      </c>
      <c r="J11" s="597" t="s">
        <v>230</v>
      </c>
      <c r="K11" s="597" t="s">
        <v>244</v>
      </c>
      <c r="L11" s="598" t="s">
        <v>36</v>
      </c>
      <c r="M11" s="599"/>
      <c r="N11" s="600" t="s">
        <v>2</v>
      </c>
      <c r="O11" s="598" t="s">
        <v>85</v>
      </c>
      <c r="P11" s="599"/>
      <c r="Q11" s="601" t="s">
        <v>213</v>
      </c>
      <c r="R11" s="600" t="s">
        <v>194</v>
      </c>
      <c r="S11" s="598" t="s">
        <v>4</v>
      </c>
      <c r="T11" s="599"/>
      <c r="U11" s="600" t="s">
        <v>5</v>
      </c>
      <c r="V11" s="598" t="s">
        <v>72</v>
      </c>
      <c r="W11" s="599"/>
      <c r="X11" s="597" t="s">
        <v>172</v>
      </c>
      <c r="Y11" s="597" t="s">
        <v>24</v>
      </c>
      <c r="Z11" s="597" t="s">
        <v>25</v>
      </c>
      <c r="AA11" s="598" t="s">
        <v>173</v>
      </c>
      <c r="AB11" s="599"/>
      <c r="AC11" s="597" t="s">
        <v>186</v>
      </c>
      <c r="AD11" s="597" t="s">
        <v>154</v>
      </c>
      <c r="AE11" s="597" t="s">
        <v>96</v>
      </c>
      <c r="AF11" s="597" t="s">
        <v>97</v>
      </c>
      <c r="AG11" s="597" t="s">
        <v>9</v>
      </c>
      <c r="AH11" s="597" t="s">
        <v>10</v>
      </c>
      <c r="AI11" s="597" t="s">
        <v>34</v>
      </c>
      <c r="AJ11" s="597" t="s">
        <v>340</v>
      </c>
      <c r="AK11" s="598" t="s">
        <v>207</v>
      </c>
      <c r="AL11" s="599"/>
      <c r="AM11" s="597" t="s">
        <v>140</v>
      </c>
      <c r="AN11" s="599"/>
      <c r="AO11" s="598" t="s">
        <v>210</v>
      </c>
      <c r="AP11" s="599"/>
      <c r="AQ11" s="598" t="s">
        <v>271</v>
      </c>
      <c r="AR11" s="599"/>
      <c r="AS11" s="598" t="s">
        <v>78</v>
      </c>
      <c r="AT11" s="599"/>
      <c r="AU11" s="602" t="s">
        <v>28</v>
      </c>
      <c r="AV11" s="603"/>
    </row>
    <row r="12" spans="1:50" s="241" customFormat="1">
      <c r="A12" s="304">
        <v>0</v>
      </c>
      <c r="B12" s="304">
        <v>0</v>
      </c>
      <c r="C12" s="244">
        <v>0</v>
      </c>
      <c r="F12" s="497"/>
      <c r="G12" s="535"/>
      <c r="H12" s="497">
        <v>0</v>
      </c>
      <c r="I12" s="497"/>
      <c r="J12" s="240"/>
      <c r="K12" s="497"/>
      <c r="L12" s="497"/>
      <c r="M12" s="242"/>
      <c r="N12" s="240">
        <v>0</v>
      </c>
      <c r="O12" s="497"/>
      <c r="P12" s="242"/>
      <c r="Q12" s="497"/>
      <c r="R12" s="538">
        <f>'1.4-Premies en opslagen'!$D$33</f>
        <v>0</v>
      </c>
      <c r="S12" s="497"/>
      <c r="T12" s="242"/>
      <c r="U12" s="538">
        <f>'1.4-Premies en opslagen'!$D$66</f>
        <v>0</v>
      </c>
      <c r="V12" s="497"/>
      <c r="W12" s="242"/>
      <c r="X12" s="497"/>
      <c r="Y12" s="497"/>
      <c r="Z12" s="497"/>
      <c r="AA12" s="497"/>
      <c r="AB12" s="242"/>
      <c r="AC12" s="497"/>
      <c r="AD12" s="497"/>
      <c r="AE12" s="497"/>
      <c r="AF12" s="497"/>
      <c r="AG12" s="497"/>
      <c r="AH12" s="497"/>
      <c r="AI12" s="497"/>
      <c r="AJ12" s="497"/>
      <c r="AK12" s="497"/>
      <c r="AL12" s="242"/>
      <c r="AM12" s="240"/>
      <c r="AN12" s="242"/>
      <c r="AO12" s="497"/>
      <c r="AP12" s="242"/>
      <c r="AQ12" s="497"/>
      <c r="AR12" s="242"/>
      <c r="AS12" s="497"/>
      <c r="AT12" s="242"/>
      <c r="AU12" s="497"/>
      <c r="AV12" s="242"/>
    </row>
    <row r="13" spans="1:50">
      <c r="A13" s="305" t="str">
        <f>CONCATENATE($C13," ",$D13)</f>
        <v>11.01 Werknemer algemeen schoonmaakonderhoud 17 jaar 0 t/m 7 jaar</v>
      </c>
      <c r="B13" s="305" t="str">
        <f>CONCATENATE($C13," ",$D13)</f>
        <v>11.01 Werknemer algemeen schoonmaakonderhoud 17 jaar 0 t/m 7 jaar</v>
      </c>
      <c r="C13" s="245" t="s">
        <v>257</v>
      </c>
      <c r="D13" s="242" t="s">
        <v>255</v>
      </c>
      <c r="E13" s="242">
        <v>1</v>
      </c>
      <c r="F13" s="239"/>
      <c r="G13" s="239"/>
      <c r="H13" s="497"/>
      <c r="I13" s="239"/>
      <c r="J13" s="540">
        <f>F13*$J$12</f>
        <v>0</v>
      </c>
      <c r="K13" s="239">
        <v>0</v>
      </c>
      <c r="L13" s="532">
        <f t="shared" ref="L13:L31" si="0">SUM(F13:K13)</f>
        <v>0</v>
      </c>
      <c r="N13" s="541">
        <f>L13*$N$12</f>
        <v>0</v>
      </c>
      <c r="O13" s="532">
        <f t="shared" ref="O13:O31" si="1">SUM(L13:N13)</f>
        <v>0</v>
      </c>
      <c r="Q13" s="542">
        <f>O13*0.985</f>
        <v>0</v>
      </c>
      <c r="R13" s="540">
        <f>IF(Q13=0,0,Q13*'1.4-Premies en opslagen'!$D$33)</f>
        <v>0</v>
      </c>
      <c r="S13" s="532">
        <f t="shared" ref="S13:S31" si="2">R13+O13</f>
        <v>0</v>
      </c>
      <c r="U13" s="540">
        <f>S13*'1.4-Premies en opslagen'!$D$66</f>
        <v>0</v>
      </c>
      <c r="V13" s="532">
        <f t="shared" ref="V13:V31" si="3">SUM(S13:U13)</f>
        <v>0</v>
      </c>
      <c r="X13" s="239"/>
      <c r="Y13" s="239"/>
      <c r="Z13" s="239"/>
      <c r="AA13" s="532">
        <f t="shared" ref="AA13:AA31" si="4">SUM(V13:Z13)</f>
        <v>0</v>
      </c>
      <c r="AC13" s="239"/>
      <c r="AD13" s="239"/>
      <c r="AE13" s="239"/>
      <c r="AF13" s="239"/>
      <c r="AG13" s="239"/>
      <c r="AH13" s="239"/>
      <c r="AI13" s="239"/>
      <c r="AJ13" s="239"/>
      <c r="AK13" s="532">
        <f>SUM(AA13:AJ13)+SUM(AA13:AJ13)*'1.1a-Jaarprijzen'!$C$143</f>
        <v>0</v>
      </c>
      <c r="AM13" s="239">
        <f>AK13*$AM$12</f>
        <v>0</v>
      </c>
      <c r="AO13" s="543">
        <f t="shared" ref="AO13:AO31" si="5">SUM(AK13:AN13)</f>
        <v>0</v>
      </c>
      <c r="AQ13" s="543">
        <f>($V13*0.3)+$AO13</f>
        <v>0</v>
      </c>
      <c r="AS13" s="543">
        <f>($V13*0.5)+$AO13</f>
        <v>0</v>
      </c>
      <c r="AU13" s="543">
        <f>($V13*1.5)+$AO13</f>
        <v>0</v>
      </c>
      <c r="AW13" s="238"/>
      <c r="AX13" s="241"/>
    </row>
    <row r="14" spans="1:50">
      <c r="A14" s="305" t="str">
        <f t="shared" ref="A14:B34" si="6">CONCATENATE($C14," ",$D14)</f>
        <v>11.01 Werknemer algemeen schoonmaakonderhoud 18 jaar 0 t/m 7 jaar</v>
      </c>
      <c r="B14" s="305" t="str">
        <f t="shared" si="6"/>
        <v>11.01 Werknemer algemeen schoonmaakonderhoud 18 jaar 0 t/m 7 jaar</v>
      </c>
      <c r="C14" s="245" t="s">
        <v>258</v>
      </c>
      <c r="D14" s="242" t="s">
        <v>255</v>
      </c>
      <c r="E14" s="242">
        <v>1</v>
      </c>
      <c r="F14" s="239"/>
      <c r="G14" s="239"/>
      <c r="H14" s="497"/>
      <c r="I14" s="239">
        <v>0</v>
      </c>
      <c r="J14" s="540">
        <f t="shared" ref="J14:J31" si="7">F14*$J$12</f>
        <v>0</v>
      </c>
      <c r="K14" s="239">
        <v>0</v>
      </c>
      <c r="L14" s="532">
        <f t="shared" si="0"/>
        <v>0</v>
      </c>
      <c r="N14" s="541">
        <f t="shared" ref="N14:N31" si="8">L14*$N$12</f>
        <v>0</v>
      </c>
      <c r="O14" s="532">
        <f t="shared" si="1"/>
        <v>0</v>
      </c>
      <c r="Q14" s="542">
        <f t="shared" ref="Q14:Q34" si="9">O14*0.985</f>
        <v>0</v>
      </c>
      <c r="R14" s="540">
        <f>IF(Q14=0,0,Q14*'1.4-Premies en opslagen'!$D$33)</f>
        <v>0</v>
      </c>
      <c r="S14" s="532">
        <f t="shared" si="2"/>
        <v>0</v>
      </c>
      <c r="U14" s="540">
        <f>S14*'1.4-Premies en opslagen'!$D$66</f>
        <v>0</v>
      </c>
      <c r="V14" s="532">
        <f t="shared" si="3"/>
        <v>0</v>
      </c>
      <c r="X14" s="239"/>
      <c r="Y14" s="239"/>
      <c r="Z14" s="239"/>
      <c r="AA14" s="532">
        <f t="shared" si="4"/>
        <v>0</v>
      </c>
      <c r="AC14" s="239"/>
      <c r="AD14" s="239"/>
      <c r="AE14" s="239"/>
      <c r="AF14" s="239"/>
      <c r="AG14" s="239"/>
      <c r="AH14" s="239"/>
      <c r="AI14" s="239"/>
      <c r="AJ14" s="239"/>
      <c r="AK14" s="532">
        <f>SUM(AA14:AJ14)+SUM(AA14:AJ14)*'1.1a-Jaarprijzen'!$C$143</f>
        <v>0</v>
      </c>
      <c r="AM14" s="239">
        <f t="shared" ref="AM14:AM34" si="10">AK14*$AM$12</f>
        <v>0</v>
      </c>
      <c r="AO14" s="543">
        <f t="shared" si="5"/>
        <v>0</v>
      </c>
      <c r="AQ14" s="543">
        <f t="shared" ref="AQ14:AQ31" si="11">($V14*0.3)+$AO14</f>
        <v>0</v>
      </c>
      <c r="AS14" s="543">
        <f t="shared" ref="AS14:AS31" si="12">($V14*0.5)+$AO14</f>
        <v>0</v>
      </c>
      <c r="AU14" s="543">
        <f t="shared" ref="AU14:AU31" si="13">($V14*1.5)+$AO14</f>
        <v>0</v>
      </c>
      <c r="AW14" s="238"/>
      <c r="AX14" s="241"/>
    </row>
    <row r="15" spans="1:50">
      <c r="A15" s="305" t="str">
        <f t="shared" si="6"/>
        <v>11.01 Werknemer algemeen schoonmaakonderhoud 19 jaar 0 t/m 7 jaar</v>
      </c>
      <c r="B15" s="305" t="str">
        <f t="shared" si="6"/>
        <v>11.01 Werknemer algemeen schoonmaakonderhoud 19 jaar 0 t/m 7 jaar</v>
      </c>
      <c r="C15" s="245" t="s">
        <v>259</v>
      </c>
      <c r="D15" s="242" t="s">
        <v>255</v>
      </c>
      <c r="E15" s="242">
        <v>1</v>
      </c>
      <c r="F15" s="239"/>
      <c r="G15" s="239"/>
      <c r="H15" s="497"/>
      <c r="I15" s="239">
        <v>0</v>
      </c>
      <c r="J15" s="540">
        <f t="shared" si="7"/>
        <v>0</v>
      </c>
      <c r="K15" s="239">
        <v>0</v>
      </c>
      <c r="L15" s="532">
        <f t="shared" si="0"/>
        <v>0</v>
      </c>
      <c r="N15" s="541">
        <f t="shared" si="8"/>
        <v>0</v>
      </c>
      <c r="O15" s="532">
        <f t="shared" si="1"/>
        <v>0</v>
      </c>
      <c r="Q15" s="542">
        <f t="shared" si="9"/>
        <v>0</v>
      </c>
      <c r="R15" s="540">
        <f>IF(Q15=0,0,Q15*'1.4-Premies en opslagen'!$D$33)</f>
        <v>0</v>
      </c>
      <c r="S15" s="532">
        <f t="shared" si="2"/>
        <v>0</v>
      </c>
      <c r="U15" s="540">
        <f>S15*'1.4-Premies en opslagen'!$D$66</f>
        <v>0</v>
      </c>
      <c r="V15" s="532">
        <f t="shared" si="3"/>
        <v>0</v>
      </c>
      <c r="X15" s="239"/>
      <c r="Y15" s="239"/>
      <c r="Z15" s="239"/>
      <c r="AA15" s="532">
        <f t="shared" si="4"/>
        <v>0</v>
      </c>
      <c r="AC15" s="239"/>
      <c r="AD15" s="239"/>
      <c r="AE15" s="239"/>
      <c r="AF15" s="239"/>
      <c r="AG15" s="239"/>
      <c r="AH15" s="239"/>
      <c r="AI15" s="239"/>
      <c r="AJ15" s="239"/>
      <c r="AK15" s="532">
        <f>SUM(AA15:AJ15)+SUM(AA15:AJ15)*'1.1a-Jaarprijzen'!$C$143</f>
        <v>0</v>
      </c>
      <c r="AM15" s="239">
        <f t="shared" si="10"/>
        <v>0</v>
      </c>
      <c r="AO15" s="543">
        <f t="shared" si="5"/>
        <v>0</v>
      </c>
      <c r="AQ15" s="543">
        <f t="shared" si="11"/>
        <v>0</v>
      </c>
      <c r="AS15" s="543">
        <f t="shared" si="12"/>
        <v>0</v>
      </c>
      <c r="AU15" s="543">
        <f t="shared" si="13"/>
        <v>0</v>
      </c>
      <c r="AW15" s="238"/>
      <c r="AX15" s="241"/>
    </row>
    <row r="16" spans="1:50">
      <c r="A16" s="305" t="str">
        <f t="shared" si="6"/>
        <v>11.01 Werknemer algemeen schoonmaakonderhoud 20 jaar 0 t/m 7 jaar</v>
      </c>
      <c r="B16" s="305" t="str">
        <f t="shared" si="6"/>
        <v>11.01 Werknemer algemeen schoonmaakonderhoud 20 jaar 0 t/m 7 jaar</v>
      </c>
      <c r="C16" s="245" t="s">
        <v>260</v>
      </c>
      <c r="D16" s="242" t="s">
        <v>255</v>
      </c>
      <c r="E16" s="782">
        <v>1</v>
      </c>
      <c r="F16" s="239"/>
      <c r="G16" s="239"/>
      <c r="H16" s="497"/>
      <c r="I16" s="239">
        <v>0</v>
      </c>
      <c r="J16" s="540">
        <f t="shared" si="7"/>
        <v>0</v>
      </c>
      <c r="K16" s="239">
        <v>0</v>
      </c>
      <c r="L16" s="532">
        <f t="shared" si="0"/>
        <v>0</v>
      </c>
      <c r="N16" s="541">
        <f t="shared" si="8"/>
        <v>0</v>
      </c>
      <c r="O16" s="532">
        <f t="shared" si="1"/>
        <v>0</v>
      </c>
      <c r="Q16" s="542">
        <f t="shared" si="9"/>
        <v>0</v>
      </c>
      <c r="R16" s="540">
        <f>IF(Q16=0,0,Q16*'1.4-Premies en opslagen'!$D$33)</f>
        <v>0</v>
      </c>
      <c r="S16" s="532">
        <f t="shared" si="2"/>
        <v>0</v>
      </c>
      <c r="U16" s="540">
        <f>S16*'1.4-Premies en opslagen'!$D$66</f>
        <v>0</v>
      </c>
      <c r="V16" s="532">
        <f t="shared" si="3"/>
        <v>0</v>
      </c>
      <c r="X16" s="239"/>
      <c r="Y16" s="239"/>
      <c r="Z16" s="239"/>
      <c r="AA16" s="532">
        <f t="shared" si="4"/>
        <v>0</v>
      </c>
      <c r="AC16" s="239"/>
      <c r="AD16" s="239"/>
      <c r="AE16" s="239"/>
      <c r="AF16" s="239"/>
      <c r="AG16" s="239"/>
      <c r="AH16" s="239"/>
      <c r="AI16" s="239"/>
      <c r="AJ16" s="239"/>
      <c r="AK16" s="532">
        <f>SUM(AA16:AJ16)+SUM(AA16:AJ16)*'1.1a-Jaarprijzen'!$C$143</f>
        <v>0</v>
      </c>
      <c r="AM16" s="239">
        <f t="shared" si="10"/>
        <v>0</v>
      </c>
      <c r="AO16" s="543">
        <f t="shared" si="5"/>
        <v>0</v>
      </c>
      <c r="AQ16" s="543">
        <f t="shared" si="11"/>
        <v>0</v>
      </c>
      <c r="AS16" s="543">
        <f t="shared" si="12"/>
        <v>0</v>
      </c>
      <c r="AU16" s="543">
        <f t="shared" si="13"/>
        <v>0</v>
      </c>
      <c r="AW16" s="238"/>
      <c r="AX16" s="241"/>
    </row>
    <row r="17" spans="1:50">
      <c r="A17" s="305" t="str">
        <f t="shared" si="6"/>
        <v>11.01 Werknemer algemeen schoonmaakonderhoud 21 jaar 0 t/m 7 jaar</v>
      </c>
      <c r="B17" s="305" t="str">
        <f t="shared" si="6"/>
        <v>11.01 Werknemer algemeen schoonmaakonderhoud 21 jaar 0 t/m 7 jaar</v>
      </c>
      <c r="C17" s="245" t="s">
        <v>261</v>
      </c>
      <c r="D17" s="242" t="s">
        <v>255</v>
      </c>
      <c r="E17" s="782">
        <v>1</v>
      </c>
      <c r="F17" s="239"/>
      <c r="G17" s="239"/>
      <c r="H17" s="497"/>
      <c r="I17" s="239">
        <v>0</v>
      </c>
      <c r="J17" s="540">
        <f t="shared" si="7"/>
        <v>0</v>
      </c>
      <c r="K17" s="239">
        <v>0</v>
      </c>
      <c r="L17" s="532">
        <f t="shared" si="0"/>
        <v>0</v>
      </c>
      <c r="N17" s="541">
        <f t="shared" si="8"/>
        <v>0</v>
      </c>
      <c r="O17" s="532">
        <f t="shared" si="1"/>
        <v>0</v>
      </c>
      <c r="Q17" s="542">
        <f t="shared" si="9"/>
        <v>0</v>
      </c>
      <c r="R17" s="540">
        <f>IF(Q17=0,0,Q17*'1.4-Premies en opslagen'!$D$33)</f>
        <v>0</v>
      </c>
      <c r="S17" s="532">
        <f t="shared" si="2"/>
        <v>0</v>
      </c>
      <c r="U17" s="540">
        <f>S17*'1.4-Premies en opslagen'!$D$66</f>
        <v>0</v>
      </c>
      <c r="V17" s="532">
        <f t="shared" si="3"/>
        <v>0</v>
      </c>
      <c r="X17" s="239"/>
      <c r="Y17" s="239"/>
      <c r="Z17" s="239"/>
      <c r="AA17" s="532">
        <f t="shared" si="4"/>
        <v>0</v>
      </c>
      <c r="AC17" s="239"/>
      <c r="AD17" s="239"/>
      <c r="AE17" s="239"/>
      <c r="AF17" s="239"/>
      <c r="AG17" s="239"/>
      <c r="AH17" s="239"/>
      <c r="AI17" s="239"/>
      <c r="AJ17" s="239"/>
      <c r="AK17" s="532">
        <f>SUM(AA17:AJ17)+SUM(AA17:AJ17)*'1.1a-Jaarprijzen'!$C$143</f>
        <v>0</v>
      </c>
      <c r="AM17" s="239">
        <f t="shared" si="10"/>
        <v>0</v>
      </c>
      <c r="AO17" s="543">
        <f t="shared" si="5"/>
        <v>0</v>
      </c>
      <c r="AQ17" s="543">
        <f t="shared" si="11"/>
        <v>0</v>
      </c>
      <c r="AS17" s="543">
        <f t="shared" si="12"/>
        <v>0</v>
      </c>
      <c r="AU17" s="543">
        <f t="shared" si="13"/>
        <v>0</v>
      </c>
      <c r="AW17" s="238"/>
      <c r="AX17" s="241"/>
    </row>
    <row r="18" spans="1:50">
      <c r="A18" s="305" t="str">
        <f t="shared" si="6"/>
        <v>11.01 Werknemer algemeen schoonmaakonderhoud 0 t/m 7 jaar</v>
      </c>
      <c r="B18" s="305" t="str">
        <f t="shared" si="6"/>
        <v>11.01 Werknemer algemeen schoonmaakonderhoud 0 t/m 7 jaar</v>
      </c>
      <c r="C18" s="245" t="s">
        <v>245</v>
      </c>
      <c r="D18" s="242" t="s">
        <v>255</v>
      </c>
      <c r="E18" s="782">
        <v>1</v>
      </c>
      <c r="F18" s="239"/>
      <c r="G18" s="239"/>
      <c r="H18" s="497"/>
      <c r="I18" s="239">
        <v>0</v>
      </c>
      <c r="J18" s="540">
        <f t="shared" si="7"/>
        <v>0</v>
      </c>
      <c r="K18" s="239">
        <v>0</v>
      </c>
      <c r="L18" s="532">
        <f t="shared" si="0"/>
        <v>0</v>
      </c>
      <c r="N18" s="541">
        <f t="shared" si="8"/>
        <v>0</v>
      </c>
      <c r="O18" s="532">
        <f t="shared" si="1"/>
        <v>0</v>
      </c>
      <c r="Q18" s="542">
        <f t="shared" si="9"/>
        <v>0</v>
      </c>
      <c r="R18" s="540">
        <f>IF(Q18=0,0,Q18*'1.4-Premies en opslagen'!$D$33)</f>
        <v>0</v>
      </c>
      <c r="S18" s="532">
        <f t="shared" si="2"/>
        <v>0</v>
      </c>
      <c r="U18" s="540">
        <f>S18*'1.4-Premies en opslagen'!$D$66</f>
        <v>0</v>
      </c>
      <c r="V18" s="532">
        <f t="shared" si="3"/>
        <v>0</v>
      </c>
      <c r="X18" s="239"/>
      <c r="Y18" s="239"/>
      <c r="Z18" s="239"/>
      <c r="AA18" s="532">
        <f t="shared" si="4"/>
        <v>0</v>
      </c>
      <c r="AC18" s="239"/>
      <c r="AD18" s="239"/>
      <c r="AE18" s="239"/>
      <c r="AF18" s="239"/>
      <c r="AG18" s="239"/>
      <c r="AH18" s="239"/>
      <c r="AI18" s="239"/>
      <c r="AJ18" s="239"/>
      <c r="AK18" s="532">
        <f>SUM(AA18:AJ18)+SUM(AA18:AJ18)*'1.1a-Jaarprijzen'!$C$143</f>
        <v>0</v>
      </c>
      <c r="AM18" s="239">
        <f t="shared" si="10"/>
        <v>0</v>
      </c>
      <c r="AO18" s="543">
        <f t="shared" si="5"/>
        <v>0</v>
      </c>
      <c r="AQ18" s="543">
        <f t="shared" si="11"/>
        <v>0</v>
      </c>
      <c r="AS18" s="543">
        <f t="shared" si="12"/>
        <v>0</v>
      </c>
      <c r="AU18" s="543">
        <f t="shared" si="13"/>
        <v>0</v>
      </c>
      <c r="AW18" s="238"/>
      <c r="AX18" s="241"/>
    </row>
    <row r="19" spans="1:50">
      <c r="A19" s="305" t="str">
        <f t="shared" si="6"/>
        <v>11.01 Werknemer algemeen schoonmaakonderhoud 8 jaar en meer</v>
      </c>
      <c r="B19" s="305" t="str">
        <f t="shared" si="6"/>
        <v>11.01 Werknemer algemeen schoonmaakonderhoud 8 jaar en meer</v>
      </c>
      <c r="C19" s="245" t="s">
        <v>245</v>
      </c>
      <c r="D19" s="242" t="s">
        <v>256</v>
      </c>
      <c r="E19" s="782">
        <v>1</v>
      </c>
      <c r="F19" s="239"/>
      <c r="G19" s="239"/>
      <c r="H19" s="497"/>
      <c r="I19" s="239">
        <v>0</v>
      </c>
      <c r="J19" s="540">
        <f t="shared" si="7"/>
        <v>0</v>
      </c>
      <c r="K19" s="239">
        <v>0</v>
      </c>
      <c r="L19" s="532">
        <f t="shared" si="0"/>
        <v>0</v>
      </c>
      <c r="N19" s="541">
        <f t="shared" si="8"/>
        <v>0</v>
      </c>
      <c r="O19" s="532">
        <f t="shared" si="1"/>
        <v>0</v>
      </c>
      <c r="Q19" s="542">
        <f t="shared" si="9"/>
        <v>0</v>
      </c>
      <c r="R19" s="540">
        <f>IF(Q19=0,0,Q19*'1.4-Premies en opslagen'!$D$33)</f>
        <v>0</v>
      </c>
      <c r="S19" s="532">
        <f t="shared" si="2"/>
        <v>0</v>
      </c>
      <c r="U19" s="540">
        <f>S19*'1.4-Premies en opslagen'!$D$66</f>
        <v>0</v>
      </c>
      <c r="V19" s="532">
        <f t="shared" si="3"/>
        <v>0</v>
      </c>
      <c r="X19" s="239"/>
      <c r="Y19" s="239"/>
      <c r="Z19" s="239"/>
      <c r="AA19" s="532">
        <f t="shared" si="4"/>
        <v>0</v>
      </c>
      <c r="AC19" s="239"/>
      <c r="AD19" s="239"/>
      <c r="AE19" s="239"/>
      <c r="AF19" s="239"/>
      <c r="AG19" s="239"/>
      <c r="AH19" s="239"/>
      <c r="AI19" s="239"/>
      <c r="AJ19" s="239"/>
      <c r="AK19" s="532">
        <f>SUM(AA19:AJ19)+SUM(AA19:AJ19)*'1.1a-Jaarprijzen'!$C$143</f>
        <v>0</v>
      </c>
      <c r="AM19" s="239">
        <f t="shared" si="10"/>
        <v>0</v>
      </c>
      <c r="AO19" s="543">
        <f t="shared" si="5"/>
        <v>0</v>
      </c>
      <c r="AQ19" s="543">
        <f t="shared" si="11"/>
        <v>0</v>
      </c>
      <c r="AS19" s="543">
        <f t="shared" si="12"/>
        <v>0</v>
      </c>
      <c r="AU19" s="543">
        <f t="shared" si="13"/>
        <v>0</v>
      </c>
      <c r="AW19" s="238"/>
      <c r="AX19" s="241"/>
    </row>
    <row r="20" spans="1:50">
      <c r="A20" s="305" t="str">
        <f t="shared" si="6"/>
        <v>11.03 Werknemer algemeen schoonmaakonderhoud (sleutelpand)  0 t/m 7 jaar</v>
      </c>
      <c r="B20" s="305" t="str">
        <f t="shared" si="6"/>
        <v>11.03 Werknemer algemeen schoonmaakonderhoud (sleutelpand)  0 t/m 7 jaar</v>
      </c>
      <c r="C20" s="245" t="s">
        <v>246</v>
      </c>
      <c r="D20" s="242" t="s">
        <v>255</v>
      </c>
      <c r="E20" s="782">
        <v>1</v>
      </c>
      <c r="F20" s="239"/>
      <c r="G20" s="239"/>
      <c r="H20" s="497"/>
      <c r="I20" s="239">
        <v>0</v>
      </c>
      <c r="J20" s="540">
        <f t="shared" si="7"/>
        <v>0</v>
      </c>
      <c r="K20" s="239">
        <v>0</v>
      </c>
      <c r="L20" s="532">
        <f t="shared" si="0"/>
        <v>0</v>
      </c>
      <c r="N20" s="541">
        <f t="shared" si="8"/>
        <v>0</v>
      </c>
      <c r="O20" s="532">
        <f t="shared" si="1"/>
        <v>0</v>
      </c>
      <c r="Q20" s="542">
        <f t="shared" si="9"/>
        <v>0</v>
      </c>
      <c r="R20" s="540">
        <f>IF(Q20=0,0,Q20*'1.4-Premies en opslagen'!$D$33)</f>
        <v>0</v>
      </c>
      <c r="S20" s="532">
        <f t="shared" si="2"/>
        <v>0</v>
      </c>
      <c r="U20" s="540">
        <f>S20*'1.4-Premies en opslagen'!$D$66</f>
        <v>0</v>
      </c>
      <c r="V20" s="532">
        <f t="shared" si="3"/>
        <v>0</v>
      </c>
      <c r="X20" s="239"/>
      <c r="Y20" s="239"/>
      <c r="Z20" s="239"/>
      <c r="AA20" s="532">
        <f t="shared" si="4"/>
        <v>0</v>
      </c>
      <c r="AC20" s="239"/>
      <c r="AD20" s="239"/>
      <c r="AE20" s="239"/>
      <c r="AF20" s="239"/>
      <c r="AG20" s="239"/>
      <c r="AH20" s="239"/>
      <c r="AI20" s="239"/>
      <c r="AJ20" s="239"/>
      <c r="AK20" s="532">
        <f>SUM(AA20:AJ20)+SUM(AA20:AJ20)*'1.1a-Jaarprijzen'!$C$143</f>
        <v>0</v>
      </c>
      <c r="AM20" s="239">
        <f t="shared" si="10"/>
        <v>0</v>
      </c>
      <c r="AO20" s="543">
        <f t="shared" si="5"/>
        <v>0</v>
      </c>
      <c r="AQ20" s="543">
        <f t="shared" si="11"/>
        <v>0</v>
      </c>
      <c r="AS20" s="543">
        <f t="shared" si="12"/>
        <v>0</v>
      </c>
      <c r="AU20" s="543">
        <f t="shared" si="13"/>
        <v>0</v>
      </c>
      <c r="AW20" s="238"/>
      <c r="AX20" s="241"/>
    </row>
    <row r="21" spans="1:50">
      <c r="A21" s="305" t="str">
        <f t="shared" si="6"/>
        <v>11.03 Werknemer algemeen schoonmaakonderhoud (sleutelpand)  8 jaar en meer</v>
      </c>
      <c r="B21" s="305" t="str">
        <f t="shared" si="6"/>
        <v>11.03 Werknemer algemeen schoonmaakonderhoud (sleutelpand)  8 jaar en meer</v>
      </c>
      <c r="C21" s="245" t="s">
        <v>246</v>
      </c>
      <c r="D21" s="242" t="s">
        <v>256</v>
      </c>
      <c r="E21" s="782">
        <v>1</v>
      </c>
      <c r="F21" s="239"/>
      <c r="G21" s="239"/>
      <c r="H21" s="497"/>
      <c r="I21" s="239">
        <v>0</v>
      </c>
      <c r="J21" s="540">
        <f t="shared" si="7"/>
        <v>0</v>
      </c>
      <c r="K21" s="239">
        <v>0</v>
      </c>
      <c r="L21" s="532">
        <f t="shared" si="0"/>
        <v>0</v>
      </c>
      <c r="N21" s="541">
        <f>L21*$N$12</f>
        <v>0</v>
      </c>
      <c r="O21" s="532">
        <f t="shared" si="1"/>
        <v>0</v>
      </c>
      <c r="Q21" s="542">
        <f t="shared" si="9"/>
        <v>0</v>
      </c>
      <c r="R21" s="540">
        <f>IF(Q21=0,0,Q21*'1.4-Premies en opslagen'!$D$33)</f>
        <v>0</v>
      </c>
      <c r="S21" s="532">
        <f t="shared" si="2"/>
        <v>0</v>
      </c>
      <c r="U21" s="540">
        <f>S21*'1.4-Premies en opslagen'!$D$66</f>
        <v>0</v>
      </c>
      <c r="V21" s="532">
        <f t="shared" si="3"/>
        <v>0</v>
      </c>
      <c r="X21" s="239"/>
      <c r="Y21" s="239"/>
      <c r="Z21" s="239"/>
      <c r="AA21" s="532">
        <f t="shared" si="4"/>
        <v>0</v>
      </c>
      <c r="AC21" s="239"/>
      <c r="AD21" s="239"/>
      <c r="AE21" s="239"/>
      <c r="AF21" s="239"/>
      <c r="AG21" s="239"/>
      <c r="AH21" s="239"/>
      <c r="AI21" s="239"/>
      <c r="AJ21" s="239"/>
      <c r="AK21" s="532">
        <f>SUM(AA21:AJ21)+SUM(AA21:AJ21)*'1.1a-Jaarprijzen'!$C$143</f>
        <v>0</v>
      </c>
      <c r="AM21" s="239">
        <f t="shared" si="10"/>
        <v>0</v>
      </c>
      <c r="AO21" s="543">
        <f t="shared" si="5"/>
        <v>0</v>
      </c>
      <c r="AQ21" s="543">
        <f t="shared" si="11"/>
        <v>0</v>
      </c>
      <c r="AS21" s="543">
        <f t="shared" si="12"/>
        <v>0</v>
      </c>
      <c r="AU21" s="543">
        <f t="shared" si="13"/>
        <v>0</v>
      </c>
      <c r="AW21" s="238"/>
      <c r="AX21" s="241"/>
    </row>
    <row r="22" spans="1:50">
      <c r="A22" s="305" t="str">
        <f t="shared" si="6"/>
        <v>11.02 All-round werknemer algemeen schoonmaakonderhoud 0 t/m 7 jaar</v>
      </c>
      <c r="B22" s="305" t="str">
        <f t="shared" si="6"/>
        <v>11.02 All-round werknemer algemeen schoonmaakonderhoud 0 t/m 7 jaar</v>
      </c>
      <c r="C22" s="245" t="s">
        <v>247</v>
      </c>
      <c r="D22" s="242" t="s">
        <v>255</v>
      </c>
      <c r="E22" s="782" t="s">
        <v>251</v>
      </c>
      <c r="F22" s="239"/>
      <c r="G22" s="239"/>
      <c r="H22" s="497"/>
      <c r="I22" s="239">
        <v>0</v>
      </c>
      <c r="J22" s="540">
        <f t="shared" si="7"/>
        <v>0</v>
      </c>
      <c r="K22" s="239">
        <v>0</v>
      </c>
      <c r="L22" s="532">
        <f t="shared" si="0"/>
        <v>0</v>
      </c>
      <c r="N22" s="541">
        <f>L22*$N$12</f>
        <v>0</v>
      </c>
      <c r="O22" s="532">
        <f t="shared" si="1"/>
        <v>0</v>
      </c>
      <c r="Q22" s="542">
        <f t="shared" si="9"/>
        <v>0</v>
      </c>
      <c r="R22" s="540">
        <f>IF(Q22=0,0,Q22*'1.4-Premies en opslagen'!$D$33)</f>
        <v>0</v>
      </c>
      <c r="S22" s="532">
        <f t="shared" si="2"/>
        <v>0</v>
      </c>
      <c r="U22" s="540">
        <f>S22*'1.4-Premies en opslagen'!$D$66</f>
        <v>0</v>
      </c>
      <c r="V22" s="532">
        <f t="shared" si="3"/>
        <v>0</v>
      </c>
      <c r="X22" s="239"/>
      <c r="Y22" s="239"/>
      <c r="Z22" s="239"/>
      <c r="AA22" s="532">
        <f t="shared" si="4"/>
        <v>0</v>
      </c>
      <c r="AC22" s="239"/>
      <c r="AD22" s="239"/>
      <c r="AE22" s="239"/>
      <c r="AF22" s="239"/>
      <c r="AG22" s="239"/>
      <c r="AH22" s="239"/>
      <c r="AI22" s="239"/>
      <c r="AJ22" s="239"/>
      <c r="AK22" s="532">
        <f>SUM(AA22:AJ22)+SUM(AA22:AJ22)*'1.1a-Jaarprijzen'!$C$143</f>
        <v>0</v>
      </c>
      <c r="AM22" s="239">
        <f t="shared" si="10"/>
        <v>0</v>
      </c>
      <c r="AO22" s="543">
        <f t="shared" si="5"/>
        <v>0</v>
      </c>
      <c r="AQ22" s="543">
        <f t="shared" si="11"/>
        <v>0</v>
      </c>
      <c r="AS22" s="543">
        <f t="shared" si="12"/>
        <v>0</v>
      </c>
      <c r="AU22" s="543">
        <f t="shared" si="13"/>
        <v>0</v>
      </c>
      <c r="AW22" s="238"/>
      <c r="AX22" s="241"/>
    </row>
    <row r="23" spans="1:50">
      <c r="A23" s="305" t="str">
        <f t="shared" si="6"/>
        <v>11.02 All-round werknemer algemeen schoonmaakonderhoud 8 jaar en meer</v>
      </c>
      <c r="B23" s="305" t="str">
        <f t="shared" si="6"/>
        <v>11.02 All-round werknemer algemeen schoonmaakonderhoud 8 jaar en meer</v>
      </c>
      <c r="C23" s="245" t="s">
        <v>247</v>
      </c>
      <c r="D23" s="242" t="s">
        <v>256</v>
      </c>
      <c r="E23" s="782" t="s">
        <v>251</v>
      </c>
      <c r="F23" s="239"/>
      <c r="G23" s="239"/>
      <c r="H23" s="497"/>
      <c r="I23" s="239">
        <v>0</v>
      </c>
      <c r="J23" s="540">
        <f t="shared" si="7"/>
        <v>0</v>
      </c>
      <c r="K23" s="239">
        <v>0</v>
      </c>
      <c r="L23" s="532">
        <f t="shared" si="0"/>
        <v>0</v>
      </c>
      <c r="N23" s="541">
        <f t="shared" si="8"/>
        <v>0</v>
      </c>
      <c r="O23" s="532">
        <f t="shared" si="1"/>
        <v>0</v>
      </c>
      <c r="Q23" s="542">
        <f t="shared" si="9"/>
        <v>0</v>
      </c>
      <c r="R23" s="540">
        <f>IF(Q23=0,0,Q23*'1.4-Premies en opslagen'!$D$33)</f>
        <v>0</v>
      </c>
      <c r="S23" s="532">
        <f t="shared" si="2"/>
        <v>0</v>
      </c>
      <c r="U23" s="540">
        <f>S23*'1.4-Premies en opslagen'!$D$66</f>
        <v>0</v>
      </c>
      <c r="V23" s="532">
        <f t="shared" si="3"/>
        <v>0</v>
      </c>
      <c r="X23" s="239"/>
      <c r="Y23" s="239"/>
      <c r="Z23" s="239"/>
      <c r="AA23" s="532">
        <f t="shared" si="4"/>
        <v>0</v>
      </c>
      <c r="AC23" s="239"/>
      <c r="AD23" s="239"/>
      <c r="AE23" s="239"/>
      <c r="AF23" s="239"/>
      <c r="AG23" s="239"/>
      <c r="AH23" s="239"/>
      <c r="AI23" s="239"/>
      <c r="AJ23" s="239"/>
      <c r="AK23" s="532">
        <f>SUM(AA23:AJ23)+SUM(AA23:AJ23)*'1.1a-Jaarprijzen'!$C$143</f>
        <v>0</v>
      </c>
      <c r="AM23" s="239">
        <f t="shared" si="10"/>
        <v>0</v>
      </c>
      <c r="AO23" s="543">
        <f t="shared" si="5"/>
        <v>0</v>
      </c>
      <c r="AQ23" s="543">
        <f t="shared" si="11"/>
        <v>0</v>
      </c>
      <c r="AS23" s="543">
        <f t="shared" si="12"/>
        <v>0</v>
      </c>
      <c r="AU23" s="543">
        <f t="shared" si="13"/>
        <v>0</v>
      </c>
      <c r="AW23" s="238"/>
      <c r="AX23" s="241"/>
    </row>
    <row r="24" spans="1:50">
      <c r="A24" s="305" t="str">
        <f t="shared" si="6"/>
        <v>11.04 All-round werknemer algemeen schoonmaakonderhoud (sleutelpand)  0 t/m 7 jaar</v>
      </c>
      <c r="B24" s="305" t="str">
        <f t="shared" si="6"/>
        <v>11.04 All-round werknemer algemeen schoonmaakonderhoud (sleutelpand)  0 t/m 7 jaar</v>
      </c>
      <c r="C24" s="245" t="s">
        <v>248</v>
      </c>
      <c r="D24" s="242" t="s">
        <v>255</v>
      </c>
      <c r="E24" s="782" t="s">
        <v>251</v>
      </c>
      <c r="F24" s="239"/>
      <c r="G24" s="239"/>
      <c r="H24" s="497"/>
      <c r="I24" s="239">
        <v>0</v>
      </c>
      <c r="J24" s="540">
        <f t="shared" si="7"/>
        <v>0</v>
      </c>
      <c r="K24" s="239">
        <v>0</v>
      </c>
      <c r="L24" s="532">
        <f t="shared" si="0"/>
        <v>0</v>
      </c>
      <c r="N24" s="541">
        <f>L24*$N$12</f>
        <v>0</v>
      </c>
      <c r="O24" s="532">
        <f t="shared" si="1"/>
        <v>0</v>
      </c>
      <c r="Q24" s="542">
        <f t="shared" si="9"/>
        <v>0</v>
      </c>
      <c r="R24" s="540">
        <f>IF(Q24=0,0,Q24*'1.4-Premies en opslagen'!$D$33)</f>
        <v>0</v>
      </c>
      <c r="S24" s="532">
        <f t="shared" si="2"/>
        <v>0</v>
      </c>
      <c r="U24" s="540">
        <f>S24*'1.4-Premies en opslagen'!$D$66</f>
        <v>0</v>
      </c>
      <c r="V24" s="532">
        <f t="shared" si="3"/>
        <v>0</v>
      </c>
      <c r="X24" s="239"/>
      <c r="Y24" s="239"/>
      <c r="Z24" s="239"/>
      <c r="AA24" s="532">
        <f t="shared" si="4"/>
        <v>0</v>
      </c>
      <c r="AC24" s="239"/>
      <c r="AD24" s="239"/>
      <c r="AE24" s="239"/>
      <c r="AF24" s="239"/>
      <c r="AG24" s="239"/>
      <c r="AH24" s="239"/>
      <c r="AI24" s="239"/>
      <c r="AJ24" s="239"/>
      <c r="AK24" s="532">
        <f>SUM(AA24:AJ24)+SUM(AA24:AJ24)*'1.1a-Jaarprijzen'!$C$143</f>
        <v>0</v>
      </c>
      <c r="AM24" s="239">
        <f t="shared" si="10"/>
        <v>0</v>
      </c>
      <c r="AO24" s="543">
        <f t="shared" si="5"/>
        <v>0</v>
      </c>
      <c r="AQ24" s="543">
        <f t="shared" si="11"/>
        <v>0</v>
      </c>
      <c r="AS24" s="543">
        <f t="shared" si="12"/>
        <v>0</v>
      </c>
      <c r="AU24" s="543">
        <f t="shared" si="13"/>
        <v>0</v>
      </c>
      <c r="AW24" s="238"/>
      <c r="AX24" s="241"/>
    </row>
    <row r="25" spans="1:50">
      <c r="A25" s="305" t="str">
        <f t="shared" si="6"/>
        <v>11.04 All-round werknemer algemeen schoonmaakonderhoud (sleutelpand)  8 jaar en meer</v>
      </c>
      <c r="B25" s="305" t="str">
        <f t="shared" si="6"/>
        <v>11.04 All-round werknemer algemeen schoonmaakonderhoud (sleutelpand)  8 jaar en meer</v>
      </c>
      <c r="C25" s="245" t="s">
        <v>248</v>
      </c>
      <c r="D25" s="242" t="s">
        <v>256</v>
      </c>
      <c r="E25" s="782" t="s">
        <v>251</v>
      </c>
      <c r="F25" s="239"/>
      <c r="G25" s="239"/>
      <c r="H25" s="497"/>
      <c r="I25" s="239">
        <v>0</v>
      </c>
      <c r="J25" s="540">
        <f t="shared" si="7"/>
        <v>0</v>
      </c>
      <c r="K25" s="239">
        <v>0</v>
      </c>
      <c r="L25" s="532">
        <f t="shared" si="0"/>
        <v>0</v>
      </c>
      <c r="N25" s="541">
        <f t="shared" si="8"/>
        <v>0</v>
      </c>
      <c r="O25" s="532">
        <f t="shared" si="1"/>
        <v>0</v>
      </c>
      <c r="Q25" s="542">
        <f t="shared" si="9"/>
        <v>0</v>
      </c>
      <c r="R25" s="540">
        <f>IF(Q25=0,0,Q25*'1.4-Premies en opslagen'!$D$33)</f>
        <v>0</v>
      </c>
      <c r="S25" s="532">
        <f t="shared" si="2"/>
        <v>0</v>
      </c>
      <c r="U25" s="540">
        <f>S25*'1.4-Premies en opslagen'!$D$66</f>
        <v>0</v>
      </c>
      <c r="V25" s="532">
        <f t="shared" si="3"/>
        <v>0</v>
      </c>
      <c r="X25" s="239"/>
      <c r="Y25" s="239"/>
      <c r="Z25" s="239"/>
      <c r="AA25" s="532">
        <f t="shared" si="4"/>
        <v>0</v>
      </c>
      <c r="AC25" s="239"/>
      <c r="AD25" s="239"/>
      <c r="AE25" s="239"/>
      <c r="AF25" s="239"/>
      <c r="AG25" s="239"/>
      <c r="AH25" s="239"/>
      <c r="AI25" s="239"/>
      <c r="AJ25" s="239"/>
      <c r="AK25" s="532">
        <f>SUM(AA25:AJ25)+SUM(AA25:AJ25)*'1.1a-Jaarprijzen'!$C$143</f>
        <v>0</v>
      </c>
      <c r="AM25" s="239">
        <f t="shared" si="10"/>
        <v>0</v>
      </c>
      <c r="AO25" s="543">
        <f t="shared" si="5"/>
        <v>0</v>
      </c>
      <c r="AQ25" s="543">
        <f t="shared" si="11"/>
        <v>0</v>
      </c>
      <c r="AS25" s="543">
        <f t="shared" si="12"/>
        <v>0</v>
      </c>
      <c r="AU25" s="543">
        <f t="shared" si="13"/>
        <v>0</v>
      </c>
      <c r="AW25" s="238"/>
      <c r="AX25" s="241"/>
    </row>
    <row r="26" spans="1:50">
      <c r="A26" s="305" t="str">
        <f t="shared" si="6"/>
        <v>11.02 Werknemer meewerkend toezicht algemeen schoonmaakonderhoud 0 t/m 7 jaar</v>
      </c>
      <c r="B26" s="305" t="str">
        <f t="shared" si="6"/>
        <v>11.02 Werknemer meewerkend toezicht algemeen schoonmaakonderhoud 0 t/m 7 jaar</v>
      </c>
      <c r="C26" s="245" t="s">
        <v>341</v>
      </c>
      <c r="D26" s="242" t="s">
        <v>255</v>
      </c>
      <c r="E26" s="782" t="s">
        <v>1070</v>
      </c>
      <c r="F26" s="239"/>
      <c r="G26" s="239"/>
      <c r="H26" s="497"/>
      <c r="I26" s="239">
        <v>0</v>
      </c>
      <c r="J26" s="540">
        <f t="shared" si="7"/>
        <v>0</v>
      </c>
      <c r="K26" s="239">
        <v>0</v>
      </c>
      <c r="L26" s="532">
        <f t="shared" si="0"/>
        <v>0</v>
      </c>
      <c r="N26" s="541">
        <f>L26*$N$12</f>
        <v>0</v>
      </c>
      <c r="O26" s="532">
        <f t="shared" si="1"/>
        <v>0</v>
      </c>
      <c r="Q26" s="542">
        <f t="shared" si="9"/>
        <v>0</v>
      </c>
      <c r="R26" s="540">
        <f>IF(Q26=0,0,Q26*'1.4-Premies en opslagen'!$D$33)</f>
        <v>0</v>
      </c>
      <c r="S26" s="532">
        <f t="shared" si="2"/>
        <v>0</v>
      </c>
      <c r="U26" s="540">
        <f>S26*'1.4-Premies en opslagen'!$D$66</f>
        <v>0</v>
      </c>
      <c r="V26" s="532">
        <f t="shared" si="3"/>
        <v>0</v>
      </c>
      <c r="X26" s="239"/>
      <c r="Y26" s="239"/>
      <c r="Z26" s="239"/>
      <c r="AA26" s="532">
        <f t="shared" si="4"/>
        <v>0</v>
      </c>
      <c r="AC26" s="239"/>
      <c r="AD26" s="239"/>
      <c r="AE26" s="239"/>
      <c r="AF26" s="239"/>
      <c r="AG26" s="239"/>
      <c r="AH26" s="239"/>
      <c r="AI26" s="239"/>
      <c r="AJ26" s="239"/>
      <c r="AK26" s="532">
        <f>SUM(AA26:AJ26)+SUM(AA26:AJ26)*'1.1a-Jaarprijzen'!$C$143</f>
        <v>0</v>
      </c>
      <c r="AM26" s="239">
        <f t="shared" si="10"/>
        <v>0</v>
      </c>
      <c r="AO26" s="543">
        <f t="shared" si="5"/>
        <v>0</v>
      </c>
      <c r="AQ26" s="543">
        <f t="shared" si="11"/>
        <v>0</v>
      </c>
      <c r="AS26" s="543">
        <f t="shared" si="12"/>
        <v>0</v>
      </c>
      <c r="AU26" s="543">
        <f t="shared" si="13"/>
        <v>0</v>
      </c>
      <c r="AW26" s="238"/>
      <c r="AX26" s="241"/>
    </row>
    <row r="27" spans="1:50">
      <c r="A27" s="305" t="str">
        <f t="shared" si="6"/>
        <v>11.02 Werknemer meewerkend toezicht algemeen schoonmaakonderhoud 8 jaar en meer</v>
      </c>
      <c r="B27" s="305" t="str">
        <f t="shared" si="6"/>
        <v>11.02 Werknemer meewerkend toezicht algemeen schoonmaakonderhoud 8 jaar en meer</v>
      </c>
      <c r="C27" s="525" t="s">
        <v>341</v>
      </c>
      <c r="D27" s="242" t="s">
        <v>256</v>
      </c>
      <c r="E27" s="782" t="s">
        <v>1070</v>
      </c>
      <c r="F27" s="239"/>
      <c r="G27" s="239"/>
      <c r="H27" s="497"/>
      <c r="I27" s="239">
        <v>0</v>
      </c>
      <c r="J27" s="540">
        <f t="shared" si="7"/>
        <v>0</v>
      </c>
      <c r="K27" s="239">
        <v>0</v>
      </c>
      <c r="L27" s="532">
        <f t="shared" si="0"/>
        <v>0</v>
      </c>
      <c r="N27" s="541">
        <f t="shared" si="8"/>
        <v>0</v>
      </c>
      <c r="O27" s="532">
        <f t="shared" si="1"/>
        <v>0</v>
      </c>
      <c r="Q27" s="542">
        <f t="shared" si="9"/>
        <v>0</v>
      </c>
      <c r="R27" s="540">
        <f>IF(Q27=0,0,Q27*'1.4-Premies en opslagen'!$D$33)</f>
        <v>0</v>
      </c>
      <c r="S27" s="532">
        <f t="shared" si="2"/>
        <v>0</v>
      </c>
      <c r="U27" s="540">
        <f>S27*'1.4-Premies en opslagen'!$D$66</f>
        <v>0</v>
      </c>
      <c r="V27" s="532">
        <f t="shared" si="3"/>
        <v>0</v>
      </c>
      <c r="X27" s="239"/>
      <c r="Y27" s="239"/>
      <c r="Z27" s="239"/>
      <c r="AA27" s="532">
        <f t="shared" si="4"/>
        <v>0</v>
      </c>
      <c r="AC27" s="239"/>
      <c r="AD27" s="239"/>
      <c r="AE27" s="239"/>
      <c r="AF27" s="239"/>
      <c r="AG27" s="239"/>
      <c r="AH27" s="239"/>
      <c r="AI27" s="239"/>
      <c r="AJ27" s="239"/>
      <c r="AK27" s="532">
        <f>SUM(AA27:AJ27)+SUM(AA27:AJ27)*'1.1a-Jaarprijzen'!$C$143</f>
        <v>0</v>
      </c>
      <c r="AM27" s="239">
        <f t="shared" si="10"/>
        <v>0</v>
      </c>
      <c r="AO27" s="543">
        <f t="shared" si="5"/>
        <v>0</v>
      </c>
      <c r="AQ27" s="543">
        <f t="shared" si="11"/>
        <v>0</v>
      </c>
      <c r="AS27" s="543">
        <f t="shared" si="12"/>
        <v>0</v>
      </c>
      <c r="AU27" s="543">
        <f t="shared" si="13"/>
        <v>0</v>
      </c>
      <c r="AW27" s="238"/>
      <c r="AX27" s="241"/>
    </row>
    <row r="28" spans="1:50">
      <c r="A28" s="305" t="str">
        <f t="shared" si="6"/>
        <v>11.02 Werknemer niet meewerkend toezicht algemeen schoonmaakonderhoud 0 t/m 7 jaar</v>
      </c>
      <c r="B28" s="305" t="str">
        <f t="shared" si="6"/>
        <v>11.02 Werknemer niet meewerkend toezicht algemeen schoonmaakonderhoud 0 t/m 7 jaar</v>
      </c>
      <c r="C28" s="245" t="s">
        <v>342</v>
      </c>
      <c r="D28" s="242" t="s">
        <v>255</v>
      </c>
      <c r="E28" s="782" t="s">
        <v>1070</v>
      </c>
      <c r="F28" s="239"/>
      <c r="G28" s="239"/>
      <c r="H28" s="497"/>
      <c r="I28" s="239">
        <v>0</v>
      </c>
      <c r="J28" s="540">
        <f t="shared" si="7"/>
        <v>0</v>
      </c>
      <c r="K28" s="239">
        <v>0</v>
      </c>
      <c r="L28" s="532">
        <f t="shared" si="0"/>
        <v>0</v>
      </c>
      <c r="N28" s="541">
        <f t="shared" si="8"/>
        <v>0</v>
      </c>
      <c r="O28" s="532">
        <f t="shared" si="1"/>
        <v>0</v>
      </c>
      <c r="Q28" s="542">
        <f t="shared" si="9"/>
        <v>0</v>
      </c>
      <c r="R28" s="540">
        <f>IF(Q28=0,0,Q28*'1.4-Premies en opslagen'!$D$33)</f>
        <v>0</v>
      </c>
      <c r="S28" s="532">
        <f t="shared" si="2"/>
        <v>0</v>
      </c>
      <c r="U28" s="540">
        <f>S28*'1.4-Premies en opslagen'!$D$66</f>
        <v>0</v>
      </c>
      <c r="V28" s="532">
        <f t="shared" si="3"/>
        <v>0</v>
      </c>
      <c r="X28" s="239"/>
      <c r="Y28" s="239"/>
      <c r="Z28" s="239"/>
      <c r="AA28" s="532">
        <f t="shared" si="4"/>
        <v>0</v>
      </c>
      <c r="AC28" s="239"/>
      <c r="AD28" s="239"/>
      <c r="AE28" s="239"/>
      <c r="AF28" s="239"/>
      <c r="AG28" s="239"/>
      <c r="AH28" s="239"/>
      <c r="AI28" s="239"/>
      <c r="AJ28" s="239"/>
      <c r="AK28" s="532">
        <f>SUM(AA28:AJ28)+SUM(AA28:AJ28)*'1.1a-Jaarprijzen'!$C$143</f>
        <v>0</v>
      </c>
      <c r="AM28" s="239">
        <f t="shared" si="10"/>
        <v>0</v>
      </c>
      <c r="AO28" s="543">
        <f t="shared" si="5"/>
        <v>0</v>
      </c>
      <c r="AQ28" s="543">
        <f t="shared" si="11"/>
        <v>0</v>
      </c>
      <c r="AS28" s="543">
        <f t="shared" si="12"/>
        <v>0</v>
      </c>
      <c r="AU28" s="543">
        <f t="shared" si="13"/>
        <v>0</v>
      </c>
      <c r="AW28" s="238"/>
      <c r="AX28" s="241"/>
    </row>
    <row r="29" spans="1:50">
      <c r="A29" s="305" t="str">
        <f t="shared" si="6"/>
        <v>11.02 Werknemer niet meewerkend toezicht algemeen schoonmaakonderhoud 8 jaar en meer</v>
      </c>
      <c r="B29" s="305" t="str">
        <f t="shared" si="6"/>
        <v>11.02 Werknemer niet meewerkend toezicht algemeen schoonmaakonderhoud 8 jaar en meer</v>
      </c>
      <c r="C29" s="525" t="s">
        <v>342</v>
      </c>
      <c r="D29" s="242" t="s">
        <v>256</v>
      </c>
      <c r="E29" s="782" t="s">
        <v>1070</v>
      </c>
      <c r="F29" s="239"/>
      <c r="G29" s="239"/>
      <c r="H29" s="497"/>
      <c r="I29" s="239">
        <v>0</v>
      </c>
      <c r="J29" s="540">
        <f t="shared" si="7"/>
        <v>0</v>
      </c>
      <c r="K29" s="239">
        <v>0</v>
      </c>
      <c r="L29" s="532">
        <f t="shared" si="0"/>
        <v>0</v>
      </c>
      <c r="N29" s="541">
        <f t="shared" si="8"/>
        <v>0</v>
      </c>
      <c r="O29" s="532">
        <f t="shared" si="1"/>
        <v>0</v>
      </c>
      <c r="Q29" s="542">
        <f t="shared" si="9"/>
        <v>0</v>
      </c>
      <c r="R29" s="540">
        <f>IF(Q29=0,0,Q29*'1.4-Premies en opslagen'!$D$33)</f>
        <v>0</v>
      </c>
      <c r="S29" s="532">
        <f t="shared" si="2"/>
        <v>0</v>
      </c>
      <c r="U29" s="540">
        <f>S29*'1.4-Premies en opslagen'!$D$66</f>
        <v>0</v>
      </c>
      <c r="V29" s="532">
        <f t="shared" si="3"/>
        <v>0</v>
      </c>
      <c r="X29" s="532"/>
      <c r="Y29" s="239"/>
      <c r="Z29" s="239"/>
      <c r="AA29" s="532">
        <f t="shared" si="4"/>
        <v>0</v>
      </c>
      <c r="AC29" s="239"/>
      <c r="AD29" s="239"/>
      <c r="AE29" s="239"/>
      <c r="AF29" s="239"/>
      <c r="AG29" s="239"/>
      <c r="AH29" s="239"/>
      <c r="AI29" s="239"/>
      <c r="AJ29" s="239"/>
      <c r="AK29" s="532">
        <f>SUM(AA29:AJ29)+SUM(AA29:AJ29)*'1.1a-Jaarprijzen'!$C$143</f>
        <v>0</v>
      </c>
      <c r="AM29" s="239">
        <f t="shared" si="10"/>
        <v>0</v>
      </c>
      <c r="AO29" s="543">
        <f t="shared" si="5"/>
        <v>0</v>
      </c>
      <c r="AQ29" s="543">
        <f t="shared" si="11"/>
        <v>0</v>
      </c>
      <c r="AS29" s="543">
        <f t="shared" si="12"/>
        <v>0</v>
      </c>
      <c r="AU29" s="543">
        <f t="shared" si="13"/>
        <v>0</v>
      </c>
      <c r="AW29" s="238"/>
      <c r="AX29" s="241"/>
    </row>
    <row r="30" spans="1:50">
      <c r="A30" s="305" t="str">
        <f t="shared" si="6"/>
        <v xml:space="preserve">21.01 Objectleider (algemeen schoonmaakonderhoud) </v>
      </c>
      <c r="B30" s="305" t="str">
        <f t="shared" si="6"/>
        <v xml:space="preserve">21.01 Objectleider (algemeen schoonmaakonderhoud) </v>
      </c>
      <c r="C30" s="246" t="s">
        <v>249</v>
      </c>
      <c r="E30" s="242">
        <v>3</v>
      </c>
      <c r="F30" s="239"/>
      <c r="G30" s="239"/>
      <c r="H30" s="497"/>
      <c r="I30" s="239">
        <v>0</v>
      </c>
      <c r="J30" s="540">
        <f t="shared" si="7"/>
        <v>0</v>
      </c>
      <c r="K30" s="239">
        <v>0</v>
      </c>
      <c r="L30" s="532">
        <f t="shared" si="0"/>
        <v>0</v>
      </c>
      <c r="N30" s="541">
        <f t="shared" si="8"/>
        <v>0</v>
      </c>
      <c r="O30" s="532">
        <f t="shared" si="1"/>
        <v>0</v>
      </c>
      <c r="Q30" s="542">
        <f t="shared" si="9"/>
        <v>0</v>
      </c>
      <c r="R30" s="540">
        <f>IF(Q30=0,0,Q30*'1.4-Premies en opslagen'!$D$33)</f>
        <v>0</v>
      </c>
      <c r="S30" s="532">
        <f t="shared" si="2"/>
        <v>0</v>
      </c>
      <c r="U30" s="540">
        <f>S30*'1.4-Premies en opslagen'!$D$66</f>
        <v>0</v>
      </c>
      <c r="V30" s="532">
        <f t="shared" si="3"/>
        <v>0</v>
      </c>
      <c r="X30" s="532"/>
      <c r="Y30" s="239"/>
      <c r="Z30" s="239"/>
      <c r="AA30" s="532">
        <f t="shared" si="4"/>
        <v>0</v>
      </c>
      <c r="AC30" s="239"/>
      <c r="AD30" s="239"/>
      <c r="AE30" s="239"/>
      <c r="AF30" s="239"/>
      <c r="AG30" s="239"/>
      <c r="AH30" s="239"/>
      <c r="AI30" s="239"/>
      <c r="AJ30" s="239"/>
      <c r="AK30" s="532">
        <f>SUM(AA30:AJ30)+SUM(AA30:AJ30)*'1.1a-Jaarprijzen'!$C$143</f>
        <v>0</v>
      </c>
      <c r="AM30" s="239">
        <f t="shared" si="10"/>
        <v>0</v>
      </c>
      <c r="AO30" s="543">
        <f t="shared" si="5"/>
        <v>0</v>
      </c>
      <c r="AQ30" s="543">
        <f t="shared" si="11"/>
        <v>0</v>
      </c>
      <c r="AS30" s="543">
        <f t="shared" si="12"/>
        <v>0</v>
      </c>
      <c r="AU30" s="543">
        <f t="shared" si="13"/>
        <v>0</v>
      </c>
      <c r="AW30" s="238"/>
      <c r="AX30" s="241"/>
    </row>
    <row r="31" spans="1:50">
      <c r="A31" s="305" t="str">
        <f t="shared" si="6"/>
        <v xml:space="preserve">21.02 Ambulant objectleider (algemeen schoonmaakonderhoud) </v>
      </c>
      <c r="B31" s="305" t="str">
        <f t="shared" si="6"/>
        <v xml:space="preserve">21.02 Ambulant objectleider (algemeen schoonmaakonderhoud) </v>
      </c>
      <c r="C31" s="246" t="s">
        <v>250</v>
      </c>
      <c r="E31" s="242">
        <v>3</v>
      </c>
      <c r="F31" s="239"/>
      <c r="G31" s="239"/>
      <c r="H31" s="497"/>
      <c r="I31" s="239">
        <v>0</v>
      </c>
      <c r="J31" s="540">
        <f t="shared" si="7"/>
        <v>0</v>
      </c>
      <c r="K31" s="239">
        <v>0</v>
      </c>
      <c r="L31" s="532">
        <f t="shared" si="0"/>
        <v>0</v>
      </c>
      <c r="N31" s="541">
        <f t="shared" si="8"/>
        <v>0</v>
      </c>
      <c r="O31" s="532">
        <f t="shared" si="1"/>
        <v>0</v>
      </c>
      <c r="Q31" s="542">
        <f t="shared" si="9"/>
        <v>0</v>
      </c>
      <c r="R31" s="540">
        <f>IF(Q31=0,0,Q31*'1.4-Premies en opslagen'!$D$33)</f>
        <v>0</v>
      </c>
      <c r="S31" s="532">
        <f t="shared" si="2"/>
        <v>0</v>
      </c>
      <c r="U31" s="540">
        <f>S31*'1.4-Premies en opslagen'!$D$66</f>
        <v>0</v>
      </c>
      <c r="V31" s="532">
        <f t="shared" si="3"/>
        <v>0</v>
      </c>
      <c r="X31" s="532"/>
      <c r="Y31" s="239"/>
      <c r="Z31" s="239"/>
      <c r="AA31" s="532">
        <f t="shared" si="4"/>
        <v>0</v>
      </c>
      <c r="AC31" s="239"/>
      <c r="AD31" s="239"/>
      <c r="AE31" s="239"/>
      <c r="AF31" s="239"/>
      <c r="AG31" s="239"/>
      <c r="AH31" s="239"/>
      <c r="AI31" s="239"/>
      <c r="AJ31" s="239"/>
      <c r="AK31" s="532">
        <f>SUM(AA31:AJ31)+SUM(AA31:AJ31)*'1.1a-Jaarprijzen'!$C$143</f>
        <v>0</v>
      </c>
      <c r="AM31" s="239">
        <f t="shared" si="10"/>
        <v>0</v>
      </c>
      <c r="AO31" s="543">
        <f t="shared" si="5"/>
        <v>0</v>
      </c>
      <c r="AQ31" s="543">
        <f t="shared" si="11"/>
        <v>0</v>
      </c>
      <c r="AS31" s="543">
        <f t="shared" si="12"/>
        <v>0</v>
      </c>
      <c r="AU31" s="543">
        <f t="shared" si="13"/>
        <v>0</v>
      </c>
      <c r="AW31" s="238"/>
      <c r="AX31" s="241"/>
    </row>
    <row r="32" spans="1:50" s="241" customFormat="1" ht="24.75" customHeight="1">
      <c r="A32" s="305" t="str">
        <f t="shared" si="6"/>
        <v xml:space="preserve">0 </v>
      </c>
      <c r="B32" s="305" t="str">
        <f t="shared" si="6"/>
        <v xml:space="preserve">0 </v>
      </c>
      <c r="C32" s="244">
        <v>0</v>
      </c>
      <c r="F32" s="534"/>
      <c r="G32" s="535"/>
      <c r="H32" s="240"/>
      <c r="I32" s="534"/>
      <c r="J32" s="240">
        <v>0</v>
      </c>
      <c r="K32" s="536"/>
      <c r="L32" s="497"/>
      <c r="M32" s="242"/>
      <c r="N32" s="240">
        <v>0</v>
      </c>
      <c r="O32" s="497"/>
      <c r="P32" s="242"/>
      <c r="Q32" s="537"/>
      <c r="R32" s="538">
        <f>R12</f>
        <v>0</v>
      </c>
      <c r="S32" s="539"/>
      <c r="T32" s="242"/>
      <c r="U32" s="538">
        <f>'1.4-Premies en opslagen'!G66</f>
        <v>0</v>
      </c>
      <c r="V32" s="497"/>
      <c r="W32" s="242"/>
      <c r="X32" s="497"/>
      <c r="Y32" s="497"/>
      <c r="Z32" s="497"/>
      <c r="AA32" s="497"/>
      <c r="AB32" s="242"/>
      <c r="AC32" s="497"/>
      <c r="AD32" s="497"/>
      <c r="AE32" s="497"/>
      <c r="AF32" s="497"/>
      <c r="AG32" s="497"/>
      <c r="AH32" s="497"/>
      <c r="AI32" s="497"/>
      <c r="AJ32" s="497"/>
      <c r="AK32" s="497"/>
      <c r="AL32" s="242"/>
      <c r="AM32" s="497"/>
      <c r="AN32" s="242"/>
      <c r="AO32" s="497"/>
      <c r="AP32" s="242"/>
      <c r="AQ32" s="497"/>
      <c r="AR32" s="242"/>
      <c r="AS32" s="497"/>
      <c r="AT32" s="242"/>
      <c r="AU32" s="497"/>
      <c r="AV32" s="242"/>
    </row>
    <row r="33" spans="1:49" ht="23" customHeight="1">
      <c r="A33" s="305" t="str">
        <f t="shared" si="6"/>
        <v>12.01A Glazenwasser A 0 t/m 7 jaar</v>
      </c>
      <c r="B33" s="305" t="str">
        <f t="shared" si="6"/>
        <v>12.01A Glazenwasser A 0 t/m 7 jaar</v>
      </c>
      <c r="C33" s="246" t="s">
        <v>361</v>
      </c>
      <c r="D33" s="242" t="s">
        <v>255</v>
      </c>
      <c r="E33" s="242" t="s">
        <v>251</v>
      </c>
      <c r="F33" s="239"/>
      <c r="G33" s="239"/>
      <c r="H33" s="239"/>
      <c r="I33" s="239">
        <v>0</v>
      </c>
      <c r="J33" s="540">
        <f t="shared" ref="J33:J34" si="14">F33*$J$12</f>
        <v>0</v>
      </c>
      <c r="K33" s="239">
        <v>0</v>
      </c>
      <c r="L33" s="532">
        <f t="shared" ref="L33:L34" si="15">SUM(F33:K33)</f>
        <v>0</v>
      </c>
      <c r="N33" s="541">
        <f>L33*$N$32</f>
        <v>0</v>
      </c>
      <c r="O33" s="532">
        <f t="shared" ref="O33:O34" si="16">SUM(L33:N33)</f>
        <v>0</v>
      </c>
      <c r="Q33" s="542">
        <f t="shared" si="9"/>
        <v>0</v>
      </c>
      <c r="R33" s="540">
        <f>IF(Q33=0,0,Q33*'1.4-Premies en opslagen'!$D$33)</f>
        <v>0</v>
      </c>
      <c r="S33" s="532">
        <f t="shared" ref="S33:S34" si="17">R33+O33</f>
        <v>0</v>
      </c>
      <c r="U33" s="540">
        <f>S33*'1.4-Premies en opslagen'!$D$66</f>
        <v>0</v>
      </c>
      <c r="V33" s="532">
        <f t="shared" ref="V33:V34" si="18">SUM(S33:U33)</f>
        <v>0</v>
      </c>
      <c r="X33" s="239"/>
      <c r="Y33" s="239"/>
      <c r="Z33" s="239"/>
      <c r="AA33" s="532">
        <f>SUM(V33:Z33)</f>
        <v>0</v>
      </c>
      <c r="AC33" s="239"/>
      <c r="AD33" s="239"/>
      <c r="AE33" s="239"/>
      <c r="AF33" s="239"/>
      <c r="AG33" s="239"/>
      <c r="AH33" s="239"/>
      <c r="AI33" s="239"/>
      <c r="AJ33" s="239"/>
      <c r="AK33" s="532">
        <f>SUM(AA33:AJ33)+SUM(AA33:AJ33)*'1.1a-Jaarprijzen'!$C$143</f>
        <v>0</v>
      </c>
      <c r="AM33" s="239">
        <f t="shared" si="10"/>
        <v>0</v>
      </c>
      <c r="AO33" s="543">
        <f t="shared" ref="AO33:AO34" si="19">SUM(AK33:AN33)</f>
        <v>0</v>
      </c>
      <c r="AQ33" s="543">
        <f>($V33*0.3)+$AO33</f>
        <v>0</v>
      </c>
      <c r="AS33" s="543">
        <f>($V33*0.5)+$AO33</f>
        <v>0</v>
      </c>
      <c r="AU33" s="543">
        <f>($V33*1.5)+$AO33</f>
        <v>0</v>
      </c>
      <c r="AW33" s="238"/>
    </row>
    <row r="34" spans="1:49" ht="23" customHeight="1">
      <c r="A34" s="305" t="str">
        <f t="shared" si="6"/>
        <v>12.01B Glazenwasser B 0 t/m 7 jaar</v>
      </c>
      <c r="B34" s="305" t="str">
        <f t="shared" si="6"/>
        <v>12.01B Glazenwasser B 0 t/m 7 jaar</v>
      </c>
      <c r="C34" s="245" t="s">
        <v>362</v>
      </c>
      <c r="D34" s="242" t="s">
        <v>255</v>
      </c>
      <c r="E34" s="242">
        <v>2</v>
      </c>
      <c r="F34" s="239"/>
      <c r="G34" s="239"/>
      <c r="H34" s="239"/>
      <c r="I34" s="239">
        <v>0</v>
      </c>
      <c r="J34" s="540">
        <f t="shared" si="14"/>
        <v>0</v>
      </c>
      <c r="K34" s="239">
        <v>0</v>
      </c>
      <c r="L34" s="532">
        <f t="shared" si="15"/>
        <v>0</v>
      </c>
      <c r="N34" s="541">
        <f>L34*$N$32</f>
        <v>0</v>
      </c>
      <c r="O34" s="532">
        <f t="shared" si="16"/>
        <v>0</v>
      </c>
      <c r="Q34" s="542">
        <f t="shared" si="9"/>
        <v>0</v>
      </c>
      <c r="R34" s="540">
        <f>IF(Q34=0,0,Q34*'1.4-Premies en opslagen'!$D$33)</f>
        <v>0</v>
      </c>
      <c r="S34" s="532">
        <f t="shared" si="17"/>
        <v>0</v>
      </c>
      <c r="U34" s="540">
        <f>S34*'1.4-Premies en opslagen'!$D$66</f>
        <v>0</v>
      </c>
      <c r="V34" s="532">
        <f t="shared" si="18"/>
        <v>0</v>
      </c>
      <c r="X34" s="239"/>
      <c r="Y34" s="239"/>
      <c r="Z34" s="239"/>
      <c r="AA34" s="532">
        <f>SUM(V34:Z34)</f>
        <v>0</v>
      </c>
      <c r="AC34" s="239"/>
      <c r="AD34" s="239"/>
      <c r="AE34" s="239"/>
      <c r="AF34" s="239"/>
      <c r="AG34" s="239"/>
      <c r="AH34" s="239"/>
      <c r="AI34" s="239"/>
      <c r="AJ34" s="239"/>
      <c r="AK34" s="532">
        <f>SUM(AA34:AJ34)+SUM(AA34:AJ34)*'1.1a-Jaarprijzen'!$C$143</f>
        <v>0</v>
      </c>
      <c r="AM34" s="239">
        <f t="shared" si="10"/>
        <v>0</v>
      </c>
      <c r="AO34" s="543">
        <f t="shared" si="19"/>
        <v>0</v>
      </c>
      <c r="AQ34" s="543">
        <f>($V34*0.3)+$AO34</f>
        <v>0</v>
      </c>
      <c r="AS34" s="543">
        <f>($V34*0.5)+$AO34</f>
        <v>0</v>
      </c>
      <c r="AU34" s="543">
        <f>($V34*1.5)+$AO34</f>
        <v>0</v>
      </c>
      <c r="AW34" s="238"/>
    </row>
    <row r="35" spans="1:49" ht="23" customHeight="1">
      <c r="C35" s="245"/>
      <c r="F35" s="631"/>
      <c r="G35" s="239"/>
      <c r="H35" s="239"/>
      <c r="I35" s="239"/>
      <c r="J35" s="540"/>
      <c r="K35" s="239"/>
      <c r="L35" s="532"/>
      <c r="N35" s="541"/>
      <c r="O35" s="532"/>
      <c r="Q35" s="542"/>
      <c r="R35" s="540"/>
      <c r="S35" s="532"/>
      <c r="U35" s="540"/>
      <c r="V35" s="532"/>
      <c r="X35" s="239"/>
      <c r="Y35" s="239"/>
      <c r="Z35" s="239"/>
      <c r="AA35" s="532"/>
      <c r="AC35" s="239"/>
      <c r="AD35" s="239"/>
      <c r="AE35" s="239"/>
      <c r="AF35" s="239"/>
      <c r="AG35" s="239"/>
      <c r="AH35" s="239"/>
      <c r="AI35" s="239"/>
      <c r="AJ35" s="239"/>
      <c r="AK35" s="532"/>
      <c r="AM35" s="239"/>
      <c r="AO35" s="543"/>
      <c r="AQ35" s="543"/>
      <c r="AS35" s="543"/>
      <c r="AU35" s="543"/>
      <c r="AW35" s="238"/>
    </row>
    <row r="36" spans="1:49"/>
    <row r="37" spans="1:49" ht="14" thickBot="1"/>
    <row r="38" spans="1:49" ht="17" customHeight="1">
      <c r="Q38" s="573">
        <f>SUM(Q13:Q31)</f>
        <v>0</v>
      </c>
      <c r="R38" s="574" t="s">
        <v>392</v>
      </c>
      <c r="S38" s="575"/>
      <c r="T38" s="576"/>
      <c r="U38" s="576"/>
      <c r="V38" s="576"/>
      <c r="W38" s="576"/>
      <c r="X38" s="576"/>
      <c r="Y38" s="576"/>
      <c r="Z38" s="577"/>
    </row>
    <row r="39" spans="1:49" ht="17" customHeight="1">
      <c r="Q39" s="578">
        <f>COUNTIF(Q13:Q31,"&gt;0,01")</f>
        <v>0</v>
      </c>
      <c r="R39" s="579" t="s">
        <v>393</v>
      </c>
      <c r="S39" s="580"/>
      <c r="T39" s="581"/>
      <c r="U39" s="581"/>
      <c r="V39" s="581"/>
      <c r="W39" s="581"/>
      <c r="X39" s="581"/>
      <c r="Y39" s="581"/>
      <c r="Z39" s="582"/>
    </row>
    <row r="40" spans="1:49" ht="17" customHeight="1" thickBot="1">
      <c r="Q40" s="724">
        <f>IF(Q38=0,0,Q38/Q39)</f>
        <v>0</v>
      </c>
      <c r="R40" s="583" t="s">
        <v>394</v>
      </c>
      <c r="S40" s="584"/>
      <c r="T40" s="585"/>
      <c r="U40" s="585"/>
      <c r="V40" s="585"/>
      <c r="W40" s="585"/>
      <c r="X40" s="585"/>
      <c r="Y40" s="585"/>
      <c r="Z40" s="586"/>
    </row>
    <row r="41" spans="1:49">
      <c r="R41" s="272"/>
    </row>
    <row r="42" spans="1:49" hidden="1">
      <c r="I42" s="605"/>
    </row>
    <row r="43" spans="1:49" hidden="1">
      <c r="I43" s="605"/>
    </row>
    <row r="44" spans="1:49" hidden="1"/>
    <row r="45" spans="1:49" hidden="1">
      <c r="I45" s="605"/>
      <c r="AC45" s="606"/>
    </row>
    <row r="46" spans="1:49" hidden="1">
      <c r="I46" s="605"/>
    </row>
    <row r="47" spans="1:49" hidden="1">
      <c r="I47" s="605"/>
    </row>
    <row r="48" spans="1:49" hidden="1">
      <c r="I48" s="605"/>
    </row>
    <row r="49" spans="9:9" hidden="1">
      <c r="I49" s="605"/>
    </row>
    <row r="50" spans="9:9" hidden="1">
      <c r="I50" s="605"/>
    </row>
    <row r="51" spans="9:9" hidden="1">
      <c r="I51" s="272"/>
    </row>
    <row r="52" spans="9:9" hidden="1">
      <c r="I52" s="605"/>
    </row>
    <row r="53" spans="9:9" hidden="1">
      <c r="I53" s="605"/>
    </row>
    <row r="54" spans="9:9" hidden="1">
      <c r="I54" s="605"/>
    </row>
    <row r="55" spans="9:9" hidden="1">
      <c r="I55" s="605"/>
    </row>
    <row r="56" spans="9:9" hidden="1">
      <c r="I56" s="272"/>
    </row>
    <row r="57" spans="9:9" hidden="1">
      <c r="I57" s="243"/>
    </row>
    <row r="58" spans="9:9" hidden="1">
      <c r="I58" s="243"/>
    </row>
  </sheetData>
  <mergeCells count="1">
    <mergeCell ref="J6:M6"/>
  </mergeCells>
  <phoneticPr fontId="17" type="noConversion"/>
  <conditionalFormatting sqref="N12">
    <cfRule type="cellIs" dxfId="98" priority="592" stopIfTrue="1" operator="lessThanOrEqual">
      <formula>0</formula>
    </cfRule>
  </conditionalFormatting>
  <conditionalFormatting sqref="I18 I20 I23 I25 I27:I31">
    <cfRule type="cellIs" dxfId="97" priority="580" stopIfTrue="1" operator="lessThanOrEqual">
      <formula>0</formula>
    </cfRule>
  </conditionalFormatting>
  <conditionalFormatting sqref="I19">
    <cfRule type="cellIs" dxfId="96" priority="579" stopIfTrue="1" operator="lessThanOrEqual">
      <formula>0</formula>
    </cfRule>
  </conditionalFormatting>
  <conditionalFormatting sqref="I21">
    <cfRule type="cellIs" dxfId="95" priority="578" stopIfTrue="1" operator="lessThanOrEqual">
      <formula>0</formula>
    </cfRule>
  </conditionalFormatting>
  <conditionalFormatting sqref="I22">
    <cfRule type="cellIs" dxfId="94" priority="577" stopIfTrue="1" operator="lessThanOrEqual">
      <formula>0</formula>
    </cfRule>
  </conditionalFormatting>
  <conditionalFormatting sqref="I24">
    <cfRule type="cellIs" dxfId="93" priority="576" stopIfTrue="1" operator="lessThanOrEqual">
      <formula>0</formula>
    </cfRule>
  </conditionalFormatting>
  <conditionalFormatting sqref="I26">
    <cfRule type="cellIs" dxfId="92" priority="575" stopIfTrue="1" operator="lessThanOrEqual">
      <formula>0</formula>
    </cfRule>
  </conditionalFormatting>
  <conditionalFormatting sqref="K18 K20 K23 K25 K27:K31">
    <cfRule type="cellIs" dxfId="91" priority="574" stopIfTrue="1" operator="lessThanOrEqual">
      <formula>0</formula>
    </cfRule>
  </conditionalFormatting>
  <conditionalFormatting sqref="K19">
    <cfRule type="cellIs" dxfId="90" priority="573" stopIfTrue="1" operator="lessThanOrEqual">
      <formula>0</formula>
    </cfRule>
  </conditionalFormatting>
  <conditionalFormatting sqref="K21">
    <cfRule type="cellIs" dxfId="89" priority="572" stopIfTrue="1" operator="lessThanOrEqual">
      <formula>0</formula>
    </cfRule>
  </conditionalFormatting>
  <conditionalFormatting sqref="K22">
    <cfRule type="cellIs" dxfId="88" priority="571" stopIfTrue="1" operator="lessThanOrEqual">
      <formula>0</formula>
    </cfRule>
  </conditionalFormatting>
  <conditionalFormatting sqref="K24">
    <cfRule type="cellIs" dxfId="87" priority="570" stopIfTrue="1" operator="lessThanOrEqual">
      <formula>0</formula>
    </cfRule>
  </conditionalFormatting>
  <conditionalFormatting sqref="K26">
    <cfRule type="cellIs" dxfId="86" priority="569" stopIfTrue="1" operator="lessThanOrEqual">
      <formula>0</formula>
    </cfRule>
  </conditionalFormatting>
  <conditionalFormatting sqref="I13">
    <cfRule type="cellIs" dxfId="85" priority="543" stopIfTrue="1" operator="lessThanOrEqual">
      <formula>0</formula>
    </cfRule>
  </conditionalFormatting>
  <conditionalFormatting sqref="I17">
    <cfRule type="cellIs" dxfId="84" priority="542" stopIfTrue="1" operator="lessThanOrEqual">
      <formula>0</formula>
    </cfRule>
  </conditionalFormatting>
  <conditionalFormatting sqref="K13">
    <cfRule type="cellIs" dxfId="83" priority="541" stopIfTrue="1" operator="lessThanOrEqual">
      <formula>0</formula>
    </cfRule>
  </conditionalFormatting>
  <conditionalFormatting sqref="K17">
    <cfRule type="cellIs" dxfId="82" priority="540" stopIfTrue="1" operator="lessThanOrEqual">
      <formula>0</formula>
    </cfRule>
  </conditionalFormatting>
  <conditionalFormatting sqref="I16">
    <cfRule type="cellIs" dxfId="81" priority="526" stopIfTrue="1" operator="lessThanOrEqual">
      <formula>0</formula>
    </cfRule>
  </conditionalFormatting>
  <conditionalFormatting sqref="K16">
    <cfRule type="cellIs" dxfId="80" priority="525" stopIfTrue="1" operator="lessThanOrEqual">
      <formula>0</formula>
    </cfRule>
  </conditionalFormatting>
  <conditionalFormatting sqref="I15">
    <cfRule type="cellIs" dxfId="79" priority="521" stopIfTrue="1" operator="lessThanOrEqual">
      <formula>0</formula>
    </cfRule>
  </conditionalFormatting>
  <conditionalFormatting sqref="K15">
    <cfRule type="cellIs" dxfId="78" priority="520" stopIfTrue="1" operator="lessThanOrEqual">
      <formula>0</formula>
    </cfRule>
  </conditionalFormatting>
  <conditionalFormatting sqref="I14">
    <cfRule type="cellIs" dxfId="77" priority="515" stopIfTrue="1" operator="lessThanOrEqual">
      <formula>0</formula>
    </cfRule>
  </conditionalFormatting>
  <conditionalFormatting sqref="K14">
    <cfRule type="cellIs" dxfId="76" priority="514" stopIfTrue="1" operator="lessThanOrEqual">
      <formula>0</formula>
    </cfRule>
  </conditionalFormatting>
  <conditionalFormatting sqref="J12">
    <cfRule type="cellIs" dxfId="75" priority="499" stopIfTrue="1" operator="lessThanOrEqual">
      <formula>0</formula>
    </cfRule>
  </conditionalFormatting>
  <conditionalFormatting sqref="AC13:AC31">
    <cfRule type="cellIs" dxfId="74" priority="235" stopIfTrue="1" operator="lessThanOrEqual">
      <formula>0</formula>
    </cfRule>
  </conditionalFormatting>
  <conditionalFormatting sqref="AF13:AF31">
    <cfRule type="cellIs" dxfId="73" priority="232" stopIfTrue="1" operator="lessThanOrEqual">
      <formula>0</formula>
    </cfRule>
  </conditionalFormatting>
  <conditionalFormatting sqref="AI13:AJ31">
    <cfRule type="cellIs" dxfId="72" priority="229" stopIfTrue="1" operator="lessThanOrEqual">
      <formula>0</formula>
    </cfRule>
  </conditionalFormatting>
  <conditionalFormatting sqref="Y13:Y27">
    <cfRule type="cellIs" dxfId="71" priority="260" stopIfTrue="1" operator="lessThanOrEqual">
      <formula>0</formula>
    </cfRule>
  </conditionalFormatting>
  <conditionalFormatting sqref="X13:X27">
    <cfRule type="cellIs" dxfId="70" priority="259" stopIfTrue="1" operator="lessThanOrEqual">
      <formula>0</formula>
    </cfRule>
  </conditionalFormatting>
  <conditionalFormatting sqref="Z13:Z29">
    <cfRule type="cellIs" dxfId="69" priority="256" stopIfTrue="1" operator="lessThanOrEqual">
      <formula>0</formula>
    </cfRule>
  </conditionalFormatting>
  <conditionalFormatting sqref="AE13:AE31">
    <cfRule type="cellIs" dxfId="68" priority="233" stopIfTrue="1" operator="lessThanOrEqual">
      <formula>0</formula>
    </cfRule>
  </conditionalFormatting>
  <conditionalFormatting sqref="AG13:AG31">
    <cfRule type="cellIs" dxfId="67" priority="231" stopIfTrue="1" operator="lessThanOrEqual">
      <formula>0</formula>
    </cfRule>
  </conditionalFormatting>
  <conditionalFormatting sqref="AH13:AH31">
    <cfRule type="cellIs" dxfId="66" priority="230" stopIfTrue="1" operator="lessThanOrEqual">
      <formula>0</formula>
    </cfRule>
  </conditionalFormatting>
  <conditionalFormatting sqref="AD13:AD31">
    <cfRule type="cellIs" dxfId="65" priority="234" stopIfTrue="1" operator="lessThanOrEqual">
      <formula>0</formula>
    </cfRule>
  </conditionalFormatting>
  <conditionalFormatting sqref="G24">
    <cfRule type="cellIs" dxfId="64" priority="160" stopIfTrue="1" operator="lessThanOrEqual">
      <formula>0</formula>
    </cfRule>
  </conditionalFormatting>
  <conditionalFormatting sqref="G14">
    <cfRule type="cellIs" dxfId="63" priority="144" stopIfTrue="1" operator="lessThanOrEqual">
      <formula>0</formula>
    </cfRule>
  </conditionalFormatting>
  <conditionalFormatting sqref="G13">
    <cfRule type="cellIs" dxfId="62" priority="152" stopIfTrue="1" operator="lessThanOrEqual">
      <formula>0</formula>
    </cfRule>
  </conditionalFormatting>
  <conditionalFormatting sqref="G17">
    <cfRule type="cellIs" dxfId="61" priority="151" stopIfTrue="1" operator="lessThanOrEqual">
      <formula>0</formula>
    </cfRule>
  </conditionalFormatting>
  <conditionalFormatting sqref="G16">
    <cfRule type="cellIs" dxfId="60" priority="148" stopIfTrue="1" operator="lessThanOrEqual">
      <formula>0</formula>
    </cfRule>
  </conditionalFormatting>
  <conditionalFormatting sqref="G15">
    <cfRule type="cellIs" dxfId="59" priority="146" stopIfTrue="1" operator="lessThanOrEqual">
      <formula>0</formula>
    </cfRule>
  </conditionalFormatting>
  <conditionalFormatting sqref="F13:F14 F16:F31">
    <cfRule type="cellIs" dxfId="58" priority="142" stopIfTrue="1" operator="lessThanOrEqual">
      <formula>0</formula>
    </cfRule>
  </conditionalFormatting>
  <conditionalFormatting sqref="Z30:Z31">
    <cfRule type="cellIs" dxfId="57" priority="136" stopIfTrue="1" operator="lessThanOrEqual">
      <formula>0</formula>
    </cfRule>
  </conditionalFormatting>
  <conditionalFormatting sqref="G18 G20 G23 G25 G27:G31">
    <cfRule type="cellIs" dxfId="56" priority="164" stopIfTrue="1" operator="lessThanOrEqual">
      <formula>0</formula>
    </cfRule>
  </conditionalFormatting>
  <conditionalFormatting sqref="G19">
    <cfRule type="cellIs" dxfId="55" priority="163" stopIfTrue="1" operator="lessThanOrEqual">
      <formula>0</formula>
    </cfRule>
  </conditionalFormatting>
  <conditionalFormatting sqref="G21">
    <cfRule type="cellIs" dxfId="54" priority="162" stopIfTrue="1" operator="lessThanOrEqual">
      <formula>0</formula>
    </cfRule>
  </conditionalFormatting>
  <conditionalFormatting sqref="G22">
    <cfRule type="cellIs" dxfId="53" priority="161" stopIfTrue="1" operator="lessThanOrEqual">
      <formula>0</formula>
    </cfRule>
  </conditionalFormatting>
  <conditionalFormatting sqref="G26">
    <cfRule type="cellIs" dxfId="52" priority="159" stopIfTrue="1" operator="lessThanOrEqual">
      <formula>0</formula>
    </cfRule>
  </conditionalFormatting>
  <conditionalFormatting sqref="G33:G35">
    <cfRule type="cellIs" dxfId="51" priority="118" stopIfTrue="1" operator="lessThanOrEqual">
      <formula>0</formula>
    </cfRule>
  </conditionalFormatting>
  <conditionalFormatting sqref="I33:I35">
    <cfRule type="cellIs" dxfId="50" priority="117" stopIfTrue="1" operator="lessThanOrEqual">
      <formula>0</formula>
    </cfRule>
  </conditionalFormatting>
  <conditionalFormatting sqref="K33:K35">
    <cfRule type="cellIs" dxfId="49" priority="116" stopIfTrue="1" operator="lessThanOrEqual">
      <formula>0</formula>
    </cfRule>
  </conditionalFormatting>
  <conditionalFormatting sqref="AI34:AI35">
    <cfRule type="cellIs" dxfId="48" priority="115" stopIfTrue="1" operator="lessThanOrEqual">
      <formula>0</formula>
    </cfRule>
  </conditionalFormatting>
  <conditionalFormatting sqref="H33">
    <cfRule type="cellIs" dxfId="47" priority="112" stopIfTrue="1" operator="lessThanOrEqual">
      <formula>0</formula>
    </cfRule>
  </conditionalFormatting>
  <conditionalFormatting sqref="H33">
    <cfRule type="cellIs" dxfId="46" priority="111" stopIfTrue="1" operator="lessThanOrEqual">
      <formula>0</formula>
    </cfRule>
  </conditionalFormatting>
  <conditionalFormatting sqref="N32">
    <cfRule type="cellIs" dxfId="45" priority="110" stopIfTrue="1" operator="lessThanOrEqual">
      <formula>0</formula>
    </cfRule>
  </conditionalFormatting>
  <conditionalFormatting sqref="H34">
    <cfRule type="cellIs" dxfId="44" priority="108" stopIfTrue="1" operator="lessThanOrEqual">
      <formula>0</formula>
    </cfRule>
  </conditionalFormatting>
  <conditionalFormatting sqref="H34">
    <cfRule type="cellIs" dxfId="43" priority="107" stopIfTrue="1" operator="lessThanOrEqual">
      <formula>0</formula>
    </cfRule>
  </conditionalFormatting>
  <conditionalFormatting sqref="H35">
    <cfRule type="cellIs" dxfId="42" priority="106" stopIfTrue="1" operator="lessThanOrEqual">
      <formula>0</formula>
    </cfRule>
  </conditionalFormatting>
  <conditionalFormatting sqref="H35">
    <cfRule type="cellIs" dxfId="41" priority="105" stopIfTrue="1" operator="lessThanOrEqual">
      <formula>0</formula>
    </cfRule>
  </conditionalFormatting>
  <conditionalFormatting sqref="Y35">
    <cfRule type="cellIs" dxfId="40" priority="88" stopIfTrue="1" operator="lessThanOrEqual">
      <formula>0</formula>
    </cfRule>
  </conditionalFormatting>
  <conditionalFormatting sqref="X35">
    <cfRule type="cellIs" dxfId="39" priority="87" stopIfTrue="1" operator="lessThanOrEqual">
      <formula>0</formula>
    </cfRule>
  </conditionalFormatting>
  <conditionalFormatting sqref="Z34:Z35">
    <cfRule type="cellIs" dxfId="38" priority="48" stopIfTrue="1" operator="lessThanOrEqual">
      <formula>0</formula>
    </cfRule>
  </conditionalFormatting>
  <conditionalFormatting sqref="AM12">
    <cfRule type="cellIs" dxfId="37" priority="46" stopIfTrue="1" operator="lessThanOrEqual">
      <formula>0</formula>
    </cfRule>
  </conditionalFormatting>
  <conditionalFormatting sqref="AM13:AM31">
    <cfRule type="cellIs" dxfId="36" priority="42" stopIfTrue="1" operator="lessThanOrEqual">
      <formula>0</formula>
    </cfRule>
  </conditionalFormatting>
  <conditionalFormatting sqref="AM33:AM35">
    <cfRule type="cellIs" dxfId="35" priority="41" stopIfTrue="1" operator="lessThanOrEqual">
      <formula>0</formula>
    </cfRule>
  </conditionalFormatting>
  <conditionalFormatting sqref="J32">
    <cfRule type="cellIs" dxfId="34" priority="39" stopIfTrue="1" operator="lessThanOrEqual">
      <formula>0</formula>
    </cfRule>
  </conditionalFormatting>
  <conditionalFormatting sqref="Y28:Y31">
    <cfRule type="cellIs" dxfId="33" priority="33" stopIfTrue="1" operator="lessThanOrEqual">
      <formula>0</formula>
    </cfRule>
  </conditionalFormatting>
  <conditionalFormatting sqref="AC35">
    <cfRule type="cellIs" dxfId="32" priority="32" stopIfTrue="1" operator="lessThanOrEqual">
      <formula>0</formula>
    </cfRule>
  </conditionalFormatting>
  <conditionalFormatting sqref="AF35">
    <cfRule type="cellIs" dxfId="31" priority="29" stopIfTrue="1" operator="lessThanOrEqual">
      <formula>0</formula>
    </cfRule>
  </conditionalFormatting>
  <conditionalFormatting sqref="AE35">
    <cfRule type="cellIs" dxfId="30" priority="30" stopIfTrue="1" operator="lessThanOrEqual">
      <formula>0</formula>
    </cfRule>
  </conditionalFormatting>
  <conditionalFormatting sqref="AG35">
    <cfRule type="cellIs" dxfId="29" priority="28" stopIfTrue="1" operator="lessThanOrEqual">
      <formula>0</formula>
    </cfRule>
  </conditionalFormatting>
  <conditionalFormatting sqref="AH35">
    <cfRule type="cellIs" dxfId="28" priority="27" stopIfTrue="1" operator="lessThanOrEqual">
      <formula>0</formula>
    </cfRule>
  </conditionalFormatting>
  <conditionalFormatting sqref="AD35">
    <cfRule type="cellIs" dxfId="27" priority="31" stopIfTrue="1" operator="lessThanOrEqual">
      <formula>0</formula>
    </cfRule>
  </conditionalFormatting>
  <conditionalFormatting sqref="AJ35">
    <cfRule type="cellIs" dxfId="26" priority="26" stopIfTrue="1" operator="lessThanOrEqual">
      <formula>0</formula>
    </cfRule>
  </conditionalFormatting>
  <conditionalFormatting sqref="Y34">
    <cfRule type="cellIs" dxfId="25" priority="25" stopIfTrue="1" operator="lessThanOrEqual">
      <formula>0</formula>
    </cfRule>
  </conditionalFormatting>
  <conditionalFormatting sqref="X34">
    <cfRule type="cellIs" dxfId="24" priority="24" stopIfTrue="1" operator="lessThanOrEqual">
      <formula>0</formula>
    </cfRule>
  </conditionalFormatting>
  <conditionalFormatting sqref="AC34">
    <cfRule type="cellIs" dxfId="23" priority="23" stopIfTrue="1" operator="lessThanOrEqual">
      <formula>0</formula>
    </cfRule>
  </conditionalFormatting>
  <conditionalFormatting sqref="AF34">
    <cfRule type="cellIs" dxfId="22" priority="20" stopIfTrue="1" operator="lessThanOrEqual">
      <formula>0</formula>
    </cfRule>
  </conditionalFormatting>
  <conditionalFormatting sqref="AE34">
    <cfRule type="cellIs" dxfId="21" priority="21" stopIfTrue="1" operator="lessThanOrEqual">
      <formula>0</formula>
    </cfRule>
  </conditionalFormatting>
  <conditionalFormatting sqref="AG34">
    <cfRule type="cellIs" dxfId="20" priority="19" stopIfTrue="1" operator="lessThanOrEqual">
      <formula>0</formula>
    </cfRule>
  </conditionalFormatting>
  <conditionalFormatting sqref="AH34">
    <cfRule type="cellIs" dxfId="19" priority="18" stopIfTrue="1" operator="lessThanOrEqual">
      <formula>0</formula>
    </cfRule>
  </conditionalFormatting>
  <conditionalFormatting sqref="AD34">
    <cfRule type="cellIs" dxfId="18" priority="22" stopIfTrue="1" operator="lessThanOrEqual">
      <formula>0</formula>
    </cfRule>
  </conditionalFormatting>
  <conditionalFormatting sqref="AJ34">
    <cfRule type="cellIs" dxfId="17" priority="17" stopIfTrue="1" operator="lessThanOrEqual">
      <formula>0</formula>
    </cfRule>
  </conditionalFormatting>
  <conditionalFormatting sqref="F33">
    <cfRule type="cellIs" dxfId="16" priority="16" stopIfTrue="1" operator="lessThanOrEqual">
      <formula>0</formula>
    </cfRule>
  </conditionalFormatting>
  <conditionalFormatting sqref="H32">
    <cfRule type="cellIs" dxfId="15" priority="15" stopIfTrue="1" operator="lessThanOrEqual">
      <formula>0</formula>
    </cfRule>
  </conditionalFormatting>
  <conditionalFormatting sqref="F34">
    <cfRule type="cellIs" dxfId="14" priority="14" stopIfTrue="1" operator="lessThanOrEqual">
      <formula>0</formula>
    </cfRule>
  </conditionalFormatting>
  <conditionalFormatting sqref="AI33">
    <cfRule type="cellIs" dxfId="13" priority="13" stopIfTrue="1" operator="lessThanOrEqual">
      <formula>0</formula>
    </cfRule>
  </conditionalFormatting>
  <conditionalFormatting sqref="Z33">
    <cfRule type="cellIs" dxfId="12" priority="12" stopIfTrue="1" operator="lessThanOrEqual">
      <formula>0</formula>
    </cfRule>
  </conditionalFormatting>
  <conditionalFormatting sqref="Y33">
    <cfRule type="cellIs" dxfId="11" priority="11" stopIfTrue="1" operator="lessThanOrEqual">
      <formula>0</formula>
    </cfRule>
  </conditionalFormatting>
  <conditionalFormatting sqref="X33">
    <cfRule type="cellIs" dxfId="10" priority="10" stopIfTrue="1" operator="lessThanOrEqual">
      <formula>0</formula>
    </cfRule>
  </conditionalFormatting>
  <conditionalFormatting sqref="AC33">
    <cfRule type="cellIs" dxfId="9" priority="9" stopIfTrue="1" operator="lessThanOrEqual">
      <formula>0</formula>
    </cfRule>
  </conditionalFormatting>
  <conditionalFormatting sqref="AF33">
    <cfRule type="cellIs" dxfId="8" priority="6" stopIfTrue="1" operator="lessThanOrEqual">
      <formula>0</formula>
    </cfRule>
  </conditionalFormatting>
  <conditionalFormatting sqref="AE33">
    <cfRule type="cellIs" dxfId="7" priority="7" stopIfTrue="1" operator="lessThanOrEqual">
      <formula>0</formula>
    </cfRule>
  </conditionalFormatting>
  <conditionalFormatting sqref="AG33">
    <cfRule type="cellIs" dxfId="6" priority="5" stopIfTrue="1" operator="lessThanOrEqual">
      <formula>0</formula>
    </cfRule>
  </conditionalFormatting>
  <conditionalFormatting sqref="AH33">
    <cfRule type="cellIs" dxfId="5" priority="4" stopIfTrue="1" operator="lessThanOrEqual">
      <formula>0</formula>
    </cfRule>
  </conditionalFormatting>
  <conditionalFormatting sqref="AD33">
    <cfRule type="cellIs" dxfId="4" priority="8" stopIfTrue="1" operator="lessThanOrEqual">
      <formula>0</formula>
    </cfRule>
  </conditionalFormatting>
  <conditionalFormatting sqref="AJ33">
    <cfRule type="cellIs" dxfId="3" priority="3" stopIfTrue="1" operator="lessThanOrEqual">
      <formula>0</formula>
    </cfRule>
  </conditionalFormatting>
  <conditionalFormatting sqref="X28">
    <cfRule type="cellIs" dxfId="2" priority="2" stopIfTrue="1" operator="lessThanOrEqual">
      <formula>0</formula>
    </cfRule>
  </conditionalFormatting>
  <conditionalFormatting sqref="F15">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dimension ref="B1:I299"/>
  <sheetViews>
    <sheetView showGridLines="0" showZeros="0" showOutlineSymbols="0" topLeftCell="A27" zoomScaleSheetLayoutView="75" workbookViewId="0">
      <selection activeCell="D70" sqref="D70"/>
    </sheetView>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387" t="s">
        <v>32</v>
      </c>
    </row>
    <row r="2" spans="2:6"/>
    <row r="3" spans="2:6" ht="16">
      <c r="B3" s="119" t="str">
        <f>'1.5 Opbouw uurtarieven'!C2</f>
        <v>Naam opdrachtgever</v>
      </c>
      <c r="C3" s="120" t="str">
        <f>'1.5 Opbouw uurtarieven'!D2</f>
        <v>Stichting Altra - Horizon</v>
      </c>
      <c r="D3" s="121"/>
    </row>
    <row r="4" spans="2:6" ht="16">
      <c r="B4" s="119" t="str">
        <f>'1.5 Opbouw uurtarieven'!C3</f>
        <v>Omschrijving blad</v>
      </c>
      <c r="C4" s="119" t="s">
        <v>101</v>
      </c>
      <c r="D4" s="121"/>
    </row>
    <row r="5" spans="2:6" ht="16">
      <c r="B5" s="119" t="str">
        <f>'1.5 Opbouw uurtarieven'!C4</f>
        <v>Adres/plaats</v>
      </c>
      <c r="C5" s="120" t="str">
        <f>'1.5 Opbouw uurtarieven'!D4</f>
        <v>Regio Noord Holland</v>
      </c>
      <c r="D5" s="76"/>
      <c r="E5" s="76"/>
    </row>
    <row r="6" spans="2:6" ht="16">
      <c r="B6" s="119" t="str">
        <f>'1.5 Opbouw uurtarieven'!C5</f>
        <v>Besteknummer</v>
      </c>
      <c r="C6" s="120" t="str">
        <f>'1.5 Opbouw uurtarieven'!D5</f>
        <v>180417 V2</v>
      </c>
      <c r="D6" s="121"/>
    </row>
    <row r="7" spans="2:6" ht="16">
      <c r="B7" s="119" t="str">
        <f>'1.5 Opbouw uurtarieven'!C6</f>
        <v>Naam leverancier</v>
      </c>
      <c r="C7" s="120" t="str">
        <f>'1.5 Opbouw uurtarieven'!D6</f>
        <v>[NAAM LEVERANCIER]</v>
      </c>
      <c r="D7" s="639">
        <f>Voorblad!$E$15</f>
        <v>42917</v>
      </c>
    </row>
    <row r="8" spans="2:6" ht="16">
      <c r="B8" s="119"/>
      <c r="C8" s="120"/>
      <c r="D8" s="121"/>
    </row>
    <row r="9" spans="2:6" ht="16">
      <c r="B9" s="72"/>
      <c r="C9" s="122"/>
      <c r="D9" s="121"/>
    </row>
    <row r="10" spans="2:6" ht="16">
      <c r="B10" s="384" t="s">
        <v>114</v>
      </c>
      <c r="C10" s="836"/>
      <c r="D10" s="836"/>
      <c r="E10" s="836"/>
      <c r="F10" s="385"/>
    </row>
    <row r="11" spans="2:6">
      <c r="B11" s="123"/>
      <c r="C11" s="123"/>
      <c r="D11" s="123"/>
      <c r="E11" s="123"/>
    </row>
    <row r="12" spans="2:6" ht="15.75" customHeight="1">
      <c r="B12" s="49" t="s">
        <v>115</v>
      </c>
      <c r="C12" s="837"/>
      <c r="D12" s="838"/>
      <c r="E12" s="839"/>
    </row>
    <row r="13" spans="2:6">
      <c r="B13" s="370" t="s">
        <v>54</v>
      </c>
      <c r="C13" s="837"/>
      <c r="D13" s="838"/>
      <c r="E13" s="839"/>
    </row>
    <row r="14" spans="2:6">
      <c r="B14" s="124"/>
      <c r="C14" s="51"/>
      <c r="D14" s="126"/>
      <c r="E14" s="386"/>
    </row>
    <row r="15" spans="2:6" ht="16">
      <c r="B15" s="49" t="s">
        <v>155</v>
      </c>
      <c r="C15" s="51"/>
      <c r="D15" s="372"/>
      <c r="E15" s="373" t="s">
        <v>203</v>
      </c>
    </row>
    <row r="16" spans="2:6">
      <c r="B16" s="124" t="s">
        <v>120</v>
      </c>
      <c r="C16" s="51"/>
      <c r="D16" s="51"/>
      <c r="E16" s="374"/>
    </row>
    <row r="17" spans="2:5">
      <c r="B17" s="124" t="s">
        <v>59</v>
      </c>
      <c r="C17" s="51"/>
      <c r="D17" s="51"/>
      <c r="E17" s="374"/>
    </row>
    <row r="18" spans="2:5">
      <c r="B18" s="124" t="s">
        <v>189</v>
      </c>
      <c r="C18" s="51"/>
      <c r="D18" s="51"/>
      <c r="E18" s="461">
        <f>E16-E17</f>
        <v>0</v>
      </c>
    </row>
    <row r="19" spans="2:5">
      <c r="B19" s="124" t="s">
        <v>145</v>
      </c>
      <c r="C19" s="51"/>
      <c r="D19" s="51"/>
      <c r="E19" s="468"/>
    </row>
    <row r="20" spans="2:5">
      <c r="B20" s="124" t="s">
        <v>191</v>
      </c>
      <c r="C20" s="51"/>
      <c r="D20" s="51"/>
      <c r="E20" s="374"/>
    </row>
    <row r="21" spans="2:5">
      <c r="B21" s="124"/>
      <c r="C21" s="51"/>
      <c r="D21" s="126"/>
      <c r="E21" s="376"/>
    </row>
    <row r="22" spans="2:5">
      <c r="B22" s="49" t="s">
        <v>102</v>
      </c>
      <c r="C22" s="51"/>
      <c r="D22" s="51"/>
      <c r="E22" s="377"/>
    </row>
    <row r="23" spans="2:5">
      <c r="B23" s="124" t="s">
        <v>196</v>
      </c>
      <c r="C23" s="51"/>
      <c r="D23" s="51"/>
      <c r="E23" s="462">
        <f>IF(E19=0,0,(E18-E20)/E19)</f>
        <v>0</v>
      </c>
    </row>
    <row r="24" spans="2:5">
      <c r="B24" s="124" t="s">
        <v>212</v>
      </c>
      <c r="C24" s="51"/>
      <c r="D24" s="51"/>
      <c r="E24" s="374"/>
    </row>
    <row r="25" spans="2:5">
      <c r="B25" s="124" t="s">
        <v>51</v>
      </c>
      <c r="C25" s="371" t="s">
        <v>45</v>
      </c>
      <c r="D25" s="375"/>
      <c r="E25" s="463">
        <f>D25*E18</f>
        <v>0</v>
      </c>
    </row>
    <row r="26" spans="2:5">
      <c r="B26" s="124" t="s">
        <v>127</v>
      </c>
      <c r="C26" s="371" t="s">
        <v>45</v>
      </c>
      <c r="D26" s="375"/>
      <c r="E26" s="464">
        <f>D26*E18</f>
        <v>0</v>
      </c>
    </row>
    <row r="27" spans="2:5">
      <c r="B27" s="124"/>
      <c r="C27" s="51"/>
      <c r="D27" s="126"/>
      <c r="E27" s="371"/>
    </row>
    <row r="28" spans="2:5">
      <c r="B28" s="49" t="s">
        <v>93</v>
      </c>
      <c r="C28" s="51"/>
      <c r="D28" s="51"/>
      <c r="E28" s="465">
        <f>SUM(E23:E27)</f>
        <v>0</v>
      </c>
    </row>
    <row r="29" spans="2:5">
      <c r="B29" s="124"/>
      <c r="C29" s="51"/>
      <c r="D29" s="126"/>
      <c r="E29" s="371"/>
    </row>
    <row r="30" spans="2:5">
      <c r="B30" s="124" t="s">
        <v>193</v>
      </c>
      <c r="C30" s="51"/>
      <c r="D30" s="383"/>
      <c r="E30" s="465">
        <f>D30*E28</f>
        <v>0</v>
      </c>
    </row>
    <row r="31" spans="2:5" ht="16">
      <c r="B31" s="72"/>
      <c r="C31" s="122"/>
      <c r="D31" s="121"/>
      <c r="E31" s="121"/>
    </row>
    <row r="32" spans="2:5">
      <c r="B32" s="49" t="s">
        <v>115</v>
      </c>
      <c r="C32" s="837"/>
      <c r="D32" s="838"/>
      <c r="E32" s="839"/>
    </row>
    <row r="33" spans="2:9">
      <c r="B33" s="370" t="s">
        <v>54</v>
      </c>
      <c r="C33" s="837"/>
      <c r="D33" s="838"/>
      <c r="E33" s="839"/>
    </row>
    <row r="34" spans="2:9">
      <c r="B34" s="124"/>
      <c r="C34" s="51"/>
      <c r="D34" s="126"/>
      <c r="E34" s="386"/>
    </row>
    <row r="35" spans="2:9" ht="16">
      <c r="B35" s="49" t="s">
        <v>155</v>
      </c>
      <c r="C35" s="51"/>
      <c r="D35" s="372"/>
      <c r="E35" s="373" t="s">
        <v>203</v>
      </c>
    </row>
    <row r="36" spans="2:9">
      <c r="B36" s="124" t="s">
        <v>120</v>
      </c>
      <c r="C36" s="51"/>
      <c r="D36" s="51"/>
      <c r="E36" s="374"/>
      <c r="I36" s="94"/>
    </row>
    <row r="37" spans="2:9">
      <c r="B37" s="124" t="s">
        <v>59</v>
      </c>
      <c r="C37" s="51"/>
      <c r="D37" s="51"/>
      <c r="E37" s="374"/>
    </row>
    <row r="38" spans="2:9">
      <c r="B38" s="124" t="s">
        <v>189</v>
      </c>
      <c r="C38" s="51"/>
      <c r="D38" s="51"/>
      <c r="E38" s="461">
        <f>E36-E37</f>
        <v>0</v>
      </c>
    </row>
    <row r="39" spans="2:9">
      <c r="B39" s="124" t="s">
        <v>145</v>
      </c>
      <c r="C39" s="51"/>
      <c r="D39" s="51"/>
      <c r="E39" s="468"/>
    </row>
    <row r="40" spans="2:9">
      <c r="B40" s="124" t="s">
        <v>191</v>
      </c>
      <c r="C40" s="51"/>
      <c r="D40" s="51"/>
      <c r="E40" s="374"/>
    </row>
    <row r="41" spans="2:9">
      <c r="B41" s="124"/>
      <c r="C41" s="51"/>
      <c r="D41" s="126"/>
      <c r="E41" s="376"/>
    </row>
    <row r="42" spans="2:9">
      <c r="B42" s="49" t="s">
        <v>102</v>
      </c>
      <c r="C42" s="51"/>
      <c r="D42" s="51"/>
      <c r="E42" s="377"/>
    </row>
    <row r="43" spans="2:9">
      <c r="B43" s="124" t="s">
        <v>196</v>
      </c>
      <c r="C43" s="51"/>
      <c r="D43" s="51"/>
      <c r="E43" s="462">
        <f>IF(E39=0,0,(E38-E40)/E39)</f>
        <v>0</v>
      </c>
    </row>
    <row r="44" spans="2:9">
      <c r="B44" s="124" t="s">
        <v>212</v>
      </c>
      <c r="C44" s="51"/>
      <c r="D44" s="51"/>
      <c r="E44" s="374"/>
    </row>
    <row r="45" spans="2:9">
      <c r="B45" s="124" t="s">
        <v>51</v>
      </c>
      <c r="C45" s="371" t="s">
        <v>45</v>
      </c>
      <c r="D45" s="375"/>
      <c r="E45" s="463">
        <f>D45*E38</f>
        <v>0</v>
      </c>
    </row>
    <row r="46" spans="2:9">
      <c r="B46" s="124" t="s">
        <v>127</v>
      </c>
      <c r="C46" s="371" t="s">
        <v>45</v>
      </c>
      <c r="D46" s="375"/>
      <c r="E46" s="464">
        <f>D46*E38</f>
        <v>0</v>
      </c>
    </row>
    <row r="47" spans="2:9">
      <c r="B47" s="124"/>
      <c r="C47" s="51"/>
      <c r="D47" s="126"/>
      <c r="E47" s="371"/>
    </row>
    <row r="48" spans="2:9">
      <c r="B48" s="49" t="s">
        <v>93</v>
      </c>
      <c r="C48" s="51"/>
      <c r="D48" s="51"/>
      <c r="E48" s="465">
        <f>SUM(E43:E47)</f>
        <v>0</v>
      </c>
    </row>
    <row r="49" spans="2:5">
      <c r="B49" s="124"/>
      <c r="C49" s="51"/>
      <c r="D49" s="126"/>
      <c r="E49" s="371"/>
    </row>
    <row r="50" spans="2:5">
      <c r="B50" s="124" t="s">
        <v>193</v>
      </c>
      <c r="C50" s="51"/>
      <c r="D50" s="383"/>
      <c r="E50" s="465">
        <f>D50*E48</f>
        <v>0</v>
      </c>
    </row>
    <row r="51" spans="2:5" ht="16">
      <c r="B51" s="72"/>
      <c r="C51" s="122"/>
      <c r="D51" s="121"/>
      <c r="E51" s="121"/>
    </row>
    <row r="52" spans="2:5">
      <c r="B52" s="49" t="s">
        <v>115</v>
      </c>
      <c r="C52" s="837"/>
      <c r="D52" s="838"/>
      <c r="E52" s="839"/>
    </row>
    <row r="53" spans="2:5">
      <c r="B53" s="370" t="s">
        <v>54</v>
      </c>
      <c r="C53" s="837"/>
      <c r="D53" s="838"/>
      <c r="E53" s="839"/>
    </row>
    <row r="54" spans="2:5">
      <c r="B54" s="124"/>
      <c r="C54" s="51"/>
      <c r="D54" s="126"/>
      <c r="E54" s="386"/>
    </row>
    <row r="55" spans="2:5" ht="16">
      <c r="B55" s="49" t="s">
        <v>155</v>
      </c>
      <c r="C55" s="51"/>
      <c r="D55" s="372"/>
      <c r="E55" s="373" t="s">
        <v>203</v>
      </c>
    </row>
    <row r="56" spans="2:5">
      <c r="B56" s="124" t="s">
        <v>120</v>
      </c>
      <c r="C56" s="51"/>
      <c r="D56" s="51"/>
      <c r="E56" s="374"/>
    </row>
    <row r="57" spans="2:5">
      <c r="B57" s="124" t="s">
        <v>59</v>
      </c>
      <c r="C57" s="51"/>
      <c r="D57" s="51"/>
      <c r="E57" s="374"/>
    </row>
    <row r="58" spans="2:5">
      <c r="B58" s="124" t="s">
        <v>189</v>
      </c>
      <c r="C58" s="51"/>
      <c r="D58" s="51"/>
      <c r="E58" s="461">
        <f>E56-E57</f>
        <v>0</v>
      </c>
    </row>
    <row r="59" spans="2:5">
      <c r="B59" s="124" t="s">
        <v>145</v>
      </c>
      <c r="C59" s="51"/>
      <c r="D59" s="51"/>
      <c r="E59" s="468"/>
    </row>
    <row r="60" spans="2:5">
      <c r="B60" s="124" t="s">
        <v>191</v>
      </c>
      <c r="C60" s="51"/>
      <c r="D60" s="51"/>
      <c r="E60" s="374"/>
    </row>
    <row r="61" spans="2:5">
      <c r="B61" s="124"/>
      <c r="C61" s="51"/>
      <c r="D61" s="126"/>
      <c r="E61" s="376"/>
    </row>
    <row r="62" spans="2:5">
      <c r="B62" s="49" t="s">
        <v>102</v>
      </c>
      <c r="C62" s="51"/>
      <c r="D62" s="51"/>
      <c r="E62" s="377"/>
    </row>
    <row r="63" spans="2:5">
      <c r="B63" s="124" t="s">
        <v>196</v>
      </c>
      <c r="C63" s="51"/>
      <c r="D63" s="51"/>
      <c r="E63" s="462">
        <f>IF(E59=0,0,(E58-E60)/E59)</f>
        <v>0</v>
      </c>
    </row>
    <row r="64" spans="2:5">
      <c r="B64" s="124" t="s">
        <v>212</v>
      </c>
      <c r="C64" s="51"/>
      <c r="D64" s="51"/>
      <c r="E64" s="374"/>
    </row>
    <row r="65" spans="2:5">
      <c r="B65" s="124" t="s">
        <v>51</v>
      </c>
      <c r="C65" s="371" t="s">
        <v>45</v>
      </c>
      <c r="D65" s="375"/>
      <c r="E65" s="463">
        <f>D65*E58</f>
        <v>0</v>
      </c>
    </row>
    <row r="66" spans="2:5">
      <c r="B66" s="124" t="s">
        <v>127</v>
      </c>
      <c r="C66" s="371" t="s">
        <v>45</v>
      </c>
      <c r="D66" s="375"/>
      <c r="E66" s="464">
        <f>D66*E58</f>
        <v>0</v>
      </c>
    </row>
    <row r="67" spans="2:5">
      <c r="B67" s="124"/>
      <c r="C67" s="51"/>
      <c r="D67" s="126"/>
      <c r="E67" s="371"/>
    </row>
    <row r="68" spans="2:5">
      <c r="B68" s="49" t="s">
        <v>93</v>
      </c>
      <c r="C68" s="51"/>
      <c r="D68" s="51"/>
      <c r="E68" s="465">
        <f>SUM(E63:E67)</f>
        <v>0</v>
      </c>
    </row>
    <row r="69" spans="2:5">
      <c r="B69" s="124"/>
      <c r="C69" s="51"/>
      <c r="D69" s="126"/>
      <c r="E69" s="371"/>
    </row>
    <row r="70" spans="2:5">
      <c r="B70" s="124" t="s">
        <v>193</v>
      </c>
      <c r="C70" s="51"/>
      <c r="D70" s="383"/>
      <c r="E70" s="465">
        <f>D70*E68</f>
        <v>0</v>
      </c>
    </row>
    <row r="71" spans="2:5" ht="16">
      <c r="B71" s="72"/>
      <c r="C71" s="122"/>
      <c r="D71" s="121"/>
      <c r="E71" s="121"/>
    </row>
    <row r="72" spans="2:5">
      <c r="B72" s="49" t="s">
        <v>115</v>
      </c>
      <c r="C72" s="837">
        <v>0</v>
      </c>
      <c r="D72" s="838"/>
      <c r="E72" s="839"/>
    </row>
    <row r="73" spans="2:5">
      <c r="B73" s="370" t="s">
        <v>54</v>
      </c>
      <c r="C73" s="837">
        <v>0</v>
      </c>
      <c r="D73" s="838"/>
      <c r="E73" s="839"/>
    </row>
    <row r="74" spans="2:5">
      <c r="B74" s="124"/>
      <c r="C74" s="51"/>
      <c r="D74" s="126"/>
      <c r="E74" s="386"/>
    </row>
    <row r="75" spans="2:5" ht="16">
      <c r="B75" s="49" t="s">
        <v>155</v>
      </c>
      <c r="C75" s="51"/>
      <c r="D75" s="372"/>
      <c r="E75" s="373" t="s">
        <v>203</v>
      </c>
    </row>
    <row r="76" spans="2:5">
      <c r="B76" s="124" t="s">
        <v>120</v>
      </c>
      <c r="C76" s="51"/>
      <c r="D76" s="51"/>
      <c r="E76" s="374">
        <v>0</v>
      </c>
    </row>
    <row r="77" spans="2:5">
      <c r="B77" s="124" t="s">
        <v>59</v>
      </c>
      <c r="C77" s="51"/>
      <c r="D77" s="51"/>
      <c r="E77" s="374">
        <v>0</v>
      </c>
    </row>
    <row r="78" spans="2:5">
      <c r="B78" s="124" t="s">
        <v>189</v>
      </c>
      <c r="C78" s="51"/>
      <c r="D78" s="51"/>
      <c r="E78" s="378">
        <f>E76-E77</f>
        <v>0</v>
      </c>
    </row>
    <row r="79" spans="2:5">
      <c r="B79" s="124" t="s">
        <v>145</v>
      </c>
      <c r="C79" s="51"/>
      <c r="D79" s="51"/>
      <c r="E79" s="374">
        <v>0</v>
      </c>
    </row>
    <row r="80" spans="2:5">
      <c r="B80" s="124" t="s">
        <v>191</v>
      </c>
      <c r="C80" s="51"/>
      <c r="D80" s="51"/>
      <c r="E80" s="374">
        <v>0</v>
      </c>
    </row>
    <row r="81" spans="2:9">
      <c r="B81" s="124"/>
      <c r="C81" s="51"/>
      <c r="D81" s="126"/>
      <c r="E81" s="376"/>
    </row>
    <row r="82" spans="2:9">
      <c r="B82" s="49" t="s">
        <v>102</v>
      </c>
      <c r="C82" s="51"/>
      <c r="D82" s="51"/>
      <c r="E82" s="377"/>
    </row>
    <row r="83" spans="2:9">
      <c r="B83" s="124" t="s">
        <v>196</v>
      </c>
      <c r="C83" s="51"/>
      <c r="D83" s="51"/>
      <c r="E83" s="379">
        <f>IF(E79=0,0,(E78-E80)/E79)</f>
        <v>0</v>
      </c>
    </row>
    <row r="84" spans="2:9">
      <c r="B84" s="124" t="s">
        <v>212</v>
      </c>
      <c r="C84" s="51"/>
      <c r="D84" s="51"/>
      <c r="E84" s="374">
        <v>0</v>
      </c>
    </row>
    <row r="85" spans="2:9">
      <c r="B85" s="124" t="s">
        <v>51</v>
      </c>
      <c r="C85" s="371" t="s">
        <v>45</v>
      </c>
      <c r="D85" s="375">
        <v>0</v>
      </c>
      <c r="E85" s="380">
        <f>D85*E78</f>
        <v>0</v>
      </c>
    </row>
    <row r="86" spans="2:9">
      <c r="B86" s="124" t="s">
        <v>127</v>
      </c>
      <c r="C86" s="371" t="s">
        <v>45</v>
      </c>
      <c r="D86" s="375">
        <v>0</v>
      </c>
      <c r="E86" s="381">
        <f>D86*E78</f>
        <v>0</v>
      </c>
    </row>
    <row r="87" spans="2:9">
      <c r="B87" s="124"/>
      <c r="C87" s="51"/>
      <c r="D87" s="126"/>
      <c r="E87" s="371"/>
    </row>
    <row r="88" spans="2:9">
      <c r="B88" s="49" t="s">
        <v>93</v>
      </c>
      <c r="C88" s="51"/>
      <c r="D88" s="51"/>
      <c r="E88" s="382">
        <f>SUM(E83:E87)</f>
        <v>0</v>
      </c>
    </row>
    <row r="89" spans="2:9">
      <c r="B89" s="124"/>
      <c r="C89" s="51"/>
      <c r="D89" s="126"/>
      <c r="E89" s="371"/>
    </row>
    <row r="90" spans="2:9">
      <c r="B90" s="124" t="s">
        <v>193</v>
      </c>
      <c r="C90" s="51"/>
      <c r="D90" s="383">
        <v>0</v>
      </c>
      <c r="E90" s="382">
        <f>D90*E88</f>
        <v>0</v>
      </c>
    </row>
    <row r="91" spans="2:9" ht="16">
      <c r="B91" s="72"/>
      <c r="C91" s="122"/>
      <c r="D91" s="121"/>
      <c r="E91" s="121"/>
    </row>
    <row r="92" spans="2:9">
      <c r="B92" s="124"/>
      <c r="C92" s="51"/>
      <c r="D92" s="51"/>
      <c r="E92" s="127"/>
    </row>
    <row r="93" spans="2:9">
      <c r="B93" s="49" t="s">
        <v>166</v>
      </c>
      <c r="C93" s="568" t="s">
        <v>100</v>
      </c>
      <c r="D93" s="125"/>
      <c r="E93" s="389">
        <f>(E90+E70+E50+E30)</f>
        <v>0</v>
      </c>
    </row>
    <row r="94" spans="2:9"/>
    <row r="95" spans="2:9">
      <c r="G95" s="565" t="s">
        <v>384</v>
      </c>
    </row>
    <row r="96" spans="2:9" ht="26">
      <c r="B96" s="564" t="s">
        <v>41</v>
      </c>
      <c r="C96" s="563" t="s">
        <v>385</v>
      </c>
      <c r="D96" s="562"/>
      <c r="E96" s="563" t="s">
        <v>386</v>
      </c>
      <c r="F96" s="562"/>
      <c r="G96" s="566">
        <f>'1.0-Contractblad'!H29</f>
        <v>0</v>
      </c>
      <c r="I96" s="562"/>
    </row>
    <row r="97" spans="2:8">
      <c r="B97" s="118" t="str">
        <f>'1.1a-Jaarprijzen'!B11</f>
        <v>Altra Jeugdhulp Hofgeest</v>
      </c>
      <c r="C97" s="561">
        <f>IF($G$96=0,0,G97/$G$96)</f>
        <v>0</v>
      </c>
      <c r="E97" s="388">
        <f>C97*E$93</f>
        <v>0</v>
      </c>
      <c r="G97" s="567">
        <f ca="1">'1.1a-Jaarprijzen'!H11+'1.1a-Jaarprijzen'!I11</f>
        <v>0</v>
      </c>
      <c r="H97" s="834" t="s">
        <v>387</v>
      </c>
    </row>
    <row r="98" spans="2:8">
      <c r="B98" s="118" t="str">
        <f>'1.1a-Jaarprijzen'!B12</f>
        <v>Altra School2care</v>
      </c>
      <c r="C98" s="561">
        <f t="shared" ref="C98:C146" si="0">IF($G$96=0,0,G98/$G$96)</f>
        <v>0</v>
      </c>
      <c r="E98" s="388">
        <f t="shared" ref="E98:E147" si="1">C98*E$93</f>
        <v>0</v>
      </c>
      <c r="G98" s="567">
        <f ca="1">'1.1a-Jaarprijzen'!H12+'1.1a-Jaarprijzen'!I12</f>
        <v>0</v>
      </c>
      <c r="H98" s="835"/>
    </row>
    <row r="99" spans="2:8">
      <c r="B99" s="118" t="str">
        <f>'1.1a-Jaarprijzen'!B13</f>
        <v>Altra College Zuidoost</v>
      </c>
      <c r="C99" s="561">
        <f t="shared" si="0"/>
        <v>0</v>
      </c>
      <c r="E99" s="388">
        <f t="shared" si="1"/>
        <v>0</v>
      </c>
      <c r="G99" s="567">
        <f ca="1">'1.1a-Jaarprijzen'!H13+'1.1a-Jaarprijzen'!I13</f>
        <v>0</v>
      </c>
      <c r="H99" s="835"/>
    </row>
    <row r="100" spans="2:8">
      <c r="B100" s="118" t="str">
        <f>'1.1a-Jaarprijzen'!B14</f>
        <v>Altra College Bleichrodt</v>
      </c>
      <c r="C100" s="561">
        <f t="shared" si="0"/>
        <v>0</v>
      </c>
      <c r="E100" s="388">
        <f t="shared" si="1"/>
        <v>0</v>
      </c>
      <c r="G100" s="567">
        <f ca="1">'1.1a-Jaarprijzen'!H14+'1.1a-Jaarprijzen'!I14</f>
        <v>0</v>
      </c>
      <c r="H100" s="835"/>
    </row>
    <row r="101" spans="2:8">
      <c r="B101" s="118" t="str">
        <f>'1.1a-Jaarprijzen'!B15</f>
        <v>Altra College Haarlemmermeer</v>
      </c>
      <c r="C101" s="561">
        <f t="shared" si="0"/>
        <v>0</v>
      </c>
      <c r="E101" s="388">
        <f t="shared" si="1"/>
        <v>0</v>
      </c>
      <c r="G101" s="567">
        <f ca="1">'1.1a-Jaarprijzen'!H15+'1.1a-Jaarprijzen'!I15</f>
        <v>0</v>
      </c>
      <c r="H101" s="835"/>
    </row>
    <row r="102" spans="2:8">
      <c r="B102" s="118" t="str">
        <f>'1.1a-Jaarprijzen'!B16</f>
        <v>Altra Jeugdhulp Dr. Willem Dreesweg</v>
      </c>
      <c r="C102" s="561">
        <f t="shared" si="0"/>
        <v>0</v>
      </c>
      <c r="E102" s="388">
        <f t="shared" si="1"/>
        <v>0</v>
      </c>
      <c r="G102" s="567">
        <f ca="1">'1.1a-Jaarprijzen'!H16+'1.1a-Jaarprijzen'!I16</f>
        <v>0</v>
      </c>
      <c r="H102" s="835"/>
    </row>
    <row r="103" spans="2:8" hidden="1">
      <c r="B103" s="118">
        <f>'1.1a-Jaarprijzen'!B17</f>
        <v>0</v>
      </c>
      <c r="C103" s="561">
        <f t="shared" si="0"/>
        <v>0</v>
      </c>
      <c r="E103" s="388">
        <f t="shared" si="1"/>
        <v>0</v>
      </c>
      <c r="G103" s="567">
        <f>'1.1a-Jaarprijzen'!H17+'1.1a-Jaarprijzen'!I17</f>
        <v>0</v>
      </c>
      <c r="H103" s="835"/>
    </row>
    <row r="104" spans="2:8" hidden="1">
      <c r="B104" s="118">
        <f>'1.1a-Jaarprijzen'!B18</f>
        <v>0</v>
      </c>
      <c r="C104" s="561">
        <f t="shared" si="0"/>
        <v>0</v>
      </c>
      <c r="E104" s="388">
        <f t="shared" si="1"/>
        <v>0</v>
      </c>
      <c r="G104" s="567">
        <f>'1.1a-Jaarprijzen'!H18+'1.1a-Jaarprijzen'!I18</f>
        <v>0</v>
      </c>
      <c r="H104" s="835"/>
    </row>
    <row r="105" spans="2:8" hidden="1">
      <c r="B105" s="118">
        <f>'1.1a-Jaarprijzen'!B19</f>
        <v>0</v>
      </c>
      <c r="C105" s="561">
        <f t="shared" si="0"/>
        <v>0</v>
      </c>
      <c r="E105" s="388">
        <f t="shared" si="1"/>
        <v>0</v>
      </c>
      <c r="G105" s="567">
        <f>'1.1a-Jaarprijzen'!H19+'1.1a-Jaarprijzen'!I19</f>
        <v>0</v>
      </c>
      <c r="H105" s="835"/>
    </row>
    <row r="106" spans="2:8" hidden="1">
      <c r="B106" s="118">
        <f>'1.1a-Jaarprijzen'!B20</f>
        <v>0</v>
      </c>
      <c r="C106" s="561">
        <f t="shared" si="0"/>
        <v>0</v>
      </c>
      <c r="E106" s="388">
        <f t="shared" si="1"/>
        <v>0</v>
      </c>
      <c r="G106" s="567">
        <f>'1.1a-Jaarprijzen'!H20+'1.1a-Jaarprijzen'!I20</f>
        <v>0</v>
      </c>
      <c r="H106" s="835"/>
    </row>
    <row r="107" spans="2:8" hidden="1">
      <c r="B107" s="118">
        <f>'1.1a-Jaarprijzen'!B21</f>
        <v>0</v>
      </c>
      <c r="C107" s="561">
        <f t="shared" si="0"/>
        <v>0</v>
      </c>
      <c r="E107" s="388">
        <f t="shared" si="1"/>
        <v>0</v>
      </c>
      <c r="G107" s="567">
        <f>'1.1a-Jaarprijzen'!H21+'1.1a-Jaarprijzen'!I21</f>
        <v>0</v>
      </c>
      <c r="H107" s="835"/>
    </row>
    <row r="108" spans="2:8" hidden="1">
      <c r="B108" s="118">
        <f>'1.1a-Jaarprijzen'!B22</f>
        <v>0</v>
      </c>
      <c r="C108" s="561">
        <f t="shared" si="0"/>
        <v>0</v>
      </c>
      <c r="E108" s="388">
        <f t="shared" si="1"/>
        <v>0</v>
      </c>
      <c r="G108" s="567">
        <f>'1.1a-Jaarprijzen'!H22+'1.1a-Jaarprijzen'!I22</f>
        <v>0</v>
      </c>
      <c r="H108" s="835"/>
    </row>
    <row r="109" spans="2:8" hidden="1">
      <c r="B109" s="118">
        <f>'1.1a-Jaarprijzen'!B23</f>
        <v>0</v>
      </c>
      <c r="C109" s="561">
        <f t="shared" si="0"/>
        <v>0</v>
      </c>
      <c r="E109" s="388">
        <f t="shared" si="1"/>
        <v>0</v>
      </c>
      <c r="G109" s="567">
        <f>'1.1a-Jaarprijzen'!H23+'1.1a-Jaarprijzen'!I23</f>
        <v>0</v>
      </c>
      <c r="H109" s="835"/>
    </row>
    <row r="110" spans="2:8" hidden="1">
      <c r="B110" s="118">
        <f>'1.1a-Jaarprijzen'!B24</f>
        <v>0</v>
      </c>
      <c r="C110" s="561">
        <f t="shared" si="0"/>
        <v>0</v>
      </c>
      <c r="E110" s="388">
        <f t="shared" si="1"/>
        <v>0</v>
      </c>
      <c r="G110" s="567">
        <f>'1.1a-Jaarprijzen'!H24+'1.1a-Jaarprijzen'!I24</f>
        <v>0</v>
      </c>
      <c r="H110" s="835"/>
    </row>
    <row r="111" spans="2:8" hidden="1">
      <c r="B111" s="118">
        <f>'1.1a-Jaarprijzen'!B25</f>
        <v>0</v>
      </c>
      <c r="C111" s="561">
        <f t="shared" si="0"/>
        <v>0</v>
      </c>
      <c r="E111" s="388">
        <f t="shared" si="1"/>
        <v>0</v>
      </c>
      <c r="G111" s="567">
        <f>'1.1a-Jaarprijzen'!H25+'1.1a-Jaarprijzen'!I25</f>
        <v>0</v>
      </c>
      <c r="H111" s="835"/>
    </row>
    <row r="112" spans="2:8" hidden="1">
      <c r="B112" s="118">
        <f>'1.1a-Jaarprijzen'!B26</f>
        <v>0</v>
      </c>
      <c r="C112" s="561">
        <f t="shared" si="0"/>
        <v>0</v>
      </c>
      <c r="E112" s="388">
        <f t="shared" si="1"/>
        <v>0</v>
      </c>
      <c r="G112" s="567">
        <f>'1.1a-Jaarprijzen'!H26+'1.1a-Jaarprijzen'!I26</f>
        <v>0</v>
      </c>
      <c r="H112" s="835"/>
    </row>
    <row r="113" spans="2:8" hidden="1">
      <c r="B113" s="118">
        <f>'1.1a-Jaarprijzen'!B27</f>
        <v>0</v>
      </c>
      <c r="C113" s="561">
        <f t="shared" si="0"/>
        <v>0</v>
      </c>
      <c r="E113" s="388">
        <f t="shared" si="1"/>
        <v>0</v>
      </c>
      <c r="G113" s="567">
        <f>'1.1a-Jaarprijzen'!H27+'1.1a-Jaarprijzen'!I27</f>
        <v>0</v>
      </c>
      <c r="H113" s="835"/>
    </row>
    <row r="114" spans="2:8" hidden="1">
      <c r="B114" s="118">
        <f>'1.1a-Jaarprijzen'!B28</f>
        <v>0</v>
      </c>
      <c r="C114" s="561">
        <f t="shared" si="0"/>
        <v>0</v>
      </c>
      <c r="E114" s="388">
        <f t="shared" si="1"/>
        <v>0</v>
      </c>
      <c r="G114" s="567">
        <f>'1.1a-Jaarprijzen'!H28+'1.1a-Jaarprijzen'!I28</f>
        <v>0</v>
      </c>
      <c r="H114" s="835"/>
    </row>
    <row r="115" spans="2:8" hidden="1">
      <c r="B115" s="118">
        <f>'1.1a-Jaarprijzen'!B29</f>
        <v>0</v>
      </c>
      <c r="C115" s="561">
        <f t="shared" si="0"/>
        <v>0</v>
      </c>
      <c r="E115" s="388">
        <f t="shared" si="1"/>
        <v>0</v>
      </c>
      <c r="G115" s="567">
        <f>'1.1a-Jaarprijzen'!H29+'1.1a-Jaarprijzen'!I29</f>
        <v>0</v>
      </c>
      <c r="H115" s="835"/>
    </row>
    <row r="116" spans="2:8" hidden="1">
      <c r="B116" s="118">
        <f>'1.1a-Jaarprijzen'!B30</f>
        <v>0</v>
      </c>
      <c r="C116" s="561">
        <f t="shared" si="0"/>
        <v>0</v>
      </c>
      <c r="E116" s="388">
        <f t="shared" si="1"/>
        <v>0</v>
      </c>
      <c r="G116" s="567">
        <f>'1.1a-Jaarprijzen'!H30+'1.1a-Jaarprijzen'!I30</f>
        <v>0</v>
      </c>
      <c r="H116" s="835"/>
    </row>
    <row r="117" spans="2:8" hidden="1">
      <c r="B117" s="118">
        <f>'1.1a-Jaarprijzen'!B31</f>
        <v>0</v>
      </c>
      <c r="C117" s="561">
        <f t="shared" si="0"/>
        <v>0</v>
      </c>
      <c r="E117" s="388">
        <f t="shared" si="1"/>
        <v>0</v>
      </c>
      <c r="G117" s="567">
        <f>'1.1a-Jaarprijzen'!H31+'1.1a-Jaarprijzen'!I31</f>
        <v>0</v>
      </c>
      <c r="H117" s="835"/>
    </row>
    <row r="118" spans="2:8" hidden="1">
      <c r="B118" s="118">
        <f>'1.1a-Jaarprijzen'!B32</f>
        <v>0</v>
      </c>
      <c r="C118" s="561">
        <f t="shared" si="0"/>
        <v>0</v>
      </c>
      <c r="E118" s="388">
        <f t="shared" si="1"/>
        <v>0</v>
      </c>
      <c r="G118" s="567">
        <f>'1.1a-Jaarprijzen'!H32+'1.1a-Jaarprijzen'!I32</f>
        <v>0</v>
      </c>
      <c r="H118" s="835"/>
    </row>
    <row r="119" spans="2:8" hidden="1">
      <c r="B119" s="118">
        <f>'1.1a-Jaarprijzen'!B33</f>
        <v>0</v>
      </c>
      <c r="C119" s="561">
        <f t="shared" si="0"/>
        <v>0</v>
      </c>
      <c r="E119" s="388">
        <f t="shared" si="1"/>
        <v>0</v>
      </c>
      <c r="G119" s="567">
        <f>'1.1a-Jaarprijzen'!H33+'1.1a-Jaarprijzen'!I33</f>
        <v>0</v>
      </c>
      <c r="H119" s="835"/>
    </row>
    <row r="120" spans="2:8" hidden="1">
      <c r="B120" s="118">
        <f>'1.1a-Jaarprijzen'!B34</f>
        <v>0</v>
      </c>
      <c r="C120" s="561">
        <f t="shared" si="0"/>
        <v>0</v>
      </c>
      <c r="E120" s="388">
        <f t="shared" si="1"/>
        <v>0</v>
      </c>
      <c r="G120" s="567">
        <f>'1.1a-Jaarprijzen'!H34+'1.1a-Jaarprijzen'!I34</f>
        <v>0</v>
      </c>
      <c r="H120" s="835"/>
    </row>
    <row r="121" spans="2:8" hidden="1">
      <c r="B121" s="118">
        <f>'1.1a-Jaarprijzen'!B35</f>
        <v>0</v>
      </c>
      <c r="C121" s="561">
        <f t="shared" si="0"/>
        <v>0</v>
      </c>
      <c r="E121" s="388">
        <f t="shared" si="1"/>
        <v>0</v>
      </c>
      <c r="G121" s="567">
        <f>'1.1a-Jaarprijzen'!H35+'1.1a-Jaarprijzen'!I35</f>
        <v>0</v>
      </c>
      <c r="H121" s="835"/>
    </row>
    <row r="122" spans="2:8" hidden="1">
      <c r="B122" s="118">
        <f>'1.1a-Jaarprijzen'!B36</f>
        <v>0</v>
      </c>
      <c r="C122" s="561">
        <f t="shared" si="0"/>
        <v>0</v>
      </c>
      <c r="E122" s="388">
        <f t="shared" si="1"/>
        <v>0</v>
      </c>
      <c r="G122" s="567">
        <f>'1.1a-Jaarprijzen'!H36+'1.1a-Jaarprijzen'!I36</f>
        <v>0</v>
      </c>
      <c r="H122" s="835"/>
    </row>
    <row r="123" spans="2:8" hidden="1">
      <c r="B123" s="118">
        <f>'1.1a-Jaarprijzen'!B37</f>
        <v>0</v>
      </c>
      <c r="C123" s="561">
        <f t="shared" si="0"/>
        <v>0</v>
      </c>
      <c r="E123" s="388">
        <f t="shared" si="1"/>
        <v>0</v>
      </c>
      <c r="G123" s="567">
        <f>'1.1a-Jaarprijzen'!H37+'1.1a-Jaarprijzen'!I37</f>
        <v>0</v>
      </c>
      <c r="H123" s="835"/>
    </row>
    <row r="124" spans="2:8" hidden="1">
      <c r="B124" s="118">
        <f>'1.1a-Jaarprijzen'!B38</f>
        <v>0</v>
      </c>
      <c r="C124" s="561">
        <f t="shared" si="0"/>
        <v>0</v>
      </c>
      <c r="E124" s="388">
        <f t="shared" si="1"/>
        <v>0</v>
      </c>
      <c r="G124" s="567">
        <f>'1.1a-Jaarprijzen'!H38+'1.1a-Jaarprijzen'!I38</f>
        <v>0</v>
      </c>
      <c r="H124" s="835"/>
    </row>
    <row r="125" spans="2:8" hidden="1">
      <c r="B125" s="118">
        <f>'1.1a-Jaarprijzen'!B39</f>
        <v>0</v>
      </c>
      <c r="C125" s="561">
        <f t="shared" si="0"/>
        <v>0</v>
      </c>
      <c r="E125" s="388">
        <f t="shared" si="1"/>
        <v>0</v>
      </c>
      <c r="G125" s="567">
        <f>'1.1a-Jaarprijzen'!H39+'1.1a-Jaarprijzen'!I39</f>
        <v>0</v>
      </c>
      <c r="H125" s="835"/>
    </row>
    <row r="126" spans="2:8" hidden="1">
      <c r="B126" s="118">
        <f>'1.1a-Jaarprijzen'!B40</f>
        <v>0</v>
      </c>
      <c r="C126" s="561">
        <f t="shared" si="0"/>
        <v>0</v>
      </c>
      <c r="E126" s="388">
        <f t="shared" si="1"/>
        <v>0</v>
      </c>
      <c r="G126" s="567">
        <f>'1.1a-Jaarprijzen'!H40+'1.1a-Jaarprijzen'!I40</f>
        <v>0</v>
      </c>
      <c r="H126" s="835"/>
    </row>
    <row r="127" spans="2:8" hidden="1">
      <c r="B127" s="118">
        <f>'1.1a-Jaarprijzen'!B41</f>
        <v>0</v>
      </c>
      <c r="C127" s="561">
        <f t="shared" si="0"/>
        <v>0</v>
      </c>
      <c r="E127" s="388">
        <f t="shared" si="1"/>
        <v>0</v>
      </c>
      <c r="G127" s="567">
        <f>'1.1a-Jaarprijzen'!H41+'1.1a-Jaarprijzen'!I41</f>
        <v>0</v>
      </c>
      <c r="H127" s="835"/>
    </row>
    <row r="128" spans="2:8" hidden="1">
      <c r="B128" s="118">
        <f>'1.1a-Jaarprijzen'!B42</f>
        <v>0</v>
      </c>
      <c r="C128" s="561">
        <f t="shared" si="0"/>
        <v>0</v>
      </c>
      <c r="E128" s="388">
        <f t="shared" si="1"/>
        <v>0</v>
      </c>
      <c r="G128" s="567">
        <f>'1.1a-Jaarprijzen'!H42+'1.1a-Jaarprijzen'!I42</f>
        <v>0</v>
      </c>
      <c r="H128" s="835"/>
    </row>
    <row r="129" spans="2:8" hidden="1">
      <c r="B129" s="118">
        <f>'1.1a-Jaarprijzen'!B43</f>
        <v>0</v>
      </c>
      <c r="C129" s="561">
        <f t="shared" si="0"/>
        <v>0</v>
      </c>
      <c r="E129" s="388">
        <f t="shared" si="1"/>
        <v>0</v>
      </c>
      <c r="G129" s="567">
        <f>'1.1a-Jaarprijzen'!H43+'1.1a-Jaarprijzen'!I43</f>
        <v>0</v>
      </c>
      <c r="H129" s="835"/>
    </row>
    <row r="130" spans="2:8" hidden="1">
      <c r="B130" s="118">
        <f>'1.1a-Jaarprijzen'!B44</f>
        <v>0</v>
      </c>
      <c r="C130" s="561">
        <f t="shared" si="0"/>
        <v>0</v>
      </c>
      <c r="E130" s="388">
        <f t="shared" si="1"/>
        <v>0</v>
      </c>
      <c r="G130" s="567">
        <f>'1.1a-Jaarprijzen'!H44+'1.1a-Jaarprijzen'!I44</f>
        <v>0</v>
      </c>
      <c r="H130" s="835"/>
    </row>
    <row r="131" spans="2:8" hidden="1">
      <c r="B131" s="118">
        <f>'1.1a-Jaarprijzen'!B45</f>
        <v>0</v>
      </c>
      <c r="C131" s="561">
        <f t="shared" si="0"/>
        <v>0</v>
      </c>
      <c r="E131" s="388">
        <f t="shared" si="1"/>
        <v>0</v>
      </c>
      <c r="G131" s="567">
        <f>'1.1a-Jaarprijzen'!H45+'1.1a-Jaarprijzen'!I45</f>
        <v>0</v>
      </c>
      <c r="H131" s="835"/>
    </row>
    <row r="132" spans="2:8" hidden="1">
      <c r="B132" s="118">
        <f>'1.1a-Jaarprijzen'!B46</f>
        <v>0</v>
      </c>
      <c r="C132" s="561">
        <f t="shared" si="0"/>
        <v>0</v>
      </c>
      <c r="E132" s="388">
        <f t="shared" si="1"/>
        <v>0</v>
      </c>
      <c r="G132" s="567">
        <f>'1.1a-Jaarprijzen'!H46+'1.1a-Jaarprijzen'!I46</f>
        <v>0</v>
      </c>
      <c r="H132" s="835"/>
    </row>
    <row r="133" spans="2:8" hidden="1">
      <c r="B133" s="118">
        <f>'1.1a-Jaarprijzen'!B47</f>
        <v>0</v>
      </c>
      <c r="C133" s="561">
        <f t="shared" si="0"/>
        <v>0</v>
      </c>
      <c r="E133" s="388">
        <f t="shared" si="1"/>
        <v>0</v>
      </c>
      <c r="G133" s="567">
        <f>'1.1a-Jaarprijzen'!H47+'1.1a-Jaarprijzen'!I47</f>
        <v>0</v>
      </c>
      <c r="H133" s="835"/>
    </row>
    <row r="134" spans="2:8" hidden="1">
      <c r="B134" s="118">
        <f>'1.1a-Jaarprijzen'!B48</f>
        <v>0</v>
      </c>
      <c r="C134" s="561">
        <f t="shared" si="0"/>
        <v>0</v>
      </c>
      <c r="E134" s="388">
        <f t="shared" si="1"/>
        <v>0</v>
      </c>
      <c r="G134" s="567">
        <f>'1.1a-Jaarprijzen'!H48+'1.1a-Jaarprijzen'!I48</f>
        <v>0</v>
      </c>
      <c r="H134" s="835"/>
    </row>
    <row r="135" spans="2:8" hidden="1">
      <c r="B135" s="118">
        <f>'1.1a-Jaarprijzen'!B49</f>
        <v>0</v>
      </c>
      <c r="C135" s="561">
        <f t="shared" si="0"/>
        <v>0</v>
      </c>
      <c r="E135" s="388">
        <f t="shared" si="1"/>
        <v>0</v>
      </c>
      <c r="G135" s="567">
        <f>'1.1a-Jaarprijzen'!H49+'1.1a-Jaarprijzen'!I49</f>
        <v>0</v>
      </c>
      <c r="H135" s="835"/>
    </row>
    <row r="136" spans="2:8" hidden="1">
      <c r="B136" s="118">
        <f>'1.1a-Jaarprijzen'!B50</f>
        <v>0</v>
      </c>
      <c r="C136" s="561">
        <f t="shared" si="0"/>
        <v>0</v>
      </c>
      <c r="E136" s="388">
        <f t="shared" si="1"/>
        <v>0</v>
      </c>
      <c r="G136" s="567">
        <f>'1.1a-Jaarprijzen'!H50+'1.1a-Jaarprijzen'!I50</f>
        <v>0</v>
      </c>
      <c r="H136" s="835"/>
    </row>
    <row r="137" spans="2:8" hidden="1">
      <c r="B137" s="118">
        <f>'1.1a-Jaarprijzen'!B51</f>
        <v>0</v>
      </c>
      <c r="C137" s="561">
        <f t="shared" si="0"/>
        <v>0</v>
      </c>
      <c r="E137" s="388">
        <f t="shared" si="1"/>
        <v>0</v>
      </c>
      <c r="G137" s="567">
        <f>'1.1a-Jaarprijzen'!H51+'1.1a-Jaarprijzen'!I51</f>
        <v>0</v>
      </c>
      <c r="H137" s="835"/>
    </row>
    <row r="138" spans="2:8" hidden="1">
      <c r="B138" s="118">
        <f>'1.1a-Jaarprijzen'!B52</f>
        <v>0</v>
      </c>
      <c r="C138" s="561">
        <f t="shared" si="0"/>
        <v>0</v>
      </c>
      <c r="E138" s="388">
        <f t="shared" si="1"/>
        <v>0</v>
      </c>
      <c r="G138" s="567">
        <f>'1.1a-Jaarprijzen'!H52+'1.1a-Jaarprijzen'!I52</f>
        <v>0</v>
      </c>
      <c r="H138" s="835"/>
    </row>
    <row r="139" spans="2:8" hidden="1">
      <c r="B139" s="118">
        <f>'1.1a-Jaarprijzen'!B53</f>
        <v>0</v>
      </c>
      <c r="C139" s="561">
        <f t="shared" si="0"/>
        <v>0</v>
      </c>
      <c r="E139" s="388">
        <f t="shared" si="1"/>
        <v>0</v>
      </c>
      <c r="G139" s="567">
        <f>'1.1a-Jaarprijzen'!H53+'1.1a-Jaarprijzen'!I53</f>
        <v>0</v>
      </c>
      <c r="H139" s="835"/>
    </row>
    <row r="140" spans="2:8" hidden="1">
      <c r="B140" s="118">
        <f>'1.1a-Jaarprijzen'!B54</f>
        <v>0</v>
      </c>
      <c r="C140" s="561">
        <f t="shared" si="0"/>
        <v>0</v>
      </c>
      <c r="E140" s="388">
        <f t="shared" si="1"/>
        <v>0</v>
      </c>
      <c r="G140" s="567">
        <f>'1.1a-Jaarprijzen'!H54+'1.1a-Jaarprijzen'!I54</f>
        <v>0</v>
      </c>
      <c r="H140" s="835"/>
    </row>
    <row r="141" spans="2:8" hidden="1">
      <c r="B141" s="118">
        <f>'1.1a-Jaarprijzen'!B55</f>
        <v>0</v>
      </c>
      <c r="C141" s="561">
        <f t="shared" si="0"/>
        <v>0</v>
      </c>
      <c r="E141" s="388">
        <f t="shared" si="1"/>
        <v>0</v>
      </c>
      <c r="G141" s="567">
        <f>'1.1a-Jaarprijzen'!H55+'1.1a-Jaarprijzen'!I55</f>
        <v>0</v>
      </c>
      <c r="H141" s="835"/>
    </row>
    <row r="142" spans="2:8" hidden="1">
      <c r="B142" s="118">
        <f>'1.1a-Jaarprijzen'!B56</f>
        <v>0</v>
      </c>
      <c r="C142" s="561">
        <f t="shared" si="0"/>
        <v>0</v>
      </c>
      <c r="E142" s="388">
        <f t="shared" si="1"/>
        <v>0</v>
      </c>
      <c r="G142" s="567">
        <f>'1.1a-Jaarprijzen'!H56+'1.1a-Jaarprijzen'!I56</f>
        <v>0</v>
      </c>
      <c r="H142" s="835"/>
    </row>
    <row r="143" spans="2:8" hidden="1">
      <c r="B143" s="118">
        <f>'1.1a-Jaarprijzen'!B57</f>
        <v>0</v>
      </c>
      <c r="C143" s="561">
        <f t="shared" si="0"/>
        <v>0</v>
      </c>
      <c r="E143" s="388">
        <f t="shared" si="1"/>
        <v>0</v>
      </c>
      <c r="G143" s="567">
        <f>'1.1a-Jaarprijzen'!H57+'1.1a-Jaarprijzen'!I57</f>
        <v>0</v>
      </c>
      <c r="H143" s="835"/>
    </row>
    <row r="144" spans="2:8" hidden="1">
      <c r="B144" s="118">
        <f>'1.1a-Jaarprijzen'!B58</f>
        <v>0</v>
      </c>
      <c r="C144" s="561">
        <f t="shared" si="0"/>
        <v>0</v>
      </c>
      <c r="E144" s="388">
        <f t="shared" si="1"/>
        <v>0</v>
      </c>
      <c r="G144" s="567">
        <f>'1.1a-Jaarprijzen'!H58+'1.1a-Jaarprijzen'!I58</f>
        <v>0</v>
      </c>
      <c r="H144" s="835"/>
    </row>
    <row r="145" spans="2:8" hidden="1">
      <c r="B145" s="118">
        <f>'1.1a-Jaarprijzen'!B59</f>
        <v>0</v>
      </c>
      <c r="C145" s="561">
        <f t="shared" si="0"/>
        <v>0</v>
      </c>
      <c r="E145" s="388">
        <f t="shared" si="1"/>
        <v>0</v>
      </c>
      <c r="G145" s="567">
        <f>'1.1a-Jaarprijzen'!H59+'1.1a-Jaarprijzen'!I59</f>
        <v>0</v>
      </c>
      <c r="H145" s="835"/>
    </row>
    <row r="146" spans="2:8" hidden="1">
      <c r="B146" s="118">
        <f>'1.1a-Jaarprijzen'!B60</f>
        <v>0</v>
      </c>
      <c r="C146" s="561">
        <f t="shared" si="0"/>
        <v>0</v>
      </c>
      <c r="E146" s="388">
        <f t="shared" si="1"/>
        <v>0</v>
      </c>
      <c r="G146" s="567">
        <f>'1.1a-Jaarprijzen'!H60+'1.1a-Jaarprijzen'!I60</f>
        <v>0</v>
      </c>
      <c r="H146" s="835"/>
    </row>
    <row r="147" spans="2:8" hidden="1">
      <c r="B147" s="118">
        <f>'1.1a-Jaarprijzen'!B61</f>
        <v>0</v>
      </c>
      <c r="C147" s="561">
        <f t="shared" ref="C147:C149" si="2">IF($G$96=0,0,G147/$G$96)</f>
        <v>0</v>
      </c>
      <c r="E147" s="388">
        <f t="shared" si="1"/>
        <v>0</v>
      </c>
      <c r="G147" s="567">
        <f>'1.1a-Jaarprijzen'!H62+'1.1a-Jaarprijzen'!I62</f>
        <v>0</v>
      </c>
      <c r="H147" s="835"/>
    </row>
    <row r="148" spans="2:8" hidden="1">
      <c r="B148" s="118">
        <f>'1.1a-Jaarprijzen'!B62</f>
        <v>0</v>
      </c>
      <c r="C148" s="561">
        <f t="shared" si="2"/>
        <v>0</v>
      </c>
      <c r="E148" s="388">
        <f t="shared" ref="E148:E149" si="3">C148*E$93</f>
        <v>0</v>
      </c>
      <c r="G148" s="567">
        <f>'1.1a-Jaarprijzen'!H62+'1.1a-Jaarprijzen'!I62</f>
        <v>0</v>
      </c>
      <c r="H148" s="835"/>
    </row>
    <row r="149" spans="2:8" hidden="1">
      <c r="B149" s="118">
        <f>'1.1a-Jaarprijzen'!B63</f>
        <v>0</v>
      </c>
      <c r="C149" s="561">
        <f t="shared" si="2"/>
        <v>0</v>
      </c>
      <c r="E149" s="388">
        <f t="shared" si="3"/>
        <v>0</v>
      </c>
      <c r="G149" s="567">
        <f>'1.1a-Jaarprijzen'!H63+'1.1a-Jaarprijzen'!I63</f>
        <v>0</v>
      </c>
      <c r="H149" s="835"/>
    </row>
    <row r="150" spans="2:8">
      <c r="B150" s="118"/>
      <c r="C150" s="424">
        <f>SUM(C97:C149)</f>
        <v>0</v>
      </c>
      <c r="G150" s="560"/>
    </row>
    <row r="151" spans="2:8"/>
    <row r="152" spans="2:8">
      <c r="E152" s="389">
        <f>SUM(E97:E150)</f>
        <v>0</v>
      </c>
    </row>
    <row r="153" spans="2:8"/>
    <row r="154" spans="2:8"/>
    <row r="155" spans="2:8"/>
    <row r="156" spans="2:8"/>
    <row r="157" spans="2:8">
      <c r="B157" s="118"/>
    </row>
    <row r="158" spans="2:8">
      <c r="B158" s="118"/>
    </row>
    <row r="159" spans="2:8"/>
    <row r="160" spans="2:8"/>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sheetData>
  <mergeCells count="10">
    <mergeCell ref="H97:H149"/>
    <mergeCell ref="C10:E10"/>
    <mergeCell ref="C13:E13"/>
    <mergeCell ref="C33:E33"/>
    <mergeCell ref="C53:E53"/>
    <mergeCell ref="C73:E73"/>
    <mergeCell ref="C12:E12"/>
    <mergeCell ref="C32:E32"/>
    <mergeCell ref="C52:E52"/>
    <mergeCell ref="C72:E72"/>
  </mergeCells>
  <phoneticPr fontId="17"/>
  <conditionalFormatting sqref="C150">
    <cfRule type="cellIs" dxfId="0" priority="1" stopIfTrue="1" operator="greaterThan">
      <formula>1</formula>
    </cfRule>
  </conditionalFormatting>
  <printOptions horizontalCentered="1"/>
  <pageMargins left="0.2" right="0.2" top="0.39000000000000007" bottom="0.59"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94" max="4" man="1"/>
  </rowBreaks>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enableFormatConditionsCalculation="0">
    <pageSetUpPr fitToPage="1"/>
  </sheetPr>
  <dimension ref="A1:N138"/>
  <sheetViews>
    <sheetView showGridLines="0" showZeros="0" showOutlineSymbols="0" zoomScaleSheetLayoutView="75" workbookViewId="0"/>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387" t="s">
        <v>32</v>
      </c>
    </row>
    <row r="2" spans="2:14" ht="27" customHeight="1">
      <c r="B2" s="399"/>
    </row>
    <row r="3" spans="2:14">
      <c r="B3" s="137"/>
    </row>
    <row r="4" spans="2:14" ht="16">
      <c r="B4" s="140" t="str">
        <f>'1.6-Machine-investeringskosten'!B3</f>
        <v>Naam opdrachtgever</v>
      </c>
      <c r="C4" s="141" t="str">
        <f>'1.6-Machine-investeringskosten'!C3</f>
        <v>Stichting Altra - Horizon</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Regio Noord Holland</v>
      </c>
      <c r="D6" s="143"/>
      <c r="E6" s="139"/>
    </row>
    <row r="7" spans="2:14" ht="16">
      <c r="B7" s="140" t="str">
        <f>'1.6-Machine-investeringskosten'!B6</f>
        <v>Besteknummer</v>
      </c>
      <c r="C7" s="141" t="str">
        <f>'1.6-Machine-investeringskosten'!C6</f>
        <v>180417 V2</v>
      </c>
      <c r="D7" s="128"/>
      <c r="E7" s="139"/>
    </row>
    <row r="8" spans="2:14" ht="16">
      <c r="B8" s="140" t="str">
        <f>'1.6-Machine-investeringskosten'!B7</f>
        <v>Naam leverancier</v>
      </c>
      <c r="C8" s="141" t="str">
        <f>'1.6-Machine-investeringskosten'!C7</f>
        <v>[NAAM LEVERANCIER]</v>
      </c>
      <c r="D8" s="128"/>
      <c r="E8" s="639">
        <f>Voorblad!$E$15</f>
        <v>42917</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841" t="s">
        <v>185</v>
      </c>
      <c r="C13" s="841"/>
      <c r="D13" s="841"/>
      <c r="E13" s="841"/>
      <c r="F13" s="841"/>
      <c r="G13" s="841"/>
      <c r="H13" s="841"/>
    </row>
    <row r="14" spans="2:14"/>
    <row r="15" spans="2:14">
      <c r="B15" s="391"/>
      <c r="C15" s="391"/>
      <c r="D15" s="391"/>
      <c r="E15" s="843" t="s">
        <v>152</v>
      </c>
      <c r="F15" s="843"/>
      <c r="G15" s="843"/>
      <c r="H15" s="843"/>
      <c r="J15" s="840" t="s">
        <v>152</v>
      </c>
      <c r="K15" s="840"/>
      <c r="L15" s="840"/>
      <c r="M15" s="840"/>
      <c r="N15" s="840"/>
    </row>
    <row r="16" spans="2:14">
      <c r="B16" s="392" t="s">
        <v>108</v>
      </c>
      <c r="C16" s="392" t="s">
        <v>116</v>
      </c>
      <c r="D16" s="393"/>
      <c r="E16" s="394" t="s">
        <v>117</v>
      </c>
      <c r="F16" s="394" t="s">
        <v>46</v>
      </c>
      <c r="G16" s="394" t="s">
        <v>232</v>
      </c>
      <c r="H16" s="394" t="s">
        <v>1097</v>
      </c>
      <c r="J16" s="491" t="s">
        <v>117</v>
      </c>
      <c r="K16" s="491" t="s">
        <v>46</v>
      </c>
      <c r="L16" s="491" t="s">
        <v>232</v>
      </c>
      <c r="M16" s="491" t="s">
        <v>109</v>
      </c>
      <c r="N16" s="491" t="s">
        <v>110</v>
      </c>
    </row>
    <row r="17" spans="2:14">
      <c r="B17" s="396" t="s">
        <v>106</v>
      </c>
      <c r="C17" s="396" t="s">
        <v>201</v>
      </c>
      <c r="D17" s="397"/>
      <c r="E17" s="390"/>
      <c r="F17" s="390"/>
      <c r="G17" s="390"/>
      <c r="H17" s="390"/>
      <c r="J17" s="492">
        <f>35.04/40</f>
        <v>0.876</v>
      </c>
      <c r="K17" s="492">
        <f>35.04/110</f>
        <v>0.31854545454545452</v>
      </c>
      <c r="L17" s="492">
        <f>35.04/140</f>
        <v>0.25028571428571428</v>
      </c>
      <c r="M17" s="492">
        <f>35.04/175</f>
        <v>0.20022857142857142</v>
      </c>
      <c r="N17" s="492">
        <f>35.04/180</f>
        <v>0.19466666666666665</v>
      </c>
    </row>
    <row r="18" spans="2:14">
      <c r="B18" s="396" t="s">
        <v>106</v>
      </c>
      <c r="C18" s="396" t="s">
        <v>202</v>
      </c>
      <c r="D18" s="397"/>
      <c r="E18" s="390"/>
      <c r="F18" s="390"/>
      <c r="G18" s="390"/>
      <c r="H18" s="390"/>
      <c r="J18" s="492">
        <f>35.04/10</f>
        <v>3.504</v>
      </c>
      <c r="K18" s="492">
        <f>35.04/12</f>
        <v>2.92</v>
      </c>
      <c r="L18" s="492">
        <f>35.04/15</f>
        <v>2.3359999999999999</v>
      </c>
      <c r="M18" s="492">
        <f>35.04/17</f>
        <v>2.0611764705882352</v>
      </c>
      <c r="N18" s="492">
        <f>35.04/18</f>
        <v>1.9466666666666665</v>
      </c>
    </row>
    <row r="19" spans="2:14">
      <c r="B19" s="396" t="s">
        <v>84</v>
      </c>
      <c r="C19" s="396" t="s">
        <v>135</v>
      </c>
      <c r="D19" s="150"/>
      <c r="E19" s="390"/>
      <c r="F19" s="390"/>
      <c r="G19" s="390"/>
      <c r="H19" s="390"/>
      <c r="J19" s="492">
        <f>35.04/40</f>
        <v>0.876</v>
      </c>
      <c r="K19" s="492">
        <f>35.04/70</f>
        <v>0.50057142857142856</v>
      </c>
      <c r="L19" s="492">
        <f>35.04/85</f>
        <v>0.41223529411764703</v>
      </c>
      <c r="M19" s="492">
        <f>35.04/95</f>
        <v>0.36884210526315786</v>
      </c>
      <c r="N19" s="492">
        <f>35.04/100</f>
        <v>0.35039999999999999</v>
      </c>
    </row>
    <row r="20" spans="2:14">
      <c r="B20" s="396" t="s">
        <v>76</v>
      </c>
      <c r="C20" s="396" t="s">
        <v>77</v>
      </c>
      <c r="D20" s="150"/>
      <c r="E20" s="390"/>
      <c r="F20" s="390"/>
      <c r="G20" s="390"/>
      <c r="H20" s="390"/>
      <c r="J20" s="492">
        <f>35.04/10</f>
        <v>3.504</v>
      </c>
      <c r="K20" s="492">
        <f>35.04/13</f>
        <v>2.6953846153846155</v>
      </c>
      <c r="L20" s="492">
        <f>35.04/16</f>
        <v>2.19</v>
      </c>
      <c r="M20" s="492">
        <f>35.04/18</f>
        <v>1.9466666666666665</v>
      </c>
      <c r="N20" s="492">
        <f>35.04/20</f>
        <v>1.752</v>
      </c>
    </row>
    <row r="21" spans="2:14">
      <c r="B21" s="396" t="s">
        <v>76</v>
      </c>
      <c r="C21" s="396" t="s">
        <v>146</v>
      </c>
      <c r="D21" s="147"/>
      <c r="E21" s="390"/>
      <c r="F21" s="390"/>
      <c r="G21" s="390"/>
      <c r="H21" s="390"/>
      <c r="J21" s="492">
        <f>35.04/10</f>
        <v>3.504</v>
      </c>
      <c r="K21" s="492">
        <f>35.04/15</f>
        <v>2.3359999999999999</v>
      </c>
      <c r="L21" s="492">
        <f>35.04/18</f>
        <v>1.9466666666666665</v>
      </c>
      <c r="M21" s="492">
        <f>35.04/20</f>
        <v>1.752</v>
      </c>
      <c r="N21" s="492">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391"/>
      <c r="C24" s="391"/>
      <c r="D24" s="391"/>
      <c r="E24" s="395" t="s">
        <v>147</v>
      </c>
      <c r="F24" s="395" t="s">
        <v>147</v>
      </c>
      <c r="G24" s="131"/>
      <c r="H24" s="131"/>
      <c r="J24" s="493" t="s">
        <v>147</v>
      </c>
      <c r="K24" s="493" t="s">
        <v>147</v>
      </c>
      <c r="L24" s="131"/>
      <c r="M24" s="131"/>
      <c r="N24" s="131"/>
    </row>
    <row r="25" spans="2:14">
      <c r="B25" s="392" t="s">
        <v>148</v>
      </c>
      <c r="C25" s="392" t="s">
        <v>116</v>
      </c>
      <c r="D25" s="391"/>
      <c r="E25" s="395" t="s">
        <v>149</v>
      </c>
      <c r="F25" s="395" t="s">
        <v>150</v>
      </c>
      <c r="G25" s="131"/>
      <c r="H25" s="61"/>
      <c r="J25" s="493" t="s">
        <v>149</v>
      </c>
      <c r="K25" s="493" t="s">
        <v>150</v>
      </c>
      <c r="L25" s="131"/>
      <c r="N25" s="131"/>
    </row>
    <row r="26" spans="2:14">
      <c r="B26" s="396" t="s">
        <v>151</v>
      </c>
      <c r="C26" s="396" t="s">
        <v>3</v>
      </c>
      <c r="D26" s="396"/>
      <c r="E26" s="390"/>
      <c r="F26" s="398"/>
      <c r="G26" s="131"/>
      <c r="H26" s="61"/>
      <c r="J26" s="492">
        <v>0.27</v>
      </c>
      <c r="K26" s="494"/>
      <c r="L26" s="131"/>
      <c r="N26" s="131"/>
    </row>
    <row r="27" spans="2:14">
      <c r="B27" s="396" t="s">
        <v>138</v>
      </c>
      <c r="C27" s="396" t="s">
        <v>88</v>
      </c>
      <c r="D27" s="396"/>
      <c r="E27" s="390"/>
      <c r="F27" s="398"/>
      <c r="G27" s="131"/>
      <c r="H27" s="61"/>
      <c r="J27" s="492">
        <v>0.44</v>
      </c>
      <c r="K27" s="494"/>
      <c r="L27" s="131"/>
      <c r="N27" s="131"/>
    </row>
    <row r="28" spans="2:14">
      <c r="B28" s="396" t="s">
        <v>89</v>
      </c>
      <c r="C28" s="396" t="s">
        <v>216</v>
      </c>
      <c r="D28" s="396"/>
      <c r="E28" s="398"/>
      <c r="F28" s="390"/>
      <c r="G28" s="131"/>
      <c r="H28" s="61"/>
      <c r="J28" s="495"/>
      <c r="K28" s="492">
        <v>2.95</v>
      </c>
      <c r="L28" s="131"/>
      <c r="N28" s="131"/>
    </row>
    <row r="29" spans="2:14">
      <c r="B29" s="396" t="s">
        <v>124</v>
      </c>
      <c r="C29" s="396" t="s">
        <v>216</v>
      </c>
      <c r="D29" s="396"/>
      <c r="E29" s="398"/>
      <c r="F29" s="390"/>
      <c r="G29" s="131"/>
      <c r="H29" s="61"/>
      <c r="J29" s="495"/>
      <c r="K29" s="492">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392" t="s">
        <v>200</v>
      </c>
      <c r="C32" s="391"/>
      <c r="D32" s="391"/>
      <c r="E32" s="843" t="s">
        <v>199</v>
      </c>
      <c r="F32" s="843"/>
      <c r="G32" s="843"/>
      <c r="H32" s="843"/>
      <c r="J32" s="840" t="s">
        <v>199</v>
      </c>
      <c r="K32" s="840"/>
      <c r="L32" s="840"/>
      <c r="M32" s="840"/>
      <c r="N32" s="149"/>
    </row>
    <row r="33" spans="2:14">
      <c r="B33" s="392" t="s">
        <v>226</v>
      </c>
      <c r="C33" s="392" t="s">
        <v>116</v>
      </c>
      <c r="D33" s="392"/>
      <c r="E33" s="394" t="s">
        <v>98</v>
      </c>
      <c r="F33" s="394" t="s">
        <v>99</v>
      </c>
      <c r="G33" s="394" t="s">
        <v>187</v>
      </c>
      <c r="H33" s="394" t="s">
        <v>188</v>
      </c>
      <c r="J33" s="491" t="s">
        <v>98</v>
      </c>
      <c r="K33" s="491" t="s">
        <v>99</v>
      </c>
      <c r="L33" s="491" t="s">
        <v>187</v>
      </c>
      <c r="M33" s="491" t="s">
        <v>188</v>
      </c>
    </row>
    <row r="34" spans="2:14">
      <c r="B34" s="396" t="s">
        <v>1099</v>
      </c>
      <c r="C34" s="396" t="s">
        <v>1100</v>
      </c>
      <c r="D34" s="396"/>
      <c r="E34" s="390"/>
      <c r="F34" s="390"/>
      <c r="G34" s="390"/>
      <c r="H34" s="390"/>
      <c r="J34" s="492">
        <v>8.34</v>
      </c>
      <c r="K34" s="492">
        <v>8.1</v>
      </c>
      <c r="L34" s="492">
        <v>7.95</v>
      </c>
      <c r="M34" s="492">
        <v>7.9</v>
      </c>
      <c r="N34" s="131"/>
    </row>
    <row r="35" spans="2:14">
      <c r="B35" s="396" t="s">
        <v>233</v>
      </c>
      <c r="C35" s="396" t="s">
        <v>1100</v>
      </c>
      <c r="D35" s="396"/>
      <c r="E35" s="390"/>
      <c r="F35" s="390"/>
      <c r="G35" s="390"/>
      <c r="H35" s="390"/>
      <c r="J35" s="492">
        <v>5.82</v>
      </c>
      <c r="K35" s="492">
        <v>5.65</v>
      </c>
      <c r="L35" s="492">
        <v>5.4</v>
      </c>
      <c r="M35" s="492">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483" t="s">
        <v>1034</v>
      </c>
      <c r="C38" s="482"/>
      <c r="D38" s="482"/>
      <c r="E38" s="843" t="s">
        <v>199</v>
      </c>
      <c r="F38" s="843"/>
      <c r="G38" s="843"/>
      <c r="H38" s="843"/>
      <c r="J38" s="131"/>
      <c r="K38" s="131"/>
      <c r="L38" s="131"/>
      <c r="M38" s="131"/>
      <c r="N38" s="131"/>
    </row>
    <row r="39" spans="2:14">
      <c r="B39" s="483" t="s">
        <v>190</v>
      </c>
      <c r="C39" s="483" t="s">
        <v>116</v>
      </c>
      <c r="D39" s="483"/>
      <c r="E39" s="676" t="s">
        <v>1037</v>
      </c>
      <c r="F39" s="677" t="s">
        <v>1038</v>
      </c>
      <c r="G39" s="676" t="s">
        <v>1039</v>
      </c>
      <c r="H39" s="676" t="s">
        <v>1040</v>
      </c>
      <c r="J39" s="131"/>
      <c r="K39" s="131"/>
      <c r="L39" s="131"/>
      <c r="M39" s="131"/>
      <c r="N39" s="131"/>
    </row>
    <row r="40" spans="2:14">
      <c r="B40" s="396" t="s">
        <v>1035</v>
      </c>
      <c r="C40" s="396" t="s">
        <v>1098</v>
      </c>
      <c r="D40" s="396"/>
      <c r="E40" s="390"/>
      <c r="F40" s="390"/>
      <c r="G40" s="390"/>
      <c r="H40" s="390"/>
    </row>
    <row r="41" spans="2:14">
      <c r="B41" s="396" t="s">
        <v>1036</v>
      </c>
      <c r="C41" s="396" t="s">
        <v>1098</v>
      </c>
      <c r="D41" s="396"/>
      <c r="E41" s="390"/>
      <c r="F41" s="390"/>
      <c r="G41" s="390"/>
      <c r="H41" s="390"/>
    </row>
    <row r="42" spans="2:14">
      <c r="B42" s="131"/>
      <c r="C42" s="131"/>
      <c r="D42" s="131"/>
      <c r="E42" s="131"/>
      <c r="F42" s="131"/>
      <c r="G42" s="131"/>
      <c r="H42" s="131"/>
    </row>
    <row r="43" spans="2:14">
      <c r="B43" s="131"/>
      <c r="C43" s="131"/>
      <c r="D43" s="131"/>
      <c r="E43" s="131"/>
      <c r="F43" s="131"/>
      <c r="G43" s="131"/>
      <c r="H43" s="131"/>
    </row>
    <row r="44" spans="2:14">
      <c r="B44" s="483" t="s">
        <v>1087</v>
      </c>
      <c r="C44" s="482"/>
      <c r="D44" s="482"/>
      <c r="E44" s="845" t="s">
        <v>1089</v>
      </c>
      <c r="F44" s="843" t="s">
        <v>320</v>
      </c>
      <c r="G44" s="843" t="s">
        <v>1090</v>
      </c>
      <c r="H44" s="843" t="s">
        <v>198</v>
      </c>
      <c r="J44" s="131"/>
      <c r="K44" s="131"/>
      <c r="L44" s="131"/>
      <c r="M44" s="131"/>
      <c r="N44" s="131"/>
    </row>
    <row r="45" spans="2:14">
      <c r="B45" s="483" t="s">
        <v>190</v>
      </c>
      <c r="C45" s="483" t="s">
        <v>116</v>
      </c>
      <c r="D45" s="483"/>
      <c r="E45" s="846"/>
      <c r="F45" s="847"/>
      <c r="G45" s="847"/>
      <c r="H45" s="847"/>
      <c r="J45" s="131"/>
      <c r="K45" s="131"/>
      <c r="L45" s="131"/>
      <c r="M45" s="131"/>
      <c r="N45" s="131"/>
    </row>
    <row r="46" spans="2:14" ht="23" customHeight="1">
      <c r="B46" s="396" t="s">
        <v>1092</v>
      </c>
      <c r="C46" s="396" t="s">
        <v>1091</v>
      </c>
      <c r="D46" s="396"/>
      <c r="E46" s="779">
        <v>0</v>
      </c>
      <c r="F46" s="780">
        <v>2</v>
      </c>
      <c r="G46" s="390">
        <v>0</v>
      </c>
      <c r="H46" s="390">
        <f>G46*F46*E46</f>
        <v>0</v>
      </c>
    </row>
    <row r="47" spans="2:14">
      <c r="B47" s="131"/>
      <c r="C47" s="131"/>
      <c r="D47" s="131"/>
      <c r="E47" s="131"/>
      <c r="F47" s="131"/>
      <c r="G47" s="131"/>
      <c r="H47" s="131"/>
    </row>
    <row r="48" spans="2:14">
      <c r="B48" s="483" t="s">
        <v>1078</v>
      </c>
      <c r="C48" s="482"/>
      <c r="D48" s="482"/>
      <c r="E48" s="843" t="s">
        <v>1079</v>
      </c>
      <c r="F48" s="843"/>
      <c r="G48" s="843"/>
      <c r="H48" s="843"/>
      <c r="J48" s="131"/>
      <c r="K48" s="131"/>
      <c r="L48" s="131"/>
      <c r="M48" s="131"/>
      <c r="N48" s="131"/>
    </row>
    <row r="49" spans="2:14">
      <c r="B49" s="483" t="s">
        <v>190</v>
      </c>
      <c r="C49" s="483" t="s">
        <v>116</v>
      </c>
      <c r="D49" s="483"/>
      <c r="E49" s="769" t="s">
        <v>1080</v>
      </c>
      <c r="F49" s="677" t="s">
        <v>1083</v>
      </c>
      <c r="G49" s="769" t="s">
        <v>1082</v>
      </c>
      <c r="H49" s="769" t="s">
        <v>1081</v>
      </c>
      <c r="J49" s="131"/>
      <c r="K49" s="131"/>
      <c r="L49" s="131"/>
      <c r="M49" s="131"/>
      <c r="N49" s="131"/>
    </row>
    <row r="50" spans="2:14">
      <c r="B50" s="396" t="s">
        <v>1088</v>
      </c>
      <c r="C50" s="396" t="s">
        <v>1091</v>
      </c>
      <c r="D50" s="396"/>
      <c r="E50" s="390"/>
      <c r="F50" s="390"/>
      <c r="G50" s="390"/>
      <c r="H50" s="390"/>
    </row>
    <row r="51" spans="2:14">
      <c r="B51" s="131"/>
      <c r="C51" s="131"/>
      <c r="D51" s="131"/>
      <c r="E51" s="131"/>
      <c r="F51" s="131"/>
      <c r="G51" s="131"/>
      <c r="H51" s="131"/>
    </row>
    <row r="52" spans="2:14">
      <c r="B52" s="131"/>
      <c r="C52" s="131"/>
      <c r="D52" s="131"/>
      <c r="E52" s="131"/>
      <c r="F52" s="131"/>
      <c r="G52" s="131"/>
      <c r="H52" s="131"/>
    </row>
    <row r="53" spans="2:14">
      <c r="B53" s="482"/>
      <c r="C53" s="482"/>
      <c r="D53" s="482"/>
      <c r="E53" s="843" t="s">
        <v>152</v>
      </c>
      <c r="F53" s="843"/>
      <c r="G53" s="843"/>
      <c r="H53" s="843"/>
    </row>
    <row r="54" spans="2:14">
      <c r="B54" s="483" t="s">
        <v>1093</v>
      </c>
      <c r="C54" s="483" t="s">
        <v>116</v>
      </c>
      <c r="D54" s="484"/>
      <c r="E54" s="784" t="s">
        <v>117</v>
      </c>
      <c r="F54" s="784" t="s">
        <v>46</v>
      </c>
      <c r="G54" s="784" t="s">
        <v>232</v>
      </c>
      <c r="H54" s="784" t="s">
        <v>1097</v>
      </c>
    </row>
    <row r="55" spans="2:14">
      <c r="B55" s="396" t="s">
        <v>1094</v>
      </c>
      <c r="C55" s="396" t="s">
        <v>1095</v>
      </c>
      <c r="D55" s="397"/>
      <c r="E55" s="390"/>
      <c r="F55" s="390"/>
      <c r="G55" s="390"/>
      <c r="H55" s="390"/>
    </row>
    <row r="56" spans="2:14">
      <c r="B56" s="396" t="s">
        <v>1094</v>
      </c>
      <c r="C56" s="396" t="s">
        <v>1096</v>
      </c>
      <c r="D56" s="397"/>
      <c r="E56" s="390"/>
      <c r="F56" s="390"/>
      <c r="G56" s="390"/>
      <c r="H56" s="390"/>
    </row>
    <row r="57" spans="2:14">
      <c r="B57" s="131"/>
      <c r="C57" s="131"/>
      <c r="D57" s="131"/>
      <c r="E57" s="131"/>
      <c r="F57" s="131"/>
      <c r="G57" s="131"/>
      <c r="H57" s="131"/>
    </row>
    <row r="58" spans="2:14">
      <c r="B58" s="131"/>
      <c r="C58" s="131"/>
      <c r="D58" s="131"/>
      <c r="E58" s="131"/>
      <c r="F58" s="131"/>
      <c r="G58" s="131"/>
      <c r="H58" s="131"/>
    </row>
    <row r="59" spans="2:14">
      <c r="B59" s="131"/>
      <c r="C59" s="131"/>
      <c r="D59" s="131"/>
      <c r="E59" s="131"/>
      <c r="F59" s="131"/>
      <c r="G59" s="131"/>
      <c r="H59" s="131"/>
    </row>
    <row r="60" spans="2:14">
      <c r="B60" s="131"/>
      <c r="C60" s="131"/>
      <c r="D60" s="131"/>
      <c r="E60" s="131"/>
      <c r="F60" s="131"/>
      <c r="G60" s="131"/>
      <c r="H60" s="131"/>
    </row>
    <row r="61" spans="2:14" ht="32" customHeight="1">
      <c r="B61" s="844" t="s">
        <v>86</v>
      </c>
      <c r="C61" s="844"/>
      <c r="D61" s="844"/>
      <c r="E61" s="844"/>
      <c r="F61" s="844"/>
      <c r="G61" s="844"/>
      <c r="H61" s="844"/>
    </row>
    <row r="62" spans="2:14" ht="12.75" customHeight="1">
      <c r="B62" s="842" t="s">
        <v>44</v>
      </c>
      <c r="C62" s="842"/>
      <c r="D62" s="842"/>
      <c r="E62" s="842"/>
      <c r="F62" s="842"/>
      <c r="G62" s="842"/>
      <c r="H62" s="842"/>
    </row>
    <row r="63" spans="2:14">
      <c r="B63" s="842"/>
      <c r="C63" s="842"/>
      <c r="D63" s="842"/>
      <c r="E63" s="842"/>
      <c r="F63" s="842"/>
      <c r="G63" s="842"/>
      <c r="H63" s="842"/>
    </row>
    <row r="64" spans="2:14">
      <c r="B64" s="842"/>
      <c r="C64" s="842"/>
      <c r="D64" s="842"/>
      <c r="E64" s="842"/>
      <c r="F64" s="842"/>
      <c r="G64" s="842"/>
      <c r="H64" s="842"/>
    </row>
    <row r="65" spans="2:10">
      <c r="B65" s="149"/>
      <c r="C65" s="149"/>
      <c r="D65" s="149"/>
      <c r="E65" s="149"/>
      <c r="F65" s="149"/>
      <c r="G65" s="149"/>
      <c r="H65" s="149"/>
    </row>
    <row r="66" spans="2:10">
      <c r="B66" s="149" t="s">
        <v>21</v>
      </c>
      <c r="C66" s="149" t="s">
        <v>57</v>
      </c>
      <c r="D66" s="149"/>
      <c r="E66" s="149"/>
      <c r="F66" s="149"/>
      <c r="G66" s="149"/>
      <c r="H66" s="149"/>
    </row>
    <row r="67" spans="2:10" ht="15.75" customHeight="1">
      <c r="B67" s="136" t="s">
        <v>225</v>
      </c>
      <c r="C67" s="131" t="s">
        <v>175</v>
      </c>
      <c r="D67" s="135"/>
      <c r="E67" s="390"/>
      <c r="F67" s="135"/>
      <c r="G67" s="135"/>
      <c r="H67" s="135"/>
      <c r="J67" s="496">
        <v>22.300299439885112</v>
      </c>
    </row>
    <row r="68" spans="2:10">
      <c r="B68" s="131" t="s">
        <v>35</v>
      </c>
      <c r="C68" s="131" t="s">
        <v>178</v>
      </c>
      <c r="D68" s="135"/>
      <c r="E68" s="390"/>
      <c r="F68" s="135"/>
      <c r="G68" s="135"/>
      <c r="H68" s="135"/>
      <c r="J68" s="496">
        <v>35.04</v>
      </c>
    </row>
    <row r="69" spans="2:10" ht="12.75" customHeight="1">
      <c r="B69" s="131" t="s">
        <v>225</v>
      </c>
      <c r="C69" s="131" t="s">
        <v>111</v>
      </c>
      <c r="D69" s="135"/>
      <c r="E69" s="390"/>
      <c r="F69" s="135"/>
      <c r="G69" s="135"/>
      <c r="H69" s="135"/>
      <c r="J69" s="496">
        <v>38.44</v>
      </c>
    </row>
    <row r="70" spans="2:10">
      <c r="B70" s="136" t="s">
        <v>35</v>
      </c>
      <c r="C70" s="136" t="s">
        <v>111</v>
      </c>
      <c r="D70" s="134"/>
      <c r="E70" s="390"/>
      <c r="F70" s="134"/>
      <c r="G70" s="135"/>
      <c r="H70" s="135"/>
      <c r="J70" s="496">
        <v>31.78409724752219</v>
      </c>
    </row>
    <row r="71" spans="2:10">
      <c r="B71" s="131" t="s">
        <v>225</v>
      </c>
      <c r="C71" s="131" t="s">
        <v>62</v>
      </c>
      <c r="D71" s="135"/>
      <c r="E71" s="390"/>
      <c r="F71" s="135"/>
      <c r="G71" s="134"/>
      <c r="H71" s="134"/>
      <c r="J71" s="496">
        <v>48.18</v>
      </c>
    </row>
    <row r="72" spans="2:10">
      <c r="B72" s="136" t="s">
        <v>35</v>
      </c>
      <c r="C72" s="136" t="s">
        <v>62</v>
      </c>
      <c r="D72" s="134"/>
      <c r="E72" s="390"/>
      <c r="F72" s="134"/>
      <c r="G72" s="135"/>
      <c r="H72" s="135"/>
      <c r="J72" s="496">
        <v>50.751692862796347</v>
      </c>
    </row>
    <row r="73" spans="2:10">
      <c r="B73" s="131"/>
      <c r="C73" s="131"/>
      <c r="D73" s="131"/>
      <c r="E73" s="131"/>
      <c r="F73" s="131"/>
      <c r="G73" s="134"/>
      <c r="H73" s="134"/>
      <c r="J73" s="496">
        <v>74.459999999999994</v>
      </c>
    </row>
    <row r="74" spans="2:10" ht="12.75" customHeight="1">
      <c r="B74" s="130" t="s">
        <v>68</v>
      </c>
      <c r="C74" s="150"/>
      <c r="D74" s="150"/>
      <c r="E74" s="151"/>
      <c r="G74" s="131"/>
      <c r="H74" s="131"/>
    </row>
    <row r="75" spans="2:10" ht="12.75" customHeight="1">
      <c r="B75" s="152" t="s">
        <v>73</v>
      </c>
      <c r="C75" s="150"/>
      <c r="D75" s="150"/>
      <c r="E75" s="151"/>
    </row>
    <row r="76" spans="2:10" ht="12.75" customHeight="1">
      <c r="B76" s="152" t="s">
        <v>123</v>
      </c>
      <c r="C76" s="150"/>
      <c r="D76" s="150"/>
      <c r="E76" s="151"/>
    </row>
    <row r="77" spans="2:10" ht="12.75" customHeight="1"/>
    <row r="78" spans="2:10" ht="12.75" customHeight="1"/>
    <row r="79" spans="2:10" ht="12.75" customHeight="1"/>
    <row r="80" spans="2:10" ht="12.75" customHeight="1"/>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sheetData>
  <mergeCells count="14">
    <mergeCell ref="J15:N15"/>
    <mergeCell ref="J32:M32"/>
    <mergeCell ref="B13:H13"/>
    <mergeCell ref="B62:H64"/>
    <mergeCell ref="E15:H15"/>
    <mergeCell ref="E32:H32"/>
    <mergeCell ref="B61:H61"/>
    <mergeCell ref="E38:H38"/>
    <mergeCell ref="E48:H48"/>
    <mergeCell ref="E44:E45"/>
    <mergeCell ref="F44:F45"/>
    <mergeCell ref="G44:G45"/>
    <mergeCell ref="H44:H45"/>
    <mergeCell ref="E53:H53"/>
  </mergeCells>
  <phoneticPr fontId="20"/>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legacyDrawing r:id="rId2"/>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dimension ref="A1:AH134"/>
  <sheetViews>
    <sheetView showGridLines="0" showZeros="0" showOutlineSymbols="0" topLeftCell="A8" zoomScaleSheetLayoutView="75" workbookViewId="0">
      <selection activeCell="O81" sqref="O81"/>
    </sheetView>
  </sheetViews>
  <sheetFormatPr baseColWidth="10" defaultColWidth="0" defaultRowHeight="13" x14ac:dyDescent="0"/>
  <cols>
    <col min="1" max="1" width="5" style="61" customWidth="1"/>
    <col min="2" max="2" width="41.42578125" style="147" customWidth="1"/>
    <col min="3" max="3" width="22.42578125" style="137" customWidth="1"/>
    <col min="4" max="4" width="34.28515625" style="138" bestFit="1"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12.28515625" style="139" customWidth="1"/>
    <col min="11" max="12" width="9.5703125" style="139" customWidth="1"/>
    <col min="13" max="13" width="11.5703125" style="61" bestFit="1" customWidth="1"/>
    <col min="14" max="14" width="10.7109375" style="61" bestFit="1" customWidth="1"/>
    <col min="15" max="15" width="13.85546875" style="61" customWidth="1"/>
    <col min="16" max="16" width="9.28515625" style="61" bestFit="1" customWidth="1"/>
    <col min="17" max="18" width="10.5703125" style="61" bestFit="1" customWidth="1"/>
    <col min="19" max="19" width="10.85546875" style="61" bestFit="1" customWidth="1"/>
    <col min="20" max="20" width="10.5703125" style="61" bestFit="1" customWidth="1"/>
    <col min="21" max="21" width="10.140625" style="61" bestFit="1" customWidth="1"/>
    <col min="22" max="22" width="12.28515625" style="61" bestFit="1" customWidth="1"/>
    <col min="23" max="25" width="12.5703125" style="61" customWidth="1"/>
    <col min="26" max="29" width="11.85546875" style="61" hidden="1" customWidth="1"/>
    <col min="30" max="30" width="10.85546875" style="61" bestFit="1" customWidth="1"/>
    <col min="31" max="31" width="12.85546875" style="61" bestFit="1" customWidth="1"/>
    <col min="32" max="34" width="0" style="61" hidden="1" customWidth="1"/>
    <col min="35" max="16384" width="10.7109375" style="61" hidden="1"/>
  </cols>
  <sheetData>
    <row r="1" spans="1:34" ht="27" customHeight="1">
      <c r="B1" s="387" t="s">
        <v>32</v>
      </c>
    </row>
    <row r="2" spans="1:34" ht="27" customHeight="1">
      <c r="B2" s="399"/>
    </row>
    <row r="3" spans="1:34">
      <c r="B3" s="137"/>
    </row>
    <row r="4" spans="1:34" ht="16">
      <c r="B4" s="140" t="s">
        <v>160</v>
      </c>
      <c r="C4" s="141" t="str">
        <f>'Uitleg calculatiemodule'!F2</f>
        <v>Stichting Altra - Horizon</v>
      </c>
      <c r="D4" s="431"/>
      <c r="E4" s="431"/>
      <c r="F4" s="139"/>
    </row>
    <row r="5" spans="1:34" ht="16">
      <c r="B5" s="140" t="s">
        <v>42</v>
      </c>
      <c r="C5" s="140" t="s">
        <v>66</v>
      </c>
      <c r="D5" s="133"/>
      <c r="E5" s="133"/>
      <c r="F5" s="139"/>
    </row>
    <row r="6" spans="1:34" ht="15.75" customHeight="1">
      <c r="B6" s="140" t="s">
        <v>52</v>
      </c>
      <c r="C6" s="141" t="str">
        <f>'Uitleg calculatiemodule'!F3</f>
        <v>Regio Noord Holland</v>
      </c>
      <c r="D6" s="430"/>
      <c r="E6" s="430"/>
      <c r="F6" s="139"/>
    </row>
    <row r="7" spans="1:34" ht="16">
      <c r="B7" s="140" t="s">
        <v>217</v>
      </c>
      <c r="C7" s="141" t="str">
        <f>'Uitleg calculatiemodule'!F4</f>
        <v>180417 V2</v>
      </c>
      <c r="D7" s="133"/>
      <c r="E7" s="133"/>
      <c r="F7" s="139"/>
    </row>
    <row r="8" spans="1:34" ht="16">
      <c r="B8" s="140" t="s">
        <v>158</v>
      </c>
      <c r="C8" s="141" t="str">
        <f>'1.0-Contractblad'!E6</f>
        <v>[NAAM LEVERANCIER]</v>
      </c>
      <c r="D8" s="133"/>
      <c r="E8" s="675">
        <f>Voorblad!$E$15</f>
        <v>42917</v>
      </c>
      <c r="F8" s="139"/>
    </row>
    <row r="9" spans="1:34" ht="16">
      <c r="B9" s="140">
        <v>0</v>
      </c>
      <c r="C9" s="141">
        <v>0</v>
      </c>
      <c r="D9" s="133"/>
      <c r="E9" s="133"/>
      <c r="F9" s="139"/>
    </row>
    <row r="10" spans="1:34" ht="16">
      <c r="B10" s="140" t="s">
        <v>23</v>
      </c>
      <c r="C10" s="129" t="s">
        <v>92</v>
      </c>
      <c r="D10" s="133"/>
      <c r="E10" s="133"/>
      <c r="F10" s="139"/>
    </row>
    <row r="11" spans="1:34" ht="16">
      <c r="B11" s="140"/>
      <c r="C11" s="129"/>
      <c r="D11" s="133"/>
      <c r="E11" s="133"/>
      <c r="F11" s="133"/>
    </row>
    <row r="12" spans="1:34">
      <c r="B12" s="144"/>
      <c r="C12" s="145"/>
      <c r="D12" s="146"/>
      <c r="E12" s="146"/>
      <c r="F12" s="146"/>
    </row>
    <row r="13" spans="1:34" ht="18.75" customHeight="1">
      <c r="B13" s="841" t="s">
        <v>321</v>
      </c>
      <c r="C13" s="841"/>
      <c r="D13" s="841"/>
      <c r="E13" s="841"/>
      <c r="F13" s="841"/>
      <c r="G13" s="841"/>
      <c r="H13" s="841"/>
      <c r="I13" s="841"/>
      <c r="J13" s="841"/>
      <c r="K13" s="665"/>
      <c r="L13" s="665"/>
      <c r="M13" s="429"/>
    </row>
    <row r="14" spans="1:34">
      <c r="D14" s="137"/>
      <c r="E14" s="137"/>
      <c r="F14" s="848" t="s">
        <v>343</v>
      </c>
      <c r="G14" s="849"/>
      <c r="H14" s="849"/>
      <c r="I14" s="849"/>
      <c r="J14" s="850"/>
      <c r="K14" s="667"/>
      <c r="L14" s="667"/>
      <c r="M14" s="853" t="s">
        <v>1047</v>
      </c>
      <c r="N14" s="854"/>
      <c r="O14" s="854"/>
      <c r="P14" s="855"/>
      <c r="Q14" s="429"/>
      <c r="R14" s="429"/>
      <c r="S14" s="428"/>
      <c r="T14" s="667"/>
      <c r="U14" s="429"/>
    </row>
    <row r="15" spans="1:34" s="687" customFormat="1" ht="36">
      <c r="B15" s="448" t="s">
        <v>41</v>
      </c>
      <c r="C15" s="429" t="s">
        <v>1042</v>
      </c>
      <c r="D15" s="429" t="s">
        <v>54</v>
      </c>
      <c r="E15" s="449" t="s">
        <v>320</v>
      </c>
      <c r="F15" s="449" t="s">
        <v>344</v>
      </c>
      <c r="G15" s="449" t="s">
        <v>320</v>
      </c>
      <c r="H15" s="471" t="s">
        <v>1030</v>
      </c>
      <c r="I15" s="471" t="s">
        <v>320</v>
      </c>
      <c r="J15" s="471" t="s">
        <v>1019</v>
      </c>
      <c r="K15" s="471" t="s">
        <v>320</v>
      </c>
      <c r="L15" s="471" t="s">
        <v>1024</v>
      </c>
      <c r="M15" s="471" t="s">
        <v>1048</v>
      </c>
      <c r="N15" s="449" t="s">
        <v>1049</v>
      </c>
      <c r="O15" s="471" t="s">
        <v>1050</v>
      </c>
      <c r="P15" s="471" t="s">
        <v>1051</v>
      </c>
      <c r="Q15" s="471" t="s">
        <v>1026</v>
      </c>
      <c r="R15" s="471" t="s">
        <v>1027</v>
      </c>
      <c r="S15" s="471" t="s">
        <v>1028</v>
      </c>
      <c r="T15" s="471" t="s">
        <v>1024</v>
      </c>
      <c r="U15" s="472" t="s">
        <v>345</v>
      </c>
      <c r="V15" s="471" t="s">
        <v>399</v>
      </c>
      <c r="W15" s="471" t="s">
        <v>400</v>
      </c>
      <c r="X15" s="471" t="s">
        <v>401</v>
      </c>
      <c r="Y15" s="471" t="s">
        <v>1025</v>
      </c>
      <c r="Z15" s="472" t="s">
        <v>346</v>
      </c>
      <c r="AA15" s="472" t="s">
        <v>347</v>
      </c>
      <c r="AB15" s="472" t="s">
        <v>348</v>
      </c>
      <c r="AC15" s="472" t="s">
        <v>1029</v>
      </c>
      <c r="AD15" s="472" t="s">
        <v>349</v>
      </c>
      <c r="AE15" s="472" t="s">
        <v>198</v>
      </c>
      <c r="AF15" s="686"/>
      <c r="AG15" s="686"/>
    </row>
    <row r="16" spans="1:34">
      <c r="A16" s="61">
        <v>1</v>
      </c>
      <c r="B16" s="671" t="s">
        <v>1067</v>
      </c>
      <c r="C16" s="672" t="s">
        <v>809</v>
      </c>
      <c r="D16" s="673"/>
      <c r="E16" s="469">
        <v>3</v>
      </c>
      <c r="F16" s="674">
        <v>499.5</v>
      </c>
      <c r="G16" s="469">
        <v>2</v>
      </c>
      <c r="H16" s="674">
        <v>364</v>
      </c>
      <c r="I16" s="469">
        <v>2</v>
      </c>
      <c r="J16" s="674">
        <v>252</v>
      </c>
      <c r="K16" s="469"/>
      <c r="L16" s="674"/>
      <c r="M16" s="470"/>
      <c r="N16" s="470"/>
      <c r="O16" s="470"/>
      <c r="P16" s="786"/>
      <c r="Q16" s="473">
        <f t="shared" ref="Q16:Q21" si="0">IF(M16=0,0,F16/M16)*E16</f>
        <v>0</v>
      </c>
      <c r="R16" s="473">
        <f t="shared" ref="R16:R21" si="1">IF(N16=0,0,H16/N16)*G16</f>
        <v>0</v>
      </c>
      <c r="S16" s="473">
        <f t="shared" ref="S16:S21" si="2">IF(O16=0,0,J16/O16)*I16</f>
        <v>0</v>
      </c>
      <c r="T16" s="670"/>
      <c r="U16" s="474">
        <f>'1.0-Contractblad'!$L$137</f>
        <v>0</v>
      </c>
      <c r="V16" s="558">
        <f t="shared" ref="V16:V21" si="3">IF(M16=0,0,Q16*U16)</f>
        <v>0</v>
      </c>
      <c r="W16" s="558">
        <f t="shared" ref="W16:W21" si="4">IF(N16=0,0,R16*U16)</f>
        <v>0</v>
      </c>
      <c r="X16" s="558">
        <f t="shared" ref="X16:X21" si="5">IF(O16=0,0,S16*U16)</f>
        <v>0</v>
      </c>
      <c r="Y16" s="558">
        <f t="shared" ref="Y16:Y21" si="6">IF(P16=0,0,T16*U16)</f>
        <v>0</v>
      </c>
      <c r="Z16" s="475">
        <f t="shared" ref="Z16:Z21" si="7">IF(F16=0,0,V16/E16/F16)</f>
        <v>0</v>
      </c>
      <c r="AA16" s="475">
        <f t="shared" ref="AA16:AA21" si="8">IF(H16=0,0,W16/G16/H16)</f>
        <v>0</v>
      </c>
      <c r="AB16" s="476">
        <f t="shared" ref="AB16:AB21" si="9">IF(J16=0,0,X16/I16/J16)</f>
        <v>0</v>
      </c>
      <c r="AC16" s="476">
        <f t="shared" ref="AC16:AC21" si="10">IF(L16=0,0,Y16/K16/L16)</f>
        <v>0</v>
      </c>
      <c r="AD16" s="559">
        <f>E113*D113</f>
        <v>0</v>
      </c>
      <c r="AE16" s="559">
        <f t="shared" ref="AE16:AE21" si="11">IF(M16=0,0,V16+W16+X16)+Y16</f>
        <v>0</v>
      </c>
      <c r="AH16" s="699">
        <f t="shared" ref="AH16:AH21" si="12">F16+H16+J16+L16</f>
        <v>1115.5</v>
      </c>
    </row>
    <row r="17" spans="1:34">
      <c r="A17" s="61">
        <v>1</v>
      </c>
      <c r="B17" s="671" t="s">
        <v>1071</v>
      </c>
      <c r="C17" s="672" t="s">
        <v>1072</v>
      </c>
      <c r="D17" s="673"/>
      <c r="E17" s="469">
        <v>3</v>
      </c>
      <c r="F17" s="674">
        <v>513</v>
      </c>
      <c r="G17" s="469">
        <v>2</v>
      </c>
      <c r="H17" s="674">
        <v>513</v>
      </c>
      <c r="I17" s="469">
        <v>2</v>
      </c>
      <c r="J17" s="674">
        <v>238</v>
      </c>
      <c r="K17" s="469"/>
      <c r="L17" s="674"/>
      <c r="M17" s="470"/>
      <c r="N17" s="470"/>
      <c r="O17" s="470"/>
      <c r="P17" s="786"/>
      <c r="Q17" s="473">
        <f t="shared" si="0"/>
        <v>0</v>
      </c>
      <c r="R17" s="473">
        <f t="shared" si="1"/>
        <v>0</v>
      </c>
      <c r="S17" s="473">
        <f t="shared" si="2"/>
        <v>0</v>
      </c>
      <c r="T17" s="670"/>
      <c r="U17" s="474">
        <f>'1.0-Contractblad'!$L$137</f>
        <v>0</v>
      </c>
      <c r="V17" s="558">
        <f t="shared" si="3"/>
        <v>0</v>
      </c>
      <c r="W17" s="558">
        <f t="shared" si="4"/>
        <v>0</v>
      </c>
      <c r="X17" s="558">
        <f t="shared" si="5"/>
        <v>0</v>
      </c>
      <c r="Y17" s="558">
        <f t="shared" si="6"/>
        <v>0</v>
      </c>
      <c r="Z17" s="475">
        <f t="shared" si="7"/>
        <v>0</v>
      </c>
      <c r="AA17" s="475">
        <f t="shared" si="8"/>
        <v>0</v>
      </c>
      <c r="AB17" s="476">
        <f t="shared" si="9"/>
        <v>0</v>
      </c>
      <c r="AC17" s="476">
        <f t="shared" si="10"/>
        <v>0</v>
      </c>
      <c r="AD17" s="559">
        <f t="shared" ref="AD17:AD21" si="13">E114*D114</f>
        <v>0</v>
      </c>
      <c r="AE17" s="559">
        <f t="shared" si="11"/>
        <v>0</v>
      </c>
      <c r="AH17" s="699">
        <f t="shared" si="12"/>
        <v>1264</v>
      </c>
    </row>
    <row r="18" spans="1:34">
      <c r="A18" s="61">
        <v>1</v>
      </c>
      <c r="B18" s="671" t="s">
        <v>1017</v>
      </c>
      <c r="C18" s="672" t="s">
        <v>808</v>
      </c>
      <c r="D18" s="673"/>
      <c r="E18" s="469">
        <v>3</v>
      </c>
      <c r="F18" s="674">
        <v>245.3</v>
      </c>
      <c r="G18" s="469">
        <v>2</v>
      </c>
      <c r="H18" s="674">
        <v>245.3</v>
      </c>
      <c r="I18" s="469">
        <v>2</v>
      </c>
      <c r="J18" s="674">
        <v>210.67</v>
      </c>
      <c r="K18" s="469"/>
      <c r="L18" s="674"/>
      <c r="M18" s="470"/>
      <c r="N18" s="470"/>
      <c r="O18" s="470"/>
      <c r="P18" s="786"/>
      <c r="Q18" s="473">
        <f t="shared" si="0"/>
        <v>0</v>
      </c>
      <c r="R18" s="473">
        <f t="shared" si="1"/>
        <v>0</v>
      </c>
      <c r="S18" s="473">
        <f t="shared" si="2"/>
        <v>0</v>
      </c>
      <c r="T18" s="670"/>
      <c r="U18" s="474">
        <f>'1.0-Contractblad'!$L$137</f>
        <v>0</v>
      </c>
      <c r="V18" s="558">
        <f t="shared" si="3"/>
        <v>0</v>
      </c>
      <c r="W18" s="558">
        <f t="shared" si="4"/>
        <v>0</v>
      </c>
      <c r="X18" s="558">
        <f t="shared" si="5"/>
        <v>0</v>
      </c>
      <c r="Y18" s="558">
        <f t="shared" si="6"/>
        <v>0</v>
      </c>
      <c r="Z18" s="475">
        <f t="shared" si="7"/>
        <v>0</v>
      </c>
      <c r="AA18" s="475">
        <f t="shared" si="8"/>
        <v>0</v>
      </c>
      <c r="AB18" s="476">
        <f t="shared" si="9"/>
        <v>0</v>
      </c>
      <c r="AC18" s="476">
        <f t="shared" si="10"/>
        <v>0</v>
      </c>
      <c r="AD18" s="559">
        <f t="shared" si="13"/>
        <v>0</v>
      </c>
      <c r="AE18" s="559">
        <f t="shared" si="11"/>
        <v>0</v>
      </c>
      <c r="AH18" s="699">
        <f t="shared" si="12"/>
        <v>701.27</v>
      </c>
    </row>
    <row r="19" spans="1:34">
      <c r="A19" s="61">
        <v>1</v>
      </c>
      <c r="B19" s="671" t="s">
        <v>1016</v>
      </c>
      <c r="C19" s="672" t="s">
        <v>807</v>
      </c>
      <c r="D19" s="673"/>
      <c r="E19" s="469">
        <v>3</v>
      </c>
      <c r="F19" s="674">
        <v>819</v>
      </c>
      <c r="G19" s="469">
        <v>2</v>
      </c>
      <c r="H19" s="674">
        <v>746</v>
      </c>
      <c r="I19" s="469">
        <v>2</v>
      </c>
      <c r="J19" s="674">
        <v>545</v>
      </c>
      <c r="K19" s="469"/>
      <c r="L19" s="674"/>
      <c r="M19" s="470"/>
      <c r="N19" s="470"/>
      <c r="O19" s="470"/>
      <c r="P19" s="786"/>
      <c r="Q19" s="473">
        <f t="shared" si="0"/>
        <v>0</v>
      </c>
      <c r="R19" s="473">
        <f t="shared" si="1"/>
        <v>0</v>
      </c>
      <c r="S19" s="473">
        <f t="shared" si="2"/>
        <v>0</v>
      </c>
      <c r="T19" s="670"/>
      <c r="U19" s="474">
        <f>'1.0-Contractblad'!$L$137</f>
        <v>0</v>
      </c>
      <c r="V19" s="558">
        <f t="shared" si="3"/>
        <v>0</v>
      </c>
      <c r="W19" s="558">
        <f t="shared" si="4"/>
        <v>0</v>
      </c>
      <c r="X19" s="558">
        <f t="shared" si="5"/>
        <v>0</v>
      </c>
      <c r="Y19" s="558">
        <f t="shared" si="6"/>
        <v>0</v>
      </c>
      <c r="Z19" s="475">
        <f t="shared" si="7"/>
        <v>0</v>
      </c>
      <c r="AA19" s="475">
        <f t="shared" si="8"/>
        <v>0</v>
      </c>
      <c r="AB19" s="476">
        <f t="shared" si="9"/>
        <v>0</v>
      </c>
      <c r="AC19" s="476">
        <f t="shared" si="10"/>
        <v>0</v>
      </c>
      <c r="AD19" s="559">
        <f t="shared" si="13"/>
        <v>0</v>
      </c>
      <c r="AE19" s="559">
        <f t="shared" si="11"/>
        <v>0</v>
      </c>
      <c r="AH19" s="699">
        <f t="shared" si="12"/>
        <v>2110</v>
      </c>
    </row>
    <row r="20" spans="1:34">
      <c r="A20" s="61">
        <v>1</v>
      </c>
      <c r="B20" s="671" t="s">
        <v>1015</v>
      </c>
      <c r="C20" s="672" t="s">
        <v>806</v>
      </c>
      <c r="D20" s="673"/>
      <c r="E20" s="469">
        <v>3</v>
      </c>
      <c r="F20" s="674">
        <v>513</v>
      </c>
      <c r="G20" s="469">
        <v>2</v>
      </c>
      <c r="H20" s="674">
        <v>513</v>
      </c>
      <c r="I20" s="469">
        <v>2</v>
      </c>
      <c r="J20" s="674">
        <v>238</v>
      </c>
      <c r="K20" s="469"/>
      <c r="L20" s="674"/>
      <c r="M20" s="470"/>
      <c r="N20" s="470"/>
      <c r="O20" s="470"/>
      <c r="P20" s="786"/>
      <c r="Q20" s="473">
        <f t="shared" si="0"/>
        <v>0</v>
      </c>
      <c r="R20" s="473">
        <f t="shared" si="1"/>
        <v>0</v>
      </c>
      <c r="S20" s="473">
        <f t="shared" si="2"/>
        <v>0</v>
      </c>
      <c r="T20" s="670"/>
      <c r="U20" s="474">
        <f>'1.0-Contractblad'!$L$137</f>
        <v>0</v>
      </c>
      <c r="V20" s="558">
        <f t="shared" si="3"/>
        <v>0</v>
      </c>
      <c r="W20" s="558">
        <f t="shared" si="4"/>
        <v>0</v>
      </c>
      <c r="X20" s="558">
        <f t="shared" si="5"/>
        <v>0</v>
      </c>
      <c r="Y20" s="558">
        <f t="shared" si="6"/>
        <v>0</v>
      </c>
      <c r="Z20" s="475">
        <f t="shared" si="7"/>
        <v>0</v>
      </c>
      <c r="AA20" s="475">
        <f t="shared" si="8"/>
        <v>0</v>
      </c>
      <c r="AB20" s="476">
        <f t="shared" si="9"/>
        <v>0</v>
      </c>
      <c r="AC20" s="476">
        <f t="shared" si="10"/>
        <v>0</v>
      </c>
      <c r="AD20" s="559">
        <f t="shared" si="13"/>
        <v>0</v>
      </c>
      <c r="AE20" s="559">
        <f t="shared" si="11"/>
        <v>0</v>
      </c>
      <c r="AH20" s="699">
        <f t="shared" si="12"/>
        <v>1264</v>
      </c>
    </row>
    <row r="21" spans="1:34">
      <c r="A21" s="61">
        <v>1</v>
      </c>
      <c r="B21" s="671" t="s">
        <v>1068</v>
      </c>
      <c r="C21" s="672" t="s">
        <v>1018</v>
      </c>
      <c r="D21" s="673"/>
      <c r="E21" s="469">
        <v>3</v>
      </c>
      <c r="F21" s="674"/>
      <c r="G21" s="469">
        <v>2</v>
      </c>
      <c r="H21" s="674"/>
      <c r="I21" s="469">
        <v>2</v>
      </c>
      <c r="J21" s="674"/>
      <c r="K21" s="469"/>
      <c r="L21" s="674"/>
      <c r="M21" s="470"/>
      <c r="N21" s="470"/>
      <c r="O21" s="470"/>
      <c r="P21" s="786"/>
      <c r="Q21" s="473">
        <f t="shared" si="0"/>
        <v>0</v>
      </c>
      <c r="R21" s="473">
        <f t="shared" si="1"/>
        <v>0</v>
      </c>
      <c r="S21" s="473">
        <f t="shared" si="2"/>
        <v>0</v>
      </c>
      <c r="T21" s="670"/>
      <c r="U21" s="474">
        <f>'1.0-Contractblad'!$L$137</f>
        <v>0</v>
      </c>
      <c r="V21" s="558">
        <f t="shared" si="3"/>
        <v>0</v>
      </c>
      <c r="W21" s="558">
        <f t="shared" si="4"/>
        <v>0</v>
      </c>
      <c r="X21" s="558">
        <f t="shared" si="5"/>
        <v>0</v>
      </c>
      <c r="Y21" s="558">
        <f t="shared" si="6"/>
        <v>0</v>
      </c>
      <c r="Z21" s="475">
        <f t="shared" si="7"/>
        <v>0</v>
      </c>
      <c r="AA21" s="475">
        <f t="shared" si="8"/>
        <v>0</v>
      </c>
      <c r="AB21" s="476">
        <f t="shared" si="9"/>
        <v>0</v>
      </c>
      <c r="AC21" s="476">
        <f t="shared" si="10"/>
        <v>0</v>
      </c>
      <c r="AD21" s="559">
        <f t="shared" si="13"/>
        <v>0</v>
      </c>
      <c r="AE21" s="559">
        <f t="shared" si="11"/>
        <v>0</v>
      </c>
      <c r="AH21" s="699">
        <f t="shared" si="12"/>
        <v>0</v>
      </c>
    </row>
    <row r="22" spans="1:34" hidden="1">
      <c r="B22" s="671"/>
      <c r="C22" s="672"/>
      <c r="D22" s="673"/>
      <c r="E22" s="469"/>
      <c r="F22" s="674"/>
      <c r="G22" s="469"/>
      <c r="H22" s="674"/>
      <c r="I22" s="469"/>
      <c r="J22" s="674"/>
      <c r="K22" s="469"/>
      <c r="L22" s="674"/>
      <c r="M22" s="470"/>
      <c r="N22" s="470"/>
      <c r="O22" s="470"/>
      <c r="P22" s="786"/>
      <c r="Q22" s="473"/>
      <c r="R22" s="473"/>
      <c r="S22" s="473"/>
      <c r="T22" s="670"/>
      <c r="U22" s="474"/>
      <c r="V22" s="558"/>
      <c r="W22" s="558"/>
      <c r="X22" s="558"/>
      <c r="Y22" s="558"/>
      <c r="Z22" s="475"/>
      <c r="AA22" s="475"/>
      <c r="AB22" s="476"/>
      <c r="AC22" s="476"/>
      <c r="AD22" s="559"/>
      <c r="AE22" s="559"/>
      <c r="AH22" s="699"/>
    </row>
    <row r="23" spans="1:34" hidden="1">
      <c r="B23" s="671"/>
      <c r="C23" s="672"/>
      <c r="D23" s="673"/>
      <c r="E23" s="469"/>
      <c r="F23" s="674"/>
      <c r="G23" s="469"/>
      <c r="H23" s="674"/>
      <c r="I23" s="469"/>
      <c r="J23" s="674"/>
      <c r="K23" s="469"/>
      <c r="L23" s="674"/>
      <c r="M23" s="470"/>
      <c r="N23" s="470"/>
      <c r="O23" s="470"/>
      <c r="P23" s="786"/>
      <c r="Q23" s="473"/>
      <c r="R23" s="473"/>
      <c r="S23" s="473"/>
      <c r="T23" s="670"/>
      <c r="U23" s="474"/>
      <c r="V23" s="558"/>
      <c r="W23" s="558"/>
      <c r="X23" s="558"/>
      <c r="Y23" s="558"/>
      <c r="Z23" s="475"/>
      <c r="AA23" s="475"/>
      <c r="AB23" s="476"/>
      <c r="AC23" s="476"/>
      <c r="AD23" s="559"/>
      <c r="AE23" s="559"/>
      <c r="AH23" s="699"/>
    </row>
    <row r="24" spans="1:34" hidden="1">
      <c r="B24" s="671"/>
      <c r="C24" s="672"/>
      <c r="D24" s="673"/>
      <c r="E24" s="469"/>
      <c r="F24" s="674"/>
      <c r="G24" s="469"/>
      <c r="H24" s="674"/>
      <c r="I24" s="469"/>
      <c r="J24" s="674"/>
      <c r="K24" s="469"/>
      <c r="L24" s="674"/>
      <c r="M24" s="470"/>
      <c r="N24" s="470"/>
      <c r="O24" s="470"/>
      <c r="P24" s="786"/>
      <c r="Q24" s="473"/>
      <c r="R24" s="473"/>
      <c r="S24" s="473"/>
      <c r="T24" s="670"/>
      <c r="U24" s="474"/>
      <c r="V24" s="558"/>
      <c r="W24" s="558"/>
      <c r="X24" s="558"/>
      <c r="Y24" s="558"/>
      <c r="Z24" s="475"/>
      <c r="AA24" s="475"/>
      <c r="AB24" s="476"/>
      <c r="AC24" s="476"/>
      <c r="AD24" s="559"/>
      <c r="AE24" s="559"/>
      <c r="AH24" s="699"/>
    </row>
    <row r="25" spans="1:34" hidden="1">
      <c r="B25" s="671"/>
      <c r="C25" s="672"/>
      <c r="D25" s="673"/>
      <c r="E25" s="469"/>
      <c r="F25" s="674"/>
      <c r="G25" s="469"/>
      <c r="H25" s="674"/>
      <c r="I25" s="469"/>
      <c r="J25" s="674"/>
      <c r="K25" s="469"/>
      <c r="L25" s="674"/>
      <c r="M25" s="470"/>
      <c r="N25" s="470"/>
      <c r="O25" s="470"/>
      <c r="P25" s="786"/>
      <c r="Q25" s="473"/>
      <c r="R25" s="473"/>
      <c r="S25" s="473"/>
      <c r="T25" s="670"/>
      <c r="U25" s="474"/>
      <c r="V25" s="558"/>
      <c r="W25" s="558"/>
      <c r="X25" s="558"/>
      <c r="Y25" s="558"/>
      <c r="Z25" s="475"/>
      <c r="AA25" s="475"/>
      <c r="AB25" s="476"/>
      <c r="AC25" s="476"/>
      <c r="AD25" s="559"/>
      <c r="AE25" s="559"/>
      <c r="AH25" s="699"/>
    </row>
    <row r="26" spans="1:34" hidden="1">
      <c r="B26" s="671"/>
      <c r="C26" s="672"/>
      <c r="D26" s="673"/>
      <c r="E26" s="469"/>
      <c r="F26" s="674"/>
      <c r="G26" s="469"/>
      <c r="H26" s="674"/>
      <c r="I26" s="469"/>
      <c r="J26" s="674"/>
      <c r="K26" s="469"/>
      <c r="L26" s="674"/>
      <c r="M26" s="470"/>
      <c r="N26" s="470"/>
      <c r="O26" s="470"/>
      <c r="P26" s="786"/>
      <c r="Q26" s="473"/>
      <c r="R26" s="473"/>
      <c r="S26" s="473"/>
      <c r="T26" s="670"/>
      <c r="U26" s="474"/>
      <c r="V26" s="558"/>
      <c r="W26" s="558"/>
      <c r="X26" s="558"/>
      <c r="Y26" s="558"/>
      <c r="Z26" s="475"/>
      <c r="AA26" s="475"/>
      <c r="AB26" s="476"/>
      <c r="AC26" s="476"/>
      <c r="AD26" s="559"/>
      <c r="AE26" s="559"/>
      <c r="AH26" s="699"/>
    </row>
    <row r="27" spans="1:34" hidden="1">
      <c r="B27" s="671"/>
      <c r="C27" s="672"/>
      <c r="D27" s="673"/>
      <c r="E27" s="469"/>
      <c r="F27" s="674"/>
      <c r="G27" s="469"/>
      <c r="H27" s="674"/>
      <c r="I27" s="469"/>
      <c r="J27" s="674"/>
      <c r="K27" s="469"/>
      <c r="L27" s="674"/>
      <c r="M27" s="470"/>
      <c r="N27" s="470"/>
      <c r="O27" s="470"/>
      <c r="P27" s="786"/>
      <c r="Q27" s="473"/>
      <c r="R27" s="473"/>
      <c r="S27" s="473"/>
      <c r="T27" s="670"/>
      <c r="U27" s="474"/>
      <c r="V27" s="558"/>
      <c r="W27" s="558"/>
      <c r="X27" s="558"/>
      <c r="Y27" s="558"/>
      <c r="Z27" s="475"/>
      <c r="AA27" s="475"/>
      <c r="AB27" s="476"/>
      <c r="AC27" s="476"/>
      <c r="AD27" s="559"/>
      <c r="AE27" s="559"/>
      <c r="AH27" s="699"/>
    </row>
    <row r="28" spans="1:34" hidden="1">
      <c r="B28" s="671"/>
      <c r="C28" s="672"/>
      <c r="D28" s="673"/>
      <c r="E28" s="469"/>
      <c r="F28" s="674"/>
      <c r="G28" s="469"/>
      <c r="H28" s="674"/>
      <c r="I28" s="469"/>
      <c r="J28" s="674"/>
      <c r="K28" s="469"/>
      <c r="L28" s="674"/>
      <c r="M28" s="470"/>
      <c r="N28" s="470"/>
      <c r="O28" s="470"/>
      <c r="P28" s="786"/>
      <c r="Q28" s="473"/>
      <c r="R28" s="473"/>
      <c r="S28" s="473"/>
      <c r="T28" s="670"/>
      <c r="U28" s="474"/>
      <c r="V28" s="558"/>
      <c r="W28" s="558"/>
      <c r="X28" s="558"/>
      <c r="Y28" s="558"/>
      <c r="Z28" s="475"/>
      <c r="AA28" s="475"/>
      <c r="AB28" s="476"/>
      <c r="AC28" s="476"/>
      <c r="AD28" s="559"/>
      <c r="AE28" s="559"/>
      <c r="AH28" s="699"/>
    </row>
    <row r="29" spans="1:34" hidden="1">
      <c r="B29" s="671"/>
      <c r="C29" s="672"/>
      <c r="D29" s="673"/>
      <c r="E29" s="469"/>
      <c r="F29" s="674"/>
      <c r="G29" s="469"/>
      <c r="H29" s="674"/>
      <c r="I29" s="469"/>
      <c r="J29" s="674"/>
      <c r="K29" s="469"/>
      <c r="L29" s="674"/>
      <c r="M29" s="470"/>
      <c r="N29" s="470"/>
      <c r="O29" s="470"/>
      <c r="P29" s="786"/>
      <c r="Q29" s="473"/>
      <c r="R29" s="473"/>
      <c r="S29" s="473"/>
      <c r="T29" s="670"/>
      <c r="U29" s="474"/>
      <c r="V29" s="558"/>
      <c r="W29" s="558"/>
      <c r="X29" s="558"/>
      <c r="Y29" s="558"/>
      <c r="Z29" s="475"/>
      <c r="AA29" s="475"/>
      <c r="AB29" s="476"/>
      <c r="AC29" s="476"/>
      <c r="AD29" s="559"/>
      <c r="AE29" s="559"/>
      <c r="AH29" s="699"/>
    </row>
    <row r="30" spans="1:34" hidden="1">
      <c r="B30" s="671"/>
      <c r="C30" s="672"/>
      <c r="D30" s="673"/>
      <c r="E30" s="469"/>
      <c r="F30" s="674"/>
      <c r="G30" s="469"/>
      <c r="H30" s="674"/>
      <c r="I30" s="469"/>
      <c r="J30" s="674"/>
      <c r="K30" s="469"/>
      <c r="L30" s="674"/>
      <c r="M30" s="470"/>
      <c r="N30" s="470"/>
      <c r="O30" s="470"/>
      <c r="P30" s="786"/>
      <c r="Q30" s="473"/>
      <c r="R30" s="473"/>
      <c r="S30" s="473"/>
      <c r="T30" s="670"/>
      <c r="U30" s="474"/>
      <c r="V30" s="558"/>
      <c r="W30" s="558"/>
      <c r="X30" s="558"/>
      <c r="Y30" s="558"/>
      <c r="Z30" s="475"/>
      <c r="AA30" s="475"/>
      <c r="AB30" s="476"/>
      <c r="AC30" s="476"/>
      <c r="AD30" s="559"/>
      <c r="AE30" s="559"/>
      <c r="AH30" s="699"/>
    </row>
    <row r="31" spans="1:34" hidden="1">
      <c r="B31" s="671"/>
      <c r="C31" s="672"/>
      <c r="D31" s="673"/>
      <c r="E31" s="469"/>
      <c r="F31" s="674"/>
      <c r="G31" s="469"/>
      <c r="H31" s="674"/>
      <c r="I31" s="469"/>
      <c r="J31" s="674"/>
      <c r="K31" s="469"/>
      <c r="L31" s="674"/>
      <c r="M31" s="470"/>
      <c r="N31" s="470"/>
      <c r="O31" s="470"/>
      <c r="P31" s="786"/>
      <c r="Q31" s="473"/>
      <c r="R31" s="473"/>
      <c r="S31" s="473"/>
      <c r="T31" s="670"/>
      <c r="U31" s="474"/>
      <c r="V31" s="558"/>
      <c r="W31" s="558"/>
      <c r="X31" s="558"/>
      <c r="Y31" s="558"/>
      <c r="Z31" s="475"/>
      <c r="AA31" s="475"/>
      <c r="AB31" s="476"/>
      <c r="AC31" s="476"/>
      <c r="AD31" s="559"/>
      <c r="AE31" s="559"/>
      <c r="AH31" s="699"/>
    </row>
    <row r="32" spans="1:34" hidden="1">
      <c r="B32" s="671"/>
      <c r="C32" s="672"/>
      <c r="D32" s="673"/>
      <c r="E32" s="469"/>
      <c r="F32" s="674"/>
      <c r="G32" s="469"/>
      <c r="H32" s="674"/>
      <c r="I32" s="469"/>
      <c r="J32" s="674"/>
      <c r="K32" s="469"/>
      <c r="L32" s="674"/>
      <c r="M32" s="470"/>
      <c r="N32" s="470"/>
      <c r="O32" s="470"/>
      <c r="P32" s="786"/>
      <c r="Q32" s="473"/>
      <c r="R32" s="473"/>
      <c r="S32" s="473"/>
      <c r="T32" s="670"/>
      <c r="U32" s="474"/>
      <c r="V32" s="558"/>
      <c r="W32" s="558"/>
      <c r="X32" s="558"/>
      <c r="Y32" s="558"/>
      <c r="Z32" s="475"/>
      <c r="AA32" s="475"/>
      <c r="AB32" s="476"/>
      <c r="AC32" s="476"/>
      <c r="AD32" s="559"/>
      <c r="AE32" s="559"/>
      <c r="AH32" s="699"/>
    </row>
    <row r="33" spans="2:34" hidden="1">
      <c r="B33" s="671"/>
      <c r="C33" s="672"/>
      <c r="D33" s="673"/>
      <c r="E33" s="469"/>
      <c r="F33" s="674"/>
      <c r="G33" s="469"/>
      <c r="H33" s="674"/>
      <c r="I33" s="469"/>
      <c r="J33" s="674"/>
      <c r="K33" s="469"/>
      <c r="L33" s="674"/>
      <c r="M33" s="470"/>
      <c r="N33" s="470"/>
      <c r="O33" s="470"/>
      <c r="P33" s="786"/>
      <c r="Q33" s="473"/>
      <c r="R33" s="473"/>
      <c r="S33" s="473"/>
      <c r="T33" s="670"/>
      <c r="U33" s="474"/>
      <c r="V33" s="558"/>
      <c r="W33" s="558"/>
      <c r="X33" s="558"/>
      <c r="Y33" s="558"/>
      <c r="Z33" s="475"/>
      <c r="AA33" s="475"/>
      <c r="AB33" s="476"/>
      <c r="AC33" s="476"/>
      <c r="AD33" s="559"/>
      <c r="AE33" s="559"/>
      <c r="AH33" s="699"/>
    </row>
    <row r="34" spans="2:34" hidden="1">
      <c r="B34" s="671"/>
      <c r="C34" s="672"/>
      <c r="D34" s="673"/>
      <c r="E34" s="469"/>
      <c r="F34" s="674"/>
      <c r="G34" s="469"/>
      <c r="H34" s="674"/>
      <c r="I34" s="469"/>
      <c r="J34" s="674"/>
      <c r="K34" s="469"/>
      <c r="L34" s="674"/>
      <c r="M34" s="470"/>
      <c r="N34" s="470"/>
      <c r="O34" s="470"/>
      <c r="P34" s="786"/>
      <c r="Q34" s="473"/>
      <c r="R34" s="473"/>
      <c r="S34" s="473"/>
      <c r="T34" s="670"/>
      <c r="U34" s="474"/>
      <c r="V34" s="558"/>
      <c r="W34" s="558"/>
      <c r="X34" s="558"/>
      <c r="Y34" s="558"/>
      <c r="Z34" s="475"/>
      <c r="AA34" s="475"/>
      <c r="AB34" s="476"/>
      <c r="AC34" s="476"/>
      <c r="AD34" s="559"/>
      <c r="AE34" s="559"/>
      <c r="AH34" s="699"/>
    </row>
    <row r="35" spans="2:34" hidden="1">
      <c r="B35" s="671"/>
      <c r="C35" s="672"/>
      <c r="D35" s="673"/>
      <c r="E35" s="469"/>
      <c r="F35" s="674"/>
      <c r="G35" s="469"/>
      <c r="H35" s="674"/>
      <c r="I35" s="469"/>
      <c r="J35" s="674"/>
      <c r="K35" s="469"/>
      <c r="L35" s="674"/>
      <c r="M35" s="470"/>
      <c r="N35" s="470"/>
      <c r="O35" s="470"/>
      <c r="P35" s="786"/>
      <c r="Q35" s="473"/>
      <c r="R35" s="473"/>
      <c r="S35" s="473"/>
      <c r="T35" s="670"/>
      <c r="U35" s="474"/>
      <c r="V35" s="558"/>
      <c r="W35" s="558"/>
      <c r="X35" s="558"/>
      <c r="Y35" s="558"/>
      <c r="Z35" s="475"/>
      <c r="AA35" s="475"/>
      <c r="AB35" s="476"/>
      <c r="AC35" s="476"/>
      <c r="AD35" s="559"/>
      <c r="AE35" s="559"/>
      <c r="AH35" s="699"/>
    </row>
    <row r="36" spans="2:34" hidden="1">
      <c r="B36" s="671"/>
      <c r="C36" s="672"/>
      <c r="D36" s="673"/>
      <c r="E36" s="469"/>
      <c r="F36" s="674"/>
      <c r="G36" s="469"/>
      <c r="H36" s="674"/>
      <c r="I36" s="469"/>
      <c r="J36" s="674"/>
      <c r="K36" s="469"/>
      <c r="L36" s="674"/>
      <c r="M36" s="470"/>
      <c r="N36" s="470"/>
      <c r="O36" s="470"/>
      <c r="P36" s="786"/>
      <c r="Q36" s="473"/>
      <c r="R36" s="473"/>
      <c r="S36" s="473"/>
      <c r="T36" s="670"/>
      <c r="U36" s="474"/>
      <c r="V36" s="558"/>
      <c r="W36" s="558"/>
      <c r="X36" s="558"/>
      <c r="Y36" s="558"/>
      <c r="Z36" s="475"/>
      <c r="AA36" s="475"/>
      <c r="AB36" s="476"/>
      <c r="AC36" s="476"/>
      <c r="AD36" s="559"/>
      <c r="AE36" s="559"/>
      <c r="AH36" s="699"/>
    </row>
    <row r="37" spans="2:34" hidden="1">
      <c r="B37" s="671"/>
      <c r="C37" s="672"/>
      <c r="D37" s="673"/>
      <c r="E37" s="469"/>
      <c r="F37" s="674"/>
      <c r="G37" s="469"/>
      <c r="H37" s="674"/>
      <c r="I37" s="469"/>
      <c r="J37" s="674"/>
      <c r="K37" s="469"/>
      <c r="L37" s="674"/>
      <c r="M37" s="470"/>
      <c r="N37" s="470"/>
      <c r="O37" s="470"/>
      <c r="P37" s="786"/>
      <c r="Q37" s="473"/>
      <c r="R37" s="473"/>
      <c r="S37" s="473"/>
      <c r="T37" s="670"/>
      <c r="U37" s="474"/>
      <c r="V37" s="558"/>
      <c r="W37" s="558"/>
      <c r="X37" s="558"/>
      <c r="Y37" s="558"/>
      <c r="Z37" s="475"/>
      <c r="AA37" s="475"/>
      <c r="AB37" s="476"/>
      <c r="AC37" s="476"/>
      <c r="AD37" s="559"/>
      <c r="AE37" s="559"/>
      <c r="AH37" s="699"/>
    </row>
    <row r="38" spans="2:34" hidden="1">
      <c r="B38" s="671"/>
      <c r="C38" s="672"/>
      <c r="D38" s="673"/>
      <c r="E38" s="469"/>
      <c r="F38" s="674"/>
      <c r="G38" s="469"/>
      <c r="H38" s="674"/>
      <c r="I38" s="469"/>
      <c r="J38" s="674"/>
      <c r="K38" s="469"/>
      <c r="L38" s="674"/>
      <c r="M38" s="470"/>
      <c r="N38" s="470"/>
      <c r="O38" s="470"/>
      <c r="P38" s="786"/>
      <c r="Q38" s="473"/>
      <c r="R38" s="473"/>
      <c r="S38" s="473"/>
      <c r="T38" s="670"/>
      <c r="U38" s="474"/>
      <c r="V38" s="558"/>
      <c r="W38" s="558"/>
      <c r="X38" s="558"/>
      <c r="Y38" s="558"/>
      <c r="Z38" s="475"/>
      <c r="AA38" s="475"/>
      <c r="AB38" s="476"/>
      <c r="AC38" s="476"/>
      <c r="AD38" s="559"/>
      <c r="AE38" s="559"/>
      <c r="AH38" s="699"/>
    </row>
    <row r="39" spans="2:34" hidden="1">
      <c r="B39" s="671"/>
      <c r="C39" s="672"/>
      <c r="D39" s="673"/>
      <c r="E39" s="469"/>
      <c r="F39" s="674"/>
      <c r="G39" s="469"/>
      <c r="H39" s="674"/>
      <c r="I39" s="469"/>
      <c r="J39" s="674"/>
      <c r="K39" s="469"/>
      <c r="L39" s="674"/>
      <c r="M39" s="470"/>
      <c r="N39" s="470"/>
      <c r="O39" s="470"/>
      <c r="P39" s="786"/>
      <c r="Q39" s="473"/>
      <c r="R39" s="473"/>
      <c r="S39" s="473"/>
      <c r="T39" s="670"/>
      <c r="U39" s="474"/>
      <c r="V39" s="558"/>
      <c r="W39" s="558"/>
      <c r="X39" s="558"/>
      <c r="Y39" s="558"/>
      <c r="Z39" s="475"/>
      <c r="AA39" s="475"/>
      <c r="AB39" s="476"/>
      <c r="AC39" s="476"/>
      <c r="AD39" s="559"/>
      <c r="AE39" s="559"/>
      <c r="AH39" s="699"/>
    </row>
    <row r="40" spans="2:34" hidden="1">
      <c r="B40" s="671"/>
      <c r="C40" s="672"/>
      <c r="D40" s="673"/>
      <c r="E40" s="469"/>
      <c r="F40" s="674"/>
      <c r="G40" s="469"/>
      <c r="H40" s="674"/>
      <c r="I40" s="469"/>
      <c r="J40" s="674"/>
      <c r="K40" s="469"/>
      <c r="L40" s="674"/>
      <c r="M40" s="470"/>
      <c r="N40" s="470"/>
      <c r="O40" s="470"/>
      <c r="P40" s="786"/>
      <c r="Q40" s="473"/>
      <c r="R40" s="473"/>
      <c r="S40" s="473"/>
      <c r="T40" s="670"/>
      <c r="U40" s="474"/>
      <c r="V40" s="558"/>
      <c r="W40" s="558"/>
      <c r="X40" s="558"/>
      <c r="Y40" s="558"/>
      <c r="Z40" s="475"/>
      <c r="AA40" s="475"/>
      <c r="AB40" s="476"/>
      <c r="AC40" s="476"/>
      <c r="AD40" s="559"/>
      <c r="AE40" s="559"/>
      <c r="AH40" s="699"/>
    </row>
    <row r="41" spans="2:34" hidden="1">
      <c r="B41" s="671"/>
      <c r="C41" s="672"/>
      <c r="D41" s="673"/>
      <c r="E41" s="469"/>
      <c r="F41" s="674"/>
      <c r="G41" s="469"/>
      <c r="H41" s="674"/>
      <c r="I41" s="469"/>
      <c r="J41" s="674"/>
      <c r="K41" s="469"/>
      <c r="L41" s="674"/>
      <c r="M41" s="470"/>
      <c r="N41" s="470"/>
      <c r="O41" s="470"/>
      <c r="P41" s="786"/>
      <c r="Q41" s="473"/>
      <c r="R41" s="473"/>
      <c r="S41" s="473"/>
      <c r="T41" s="670"/>
      <c r="U41" s="474"/>
      <c r="V41" s="558"/>
      <c r="W41" s="558"/>
      <c r="X41" s="558"/>
      <c r="Y41" s="558"/>
      <c r="Z41" s="475"/>
      <c r="AA41" s="475"/>
      <c r="AB41" s="476"/>
      <c r="AC41" s="476"/>
      <c r="AD41" s="559"/>
      <c r="AE41" s="559"/>
      <c r="AH41" s="699"/>
    </row>
    <row r="42" spans="2:34" hidden="1">
      <c r="B42" s="671"/>
      <c r="C42" s="672"/>
      <c r="D42" s="673"/>
      <c r="E42" s="469"/>
      <c r="F42" s="674"/>
      <c r="G42" s="469"/>
      <c r="H42" s="674"/>
      <c r="I42" s="469"/>
      <c r="J42" s="674"/>
      <c r="K42" s="469"/>
      <c r="L42" s="674"/>
      <c r="M42" s="470"/>
      <c r="N42" s="470"/>
      <c r="O42" s="470"/>
      <c r="P42" s="786"/>
      <c r="Q42" s="473"/>
      <c r="R42" s="473"/>
      <c r="S42" s="473"/>
      <c r="T42" s="670"/>
      <c r="U42" s="474"/>
      <c r="V42" s="558"/>
      <c r="W42" s="558"/>
      <c r="X42" s="558"/>
      <c r="Y42" s="558"/>
      <c r="Z42" s="475"/>
      <c r="AA42" s="475"/>
      <c r="AB42" s="476"/>
      <c r="AC42" s="476"/>
      <c r="AD42" s="559"/>
      <c r="AE42" s="559"/>
      <c r="AH42" s="699"/>
    </row>
    <row r="43" spans="2:34" hidden="1">
      <c r="B43" s="671"/>
      <c r="C43" s="672"/>
      <c r="D43" s="673"/>
      <c r="E43" s="469"/>
      <c r="F43" s="674"/>
      <c r="G43" s="469"/>
      <c r="H43" s="674"/>
      <c r="I43" s="469"/>
      <c r="J43" s="674"/>
      <c r="K43" s="469"/>
      <c r="L43" s="674"/>
      <c r="M43" s="470"/>
      <c r="N43" s="470"/>
      <c r="O43" s="470"/>
      <c r="P43" s="786"/>
      <c r="Q43" s="473"/>
      <c r="R43" s="473"/>
      <c r="S43" s="473"/>
      <c r="T43" s="670"/>
      <c r="U43" s="474"/>
      <c r="V43" s="558"/>
      <c r="W43" s="558"/>
      <c r="X43" s="558"/>
      <c r="Y43" s="558"/>
      <c r="Z43" s="475"/>
      <c r="AA43" s="475"/>
      <c r="AB43" s="476"/>
      <c r="AC43" s="476"/>
      <c r="AD43" s="559"/>
      <c r="AE43" s="559"/>
      <c r="AH43" s="699"/>
    </row>
    <row r="44" spans="2:34" hidden="1">
      <c r="B44" s="671"/>
      <c r="C44" s="672"/>
      <c r="D44" s="673"/>
      <c r="E44" s="469"/>
      <c r="F44" s="674"/>
      <c r="G44" s="469"/>
      <c r="H44" s="674"/>
      <c r="I44" s="469"/>
      <c r="J44" s="674"/>
      <c r="K44" s="469"/>
      <c r="L44" s="674"/>
      <c r="M44" s="470"/>
      <c r="N44" s="470"/>
      <c r="O44" s="470"/>
      <c r="P44" s="786"/>
      <c r="Q44" s="473"/>
      <c r="R44" s="473"/>
      <c r="S44" s="473"/>
      <c r="T44" s="670"/>
      <c r="U44" s="474"/>
      <c r="V44" s="558"/>
      <c r="W44" s="558"/>
      <c r="X44" s="558"/>
      <c r="Y44" s="558"/>
      <c r="Z44" s="475"/>
      <c r="AA44" s="475"/>
      <c r="AB44" s="476"/>
      <c r="AC44" s="476"/>
      <c r="AD44" s="559"/>
      <c r="AE44" s="559"/>
      <c r="AH44" s="699"/>
    </row>
    <row r="45" spans="2:34" hidden="1">
      <c r="B45" s="671"/>
      <c r="C45" s="672"/>
      <c r="D45" s="673"/>
      <c r="E45" s="469"/>
      <c r="F45" s="674"/>
      <c r="G45" s="469"/>
      <c r="H45" s="674"/>
      <c r="I45" s="469"/>
      <c r="J45" s="674"/>
      <c r="K45" s="469"/>
      <c r="L45" s="674"/>
      <c r="M45" s="470"/>
      <c r="N45" s="470"/>
      <c r="O45" s="470"/>
      <c r="P45" s="786"/>
      <c r="Q45" s="473"/>
      <c r="R45" s="473"/>
      <c r="S45" s="473"/>
      <c r="T45" s="670"/>
      <c r="U45" s="474"/>
      <c r="V45" s="558"/>
      <c r="W45" s="558"/>
      <c r="X45" s="558"/>
      <c r="Y45" s="558"/>
      <c r="Z45" s="475"/>
      <c r="AA45" s="475"/>
      <c r="AB45" s="476"/>
      <c r="AC45" s="476"/>
      <c r="AD45" s="559"/>
      <c r="AE45" s="559"/>
      <c r="AH45" s="699"/>
    </row>
    <row r="46" spans="2:34" hidden="1">
      <c r="B46" s="671"/>
      <c r="C46" s="672"/>
      <c r="D46" s="673"/>
      <c r="E46" s="469"/>
      <c r="F46" s="674"/>
      <c r="G46" s="469"/>
      <c r="H46" s="674"/>
      <c r="I46" s="469"/>
      <c r="J46" s="674"/>
      <c r="K46" s="469"/>
      <c r="L46" s="674"/>
      <c r="M46" s="470"/>
      <c r="N46" s="470"/>
      <c r="O46" s="470"/>
      <c r="P46" s="786"/>
      <c r="Q46" s="473"/>
      <c r="R46" s="473"/>
      <c r="S46" s="473"/>
      <c r="T46" s="670"/>
      <c r="U46" s="474"/>
      <c r="V46" s="558"/>
      <c r="W46" s="558"/>
      <c r="X46" s="558"/>
      <c r="Y46" s="558"/>
      <c r="Z46" s="475"/>
      <c r="AA46" s="475"/>
      <c r="AB46" s="476"/>
      <c r="AC46" s="476"/>
      <c r="AD46" s="559"/>
      <c r="AE46" s="559"/>
      <c r="AH46" s="699"/>
    </row>
    <row r="47" spans="2:34" hidden="1">
      <c r="B47" s="671"/>
      <c r="C47" s="672"/>
      <c r="D47" s="673"/>
      <c r="E47" s="717"/>
      <c r="F47" s="718"/>
      <c r="G47" s="717"/>
      <c r="H47" s="718"/>
      <c r="I47" s="717"/>
      <c r="J47" s="718"/>
      <c r="K47" s="469"/>
      <c r="L47" s="674"/>
      <c r="M47" s="470"/>
      <c r="N47" s="470"/>
      <c r="O47" s="470"/>
      <c r="P47" s="786"/>
      <c r="Q47" s="473"/>
      <c r="R47" s="473"/>
      <c r="S47" s="473"/>
      <c r="T47" s="670"/>
      <c r="U47" s="474"/>
      <c r="V47" s="558"/>
      <c r="W47" s="558"/>
      <c r="X47" s="558"/>
      <c r="Y47" s="558"/>
      <c r="Z47" s="475"/>
      <c r="AA47" s="475"/>
      <c r="AB47" s="476"/>
      <c r="AC47" s="476"/>
      <c r="AD47" s="559"/>
      <c r="AE47" s="559"/>
      <c r="AH47" s="699"/>
    </row>
    <row r="48" spans="2:34" hidden="1">
      <c r="B48" s="671"/>
      <c r="C48" s="672"/>
      <c r="D48" s="673"/>
      <c r="E48" s="469"/>
      <c r="F48" s="674"/>
      <c r="G48" s="469"/>
      <c r="H48" s="674"/>
      <c r="I48" s="469"/>
      <c r="J48" s="674"/>
      <c r="K48" s="469"/>
      <c r="L48" s="674"/>
      <c r="M48" s="470"/>
      <c r="N48" s="470"/>
      <c r="O48" s="470"/>
      <c r="P48" s="786"/>
      <c r="Q48" s="473"/>
      <c r="R48" s="473"/>
      <c r="S48" s="473"/>
      <c r="T48" s="670"/>
      <c r="U48" s="474"/>
      <c r="V48" s="558"/>
      <c r="W48" s="558"/>
      <c r="X48" s="558"/>
      <c r="Y48" s="558"/>
      <c r="Z48" s="475"/>
      <c r="AA48" s="475"/>
      <c r="AB48" s="476"/>
      <c r="AC48" s="476"/>
      <c r="AD48" s="559"/>
      <c r="AE48" s="559"/>
      <c r="AH48" s="699"/>
    </row>
    <row r="49" spans="2:34" hidden="1">
      <c r="B49" s="671"/>
      <c r="C49" s="672"/>
      <c r="D49" s="673"/>
      <c r="E49" s="717"/>
      <c r="F49" s="718"/>
      <c r="G49" s="717"/>
      <c r="H49" s="718"/>
      <c r="I49" s="717"/>
      <c r="J49" s="718"/>
      <c r="K49" s="469"/>
      <c r="L49" s="674"/>
      <c r="M49" s="470"/>
      <c r="N49" s="470"/>
      <c r="O49" s="470"/>
      <c r="P49" s="786"/>
      <c r="Q49" s="473"/>
      <c r="R49" s="473"/>
      <c r="S49" s="473"/>
      <c r="T49" s="670"/>
      <c r="U49" s="474"/>
      <c r="V49" s="558"/>
      <c r="W49" s="558"/>
      <c r="X49" s="558"/>
      <c r="Y49" s="558"/>
      <c r="Z49" s="475"/>
      <c r="AA49" s="475"/>
      <c r="AB49" s="476"/>
      <c r="AC49" s="476"/>
      <c r="AD49" s="559"/>
      <c r="AE49" s="559"/>
      <c r="AH49" s="699"/>
    </row>
    <row r="50" spans="2:34" hidden="1">
      <c r="B50" s="671"/>
      <c r="C50" s="672"/>
      <c r="D50" s="673"/>
      <c r="E50" s="469"/>
      <c r="F50" s="674"/>
      <c r="G50" s="469"/>
      <c r="H50" s="674"/>
      <c r="I50" s="469"/>
      <c r="J50" s="674"/>
      <c r="K50" s="469"/>
      <c r="L50" s="674"/>
      <c r="M50" s="470"/>
      <c r="N50" s="470"/>
      <c r="O50" s="470"/>
      <c r="P50" s="786"/>
      <c r="Q50" s="473"/>
      <c r="R50" s="473"/>
      <c r="S50" s="473"/>
      <c r="T50" s="670"/>
      <c r="U50" s="474"/>
      <c r="V50" s="558"/>
      <c r="W50" s="558"/>
      <c r="X50" s="558"/>
      <c r="Y50" s="558"/>
      <c r="Z50" s="475"/>
      <c r="AA50" s="475"/>
      <c r="AB50" s="476"/>
      <c r="AC50" s="476"/>
      <c r="AD50" s="559"/>
      <c r="AE50" s="559"/>
      <c r="AH50" s="699"/>
    </row>
    <row r="51" spans="2:34" hidden="1">
      <c r="B51" s="671"/>
      <c r="C51" s="672"/>
      <c r="D51" s="673"/>
      <c r="E51" s="469"/>
      <c r="F51" s="674"/>
      <c r="G51" s="469"/>
      <c r="H51" s="674"/>
      <c r="I51" s="469"/>
      <c r="J51" s="674"/>
      <c r="K51" s="469"/>
      <c r="L51" s="674"/>
      <c r="M51" s="470"/>
      <c r="N51" s="470"/>
      <c r="O51" s="470"/>
      <c r="P51" s="786"/>
      <c r="Q51" s="473"/>
      <c r="R51" s="473"/>
      <c r="S51" s="473"/>
      <c r="T51" s="670"/>
      <c r="U51" s="474"/>
      <c r="V51" s="558"/>
      <c r="W51" s="558"/>
      <c r="X51" s="558"/>
      <c r="Y51" s="558"/>
      <c r="Z51" s="475"/>
      <c r="AA51" s="475"/>
      <c r="AB51" s="476"/>
      <c r="AC51" s="476"/>
      <c r="AD51" s="559"/>
      <c r="AE51" s="559"/>
      <c r="AH51" s="699"/>
    </row>
    <row r="52" spans="2:34" hidden="1">
      <c r="B52" s="671"/>
      <c r="C52" s="672"/>
      <c r="D52" s="673"/>
      <c r="E52" s="469"/>
      <c r="F52" s="674"/>
      <c r="G52" s="469"/>
      <c r="H52" s="674"/>
      <c r="I52" s="469"/>
      <c r="J52" s="674"/>
      <c r="K52" s="469"/>
      <c r="L52" s="674"/>
      <c r="M52" s="470"/>
      <c r="N52" s="470"/>
      <c r="O52" s="470"/>
      <c r="P52" s="786"/>
      <c r="Q52" s="473"/>
      <c r="R52" s="473"/>
      <c r="S52" s="473"/>
      <c r="T52" s="670"/>
      <c r="U52" s="474"/>
      <c r="V52" s="558"/>
      <c r="W52" s="558"/>
      <c r="X52" s="558"/>
      <c r="Y52" s="558"/>
      <c r="Z52" s="475"/>
      <c r="AA52" s="475"/>
      <c r="AB52" s="476"/>
      <c r="AC52" s="476"/>
      <c r="AD52" s="559"/>
      <c r="AE52" s="559"/>
      <c r="AH52" s="699"/>
    </row>
    <row r="53" spans="2:34" hidden="1">
      <c r="B53" s="671"/>
      <c r="C53" s="672"/>
      <c r="D53" s="673"/>
      <c r="E53" s="469"/>
      <c r="F53" s="674"/>
      <c r="G53" s="469"/>
      <c r="H53" s="674"/>
      <c r="I53" s="469"/>
      <c r="J53" s="674"/>
      <c r="K53" s="469"/>
      <c r="L53" s="674"/>
      <c r="M53" s="470"/>
      <c r="N53" s="470"/>
      <c r="O53" s="470"/>
      <c r="P53" s="786"/>
      <c r="Q53" s="473"/>
      <c r="R53" s="473"/>
      <c r="S53" s="473"/>
      <c r="T53" s="670"/>
      <c r="U53" s="474"/>
      <c r="V53" s="558"/>
      <c r="W53" s="558"/>
      <c r="X53" s="558"/>
      <c r="Y53" s="558"/>
      <c r="Z53" s="475"/>
      <c r="AA53" s="475"/>
      <c r="AB53" s="476"/>
      <c r="AC53" s="476"/>
      <c r="AD53" s="559"/>
      <c r="AE53" s="559"/>
      <c r="AH53" s="699"/>
    </row>
    <row r="54" spans="2:34" hidden="1">
      <c r="B54" s="783"/>
      <c r="C54" s="672"/>
      <c r="D54" s="673"/>
      <c r="E54" s="469"/>
      <c r="F54" s="674"/>
      <c r="G54" s="469"/>
      <c r="H54" s="674"/>
      <c r="I54" s="469"/>
      <c r="J54" s="674"/>
      <c r="K54" s="469"/>
      <c r="L54" s="674"/>
      <c r="M54" s="470"/>
      <c r="N54" s="470"/>
      <c r="O54" s="470"/>
      <c r="P54" s="786"/>
      <c r="Q54" s="473"/>
      <c r="R54" s="473"/>
      <c r="S54" s="473"/>
      <c r="T54" s="670"/>
      <c r="U54" s="474"/>
      <c r="V54" s="558"/>
      <c r="W54" s="558"/>
      <c r="X54" s="558"/>
      <c r="Y54" s="558"/>
      <c r="Z54" s="475"/>
      <c r="AA54" s="475"/>
      <c r="AB54" s="476"/>
      <c r="AC54" s="476"/>
      <c r="AD54" s="559"/>
      <c r="AE54" s="559"/>
      <c r="AH54" s="699"/>
    </row>
    <row r="55" spans="2:34" hidden="1">
      <c r="B55" s="783"/>
      <c r="C55" s="672"/>
      <c r="D55" s="673"/>
      <c r="E55" s="469"/>
      <c r="F55" s="720"/>
      <c r="G55" s="469"/>
      <c r="H55" s="720"/>
      <c r="I55" s="469"/>
      <c r="J55" s="674"/>
      <c r="K55" s="469"/>
      <c r="L55" s="674"/>
      <c r="M55" s="470"/>
      <c r="N55" s="470"/>
      <c r="O55" s="470"/>
      <c r="P55" s="786"/>
      <c r="Q55" s="473"/>
      <c r="R55" s="473"/>
      <c r="S55" s="473"/>
      <c r="T55" s="670"/>
      <c r="U55" s="474"/>
      <c r="V55" s="558"/>
      <c r="W55" s="558"/>
      <c r="X55" s="558"/>
      <c r="Y55" s="558"/>
      <c r="Z55" s="475"/>
      <c r="AA55" s="475"/>
      <c r="AB55" s="476"/>
      <c r="AC55" s="476"/>
      <c r="AD55" s="559"/>
      <c r="AE55" s="559"/>
      <c r="AH55" s="699"/>
    </row>
    <row r="56" spans="2:34" hidden="1">
      <c r="B56" s="766"/>
      <c r="C56" s="672"/>
      <c r="D56" s="673"/>
      <c r="E56" s="469"/>
      <c r="F56" s="674"/>
      <c r="G56" s="469"/>
      <c r="H56" s="674"/>
      <c r="I56" s="469"/>
      <c r="J56" s="674"/>
      <c r="K56" s="469"/>
      <c r="L56" s="674"/>
      <c r="M56" s="470"/>
      <c r="N56" s="470"/>
      <c r="O56" s="470"/>
      <c r="P56" s="470"/>
      <c r="Q56" s="473"/>
      <c r="R56" s="473"/>
      <c r="S56" s="473"/>
      <c r="T56" s="473"/>
      <c r="U56" s="474"/>
      <c r="V56" s="558"/>
      <c r="W56" s="558"/>
      <c r="X56" s="558"/>
      <c r="Y56" s="558"/>
      <c r="Z56" s="475"/>
      <c r="AA56" s="475"/>
      <c r="AB56" s="476"/>
      <c r="AC56" s="476"/>
      <c r="AD56" s="559"/>
      <c r="AE56" s="559"/>
      <c r="AH56" s="699"/>
    </row>
    <row r="57" spans="2:34" hidden="1">
      <c r="B57" s="783"/>
      <c r="C57" s="672"/>
      <c r="D57" s="719"/>
      <c r="E57" s="469"/>
      <c r="F57" s="674"/>
      <c r="G57" s="469"/>
      <c r="H57" s="674"/>
      <c r="I57" s="469"/>
      <c r="J57" s="674"/>
      <c r="K57" s="469"/>
      <c r="L57" s="674"/>
      <c r="M57" s="470"/>
      <c r="N57" s="470"/>
      <c r="O57" s="470"/>
      <c r="P57" s="786"/>
      <c r="Q57" s="473"/>
      <c r="R57" s="473"/>
      <c r="S57" s="473"/>
      <c r="T57" s="670"/>
      <c r="U57" s="474"/>
      <c r="V57" s="558"/>
      <c r="W57" s="558"/>
      <c r="X57" s="558"/>
      <c r="Y57" s="558"/>
      <c r="Z57" s="475"/>
      <c r="AA57" s="475"/>
      <c r="AB57" s="476"/>
      <c r="AC57" s="476"/>
      <c r="AD57" s="559"/>
      <c r="AE57" s="559"/>
      <c r="AH57" s="699"/>
    </row>
    <row r="58" spans="2:34" hidden="1">
      <c r="B58" s="783"/>
      <c r="C58" s="672"/>
      <c r="D58" s="673"/>
      <c r="E58" s="469"/>
      <c r="F58" s="720"/>
      <c r="G58" s="469"/>
      <c r="H58" s="720"/>
      <c r="I58" s="469"/>
      <c r="J58" s="607"/>
      <c r="K58" s="469"/>
      <c r="L58" s="674"/>
      <c r="M58" s="470"/>
      <c r="N58" s="470"/>
      <c r="O58" s="470"/>
      <c r="P58" s="786"/>
      <c r="Q58" s="473"/>
      <c r="R58" s="473"/>
      <c r="S58" s="473"/>
      <c r="T58" s="670"/>
      <c r="U58" s="474"/>
      <c r="V58" s="558"/>
      <c r="W58" s="558"/>
      <c r="X58" s="558"/>
      <c r="Y58" s="558"/>
      <c r="Z58" s="475"/>
      <c r="AA58" s="475"/>
      <c r="AB58" s="476"/>
      <c r="AC58" s="476"/>
      <c r="AD58" s="559"/>
      <c r="AE58" s="559"/>
      <c r="AH58" s="699"/>
    </row>
    <row r="59" spans="2:34" hidden="1">
      <c r="B59" s="783"/>
      <c r="C59" s="672"/>
      <c r="D59" s="719"/>
      <c r="E59" s="469"/>
      <c r="F59" s="720"/>
      <c r="G59" s="469"/>
      <c r="H59" s="720"/>
      <c r="I59" s="469"/>
      <c r="J59" s="607"/>
      <c r="K59" s="469"/>
      <c r="L59" s="607"/>
      <c r="M59" s="470"/>
      <c r="N59" s="470"/>
      <c r="O59" s="470"/>
      <c r="P59" s="786"/>
      <c r="Q59" s="473"/>
      <c r="R59" s="473"/>
      <c r="S59" s="473"/>
      <c r="T59" s="670"/>
      <c r="U59" s="474"/>
      <c r="V59" s="558"/>
      <c r="W59" s="558"/>
      <c r="X59" s="558"/>
      <c r="Y59" s="558"/>
      <c r="Z59" s="475"/>
      <c r="AA59" s="475"/>
      <c r="AB59" s="476"/>
      <c r="AC59" s="476"/>
      <c r="AD59" s="559"/>
      <c r="AE59" s="559"/>
      <c r="AH59" s="699"/>
    </row>
    <row r="60" spans="2:34" hidden="1">
      <c r="B60" s="783"/>
      <c r="C60" s="672"/>
      <c r="D60" s="673"/>
      <c r="E60" s="469"/>
      <c r="F60" s="720"/>
      <c r="G60" s="469"/>
      <c r="H60" s="720"/>
      <c r="I60" s="469"/>
      <c r="J60" s="720"/>
      <c r="K60" s="469"/>
      <c r="L60" s="607"/>
      <c r="M60" s="470"/>
      <c r="N60" s="470"/>
      <c r="O60" s="470"/>
      <c r="P60" s="786"/>
      <c r="Q60" s="473"/>
      <c r="R60" s="473"/>
      <c r="S60" s="473"/>
      <c r="T60" s="670"/>
      <c r="U60" s="474"/>
      <c r="V60" s="558"/>
      <c r="W60" s="558"/>
      <c r="X60" s="558"/>
      <c r="Y60" s="558"/>
      <c r="Z60" s="475"/>
      <c r="AA60" s="475"/>
      <c r="AB60" s="476"/>
      <c r="AC60" s="476"/>
      <c r="AD60" s="559"/>
      <c r="AE60" s="559"/>
      <c r="AH60" s="699"/>
    </row>
    <row r="61" spans="2:34" hidden="1">
      <c r="B61" s="783"/>
      <c r="C61" s="672"/>
      <c r="D61" s="673"/>
      <c r="E61" s="469"/>
      <c r="F61" s="720"/>
      <c r="G61" s="469"/>
      <c r="H61" s="720"/>
      <c r="I61" s="469"/>
      <c r="J61" s="720"/>
      <c r="K61" s="469"/>
      <c r="L61" s="607"/>
      <c r="M61" s="470"/>
      <c r="N61" s="470"/>
      <c r="O61" s="470"/>
      <c r="P61" s="786"/>
      <c r="Q61" s="473"/>
      <c r="R61" s="473"/>
      <c r="S61" s="473"/>
      <c r="T61" s="670"/>
      <c r="U61" s="474"/>
      <c r="V61" s="558"/>
      <c r="W61" s="558"/>
      <c r="X61" s="558"/>
      <c r="Y61" s="558"/>
      <c r="Z61" s="475"/>
      <c r="AA61" s="475"/>
      <c r="AB61" s="476"/>
      <c r="AC61" s="476"/>
      <c r="AD61" s="559"/>
      <c r="AE61" s="559"/>
      <c r="AH61" s="699"/>
    </row>
    <row r="62" spans="2:34" hidden="1">
      <c r="B62" s="783"/>
      <c r="C62" s="672"/>
      <c r="D62" s="673"/>
      <c r="E62" s="469"/>
      <c r="F62" s="720"/>
      <c r="G62" s="469"/>
      <c r="H62" s="720"/>
      <c r="I62" s="469"/>
      <c r="J62" s="720"/>
      <c r="K62" s="469"/>
      <c r="L62" s="607"/>
      <c r="M62" s="470"/>
      <c r="N62" s="470"/>
      <c r="O62" s="470"/>
      <c r="P62" s="786"/>
      <c r="Q62" s="473"/>
      <c r="R62" s="473"/>
      <c r="S62" s="473"/>
      <c r="T62" s="670"/>
      <c r="U62" s="474"/>
      <c r="V62" s="558"/>
      <c r="W62" s="558"/>
      <c r="X62" s="558"/>
      <c r="Y62" s="558"/>
      <c r="Z62" s="475"/>
      <c r="AA62" s="475"/>
      <c r="AB62" s="476"/>
      <c r="AC62" s="476"/>
      <c r="AD62" s="559"/>
      <c r="AE62" s="559"/>
      <c r="AH62" s="699"/>
    </row>
    <row r="63" spans="2:34" hidden="1">
      <c r="B63" s="783"/>
      <c r="C63" s="672"/>
      <c r="D63" s="673"/>
      <c r="E63" s="469"/>
      <c r="F63" s="720"/>
      <c r="G63" s="469"/>
      <c r="H63" s="720"/>
      <c r="I63" s="469"/>
      <c r="J63" s="720"/>
      <c r="K63" s="469"/>
      <c r="L63" s="607"/>
      <c r="M63" s="470"/>
      <c r="N63" s="470"/>
      <c r="O63" s="470"/>
      <c r="P63" s="786"/>
      <c r="Q63" s="473"/>
      <c r="R63" s="473"/>
      <c r="S63" s="473"/>
      <c r="T63" s="670"/>
      <c r="U63" s="474"/>
      <c r="V63" s="558"/>
      <c r="W63" s="558"/>
      <c r="X63" s="558"/>
      <c r="Y63" s="558"/>
      <c r="Z63" s="475"/>
      <c r="AA63" s="475"/>
      <c r="AB63" s="476"/>
      <c r="AC63" s="476"/>
      <c r="AD63" s="559"/>
      <c r="AE63" s="559"/>
      <c r="AH63" s="699"/>
    </row>
    <row r="64" spans="2:34" hidden="1">
      <c r="B64" s="783"/>
      <c r="C64" s="672"/>
      <c r="D64" s="673"/>
      <c r="E64" s="469"/>
      <c r="F64" s="720"/>
      <c r="G64" s="469"/>
      <c r="H64" s="720"/>
      <c r="I64" s="469"/>
      <c r="J64" s="720"/>
      <c r="K64" s="469"/>
      <c r="L64" s="607"/>
      <c r="M64" s="470"/>
      <c r="N64" s="470"/>
      <c r="O64" s="470"/>
      <c r="P64" s="786"/>
      <c r="Q64" s="473"/>
      <c r="R64" s="473"/>
      <c r="S64" s="473"/>
      <c r="T64" s="670"/>
      <c r="U64" s="474"/>
      <c r="V64" s="558"/>
      <c r="W64" s="558"/>
      <c r="X64" s="558"/>
      <c r="Y64" s="558"/>
      <c r="Z64" s="475"/>
      <c r="AA64" s="475"/>
      <c r="AB64" s="476"/>
      <c r="AC64" s="476"/>
      <c r="AD64" s="559"/>
      <c r="AE64" s="559"/>
      <c r="AH64" s="699"/>
    </row>
    <row r="65" spans="2:34" hidden="1">
      <c r="B65" s="783"/>
      <c r="C65" s="672"/>
      <c r="D65" s="673"/>
      <c r="E65" s="469"/>
      <c r="F65" s="720"/>
      <c r="G65" s="469"/>
      <c r="H65" s="720"/>
      <c r="I65" s="469"/>
      <c r="J65" s="720"/>
      <c r="K65" s="469"/>
      <c r="L65" s="607"/>
      <c r="M65" s="470"/>
      <c r="N65" s="470"/>
      <c r="O65" s="470"/>
      <c r="P65" s="786"/>
      <c r="Q65" s="473"/>
      <c r="R65" s="473"/>
      <c r="S65" s="473"/>
      <c r="T65" s="670"/>
      <c r="U65" s="474"/>
      <c r="V65" s="558"/>
      <c r="W65" s="558"/>
      <c r="X65" s="558"/>
      <c r="Y65" s="558"/>
      <c r="Z65" s="475"/>
      <c r="AA65" s="475"/>
      <c r="AB65" s="476"/>
      <c r="AC65" s="476"/>
      <c r="AD65" s="559"/>
      <c r="AE65" s="559"/>
      <c r="AH65" s="699"/>
    </row>
    <row r="66" spans="2:34" hidden="1">
      <c r="B66" s="783"/>
      <c r="C66" s="672"/>
      <c r="D66" s="673"/>
      <c r="E66" s="469"/>
      <c r="F66" s="720"/>
      <c r="G66" s="469"/>
      <c r="H66" s="720"/>
      <c r="I66" s="469"/>
      <c r="J66" s="720"/>
      <c r="K66" s="469"/>
      <c r="L66" s="607"/>
      <c r="M66" s="470"/>
      <c r="N66" s="470"/>
      <c r="O66" s="470"/>
      <c r="P66" s="786"/>
      <c r="Q66" s="473"/>
      <c r="R66" s="473"/>
      <c r="S66" s="473"/>
      <c r="T66" s="670"/>
      <c r="U66" s="474"/>
      <c r="V66" s="558"/>
      <c r="W66" s="558"/>
      <c r="X66" s="558"/>
      <c r="Y66" s="558"/>
      <c r="Z66" s="475"/>
      <c r="AA66" s="475"/>
      <c r="AB66" s="476"/>
      <c r="AC66" s="476"/>
      <c r="AD66" s="559"/>
      <c r="AE66" s="559"/>
      <c r="AH66" s="699"/>
    </row>
    <row r="67" spans="2:34" hidden="1">
      <c r="B67" s="671"/>
      <c r="C67" s="672"/>
      <c r="D67" s="673"/>
      <c r="E67" s="469"/>
      <c r="F67" s="720"/>
      <c r="G67" s="469"/>
      <c r="H67" s="720"/>
      <c r="I67" s="469"/>
      <c r="J67" s="720"/>
      <c r="K67" s="469"/>
      <c r="L67" s="607"/>
      <c r="M67" s="470"/>
      <c r="N67" s="470"/>
      <c r="O67" s="470"/>
      <c r="P67" s="786"/>
      <c r="Q67" s="473"/>
      <c r="R67" s="473"/>
      <c r="S67" s="473"/>
      <c r="T67" s="670"/>
      <c r="U67" s="474"/>
      <c r="V67" s="558"/>
      <c r="W67" s="558"/>
      <c r="X67" s="558"/>
      <c r="Y67" s="558"/>
      <c r="Z67" s="475"/>
      <c r="AA67" s="475"/>
      <c r="AB67" s="476"/>
      <c r="AC67" s="476"/>
      <c r="AD67" s="559"/>
      <c r="AE67" s="559"/>
      <c r="AH67" s="699"/>
    </row>
    <row r="68" spans="2:34" hidden="1">
      <c r="B68" s="766"/>
      <c r="C68" s="672"/>
      <c r="D68" s="673"/>
      <c r="E68" s="469"/>
      <c r="F68" s="720"/>
      <c r="G68" s="469"/>
      <c r="H68" s="720"/>
      <c r="I68" s="469"/>
      <c r="J68" s="720"/>
      <c r="K68" s="469"/>
      <c r="L68" s="607"/>
      <c r="M68" s="470"/>
      <c r="N68" s="470"/>
      <c r="O68" s="470"/>
      <c r="P68" s="786"/>
      <c r="Q68" s="473"/>
      <c r="R68" s="473"/>
      <c r="S68" s="473"/>
      <c r="T68" s="670"/>
      <c r="U68" s="474"/>
      <c r="V68" s="558"/>
      <c r="W68" s="558"/>
      <c r="X68" s="558"/>
      <c r="Y68" s="558"/>
      <c r="Z68" s="475"/>
      <c r="AA68" s="475"/>
      <c r="AB68" s="476"/>
      <c r="AC68" s="476"/>
      <c r="AD68" s="559"/>
      <c r="AE68" s="559"/>
      <c r="AH68" s="699"/>
    </row>
    <row r="69" spans="2:34" hidden="1">
      <c r="B69" s="671"/>
      <c r="C69" s="672"/>
      <c r="D69" s="673"/>
      <c r="E69" s="469"/>
      <c r="F69" s="720"/>
      <c r="G69" s="469"/>
      <c r="H69" s="720"/>
      <c r="I69" s="469"/>
      <c r="J69" s="720"/>
      <c r="K69" s="469"/>
      <c r="L69" s="607"/>
      <c r="M69" s="470"/>
      <c r="N69" s="470"/>
      <c r="O69" s="470"/>
      <c r="P69" s="786"/>
      <c r="Q69" s="473"/>
      <c r="R69" s="473"/>
      <c r="S69" s="473"/>
      <c r="T69" s="670"/>
      <c r="U69" s="474"/>
      <c r="V69" s="558"/>
      <c r="W69" s="558"/>
      <c r="X69" s="558"/>
      <c r="Y69" s="558"/>
      <c r="Z69" s="475"/>
      <c r="AA69" s="475"/>
      <c r="AB69" s="476"/>
      <c r="AC69" s="476"/>
      <c r="AD69" s="559"/>
      <c r="AE69" s="559"/>
      <c r="AH69" s="699"/>
    </row>
    <row r="70" spans="2:34" hidden="1">
      <c r="B70" s="671"/>
      <c r="C70" s="672"/>
      <c r="D70" s="673"/>
      <c r="E70" s="469"/>
      <c r="F70" s="720"/>
      <c r="G70" s="469"/>
      <c r="H70" s="720"/>
      <c r="I70" s="469"/>
      <c r="J70" s="720"/>
      <c r="K70" s="469"/>
      <c r="L70" s="607"/>
      <c r="M70" s="470"/>
      <c r="N70" s="470"/>
      <c r="O70" s="470"/>
      <c r="P70" s="786"/>
      <c r="Q70" s="473"/>
      <c r="R70" s="473"/>
      <c r="S70" s="473"/>
      <c r="T70" s="670"/>
      <c r="U70" s="474"/>
      <c r="V70" s="558"/>
      <c r="W70" s="558"/>
      <c r="X70" s="558"/>
      <c r="Y70" s="558"/>
      <c r="Z70" s="475"/>
      <c r="AA70" s="475"/>
      <c r="AB70" s="476"/>
      <c r="AC70" s="476"/>
      <c r="AD70" s="559"/>
      <c r="AE70" s="559"/>
      <c r="AH70" s="699"/>
    </row>
    <row r="71" spans="2:34" hidden="1">
      <c r="B71" s="671"/>
      <c r="C71" s="672"/>
      <c r="D71" s="673"/>
      <c r="E71" s="469"/>
      <c r="F71" s="720"/>
      <c r="G71" s="469"/>
      <c r="H71" s="720"/>
      <c r="I71" s="469"/>
      <c r="J71" s="720"/>
      <c r="K71" s="469"/>
      <c r="L71" s="607"/>
      <c r="M71" s="470"/>
      <c r="N71" s="470"/>
      <c r="O71" s="470"/>
      <c r="P71" s="786"/>
      <c r="Q71" s="473"/>
      <c r="R71" s="473"/>
      <c r="S71" s="473"/>
      <c r="T71" s="670"/>
      <c r="U71" s="474"/>
      <c r="V71" s="558"/>
      <c r="W71" s="558"/>
      <c r="X71" s="558"/>
      <c r="Y71" s="558"/>
      <c r="Z71" s="475"/>
      <c r="AA71" s="475"/>
      <c r="AB71" s="476"/>
      <c r="AC71" s="476"/>
      <c r="AD71" s="559"/>
      <c r="AE71" s="559"/>
      <c r="AH71" s="699"/>
    </row>
    <row r="72" spans="2:34" hidden="1">
      <c r="B72" s="671"/>
      <c r="C72" s="672"/>
      <c r="D72" s="673"/>
      <c r="E72" s="717"/>
      <c r="F72" s="720"/>
      <c r="G72" s="717"/>
      <c r="H72" s="720"/>
      <c r="I72" s="717"/>
      <c r="J72" s="720"/>
      <c r="K72" s="469"/>
      <c r="L72" s="607"/>
      <c r="M72" s="470"/>
      <c r="N72" s="470"/>
      <c r="O72" s="470"/>
      <c r="P72" s="786"/>
      <c r="Q72" s="473"/>
      <c r="R72" s="473"/>
      <c r="S72" s="473"/>
      <c r="T72" s="670"/>
      <c r="U72" s="474"/>
      <c r="V72" s="558"/>
      <c r="W72" s="558"/>
      <c r="X72" s="558"/>
      <c r="Y72" s="558"/>
      <c r="Z72" s="475"/>
      <c r="AA72" s="475"/>
      <c r="AB72" s="476"/>
      <c r="AC72" s="476"/>
      <c r="AD72" s="559"/>
      <c r="AE72" s="559"/>
      <c r="AH72" s="699"/>
    </row>
    <row r="73" spans="2:34" hidden="1">
      <c r="B73" s="671"/>
      <c r="C73" s="672"/>
      <c r="D73" s="673"/>
      <c r="E73" s="721"/>
      <c r="F73" s="722"/>
      <c r="G73" s="721"/>
      <c r="H73" s="722"/>
      <c r="I73" s="721"/>
      <c r="J73" s="722"/>
      <c r="K73" s="469"/>
      <c r="L73" s="607"/>
      <c r="M73" s="470"/>
      <c r="N73" s="470"/>
      <c r="O73" s="470"/>
      <c r="P73" s="786"/>
      <c r="Q73" s="473"/>
      <c r="R73" s="473"/>
      <c r="S73" s="473"/>
      <c r="T73" s="670"/>
      <c r="U73" s="474"/>
      <c r="V73" s="558"/>
      <c r="W73" s="558"/>
      <c r="X73" s="558"/>
      <c r="Y73" s="558"/>
      <c r="Z73" s="475"/>
      <c r="AA73" s="475"/>
      <c r="AB73" s="476"/>
      <c r="AC73" s="476"/>
      <c r="AD73" s="559"/>
      <c r="AE73" s="559"/>
      <c r="AH73" s="699"/>
    </row>
    <row r="74" spans="2:34" hidden="1">
      <c r="B74" s="671"/>
      <c r="C74" s="672"/>
      <c r="D74" s="668"/>
      <c r="E74" s="469"/>
      <c r="F74" s="607"/>
      <c r="G74" s="469"/>
      <c r="H74" s="607"/>
      <c r="I74" s="469"/>
      <c r="J74" s="607"/>
      <c r="K74" s="469"/>
      <c r="L74" s="607"/>
      <c r="M74" s="470"/>
      <c r="N74" s="470"/>
      <c r="O74" s="470"/>
      <c r="P74" s="786"/>
      <c r="Q74" s="473"/>
      <c r="R74" s="473"/>
      <c r="S74" s="473"/>
      <c r="T74" s="670"/>
      <c r="U74" s="474"/>
      <c r="V74" s="558"/>
      <c r="W74" s="558"/>
      <c r="X74" s="558"/>
      <c r="Y74" s="558"/>
      <c r="Z74" s="475"/>
      <c r="AA74" s="475"/>
      <c r="AB74" s="476"/>
      <c r="AC74" s="476"/>
      <c r="AD74" s="559"/>
      <c r="AE74" s="559"/>
      <c r="AH74" s="699"/>
    </row>
    <row r="75" spans="2:34" hidden="1">
      <c r="B75" s="671"/>
      <c r="C75" s="662"/>
      <c r="D75" s="668"/>
      <c r="E75" s="469"/>
      <c r="F75" s="607"/>
      <c r="G75" s="469"/>
      <c r="H75" s="607"/>
      <c r="I75" s="469"/>
      <c r="J75" s="607"/>
      <c r="K75" s="469"/>
      <c r="L75" s="607"/>
      <c r="M75" s="470"/>
      <c r="N75" s="470"/>
      <c r="O75" s="470"/>
      <c r="P75" s="786"/>
      <c r="Q75" s="473"/>
      <c r="R75" s="473"/>
      <c r="S75" s="473"/>
      <c r="T75" s="670"/>
      <c r="U75" s="474"/>
      <c r="V75" s="558"/>
      <c r="W75" s="558"/>
      <c r="X75" s="558"/>
      <c r="Y75" s="558"/>
      <c r="Z75" s="475"/>
      <c r="AA75" s="475"/>
      <c r="AB75" s="476"/>
      <c r="AC75" s="476"/>
      <c r="AD75" s="559"/>
      <c r="AE75" s="559"/>
      <c r="AH75" s="699"/>
    </row>
    <row r="76" spans="2:34" hidden="1">
      <c r="B76" s="671"/>
      <c r="C76" s="662"/>
      <c r="D76" s="668"/>
      <c r="E76" s="469"/>
      <c r="F76" s="607"/>
      <c r="G76" s="469"/>
      <c r="H76" s="607"/>
      <c r="I76" s="469"/>
      <c r="J76" s="607"/>
      <c r="K76" s="469"/>
      <c r="L76" s="607"/>
      <c r="M76" s="470"/>
      <c r="N76" s="470"/>
      <c r="O76" s="470"/>
      <c r="P76" s="786"/>
      <c r="Q76" s="473"/>
      <c r="R76" s="473"/>
      <c r="S76" s="473"/>
      <c r="T76" s="670"/>
      <c r="U76" s="474"/>
      <c r="V76" s="558"/>
      <c r="W76" s="558"/>
      <c r="X76" s="558"/>
      <c r="Y76" s="558"/>
      <c r="Z76" s="475"/>
      <c r="AA76" s="475"/>
      <c r="AB76" s="476"/>
      <c r="AC76" s="476"/>
      <c r="AD76" s="559"/>
      <c r="AE76" s="559"/>
      <c r="AH76" s="699"/>
    </row>
    <row r="77" spans="2:34" hidden="1">
      <c r="B77" s="671"/>
      <c r="C77" s="662"/>
      <c r="D77" s="668"/>
      <c r="E77" s="469"/>
      <c r="F77" s="607"/>
      <c r="G77" s="469"/>
      <c r="H77" s="607"/>
      <c r="I77" s="469"/>
      <c r="J77" s="607"/>
      <c r="K77" s="469"/>
      <c r="L77" s="607"/>
      <c r="M77" s="470"/>
      <c r="N77" s="470"/>
      <c r="O77" s="470"/>
      <c r="P77" s="786"/>
      <c r="Q77" s="473"/>
      <c r="R77" s="473"/>
      <c r="S77" s="473"/>
      <c r="T77" s="670"/>
      <c r="U77" s="474"/>
      <c r="V77" s="558"/>
      <c r="W77" s="558"/>
      <c r="X77" s="558"/>
      <c r="Y77" s="558"/>
      <c r="Z77" s="475"/>
      <c r="AA77" s="475"/>
      <c r="AB77" s="476"/>
      <c r="AC77" s="476"/>
      <c r="AD77" s="559"/>
      <c r="AE77" s="559"/>
      <c r="AH77" s="699"/>
    </row>
    <row r="78" spans="2:34">
      <c r="B78" s="213"/>
      <c r="C78" s="213"/>
      <c r="D78" s="688"/>
      <c r="E78" s="487"/>
      <c r="F78" s="689"/>
      <c r="G78" s="487"/>
      <c r="H78" s="689"/>
      <c r="I78" s="487"/>
      <c r="J78" s="690"/>
      <c r="K78" s="487"/>
      <c r="L78" s="691"/>
      <c r="M78" s="488"/>
      <c r="N78" s="488"/>
      <c r="O78" s="488"/>
      <c r="P78" s="488"/>
      <c r="Q78" s="692"/>
      <c r="R78" s="692"/>
      <c r="S78" s="692"/>
      <c r="T78" s="692"/>
      <c r="U78" s="693"/>
      <c r="V78" s="694"/>
      <c r="W78" s="694"/>
      <c r="X78" s="694"/>
      <c r="Y78" s="694"/>
      <c r="Z78" s="695"/>
      <c r="AA78" s="695"/>
      <c r="AB78" s="695"/>
      <c r="AC78" s="695"/>
      <c r="AD78" s="696"/>
      <c r="AE78" s="696"/>
      <c r="AH78" s="699">
        <f t="shared" ref="AH78:AH80" si="14">F78+H78+J78+L78</f>
        <v>0</v>
      </c>
    </row>
    <row r="79" spans="2:34">
      <c r="B79" s="213"/>
      <c r="C79" s="213"/>
      <c r="D79" s="688"/>
      <c r="E79" s="487"/>
      <c r="F79" s="689"/>
      <c r="G79" s="487"/>
      <c r="H79" s="689"/>
      <c r="I79" s="487"/>
      <c r="J79" s="690"/>
      <c r="K79" s="487"/>
      <c r="L79" s="691"/>
      <c r="M79" s="488"/>
      <c r="N79" s="488"/>
      <c r="O79" s="488"/>
      <c r="P79" s="488"/>
      <c r="Q79" s="692"/>
      <c r="R79" s="692"/>
      <c r="S79" s="692"/>
      <c r="T79" s="692"/>
      <c r="U79" s="693"/>
      <c r="V79" s="694"/>
      <c r="W79" s="694"/>
      <c r="X79" s="694"/>
      <c r="Y79" s="694"/>
      <c r="Z79" s="695"/>
      <c r="AA79" s="695"/>
      <c r="AB79" s="695"/>
      <c r="AC79" s="695"/>
      <c r="AD79" s="696"/>
      <c r="AE79" s="696"/>
      <c r="AH79" s="699">
        <f t="shared" si="14"/>
        <v>0</v>
      </c>
    </row>
    <row r="80" spans="2:34">
      <c r="B80" s="213"/>
      <c r="AH80" s="699">
        <f t="shared" si="14"/>
        <v>0</v>
      </c>
    </row>
    <row r="81" spans="1:34" s="687" customFormat="1" ht="36">
      <c r="B81" s="448" t="s">
        <v>41</v>
      </c>
      <c r="C81" s="429" t="s">
        <v>1042</v>
      </c>
      <c r="D81" s="429" t="s">
        <v>54</v>
      </c>
      <c r="E81" s="449" t="s">
        <v>320</v>
      </c>
      <c r="F81" s="449" t="s">
        <v>1043</v>
      </c>
      <c r="G81" s="449"/>
      <c r="H81" s="471"/>
      <c r="I81" s="471"/>
      <c r="J81" s="471"/>
      <c r="K81" s="471"/>
      <c r="L81" s="471"/>
      <c r="M81" s="471" t="s">
        <v>1052</v>
      </c>
      <c r="N81" s="449"/>
      <c r="O81" s="471"/>
      <c r="P81" s="471"/>
      <c r="Q81" s="471" t="s">
        <v>1044</v>
      </c>
      <c r="R81" s="471"/>
      <c r="S81" s="471"/>
      <c r="T81" s="471"/>
      <c r="U81" s="472" t="s">
        <v>345</v>
      </c>
      <c r="V81" s="471" t="s">
        <v>1045</v>
      </c>
      <c r="W81" s="471"/>
      <c r="X81" s="471"/>
      <c r="Y81" s="471"/>
      <c r="Z81" s="472" t="s">
        <v>1046</v>
      </c>
      <c r="AA81" s="472"/>
      <c r="AB81" s="472"/>
      <c r="AC81" s="472"/>
      <c r="AD81" s="472" t="s">
        <v>349</v>
      </c>
      <c r="AE81" s="472" t="s">
        <v>198</v>
      </c>
      <c r="AF81" s="686"/>
      <c r="AG81" s="686"/>
      <c r="AH81" s="699"/>
    </row>
    <row r="82" spans="1:34">
      <c r="A82" s="61">
        <v>1</v>
      </c>
      <c r="B82" s="671" t="s">
        <v>1067</v>
      </c>
      <c r="C82" s="672" t="s">
        <v>809</v>
      </c>
      <c r="D82" s="669" t="s">
        <v>1041</v>
      </c>
      <c r="E82" s="469">
        <v>2</v>
      </c>
      <c r="F82" s="427">
        <v>20</v>
      </c>
      <c r="G82" s="682"/>
      <c r="H82" s="683"/>
      <c r="I82" s="682"/>
      <c r="J82" s="684"/>
      <c r="K82" s="682"/>
      <c r="L82" s="685"/>
      <c r="M82" s="470"/>
      <c r="N82" s="681"/>
      <c r="O82" s="681"/>
      <c r="P82" s="681"/>
      <c r="Q82" s="473">
        <f>IF(M82=0,0,F82/M82)*E82</f>
        <v>0</v>
      </c>
      <c r="R82" s="678">
        <f>IF(N82=0,0,H82/N82)*G82</f>
        <v>0</v>
      </c>
      <c r="S82" s="678">
        <f>IF(O82=0,0,J82/O82)*I82</f>
        <v>0</v>
      </c>
      <c r="T82" s="679"/>
      <c r="U82" s="474">
        <f>'1.0-Contractblad'!$L$137</f>
        <v>0</v>
      </c>
      <c r="V82" s="558">
        <f>IF(M82=0,0,Q82*U82)</f>
        <v>0</v>
      </c>
      <c r="W82" s="680">
        <f>IF(N82=0,0,R82*U82)</f>
        <v>0</v>
      </c>
      <c r="X82" s="680">
        <f>IF(O82=0,0,S82*U82)</f>
        <v>0</v>
      </c>
      <c r="Y82" s="680">
        <f>IF(P82=0,0,T82*U82)</f>
        <v>0</v>
      </c>
      <c r="Z82" s="475">
        <f>IF(F82=0,0,V82/E82/F82)</f>
        <v>0</v>
      </c>
      <c r="AA82" s="475">
        <f>IF(H82=0,0,W82/G82/H82)</f>
        <v>0</v>
      </c>
      <c r="AB82" s="476">
        <f>IF(J82=0,0,X82/I82/J82)</f>
        <v>0</v>
      </c>
      <c r="AC82" s="476">
        <f>IF(L82=0,0,Y82/K82/L82)</f>
        <v>0</v>
      </c>
      <c r="AD82" s="559"/>
      <c r="AE82" s="559">
        <f>IF(M82=0,0,V82+W82+X82)+Y82</f>
        <v>0</v>
      </c>
      <c r="AH82" s="699">
        <f>F82+H82+J82+L82</f>
        <v>20</v>
      </c>
    </row>
    <row r="83" spans="1:34">
      <c r="A83" s="61">
        <v>1</v>
      </c>
      <c r="B83" s="671" t="s">
        <v>1071</v>
      </c>
      <c r="C83" s="672" t="s">
        <v>1072</v>
      </c>
      <c r="D83" s="669" t="s">
        <v>1041</v>
      </c>
      <c r="E83" s="469">
        <v>2</v>
      </c>
      <c r="F83" s="427">
        <v>20</v>
      </c>
      <c r="G83" s="682"/>
      <c r="H83" s="683"/>
      <c r="I83" s="682"/>
      <c r="J83" s="684"/>
      <c r="K83" s="682"/>
      <c r="L83" s="685"/>
      <c r="M83" s="470"/>
      <c r="N83" s="681"/>
      <c r="O83" s="681"/>
      <c r="P83" s="681"/>
      <c r="Q83" s="473">
        <f>IF(M83=0,0,F83/M83)*E83</f>
        <v>0</v>
      </c>
      <c r="R83" s="678">
        <f>IF(N83=0,0,H83/N83)*G83</f>
        <v>0</v>
      </c>
      <c r="S83" s="678">
        <f>IF(O83=0,0,J83/O83)*I83</f>
        <v>0</v>
      </c>
      <c r="T83" s="679"/>
      <c r="U83" s="474">
        <f>'1.0-Contractblad'!$L$137</f>
        <v>0</v>
      </c>
      <c r="V83" s="558">
        <f>IF(M83=0,0,Q83*U83)</f>
        <v>0</v>
      </c>
      <c r="W83" s="680">
        <f>IF(N83=0,0,R83*U83)</f>
        <v>0</v>
      </c>
      <c r="X83" s="680">
        <f>IF(O83=0,0,S83*U83)</f>
        <v>0</v>
      </c>
      <c r="Y83" s="680">
        <f>IF(P83=0,0,T83*U83)</f>
        <v>0</v>
      </c>
      <c r="Z83" s="475">
        <f>IF(F83=0,0,V83/E83/F83)</f>
        <v>0</v>
      </c>
      <c r="AA83" s="475">
        <f>IF(H83=0,0,W83/G83/H83)</f>
        <v>0</v>
      </c>
      <c r="AB83" s="476">
        <f>IF(J83=0,0,X83/I83/J83)</f>
        <v>0</v>
      </c>
      <c r="AC83" s="476">
        <f>IF(L83=0,0,Y83/K83/L83)</f>
        <v>0</v>
      </c>
      <c r="AD83" s="559"/>
      <c r="AE83" s="559">
        <f>IF(M83=0,0,V83+W83+X83)+Y83</f>
        <v>0</v>
      </c>
      <c r="AH83" s="699">
        <f>F83+H83+J83+L83</f>
        <v>20</v>
      </c>
    </row>
    <row r="84" spans="1:34">
      <c r="A84" s="61">
        <v>1</v>
      </c>
      <c r="B84" s="671" t="s">
        <v>1017</v>
      </c>
      <c r="C84" s="672" t="s">
        <v>808</v>
      </c>
      <c r="D84" s="669" t="s">
        <v>1041</v>
      </c>
      <c r="E84" s="469">
        <v>2</v>
      </c>
      <c r="F84" s="427">
        <v>20</v>
      </c>
      <c r="G84" s="682"/>
      <c r="H84" s="683"/>
      <c r="I84" s="682"/>
      <c r="J84" s="684"/>
      <c r="K84" s="682"/>
      <c r="L84" s="685"/>
      <c r="M84" s="470"/>
      <c r="N84" s="681"/>
      <c r="O84" s="681"/>
      <c r="P84" s="681"/>
      <c r="Q84" s="473">
        <f>IF(M84=0,0,F84/M84)*E84</f>
        <v>0</v>
      </c>
      <c r="R84" s="678">
        <f>IF(N84=0,0,H84/N84)*G84</f>
        <v>0</v>
      </c>
      <c r="S84" s="678">
        <f>IF(O84=0,0,J84/O84)*I84</f>
        <v>0</v>
      </c>
      <c r="T84" s="679"/>
      <c r="U84" s="474">
        <f>'1.0-Contractblad'!$L$137</f>
        <v>0</v>
      </c>
      <c r="V84" s="558">
        <f>IF(M84=0,0,Q84*U84)</f>
        <v>0</v>
      </c>
      <c r="W84" s="680">
        <f>IF(N84=0,0,R84*U84)</f>
        <v>0</v>
      </c>
      <c r="X84" s="680">
        <f>IF(O84=0,0,S84*U84)</f>
        <v>0</v>
      </c>
      <c r="Y84" s="680">
        <f>IF(P84=0,0,T84*U84)</f>
        <v>0</v>
      </c>
      <c r="Z84" s="475">
        <f>IF(F84=0,0,V84/E84/F84)</f>
        <v>0</v>
      </c>
      <c r="AA84" s="475">
        <f>IF(H84=0,0,W84/G84/H84)</f>
        <v>0</v>
      </c>
      <c r="AB84" s="476">
        <f>IF(J84=0,0,X84/I84/J84)</f>
        <v>0</v>
      </c>
      <c r="AC84" s="476">
        <f>IF(L84=0,0,Y84/K84/L84)</f>
        <v>0</v>
      </c>
      <c r="AD84" s="559"/>
      <c r="AE84" s="559">
        <f>IF(M84=0,0,V84+W84+X84)+Y84</f>
        <v>0</v>
      </c>
      <c r="AH84" s="699">
        <f>F84+H84+J84+L84</f>
        <v>20</v>
      </c>
    </row>
    <row r="85" spans="1:34">
      <c r="A85" s="61">
        <v>1</v>
      </c>
      <c r="B85" s="671" t="s">
        <v>1016</v>
      </c>
      <c r="C85" s="672" t="s">
        <v>807</v>
      </c>
      <c r="D85" s="669" t="s">
        <v>1041</v>
      </c>
      <c r="E85" s="469">
        <v>2</v>
      </c>
      <c r="F85" s="427">
        <v>20</v>
      </c>
      <c r="G85" s="682"/>
      <c r="H85" s="683"/>
      <c r="I85" s="682"/>
      <c r="J85" s="684"/>
      <c r="K85" s="682"/>
      <c r="L85" s="685"/>
      <c r="M85" s="470"/>
      <c r="N85" s="681"/>
      <c r="O85" s="681"/>
      <c r="P85" s="681"/>
      <c r="Q85" s="473">
        <f>IF(M85=0,0,F85/M85)*E85</f>
        <v>0</v>
      </c>
      <c r="R85" s="678">
        <f>IF(N85=0,0,H85/N85)*G85</f>
        <v>0</v>
      </c>
      <c r="S85" s="678">
        <f>IF(O85=0,0,J85/O85)*I85</f>
        <v>0</v>
      </c>
      <c r="T85" s="679"/>
      <c r="U85" s="474">
        <f>'1.0-Contractblad'!$L$137</f>
        <v>0</v>
      </c>
      <c r="V85" s="558">
        <f>IF(M85=0,0,Q85*U85)</f>
        <v>0</v>
      </c>
      <c r="W85" s="680">
        <f>IF(N85=0,0,R85*U85)</f>
        <v>0</v>
      </c>
      <c r="X85" s="680">
        <f>IF(O85=0,0,S85*U85)</f>
        <v>0</v>
      </c>
      <c r="Y85" s="680">
        <f>IF(P85=0,0,T85*U85)</f>
        <v>0</v>
      </c>
      <c r="Z85" s="475">
        <f>IF(F85=0,0,V85/E85/F85)</f>
        <v>0</v>
      </c>
      <c r="AA85" s="475">
        <f>IF(H85=0,0,W85/G85/H85)</f>
        <v>0</v>
      </c>
      <c r="AB85" s="476">
        <f>IF(J85=0,0,X85/I85/J85)</f>
        <v>0</v>
      </c>
      <c r="AC85" s="476">
        <f>IF(L85=0,0,Y85/K85/L85)</f>
        <v>0</v>
      </c>
      <c r="AD85" s="559"/>
      <c r="AE85" s="559">
        <f>IF(M85=0,0,V85+W85+X85)+Y85</f>
        <v>0</v>
      </c>
      <c r="AH85" s="699">
        <f>F85+H85+J85+L85</f>
        <v>20</v>
      </c>
    </row>
    <row r="86" spans="1:34">
      <c r="A86" s="61">
        <v>1</v>
      </c>
      <c r="B86" s="671" t="s">
        <v>1015</v>
      </c>
      <c r="C86" s="672" t="s">
        <v>806</v>
      </c>
      <c r="D86" s="669" t="s">
        <v>1041</v>
      </c>
      <c r="E86" s="469">
        <v>2</v>
      </c>
      <c r="F86" s="427">
        <v>20</v>
      </c>
      <c r="G86" s="682"/>
      <c r="H86" s="683"/>
      <c r="I86" s="682"/>
      <c r="J86" s="684"/>
      <c r="K86" s="682"/>
      <c r="L86" s="685"/>
      <c r="M86" s="470"/>
      <c r="N86" s="681"/>
      <c r="O86" s="681"/>
      <c r="P86" s="681"/>
      <c r="Q86" s="473">
        <f>IF(M86=0,0,F86/M86)*E86</f>
        <v>0</v>
      </c>
      <c r="R86" s="678">
        <f>IF(N86=0,0,H86/N86)*G86</f>
        <v>0</v>
      </c>
      <c r="S86" s="678">
        <f>IF(O86=0,0,J86/O86)*I86</f>
        <v>0</v>
      </c>
      <c r="T86" s="679"/>
      <c r="U86" s="474">
        <f>'1.0-Contractblad'!$L$137</f>
        <v>0</v>
      </c>
      <c r="V86" s="558">
        <f>IF(M86=0,0,Q86*U86)</f>
        <v>0</v>
      </c>
      <c r="W86" s="680">
        <f>IF(N86=0,0,R86*U86)</f>
        <v>0</v>
      </c>
      <c r="X86" s="680">
        <f>IF(O86=0,0,S86*U86)</f>
        <v>0</v>
      </c>
      <c r="Y86" s="680">
        <f>IF(P86=0,0,T86*U86)</f>
        <v>0</v>
      </c>
      <c r="Z86" s="475">
        <f>IF(F86=0,0,V86/E86/F86)</f>
        <v>0</v>
      </c>
      <c r="AA86" s="475">
        <f>IF(H86=0,0,W86/G86/H86)</f>
        <v>0</v>
      </c>
      <c r="AB86" s="476">
        <f>IF(J86=0,0,X86/I86/J86)</f>
        <v>0</v>
      </c>
      <c r="AC86" s="476">
        <f>IF(L86=0,0,Y86/K86/L86)</f>
        <v>0</v>
      </c>
      <c r="AD86" s="559"/>
      <c r="AE86" s="559">
        <f>IF(M86=0,0,V86+W86+X86)+Y86</f>
        <v>0</v>
      </c>
      <c r="AH86" s="699">
        <f>F86+H86+J86+L86</f>
        <v>20</v>
      </c>
    </row>
    <row r="87" spans="1:34" hidden="1">
      <c r="B87" s="671"/>
      <c r="C87" s="672"/>
      <c r="D87" s="669"/>
      <c r="E87" s="469"/>
      <c r="F87" s="427"/>
      <c r="G87" s="682"/>
      <c r="H87" s="683"/>
      <c r="I87" s="682"/>
      <c r="J87" s="684"/>
      <c r="K87" s="682"/>
      <c r="L87" s="685"/>
      <c r="M87" s="470"/>
      <c r="N87" s="681"/>
      <c r="O87" s="681"/>
      <c r="P87" s="681"/>
      <c r="Q87" s="473"/>
      <c r="R87" s="678"/>
      <c r="S87" s="678"/>
      <c r="T87" s="679"/>
      <c r="U87" s="474"/>
      <c r="V87" s="558"/>
      <c r="W87" s="680"/>
      <c r="X87" s="680"/>
      <c r="Y87" s="680"/>
      <c r="Z87" s="475"/>
      <c r="AA87" s="475"/>
      <c r="AB87" s="476"/>
      <c r="AC87" s="476"/>
      <c r="AD87" s="559"/>
      <c r="AE87" s="559"/>
      <c r="AH87" s="699"/>
    </row>
    <row r="88" spans="1:34" hidden="1">
      <c r="B88" s="671"/>
      <c r="C88" s="672"/>
      <c r="D88" s="669"/>
      <c r="E88" s="469"/>
      <c r="F88" s="427"/>
      <c r="G88" s="682"/>
      <c r="H88" s="683"/>
      <c r="I88" s="682"/>
      <c r="J88" s="684"/>
      <c r="K88" s="682"/>
      <c r="L88" s="685"/>
      <c r="M88" s="470"/>
      <c r="N88" s="681"/>
      <c r="O88" s="681"/>
      <c r="P88" s="681"/>
      <c r="Q88" s="473"/>
      <c r="R88" s="678"/>
      <c r="S88" s="678"/>
      <c r="T88" s="679"/>
      <c r="U88" s="474"/>
      <c r="V88" s="558"/>
      <c r="W88" s="680"/>
      <c r="X88" s="680"/>
      <c r="Y88" s="680"/>
      <c r="Z88" s="475"/>
      <c r="AA88" s="475"/>
      <c r="AB88" s="476"/>
      <c r="AC88" s="476"/>
      <c r="AD88" s="559"/>
      <c r="AE88" s="559"/>
      <c r="AH88" s="699"/>
    </row>
    <row r="89" spans="1:34" hidden="1">
      <c r="B89" s="671"/>
      <c r="C89" s="672"/>
      <c r="D89" s="669"/>
      <c r="E89" s="469"/>
      <c r="F89" s="427"/>
      <c r="G89" s="682"/>
      <c r="H89" s="683"/>
      <c r="I89" s="682"/>
      <c r="J89" s="684"/>
      <c r="K89" s="682"/>
      <c r="L89" s="685"/>
      <c r="M89" s="470"/>
      <c r="N89" s="681"/>
      <c r="O89" s="681"/>
      <c r="P89" s="681"/>
      <c r="Q89" s="473"/>
      <c r="R89" s="678"/>
      <c r="S89" s="678"/>
      <c r="T89" s="679"/>
      <c r="U89" s="474"/>
      <c r="V89" s="558"/>
      <c r="W89" s="680"/>
      <c r="X89" s="680"/>
      <c r="Y89" s="680"/>
      <c r="Z89" s="475"/>
      <c r="AA89" s="475"/>
      <c r="AB89" s="476"/>
      <c r="AC89" s="476"/>
      <c r="AD89" s="559"/>
      <c r="AE89" s="559"/>
      <c r="AH89" s="699"/>
    </row>
    <row r="90" spans="1:34" hidden="1">
      <c r="B90" s="671"/>
      <c r="C90" s="672"/>
      <c r="D90" s="669"/>
      <c r="E90" s="469"/>
      <c r="F90" s="427"/>
      <c r="G90" s="682"/>
      <c r="H90" s="683"/>
      <c r="I90" s="682"/>
      <c r="J90" s="684"/>
      <c r="K90" s="682"/>
      <c r="L90" s="685"/>
      <c r="M90" s="470"/>
      <c r="N90" s="681"/>
      <c r="O90" s="681"/>
      <c r="P90" s="681"/>
      <c r="Q90" s="473"/>
      <c r="R90" s="678"/>
      <c r="S90" s="678"/>
      <c r="T90" s="679"/>
      <c r="U90" s="474"/>
      <c r="V90" s="558"/>
      <c r="W90" s="680"/>
      <c r="X90" s="680"/>
      <c r="Y90" s="680"/>
      <c r="Z90" s="475"/>
      <c r="AA90" s="475"/>
      <c r="AB90" s="476"/>
      <c r="AC90" s="476"/>
      <c r="AD90" s="559"/>
      <c r="AE90" s="559"/>
      <c r="AH90" s="699"/>
    </row>
    <row r="91" spans="1:34" hidden="1">
      <c r="B91" s="671"/>
      <c r="C91" s="672"/>
      <c r="D91" s="669"/>
      <c r="E91" s="469"/>
      <c r="F91" s="427"/>
      <c r="G91" s="682"/>
      <c r="H91" s="683"/>
      <c r="I91" s="682"/>
      <c r="J91" s="684"/>
      <c r="K91" s="682"/>
      <c r="L91" s="685"/>
      <c r="M91" s="470"/>
      <c r="N91" s="681"/>
      <c r="O91" s="681"/>
      <c r="P91" s="681"/>
      <c r="Q91" s="473"/>
      <c r="R91" s="678"/>
      <c r="S91" s="678"/>
      <c r="T91" s="679"/>
      <c r="U91" s="474"/>
      <c r="V91" s="558"/>
      <c r="W91" s="680"/>
      <c r="X91" s="680"/>
      <c r="Y91" s="680"/>
      <c r="Z91" s="475"/>
      <c r="AA91" s="475"/>
      <c r="AB91" s="476"/>
      <c r="AC91" s="476"/>
      <c r="AD91" s="559"/>
      <c r="AE91" s="559"/>
      <c r="AH91" s="699"/>
    </row>
    <row r="92" spans="1:34" hidden="1">
      <c r="B92" s="671"/>
      <c r="C92" s="672"/>
      <c r="D92" s="669"/>
      <c r="E92" s="469"/>
      <c r="F92" s="427"/>
      <c r="G92" s="682"/>
      <c r="H92" s="683"/>
      <c r="I92" s="682"/>
      <c r="J92" s="684"/>
      <c r="K92" s="682"/>
      <c r="L92" s="685"/>
      <c r="M92" s="470"/>
      <c r="N92" s="681"/>
      <c r="O92" s="681"/>
      <c r="P92" s="681"/>
      <c r="Q92" s="473"/>
      <c r="R92" s="678"/>
      <c r="S92" s="678"/>
      <c r="T92" s="679"/>
      <c r="U92" s="474"/>
      <c r="V92" s="558"/>
      <c r="W92" s="680"/>
      <c r="X92" s="680"/>
      <c r="Y92" s="680"/>
      <c r="Z92" s="475"/>
      <c r="AA92" s="475"/>
      <c r="AB92" s="476"/>
      <c r="AC92" s="476"/>
      <c r="AD92" s="559"/>
      <c r="AE92" s="559"/>
      <c r="AH92" s="699"/>
    </row>
    <row r="93" spans="1:34" hidden="1">
      <c r="B93" s="671"/>
      <c r="C93" s="672"/>
      <c r="D93" s="669"/>
      <c r="E93" s="469"/>
      <c r="F93" s="427"/>
      <c r="G93" s="682"/>
      <c r="H93" s="683"/>
      <c r="I93" s="682"/>
      <c r="J93" s="684"/>
      <c r="K93" s="682"/>
      <c r="L93" s="685"/>
      <c r="M93" s="470"/>
      <c r="N93" s="681"/>
      <c r="O93" s="681"/>
      <c r="P93" s="681"/>
      <c r="Q93" s="473"/>
      <c r="R93" s="678"/>
      <c r="S93" s="678"/>
      <c r="T93" s="679"/>
      <c r="U93" s="474"/>
      <c r="V93" s="558"/>
      <c r="W93" s="680"/>
      <c r="X93" s="680"/>
      <c r="Y93" s="680"/>
      <c r="Z93" s="475"/>
      <c r="AA93" s="475"/>
      <c r="AB93" s="476"/>
      <c r="AC93" s="476"/>
      <c r="AD93" s="559"/>
      <c r="AE93" s="559"/>
      <c r="AH93" s="699"/>
    </row>
    <row r="94" spans="1:34">
      <c r="B94" s="213"/>
    </row>
    <row r="95" spans="1:34">
      <c r="B95" s="213"/>
    </row>
    <row r="96" spans="1:34">
      <c r="B96" s="213"/>
    </row>
    <row r="97" spans="1:30">
      <c r="B97" s="213"/>
    </row>
    <row r="98" spans="1:30">
      <c r="B98" s="213"/>
    </row>
    <row r="99" spans="1:30">
      <c r="B99" s="213"/>
    </row>
    <row r="100" spans="1:30">
      <c r="B100" s="213"/>
    </row>
    <row r="101" spans="1:30" ht="12.75" customHeight="1">
      <c r="B101" s="130" t="s">
        <v>68</v>
      </c>
      <c r="C101" s="150"/>
      <c r="D101" s="426"/>
      <c r="E101" s="426"/>
      <c r="F101" s="151"/>
    </row>
    <row r="102" spans="1:30" ht="12.75" customHeight="1">
      <c r="B102" s="152" t="s">
        <v>73</v>
      </c>
      <c r="C102" s="150"/>
      <c r="D102" s="426"/>
      <c r="E102" s="426"/>
      <c r="F102" s="151"/>
      <c r="H102" s="151"/>
      <c r="J102" s="151"/>
      <c r="K102" s="151"/>
      <c r="L102" s="151"/>
    </row>
    <row r="103" spans="1:30" ht="12.75" customHeight="1">
      <c r="B103" s="152" t="s">
        <v>123</v>
      </c>
      <c r="C103" s="150"/>
      <c r="D103" s="426"/>
      <c r="E103" s="426"/>
      <c r="F103" s="151"/>
    </row>
    <row r="104" spans="1:30" ht="12.75" customHeight="1"/>
    <row r="105" spans="1:30" ht="12.75" customHeight="1"/>
    <row r="106" spans="1:30" ht="12.75" customHeight="1"/>
    <row r="108" spans="1:30">
      <c r="B108" s="477" t="s">
        <v>1102</v>
      </c>
    </row>
    <row r="109" spans="1:30" s="478" customFormat="1">
      <c r="A109" s="641"/>
      <c r="B109" s="477"/>
      <c r="C109" s="477"/>
      <c r="D109" s="477"/>
      <c r="E109" s="477"/>
      <c r="F109" s="477"/>
      <c r="G109" s="477"/>
      <c r="H109" s="477"/>
      <c r="O109" s="61"/>
      <c r="P109" s="61"/>
      <c r="Q109" s="61"/>
      <c r="R109" s="61"/>
      <c r="AB109" s="479"/>
      <c r="AC109" s="479"/>
      <c r="AD109" s="479"/>
    </row>
    <row r="110" spans="1:30" s="478" customFormat="1">
      <c r="A110" s="477"/>
      <c r="B110" s="477"/>
      <c r="C110" s="477"/>
      <c r="D110" s="477"/>
      <c r="E110" s="477"/>
      <c r="F110" s="477"/>
      <c r="G110" s="477"/>
      <c r="H110" s="477"/>
      <c r="I110" s="480"/>
      <c r="J110" s="480"/>
      <c r="K110" s="480"/>
      <c r="L110" s="480"/>
      <c r="M110" s="480"/>
      <c r="N110" s="480"/>
      <c r="O110" s="61"/>
      <c r="P110" s="61"/>
      <c r="Q110" s="61"/>
      <c r="R110" s="61"/>
      <c r="S110" s="480"/>
      <c r="T110" s="480"/>
      <c r="U110" s="480"/>
      <c r="V110" s="480"/>
      <c r="W110" s="480"/>
      <c r="X110" s="480"/>
    </row>
    <row r="111" spans="1:30" s="478" customFormat="1">
      <c r="A111" s="477"/>
      <c r="B111" s="477"/>
      <c r="C111" s="477"/>
      <c r="D111" s="477"/>
      <c r="E111" s="477"/>
      <c r="F111" s="477"/>
      <c r="G111" s="477"/>
      <c r="H111" s="477"/>
      <c r="I111" s="480"/>
      <c r="J111" s="480"/>
      <c r="K111" s="480"/>
      <c r="L111" s="480"/>
      <c r="M111" s="480"/>
      <c r="N111" s="480"/>
      <c r="O111" s="61"/>
      <c r="P111" s="61"/>
      <c r="Q111" s="61"/>
      <c r="R111" s="61"/>
      <c r="S111" s="480"/>
      <c r="T111" s="480"/>
      <c r="U111" s="480"/>
      <c r="V111" s="480"/>
      <c r="W111" s="480"/>
      <c r="X111" s="480"/>
    </row>
    <row r="112" spans="1:30" s="478" customFormat="1" ht="26">
      <c r="A112" s="477"/>
      <c r="B112" s="448" t="s">
        <v>41</v>
      </c>
      <c r="C112" s="429" t="s">
        <v>350</v>
      </c>
      <c r="D112" s="428" t="s">
        <v>320</v>
      </c>
      <c r="E112" s="481" t="s">
        <v>351</v>
      </c>
      <c r="F112" s="477" t="s">
        <v>352</v>
      </c>
      <c r="G112" s="477"/>
      <c r="H112" s="477"/>
      <c r="I112" s="480"/>
      <c r="J112" s="480"/>
      <c r="K112" s="480"/>
      <c r="L112" s="480"/>
      <c r="M112" s="480"/>
      <c r="N112" s="480"/>
      <c r="O112" s="61"/>
      <c r="P112" s="61"/>
      <c r="Q112" s="61"/>
      <c r="R112" s="61"/>
      <c r="S112" s="480"/>
      <c r="T112" s="480"/>
      <c r="U112" s="480"/>
      <c r="V112" s="480"/>
    </row>
    <row r="113" spans="1:22" s="478" customFormat="1">
      <c r="A113" s="477"/>
      <c r="B113" s="300" t="s">
        <v>1067</v>
      </c>
      <c r="C113" s="300" t="s">
        <v>809</v>
      </c>
      <c r="D113" s="469">
        <v>3</v>
      </c>
      <c r="E113" s="490"/>
      <c r="F113" s="851"/>
      <c r="G113" s="851"/>
      <c r="H113" s="851"/>
      <c r="I113" s="851"/>
      <c r="J113" s="852"/>
      <c r="K113" s="489"/>
      <c r="L113" s="489"/>
      <c r="M113" s="480"/>
      <c r="N113" s="480"/>
      <c r="O113" s="61"/>
      <c r="P113" s="61"/>
      <c r="Q113" s="61"/>
      <c r="R113" s="61"/>
      <c r="S113" s="480"/>
      <c r="T113" s="480"/>
      <c r="U113" s="480"/>
      <c r="V113" s="480"/>
    </row>
    <row r="114" spans="1:22" s="478" customFormat="1">
      <c r="A114" s="477"/>
      <c r="B114" s="300" t="s">
        <v>1071</v>
      </c>
      <c r="C114" s="300" t="s">
        <v>1072</v>
      </c>
      <c r="D114" s="469">
        <v>3</v>
      </c>
      <c r="E114" s="490"/>
      <c r="F114" s="851"/>
      <c r="G114" s="851"/>
      <c r="H114" s="851"/>
      <c r="I114" s="851"/>
      <c r="J114" s="852"/>
      <c r="K114" s="489"/>
      <c r="L114" s="489"/>
      <c r="M114" s="480"/>
      <c r="N114" s="480"/>
      <c r="O114" s="61"/>
      <c r="P114" s="61"/>
      <c r="Q114" s="61"/>
      <c r="R114" s="61"/>
      <c r="S114" s="480"/>
      <c r="T114" s="480"/>
      <c r="U114" s="480"/>
      <c r="V114" s="480"/>
    </row>
    <row r="115" spans="1:22" s="478" customFormat="1">
      <c r="A115" s="477"/>
      <c r="B115" s="300" t="s">
        <v>1017</v>
      </c>
      <c r="C115" s="300" t="s">
        <v>808</v>
      </c>
      <c r="D115" s="469">
        <v>3</v>
      </c>
      <c r="E115" s="490"/>
      <c r="F115" s="851"/>
      <c r="G115" s="851"/>
      <c r="H115" s="851"/>
      <c r="I115" s="851"/>
      <c r="J115" s="852"/>
      <c r="K115" s="489"/>
      <c r="L115" s="489"/>
      <c r="M115" s="480"/>
      <c r="N115" s="480"/>
      <c r="O115" s="61"/>
      <c r="P115" s="61"/>
      <c r="Q115" s="61"/>
      <c r="R115" s="61"/>
      <c r="S115" s="480"/>
      <c r="T115" s="480"/>
      <c r="U115" s="480"/>
      <c r="V115" s="480"/>
    </row>
    <row r="116" spans="1:22" s="478" customFormat="1">
      <c r="A116" s="477"/>
      <c r="B116" s="300" t="s">
        <v>1016</v>
      </c>
      <c r="C116" s="300" t="s">
        <v>807</v>
      </c>
      <c r="D116" s="469">
        <v>3</v>
      </c>
      <c r="E116" s="490"/>
      <c r="F116" s="851"/>
      <c r="G116" s="851"/>
      <c r="H116" s="851"/>
      <c r="I116" s="851"/>
      <c r="J116" s="852"/>
      <c r="K116" s="489"/>
      <c r="L116" s="489"/>
      <c r="M116" s="480"/>
      <c r="N116" s="480"/>
      <c r="O116" s="61"/>
      <c r="P116" s="61"/>
      <c r="Q116" s="61"/>
      <c r="R116" s="61"/>
      <c r="S116" s="480"/>
      <c r="T116" s="480"/>
      <c r="U116" s="480"/>
      <c r="V116" s="480"/>
    </row>
    <row r="117" spans="1:22" s="478" customFormat="1">
      <c r="A117" s="477"/>
      <c r="B117" s="300" t="s">
        <v>1015</v>
      </c>
      <c r="C117" s="300" t="s">
        <v>806</v>
      </c>
      <c r="D117" s="469">
        <v>3</v>
      </c>
      <c r="E117" s="616"/>
      <c r="F117" s="856"/>
      <c r="G117" s="851"/>
      <c r="H117" s="851"/>
      <c r="I117" s="851"/>
      <c r="J117" s="852"/>
      <c r="K117" s="489"/>
      <c r="L117" s="489"/>
      <c r="M117" s="480"/>
      <c r="N117" s="480"/>
      <c r="O117" s="61"/>
      <c r="P117" s="61"/>
      <c r="Q117" s="61"/>
      <c r="R117" s="61"/>
      <c r="S117" s="480"/>
      <c r="T117" s="480"/>
      <c r="U117" s="480"/>
      <c r="V117" s="480"/>
    </row>
    <row r="118" spans="1:22">
      <c r="B118" s="300" t="s">
        <v>1068</v>
      </c>
      <c r="C118" s="300" t="s">
        <v>1018</v>
      </c>
      <c r="D118" s="469">
        <v>3</v>
      </c>
      <c r="E118" s="519"/>
      <c r="F118" s="856"/>
      <c r="G118" s="851"/>
      <c r="H118" s="851"/>
      <c r="I118" s="851"/>
      <c r="J118" s="852"/>
      <c r="K118" s="489"/>
      <c r="L118" s="489"/>
      <c r="M118" s="480"/>
      <c r="N118" s="480"/>
    </row>
    <row r="119" spans="1:22">
      <c r="B119" s="213"/>
      <c r="C119" s="147"/>
      <c r="D119" s="487"/>
      <c r="E119" s="488"/>
      <c r="F119" s="489"/>
      <c r="G119" s="489"/>
      <c r="H119" s="489"/>
      <c r="I119" s="489"/>
      <c r="J119" s="489"/>
      <c r="K119" s="489"/>
      <c r="L119" s="489"/>
      <c r="M119" s="480"/>
      <c r="N119" s="480"/>
    </row>
    <row r="120" spans="1:22">
      <c r="B120" s="213"/>
      <c r="C120" s="147"/>
      <c r="D120" s="487"/>
      <c r="E120" s="488"/>
      <c r="F120" s="489"/>
      <c r="G120" s="489"/>
      <c r="H120" s="489"/>
      <c r="I120" s="489"/>
      <c r="J120" s="489"/>
      <c r="K120" s="489"/>
      <c r="L120" s="489"/>
      <c r="M120" s="480"/>
      <c r="N120" s="480"/>
    </row>
    <row r="121" spans="1:22" ht="16">
      <c r="B121" s="130" t="s">
        <v>68</v>
      </c>
    </row>
    <row r="122" spans="1:22">
      <c r="B122" s="152" t="s">
        <v>73</v>
      </c>
    </row>
    <row r="123" spans="1:22">
      <c r="B123" s="152" t="s">
        <v>123</v>
      </c>
    </row>
    <row r="126" spans="1:22">
      <c r="B126" s="482"/>
      <c r="C126" s="482"/>
      <c r="D126" s="482"/>
      <c r="E126" s="483"/>
      <c r="F126" s="483"/>
      <c r="G126" s="483"/>
      <c r="H126" s="483"/>
      <c r="I126" s="483"/>
      <c r="J126" s="483"/>
      <c r="K126" s="483"/>
      <c r="L126" s="483"/>
      <c r="M126" s="483"/>
    </row>
    <row r="127" spans="1:22">
      <c r="B127" s="483" t="s">
        <v>23</v>
      </c>
      <c r="C127" s="483"/>
      <c r="D127" s="484"/>
      <c r="E127" s="485"/>
      <c r="F127" s="485"/>
      <c r="G127" s="485"/>
      <c r="H127" s="485"/>
      <c r="I127" s="485"/>
      <c r="J127" s="485"/>
      <c r="K127" s="666"/>
      <c r="L127" s="666"/>
      <c r="M127" s="485"/>
    </row>
    <row r="128" spans="1:22">
      <c r="B128" s="486" t="s">
        <v>354</v>
      </c>
      <c r="C128" s="842" t="s">
        <v>355</v>
      </c>
      <c r="D128" s="842"/>
      <c r="E128" s="842"/>
      <c r="F128" s="842"/>
      <c r="G128" s="842"/>
      <c r="H128" s="842"/>
      <c r="I128" s="842"/>
    </row>
    <row r="129" spans="2:9">
      <c r="B129" s="486"/>
      <c r="C129" s="842"/>
      <c r="D129" s="842"/>
      <c r="E129" s="842"/>
      <c r="F129" s="842"/>
      <c r="G129" s="842"/>
      <c r="H129" s="842"/>
      <c r="I129" s="842"/>
    </row>
    <row r="130" spans="2:9">
      <c r="B130" s="486"/>
      <c r="C130" s="131" t="s">
        <v>356</v>
      </c>
      <c r="D130" s="131"/>
      <c r="E130" s="131"/>
      <c r="F130" s="131"/>
      <c r="G130" s="131"/>
      <c r="H130" s="131"/>
      <c r="I130" s="131"/>
    </row>
    <row r="131" spans="2:9">
      <c r="B131" s="486"/>
      <c r="C131" s="131"/>
      <c r="D131" s="131"/>
      <c r="E131" s="131"/>
      <c r="F131" s="131"/>
      <c r="G131" s="131"/>
      <c r="H131" s="131"/>
      <c r="I131" s="131"/>
    </row>
    <row r="132" spans="2:9">
      <c r="B132" s="486" t="s">
        <v>357</v>
      </c>
      <c r="C132" s="131" t="s">
        <v>358</v>
      </c>
      <c r="D132" s="131"/>
      <c r="E132" s="131"/>
      <c r="F132" s="131"/>
      <c r="G132" s="131"/>
      <c r="H132" s="131"/>
      <c r="I132" s="131"/>
    </row>
    <row r="133" spans="2:9">
      <c r="B133" s="486"/>
      <c r="C133" s="131" t="s">
        <v>359</v>
      </c>
      <c r="D133" s="131"/>
      <c r="E133" s="131"/>
      <c r="F133" s="131"/>
      <c r="G133" s="131"/>
      <c r="H133" s="131"/>
      <c r="I133" s="131"/>
    </row>
    <row r="134" spans="2:9">
      <c r="B134" s="486"/>
      <c r="C134" s="131" t="s">
        <v>360</v>
      </c>
      <c r="D134" s="131"/>
      <c r="E134" s="131"/>
      <c r="F134" s="131"/>
      <c r="G134" s="131"/>
      <c r="H134" s="131"/>
      <c r="I134" s="131"/>
    </row>
  </sheetData>
  <autoFilter ref="B15:D77"/>
  <sortState ref="A82:AH93">
    <sortCondition ref="A82"/>
  </sortState>
  <mergeCells count="10">
    <mergeCell ref="M14:P14"/>
    <mergeCell ref="F117:J117"/>
    <mergeCell ref="F116:J116"/>
    <mergeCell ref="F118:J118"/>
    <mergeCell ref="C128:I129"/>
    <mergeCell ref="B13:J13"/>
    <mergeCell ref="F14:J14"/>
    <mergeCell ref="F113:J113"/>
    <mergeCell ref="F114:J114"/>
    <mergeCell ref="F115:J115"/>
  </mergeCells>
  <phoneticPr fontId="17" type="noConversion"/>
  <printOptions horizontalCentered="1"/>
  <pageMargins left="0.39629921259842515" right="0.39314960629921264" top="0.78944881889763785" bottom="0.79000000000000015" header="0.1931496062992126" footer="0.2"/>
  <pageSetup paperSize="9" scale="35" orientation="landscape"/>
  <headerFooter>
    <oddHeader>&amp;L&amp;C&amp;R</oddHeader>
    <oddFooter>&amp;L&amp;"Verdana,Regular"&amp;F-&amp;A_x000D_ICCA b.v. ©&amp;R&amp;"Verdana,Regular"printversie &amp;D</oddFooter>
  </headerFooter>
  <rowBreaks count="1" manualBreakCount="1">
    <brk id="94" max="30"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workbookViewId="0"/>
  </sheetViews>
  <sheetFormatPr baseColWidth="10" defaultRowHeight="13" x14ac:dyDescent="0"/>
  <cols>
    <col min="1" max="1" width="42.7109375" style="633" customWidth="1"/>
    <col min="2" max="16384" width="10.7109375" style="1"/>
  </cols>
  <sheetData>
    <row r="3" spans="1:3">
      <c r="A3" s="632" t="s">
        <v>403</v>
      </c>
    </row>
    <row r="5" spans="1:3">
      <c r="B5" s="808" t="s">
        <v>405</v>
      </c>
      <c r="C5" s="809"/>
    </row>
    <row r="6" spans="1:3">
      <c r="B6" s="810"/>
      <c r="C6" s="811"/>
    </row>
    <row r="7" spans="1:3">
      <c r="B7" s="810"/>
      <c r="C7" s="811"/>
    </row>
    <row r="8" spans="1:3">
      <c r="B8" s="810"/>
      <c r="C8" s="811"/>
    </row>
    <row r="9" spans="1:3">
      <c r="B9" s="810"/>
      <c r="C9" s="811"/>
    </row>
    <row r="10" spans="1:3">
      <c r="B10" s="810"/>
      <c r="C10" s="811"/>
    </row>
    <row r="11" spans="1:3">
      <c r="B11" s="810"/>
      <c r="C11" s="811"/>
    </row>
    <row r="12" spans="1:3">
      <c r="B12" s="810"/>
      <c r="C12" s="811"/>
    </row>
    <row r="13" spans="1:3">
      <c r="B13" s="810"/>
      <c r="C13" s="811"/>
    </row>
    <row r="14" spans="1:3">
      <c r="B14" s="810"/>
      <c r="C14" s="811"/>
    </row>
    <row r="15" spans="1:3">
      <c r="B15" s="812"/>
      <c r="C15" s="813"/>
    </row>
    <row r="18" spans="1:3">
      <c r="A18" s="632" t="s">
        <v>404</v>
      </c>
    </row>
    <row r="20" spans="1:3">
      <c r="B20" s="808" t="s">
        <v>406</v>
      </c>
      <c r="C20" s="809"/>
    </row>
    <row r="21" spans="1:3">
      <c r="B21" s="810"/>
      <c r="C21" s="811"/>
    </row>
    <row r="22" spans="1:3">
      <c r="B22" s="810"/>
      <c r="C22" s="811"/>
    </row>
    <row r="23" spans="1:3">
      <c r="B23" s="810"/>
      <c r="C23" s="811"/>
    </row>
    <row r="24" spans="1:3">
      <c r="B24" s="810"/>
      <c r="C24" s="811"/>
    </row>
    <row r="25" spans="1:3">
      <c r="B25" s="810"/>
      <c r="C25" s="811"/>
    </row>
    <row r="26" spans="1:3">
      <c r="B26" s="810"/>
      <c r="C26" s="811"/>
    </row>
    <row r="27" spans="1:3">
      <c r="B27" s="810"/>
      <c r="C27" s="811"/>
    </row>
    <row r="28" spans="1:3">
      <c r="B28" s="810"/>
      <c r="C28" s="811"/>
    </row>
    <row r="29" spans="1:3">
      <c r="B29" s="810"/>
      <c r="C29" s="811"/>
    </row>
    <row r="30" spans="1:3">
      <c r="B30" s="812"/>
      <c r="C30" s="813"/>
    </row>
    <row r="33" spans="1:3">
      <c r="A33" s="632" t="s">
        <v>407</v>
      </c>
    </row>
    <row r="35" spans="1:3">
      <c r="B35" s="808" t="s">
        <v>408</v>
      </c>
      <c r="C35" s="809"/>
    </row>
    <row r="36" spans="1:3">
      <c r="B36" s="810"/>
      <c r="C36" s="811"/>
    </row>
    <row r="37" spans="1:3">
      <c r="B37" s="810"/>
      <c r="C37" s="811"/>
    </row>
    <row r="38" spans="1:3">
      <c r="B38" s="810"/>
      <c r="C38" s="811"/>
    </row>
    <row r="39" spans="1:3">
      <c r="B39" s="810"/>
      <c r="C39" s="811"/>
    </row>
    <row r="40" spans="1:3">
      <c r="B40" s="810"/>
      <c r="C40" s="811"/>
    </row>
    <row r="41" spans="1:3">
      <c r="B41" s="810"/>
      <c r="C41" s="811"/>
    </row>
    <row r="42" spans="1:3">
      <c r="B42" s="810"/>
      <c r="C42" s="811"/>
    </row>
    <row r="43" spans="1:3">
      <c r="B43" s="810"/>
      <c r="C43" s="811"/>
    </row>
    <row r="44" spans="1:3">
      <c r="B44" s="810"/>
      <c r="C44" s="811"/>
    </row>
    <row r="45" spans="1:3">
      <c r="B45" s="812"/>
      <c r="C45" s="813"/>
    </row>
    <row r="47" spans="1:3">
      <c r="A47" s="632" t="s">
        <v>409</v>
      </c>
    </row>
    <row r="49" spans="1:3">
      <c r="B49" s="808" t="s">
        <v>411</v>
      </c>
      <c r="C49" s="809"/>
    </row>
    <row r="50" spans="1:3">
      <c r="B50" s="810"/>
      <c r="C50" s="811"/>
    </row>
    <row r="51" spans="1:3">
      <c r="B51" s="810"/>
      <c r="C51" s="811"/>
    </row>
    <row r="52" spans="1:3">
      <c r="B52" s="810"/>
      <c r="C52" s="811"/>
    </row>
    <row r="53" spans="1:3">
      <c r="B53" s="810"/>
      <c r="C53" s="811"/>
    </row>
    <row r="54" spans="1:3">
      <c r="B54" s="810"/>
      <c r="C54" s="811"/>
    </row>
    <row r="55" spans="1:3">
      <c r="B55" s="810"/>
      <c r="C55" s="811"/>
    </row>
    <row r="56" spans="1:3">
      <c r="B56" s="810"/>
      <c r="C56" s="811"/>
    </row>
    <row r="57" spans="1:3">
      <c r="B57" s="810"/>
      <c r="C57" s="811"/>
    </row>
    <row r="58" spans="1:3">
      <c r="B58" s="810"/>
      <c r="C58" s="811"/>
    </row>
    <row r="59" spans="1:3">
      <c r="B59" s="812"/>
      <c r="C59" s="813"/>
    </row>
    <row r="61" spans="1:3">
      <c r="A61" s="632" t="s">
        <v>416</v>
      </c>
    </row>
    <row r="64" spans="1:3">
      <c r="B64" s="808" t="s">
        <v>410</v>
      </c>
      <c r="C64" s="809"/>
    </row>
    <row r="65" spans="1:3">
      <c r="B65" s="810"/>
      <c r="C65" s="811"/>
    </row>
    <row r="66" spans="1:3">
      <c r="B66" s="810"/>
      <c r="C66" s="811"/>
    </row>
    <row r="67" spans="1:3">
      <c r="B67" s="810"/>
      <c r="C67" s="811"/>
    </row>
    <row r="68" spans="1:3">
      <c r="B68" s="810"/>
      <c r="C68" s="811"/>
    </row>
    <row r="69" spans="1:3">
      <c r="B69" s="810"/>
      <c r="C69" s="811"/>
    </row>
    <row r="70" spans="1:3">
      <c r="B70" s="810"/>
      <c r="C70" s="811"/>
    </row>
    <row r="71" spans="1:3">
      <c r="B71" s="810"/>
      <c r="C71" s="811"/>
    </row>
    <row r="72" spans="1:3">
      <c r="B72" s="810"/>
      <c r="C72" s="811"/>
    </row>
    <row r="73" spans="1:3">
      <c r="B73" s="810"/>
      <c r="C73" s="811"/>
    </row>
    <row r="74" spans="1:3">
      <c r="B74" s="812"/>
      <c r="C74" s="813"/>
    </row>
    <row r="76" spans="1:3">
      <c r="A76" s="632" t="s">
        <v>412</v>
      </c>
    </row>
    <row r="78" spans="1:3">
      <c r="B78" s="808" t="s">
        <v>414</v>
      </c>
      <c r="C78" s="809"/>
    </row>
    <row r="79" spans="1:3">
      <c r="B79" s="810"/>
      <c r="C79" s="811"/>
    </row>
    <row r="80" spans="1:3">
      <c r="B80" s="810"/>
      <c r="C80" s="811"/>
    </row>
    <row r="81" spans="1:3">
      <c r="B81" s="810"/>
      <c r="C81" s="811"/>
    </row>
    <row r="82" spans="1:3">
      <c r="B82" s="810"/>
      <c r="C82" s="811"/>
    </row>
    <row r="83" spans="1:3">
      <c r="B83" s="810"/>
      <c r="C83" s="811"/>
    </row>
    <row r="84" spans="1:3">
      <c r="B84" s="810"/>
      <c r="C84" s="811"/>
    </row>
    <row r="85" spans="1:3">
      <c r="B85" s="810"/>
      <c r="C85" s="811"/>
    </row>
    <row r="86" spans="1:3">
      <c r="B86" s="810"/>
      <c r="C86" s="811"/>
    </row>
    <row r="87" spans="1:3">
      <c r="B87" s="810"/>
      <c r="C87" s="811"/>
    </row>
    <row r="88" spans="1:3">
      <c r="B88" s="812"/>
      <c r="C88" s="813"/>
    </row>
    <row r="96" spans="1:3">
      <c r="A96" s="632" t="s">
        <v>413</v>
      </c>
    </row>
    <row r="98" spans="1:3">
      <c r="B98" s="808" t="s">
        <v>415</v>
      </c>
      <c r="C98" s="809"/>
    </row>
    <row r="99" spans="1:3">
      <c r="B99" s="810"/>
      <c r="C99" s="811"/>
    </row>
    <row r="100" spans="1:3">
      <c r="B100" s="810"/>
      <c r="C100" s="811"/>
    </row>
    <row r="101" spans="1:3">
      <c r="B101" s="810"/>
      <c r="C101" s="811"/>
    </row>
    <row r="102" spans="1:3">
      <c r="B102" s="810"/>
      <c r="C102" s="811"/>
    </row>
    <row r="103" spans="1:3">
      <c r="B103" s="810"/>
      <c r="C103" s="811"/>
    </row>
    <row r="104" spans="1:3">
      <c r="B104" s="810"/>
      <c r="C104" s="811"/>
    </row>
    <row r="105" spans="1:3">
      <c r="B105" s="810"/>
      <c r="C105" s="811"/>
    </row>
    <row r="106" spans="1:3">
      <c r="B106" s="810"/>
      <c r="C106" s="811"/>
    </row>
    <row r="107" spans="1:3">
      <c r="B107" s="810"/>
      <c r="C107" s="811"/>
    </row>
    <row r="108" spans="1:3">
      <c r="B108" s="812"/>
      <c r="C108" s="813"/>
    </row>
    <row r="111" spans="1:3">
      <c r="A111" s="632" t="s">
        <v>417</v>
      </c>
    </row>
    <row r="113" spans="1:3">
      <c r="B113" s="808" t="s">
        <v>418</v>
      </c>
      <c r="C113" s="809"/>
    </row>
    <row r="114" spans="1:3">
      <c r="B114" s="810"/>
      <c r="C114" s="811"/>
    </row>
    <row r="115" spans="1:3">
      <c r="B115" s="810"/>
      <c r="C115" s="811"/>
    </row>
    <row r="116" spans="1:3">
      <c r="B116" s="810"/>
      <c r="C116" s="811"/>
    </row>
    <row r="117" spans="1:3">
      <c r="B117" s="810"/>
      <c r="C117" s="811"/>
    </row>
    <row r="118" spans="1:3">
      <c r="B118" s="810"/>
      <c r="C118" s="811"/>
    </row>
    <row r="119" spans="1:3">
      <c r="B119" s="810"/>
      <c r="C119" s="811"/>
    </row>
    <row r="120" spans="1:3">
      <c r="B120" s="810"/>
      <c r="C120" s="811"/>
    </row>
    <row r="121" spans="1:3">
      <c r="B121" s="810"/>
      <c r="C121" s="811"/>
    </row>
    <row r="122" spans="1:3">
      <c r="B122" s="810"/>
      <c r="C122" s="811"/>
    </row>
    <row r="123" spans="1:3">
      <c r="B123" s="812"/>
      <c r="C123" s="813"/>
    </row>
    <row r="125" spans="1:3">
      <c r="A125" s="632" t="s">
        <v>419</v>
      </c>
    </row>
    <row r="127" spans="1:3">
      <c r="B127" s="808" t="s">
        <v>420</v>
      </c>
      <c r="C127" s="809"/>
    </row>
    <row r="128" spans="1:3">
      <c r="B128" s="810"/>
      <c r="C128" s="811"/>
    </row>
    <row r="129" spans="1:3">
      <c r="B129" s="810"/>
      <c r="C129" s="811"/>
    </row>
    <row r="130" spans="1:3">
      <c r="B130" s="810"/>
      <c r="C130" s="811"/>
    </row>
    <row r="131" spans="1:3">
      <c r="B131" s="810"/>
      <c r="C131" s="811"/>
    </row>
    <row r="132" spans="1:3">
      <c r="B132" s="810"/>
      <c r="C132" s="811"/>
    </row>
    <row r="133" spans="1:3">
      <c r="B133" s="810"/>
      <c r="C133" s="811"/>
    </row>
    <row r="134" spans="1:3">
      <c r="B134" s="810"/>
      <c r="C134" s="811"/>
    </row>
    <row r="135" spans="1:3">
      <c r="B135" s="810"/>
      <c r="C135" s="811"/>
    </row>
    <row r="136" spans="1:3">
      <c r="B136" s="810"/>
      <c r="C136" s="811"/>
    </row>
    <row r="137" spans="1:3">
      <c r="B137" s="812"/>
      <c r="C137" s="813"/>
    </row>
    <row r="144" spans="1:3">
      <c r="A144" s="632" t="s">
        <v>68</v>
      </c>
    </row>
    <row r="145" spans="1:1">
      <c r="A145" s="633" t="s">
        <v>421</v>
      </c>
    </row>
    <row r="147" spans="1:1">
      <c r="A147" s="633" t="s">
        <v>422</v>
      </c>
    </row>
    <row r="148" spans="1:1">
      <c r="A148" s="633" t="s">
        <v>423</v>
      </c>
    </row>
    <row r="150" spans="1:1">
      <c r="A150" s="633" t="s">
        <v>424</v>
      </c>
    </row>
  </sheetData>
  <mergeCells count="9">
    <mergeCell ref="B98:C108"/>
    <mergeCell ref="B113:C123"/>
    <mergeCell ref="B127:C137"/>
    <mergeCell ref="B5:C15"/>
    <mergeCell ref="B20:C30"/>
    <mergeCell ref="B35:C45"/>
    <mergeCell ref="B49:C59"/>
    <mergeCell ref="B64:C74"/>
    <mergeCell ref="B78:C88"/>
  </mergeCells>
  <phoneticPr fontId="17" type="noConversion"/>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workbookViewId="0">
      <selection activeCell="E47" sqref="E47"/>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10"/>
    </row>
    <row r="3" spans="4:6" ht="20">
      <c r="E3" s="410" t="s">
        <v>283</v>
      </c>
    </row>
    <row r="4" spans="4:6" ht="20">
      <c r="E4" s="410"/>
    </row>
    <row r="5" spans="4:6" ht="20">
      <c r="E5" s="410" t="s">
        <v>284</v>
      </c>
    </row>
    <row r="6" spans="4:6" ht="20">
      <c r="E6" s="410" t="s">
        <v>366</v>
      </c>
    </row>
    <row r="7" spans="4:6" ht="20">
      <c r="E7" s="410" t="s">
        <v>66</v>
      </c>
    </row>
    <row r="8" spans="4:6" ht="13"/>
    <row r="9" spans="4:6" ht="20">
      <c r="E9" s="410" t="s">
        <v>426</v>
      </c>
    </row>
    <row r="10" spans="4:6" ht="13"/>
    <row r="11" spans="4:6" ht="13"/>
    <row r="12" spans="4:6" ht="18">
      <c r="D12" s="505"/>
      <c r="E12" s="506" t="str">
        <f>'1.0-Contractblad'!E6</f>
        <v>[NAAM LEVERANCIER]</v>
      </c>
      <c r="F12" s="505"/>
    </row>
    <row r="13" spans="4:6" ht="13"/>
    <row r="14" spans="4:6" ht="13"/>
    <row r="15" spans="4:6" ht="13">
      <c r="D15" s="642" t="s">
        <v>8</v>
      </c>
      <c r="E15" s="643">
        <v>42917</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785" t="s">
        <v>402</v>
      </c>
    </row>
    <row r="46" spans="5:5" ht="13">
      <c r="E46" s="547" t="s">
        <v>1103</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11" t="str">
        <f>'1.0-Contractblad'!D2</f>
        <v>Naam opdrachtgever</v>
      </c>
      <c r="E2" s="157"/>
      <c r="F2" s="411" t="str">
        <f>'1.0-Contractblad'!E2</f>
        <v>Stichting Altra - Horizon</v>
      </c>
      <c r="G2" s="157"/>
    </row>
    <row r="3" spans="4:13" ht="16">
      <c r="D3" s="411" t="str">
        <f>'1.0-Contractblad'!D4</f>
        <v>Adres/plaats</v>
      </c>
      <c r="E3" s="157"/>
      <c r="F3" s="411" t="str">
        <f>'1.0-Contractblad'!E4</f>
        <v>Regio Noord Holland</v>
      </c>
      <c r="G3" s="157"/>
    </row>
    <row r="4" spans="4:13" ht="16">
      <c r="D4" s="411" t="str">
        <f>'1.0-Contractblad'!D5</f>
        <v>Besteknummer</v>
      </c>
      <c r="E4" s="157"/>
      <c r="F4" s="411" t="str">
        <f>'1.0-Contractblad'!E5</f>
        <v>180417 V2</v>
      </c>
      <c r="G4" s="157"/>
    </row>
    <row r="5" spans="4:13" ht="13"/>
    <row r="6" spans="4:13" ht="13">
      <c r="D6" s="412"/>
      <c r="E6" s="412"/>
    </row>
    <row r="7" spans="4:13" ht="18">
      <c r="D7" s="197" t="s">
        <v>33</v>
      </c>
      <c r="E7" s="176"/>
      <c r="F7" s="15"/>
      <c r="G7" s="15"/>
      <c r="H7" s="15"/>
      <c r="I7" s="5"/>
      <c r="J7" s="5"/>
      <c r="K7" s="5"/>
    </row>
    <row r="8" spans="4:13" ht="18">
      <c r="D8" s="197" t="s">
        <v>224</v>
      </c>
      <c r="E8" s="15"/>
      <c r="F8" s="15"/>
      <c r="G8" s="15"/>
      <c r="H8" s="15"/>
      <c r="I8" s="13"/>
      <c r="J8" s="12"/>
      <c r="K8" s="5"/>
    </row>
    <row r="9" spans="4:13" ht="13"/>
    <row r="10" spans="4:13" ht="13"/>
    <row r="11" spans="4:13" ht="13"/>
    <row r="12" spans="4:13" ht="16">
      <c r="D12" s="156" t="s">
        <v>285</v>
      </c>
      <c r="E12" s="413"/>
      <c r="F12" s="413"/>
      <c r="G12" s="413"/>
      <c r="H12" s="413"/>
      <c r="I12" s="413"/>
      <c r="J12" s="413"/>
      <c r="K12" s="413"/>
    </row>
    <row r="13" spans="4:13" ht="13">
      <c r="D13" s="413"/>
      <c r="E13" s="413"/>
      <c r="F13" s="413"/>
      <c r="G13" s="413"/>
      <c r="H13" s="413"/>
      <c r="I13" s="413"/>
      <c r="J13" s="413"/>
      <c r="K13" s="413"/>
    </row>
    <row r="14" spans="4:13" ht="15.75" customHeight="1">
      <c r="D14" s="414">
        <v>1</v>
      </c>
      <c r="E14" s="156" t="s">
        <v>286</v>
      </c>
      <c r="F14" s="3"/>
      <c r="G14" s="413"/>
      <c r="H14" s="413"/>
      <c r="I14" s="413"/>
      <c r="J14" s="413"/>
      <c r="K14" s="413"/>
    </row>
    <row r="15" spans="4:13" ht="13">
      <c r="D15" s="413"/>
      <c r="E15" s="155" t="s">
        <v>137</v>
      </c>
      <c r="F15" s="272"/>
      <c r="G15" s="413"/>
      <c r="H15" s="413"/>
      <c r="I15" s="413"/>
      <c r="J15" s="413"/>
      <c r="K15" s="413"/>
      <c r="M15" s="369" t="s">
        <v>32</v>
      </c>
    </row>
    <row r="16" spans="4:13" ht="13">
      <c r="D16" s="413"/>
      <c r="E16" s="413"/>
      <c r="F16" s="413"/>
      <c r="G16" s="413"/>
      <c r="H16" s="413"/>
      <c r="I16" s="413"/>
      <c r="J16" s="413"/>
      <c r="K16" s="413"/>
    </row>
    <row r="17" spans="4:13" ht="13">
      <c r="D17" s="413"/>
      <c r="E17" s="413"/>
      <c r="F17" s="413"/>
      <c r="G17" s="413"/>
      <c r="H17" s="413"/>
      <c r="I17" s="413"/>
      <c r="J17" s="413"/>
      <c r="K17" s="413"/>
    </row>
    <row r="18" spans="4:13" ht="15.75" customHeight="1">
      <c r="D18" s="414">
        <v>2</v>
      </c>
      <c r="E18" s="156" t="s">
        <v>287</v>
      </c>
      <c r="F18" s="4"/>
      <c r="G18" s="4"/>
      <c r="H18" s="4"/>
      <c r="I18" s="13"/>
      <c r="J18" s="12"/>
      <c r="K18" s="5"/>
    </row>
    <row r="19" spans="4:13" ht="15.75" customHeight="1">
      <c r="D19" s="19"/>
      <c r="E19" s="814" t="s">
        <v>288</v>
      </c>
      <c r="F19" s="814"/>
      <c r="G19" s="814"/>
      <c r="H19" s="814"/>
      <c r="I19" s="814"/>
      <c r="J19" s="814"/>
      <c r="K19" s="814"/>
      <c r="L19" s="814"/>
      <c r="M19" s="369" t="s">
        <v>32</v>
      </c>
    </row>
    <row r="20" spans="4:13" ht="16">
      <c r="D20" s="19"/>
      <c r="E20" s="814"/>
      <c r="F20" s="814"/>
      <c r="G20" s="814"/>
      <c r="H20" s="814"/>
      <c r="I20" s="814"/>
      <c r="J20" s="814"/>
      <c r="K20" s="814"/>
      <c r="L20" s="814"/>
      <c r="M20" s="415" t="s">
        <v>289</v>
      </c>
    </row>
    <row r="21" spans="4:13" ht="15.75" customHeight="1">
      <c r="D21" s="19"/>
      <c r="E21" s="814"/>
      <c r="F21" s="814"/>
      <c r="G21" s="814"/>
      <c r="H21" s="814"/>
      <c r="I21" s="814"/>
      <c r="J21" s="814"/>
      <c r="K21" s="814"/>
      <c r="L21" s="814"/>
    </row>
    <row r="22" spans="4:13" ht="16">
      <c r="D22" s="19"/>
      <c r="E22" s="416"/>
      <c r="F22" s="416"/>
      <c r="G22" s="416"/>
      <c r="H22" s="416"/>
      <c r="I22" s="416"/>
      <c r="J22" s="416"/>
      <c r="K22" s="416"/>
    </row>
    <row r="23" spans="4:13" ht="16">
      <c r="D23" s="414">
        <v>3</v>
      </c>
      <c r="E23" s="156" t="s">
        <v>290</v>
      </c>
      <c r="F23" s="4"/>
      <c r="G23" s="4"/>
      <c r="H23" s="4"/>
      <c r="I23" s="13"/>
      <c r="J23" s="12"/>
      <c r="K23" s="5"/>
    </row>
    <row r="24" spans="4:13" ht="26" customHeight="1">
      <c r="D24" s="19"/>
      <c r="E24" s="814" t="s">
        <v>291</v>
      </c>
      <c r="F24" s="814"/>
      <c r="G24" s="814"/>
      <c r="H24" s="814"/>
      <c r="I24" s="814"/>
      <c r="J24" s="814"/>
      <c r="K24" s="814"/>
      <c r="L24" s="814"/>
      <c r="M24" s="369" t="s">
        <v>32</v>
      </c>
    </row>
    <row r="25" spans="4:13" ht="16">
      <c r="D25" s="19"/>
      <c r="E25" s="814"/>
      <c r="F25" s="814"/>
      <c r="G25" s="814"/>
      <c r="H25" s="814"/>
      <c r="I25" s="814"/>
      <c r="J25" s="814"/>
      <c r="K25" s="814"/>
      <c r="L25" s="814"/>
      <c r="M25" s="417" t="s">
        <v>32</v>
      </c>
    </row>
    <row r="26" spans="4:13" ht="15.75" customHeight="1">
      <c r="D26" s="19"/>
      <c r="E26" s="814"/>
      <c r="F26" s="814"/>
      <c r="G26" s="814"/>
      <c r="H26" s="814"/>
      <c r="I26" s="814"/>
      <c r="J26" s="814"/>
      <c r="K26" s="814"/>
      <c r="L26" s="814"/>
      <c r="M26" s="415" t="s">
        <v>289</v>
      </c>
    </row>
    <row r="27" spans="4:13" ht="16">
      <c r="D27" s="19"/>
      <c r="E27" s="416"/>
      <c r="F27" s="416"/>
      <c r="G27" s="416"/>
      <c r="H27" s="416"/>
      <c r="I27" s="416"/>
      <c r="J27" s="416"/>
      <c r="K27" s="416"/>
    </row>
    <row r="28" spans="4:13" ht="15.75" customHeight="1">
      <c r="D28" s="414">
        <v>4</v>
      </c>
      <c r="E28" s="826" t="s">
        <v>292</v>
      </c>
      <c r="F28" s="826"/>
      <c r="G28" s="826"/>
      <c r="H28" s="826"/>
      <c r="I28" s="826"/>
      <c r="J28" s="826"/>
      <c r="K28" s="826"/>
      <c r="L28" s="826"/>
    </row>
    <row r="29" spans="4:13" ht="15.75" customHeight="1">
      <c r="E29" s="826"/>
      <c r="F29" s="826"/>
      <c r="G29" s="826"/>
      <c r="H29" s="826"/>
      <c r="I29" s="826"/>
      <c r="J29" s="826"/>
      <c r="K29" s="826"/>
      <c r="L29" s="826"/>
      <c r="M29" s="369" t="s">
        <v>32</v>
      </c>
    </row>
    <row r="30" spans="4:13" ht="15.75" customHeight="1">
      <c r="E30" s="814" t="s">
        <v>293</v>
      </c>
      <c r="F30" s="814"/>
      <c r="G30" s="814"/>
      <c r="H30" s="814"/>
      <c r="I30" s="814"/>
      <c r="J30" s="814"/>
      <c r="K30" s="814"/>
      <c r="L30" s="814"/>
    </row>
    <row r="31" spans="4:13" ht="15.75" customHeight="1">
      <c r="E31" s="814"/>
      <c r="F31" s="814"/>
      <c r="G31" s="814"/>
      <c r="H31" s="814"/>
      <c r="I31" s="814"/>
      <c r="J31" s="814"/>
      <c r="K31" s="814"/>
      <c r="L31" s="814"/>
    </row>
    <row r="32" spans="4:13" ht="12.75" customHeight="1">
      <c r="E32" s="814"/>
      <c r="F32" s="814"/>
      <c r="G32" s="814"/>
      <c r="H32" s="814"/>
      <c r="I32" s="814"/>
      <c r="J32" s="814"/>
      <c r="K32" s="814"/>
      <c r="L32" s="814"/>
    </row>
    <row r="33" spans="4:13" ht="16">
      <c r="E33" s="156" t="s">
        <v>294</v>
      </c>
      <c r="F33" s="418"/>
      <c r="G33" s="418"/>
      <c r="H33" s="418"/>
      <c r="I33" s="418"/>
      <c r="J33" s="418"/>
      <c r="K33" s="418"/>
    </row>
    <row r="34" spans="4:13" ht="16">
      <c r="E34" s="156"/>
      <c r="F34" s="418"/>
      <c r="G34" s="418"/>
      <c r="H34" s="418"/>
      <c r="I34" s="418"/>
      <c r="J34" s="418"/>
      <c r="K34" s="418"/>
    </row>
    <row r="35" spans="4:13" ht="13">
      <c r="E35" s="419">
        <v>0</v>
      </c>
      <c r="F35" s="418"/>
      <c r="G35" s="420">
        <f>E35</f>
        <v>0</v>
      </c>
      <c r="H35" s="247"/>
      <c r="I35" s="418"/>
      <c r="J35" s="418"/>
      <c r="K35" s="418"/>
    </row>
    <row r="36" spans="4:13" ht="16">
      <c r="E36" s="156"/>
      <c r="F36" s="418"/>
      <c r="G36" s="418"/>
      <c r="H36" s="418"/>
      <c r="I36" s="418"/>
      <c r="J36" s="418"/>
      <c r="K36" s="418"/>
    </row>
    <row r="37" spans="4:13" ht="13">
      <c r="E37" s="814" t="s">
        <v>295</v>
      </c>
      <c r="F37" s="814"/>
      <c r="G37" s="814"/>
      <c r="H37" s="814"/>
      <c r="I37" s="814"/>
      <c r="J37" s="814"/>
      <c r="K37" s="814"/>
      <c r="L37" s="814"/>
    </row>
    <row r="38" spans="4:13" ht="13">
      <c r="E38" s="814"/>
      <c r="F38" s="814"/>
      <c r="G38" s="814"/>
      <c r="H38" s="814"/>
      <c r="I38" s="814"/>
      <c r="J38" s="814"/>
      <c r="K38" s="814"/>
      <c r="L38" s="814"/>
    </row>
    <row r="39" spans="4:13" ht="12.75" customHeight="1">
      <c r="E39" s="814"/>
      <c r="F39" s="814"/>
      <c r="G39" s="814"/>
      <c r="H39" s="814"/>
      <c r="I39" s="814"/>
      <c r="J39" s="814"/>
      <c r="K39" s="814"/>
      <c r="L39" s="814"/>
    </row>
    <row r="40" spans="4:13" ht="16">
      <c r="D40" s="19"/>
      <c r="E40" s="421" t="s">
        <v>296</v>
      </c>
      <c r="F40" s="422"/>
      <c r="G40" s="422"/>
      <c r="H40" s="422"/>
      <c r="I40" s="422"/>
      <c r="J40" s="422"/>
      <c r="K40" s="422"/>
    </row>
    <row r="41" spans="4:13" ht="9" customHeight="1">
      <c r="D41" s="19"/>
      <c r="E41" s="418"/>
      <c r="F41" s="418"/>
      <c r="G41" s="418"/>
      <c r="H41" s="418"/>
      <c r="I41" s="418"/>
      <c r="J41" s="418"/>
      <c r="K41" s="418"/>
    </row>
    <row r="42" spans="4:13" ht="16">
      <c r="D42" s="414">
        <v>5</v>
      </c>
      <c r="E42" s="156" t="s">
        <v>297</v>
      </c>
    </row>
    <row r="43" spans="4:13" ht="38" customHeight="1">
      <c r="D43" s="19"/>
      <c r="E43" s="824" t="s">
        <v>303</v>
      </c>
      <c r="F43" s="824"/>
      <c r="G43" s="824"/>
      <c r="H43" s="824"/>
      <c r="I43" s="824"/>
      <c r="J43" s="824"/>
      <c r="K43" s="824"/>
      <c r="L43" s="825"/>
      <c r="M43" s="369" t="s">
        <v>32</v>
      </c>
    </row>
    <row r="44" spans="4:13" ht="16">
      <c r="D44" s="19"/>
      <c r="E44" s="824" t="s">
        <v>304</v>
      </c>
      <c r="F44" s="824"/>
      <c r="G44" s="824"/>
      <c r="H44" s="824"/>
      <c r="I44" s="824"/>
      <c r="J44" s="824"/>
      <c r="K44" s="824"/>
      <c r="L44" s="824"/>
      <c r="M44" s="423"/>
    </row>
    <row r="45" spans="4:13" ht="16">
      <c r="D45" s="19"/>
      <c r="E45" s="416"/>
      <c r="F45" s="416"/>
      <c r="G45" s="416"/>
      <c r="H45" s="416"/>
      <c r="I45" s="416"/>
      <c r="J45" s="416"/>
      <c r="K45" s="416"/>
    </row>
    <row r="46" spans="4:13" ht="16">
      <c r="D46" s="414">
        <v>6</v>
      </c>
      <c r="E46" s="156" t="s">
        <v>300</v>
      </c>
    </row>
    <row r="47" spans="4:13" ht="16">
      <c r="D47" s="156"/>
      <c r="E47" s="155" t="s">
        <v>301</v>
      </c>
      <c r="F47" s="4"/>
      <c r="G47" s="4"/>
      <c r="H47" s="4"/>
      <c r="I47" s="13"/>
      <c r="J47" s="12"/>
      <c r="K47" s="5"/>
      <c r="M47" s="369"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14">
        <v>7</v>
      </c>
      <c r="E50" s="156" t="s">
        <v>302</v>
      </c>
    </row>
    <row r="51" spans="4:13" ht="16">
      <c r="D51" s="19"/>
      <c r="E51" s="814" t="s">
        <v>298</v>
      </c>
      <c r="F51" s="814"/>
      <c r="G51" s="814"/>
      <c r="H51" s="814"/>
      <c r="I51" s="814"/>
      <c r="J51" s="814"/>
      <c r="K51" s="814"/>
      <c r="L51" s="814"/>
      <c r="M51" s="369" t="s">
        <v>299</v>
      </c>
    </row>
    <row r="52" spans="4:13" ht="13">
      <c r="E52" s="814"/>
      <c r="F52" s="814"/>
      <c r="G52" s="814"/>
      <c r="H52" s="814"/>
      <c r="I52" s="814"/>
      <c r="J52" s="814"/>
      <c r="K52" s="814"/>
      <c r="L52" s="814"/>
    </row>
    <row r="53" spans="4:13" ht="13">
      <c r="D53" s="61"/>
      <c r="E53" s="814"/>
      <c r="F53" s="814"/>
      <c r="G53" s="814"/>
      <c r="H53" s="814"/>
      <c r="I53" s="814"/>
      <c r="J53" s="814"/>
      <c r="K53" s="814"/>
      <c r="L53" s="814"/>
    </row>
    <row r="54" spans="4:13" ht="16">
      <c r="D54" s="414">
        <v>8</v>
      </c>
      <c r="E54" s="156" t="s">
        <v>218</v>
      </c>
      <c r="F54" s="156"/>
      <c r="G54" s="156"/>
      <c r="H54" s="156"/>
      <c r="I54" s="156"/>
      <c r="J54" s="156"/>
      <c r="K54" s="156"/>
      <c r="L54" s="156"/>
      <c r="M54" s="156"/>
    </row>
    <row r="55" spans="4:13" ht="16">
      <c r="D55" s="156"/>
      <c r="F55" s="4"/>
      <c r="G55" s="4"/>
      <c r="H55" s="4"/>
      <c r="I55" s="13"/>
      <c r="J55" s="12"/>
      <c r="K55" s="5"/>
    </row>
    <row r="56" spans="4:13" ht="16">
      <c r="D56" s="414">
        <v>9</v>
      </c>
      <c r="E56" s="156" t="s">
        <v>60</v>
      </c>
    </row>
    <row r="57" spans="4:13" ht="12.75" customHeight="1">
      <c r="D57" s="156"/>
    </row>
    <row r="58" spans="4:13" ht="14" thickBot="1"/>
    <row r="59" spans="4:13" ht="14" thickTop="1">
      <c r="E59" s="815" t="s">
        <v>330</v>
      </c>
      <c r="F59" s="816"/>
      <c r="G59" s="816"/>
      <c r="H59" s="816"/>
      <c r="I59" s="816"/>
      <c r="J59" s="816"/>
      <c r="K59" s="816"/>
      <c r="L59" s="817"/>
    </row>
    <row r="60" spans="4:13" ht="13">
      <c r="E60" s="818"/>
      <c r="F60" s="819"/>
      <c r="G60" s="819"/>
      <c r="H60" s="819"/>
      <c r="I60" s="819"/>
      <c r="J60" s="819"/>
      <c r="K60" s="819"/>
      <c r="L60" s="820"/>
    </row>
    <row r="61" spans="4:13" ht="16">
      <c r="D61" s="19"/>
      <c r="E61" s="818"/>
      <c r="F61" s="819"/>
      <c r="G61" s="819"/>
      <c r="H61" s="819"/>
      <c r="I61" s="819"/>
      <c r="J61" s="819"/>
      <c r="K61" s="819"/>
      <c r="L61" s="820"/>
    </row>
    <row r="62" spans="4:13" ht="13">
      <c r="E62" s="818"/>
      <c r="F62" s="819"/>
      <c r="G62" s="819"/>
      <c r="H62" s="819"/>
      <c r="I62" s="819"/>
      <c r="J62" s="819"/>
      <c r="K62" s="819"/>
      <c r="L62" s="820"/>
    </row>
    <row r="63" spans="4:13" ht="16">
      <c r="D63" s="19"/>
      <c r="E63" s="818"/>
      <c r="F63" s="819"/>
      <c r="G63" s="819"/>
      <c r="H63" s="819"/>
      <c r="I63" s="819"/>
      <c r="J63" s="819"/>
      <c r="K63" s="819"/>
      <c r="L63" s="820"/>
    </row>
    <row r="64" spans="4:13" ht="15.75" customHeight="1">
      <c r="D64" s="156"/>
      <c r="E64" s="818"/>
      <c r="F64" s="819"/>
      <c r="G64" s="819"/>
      <c r="H64" s="819"/>
      <c r="I64" s="819"/>
      <c r="J64" s="819"/>
      <c r="K64" s="819"/>
      <c r="L64" s="820"/>
    </row>
    <row r="65" spans="4:12" ht="14" thickBot="1">
      <c r="E65" s="821"/>
      <c r="F65" s="822"/>
      <c r="G65" s="822"/>
      <c r="H65" s="822"/>
      <c r="I65" s="822"/>
      <c r="J65" s="822"/>
      <c r="K65" s="822"/>
      <c r="L65" s="823"/>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7"/>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2"/>
      <c r="M81" s="272"/>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17" type="noConversion"/>
  <conditionalFormatting sqref="M25">
    <cfRule type="cellIs" dxfId="136"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showOutlineSymbols="0" zoomScaleSheetLayoutView="75" workbookViewId="0">
      <selection activeCell="E117" sqref="E117"/>
    </sheetView>
  </sheetViews>
  <sheetFormatPr baseColWidth="10" defaultColWidth="10.7109375" defaultRowHeight="13" zeroHeight="1" x14ac:dyDescent="0"/>
  <cols>
    <col min="1" max="1" width="13.85546875" style="252" customWidth="1"/>
    <col min="2" max="2" width="0.7109375" style="252" customWidth="1"/>
    <col min="3" max="3" width="1.42578125" style="220"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1" customWidth="1"/>
    <col min="12" max="12" width="15.85546875" style="27" customWidth="1"/>
    <col min="13" max="13" width="14.42578125" style="27" customWidth="1"/>
    <col min="14" max="14" width="9.28515625" style="27" customWidth="1"/>
    <col min="15" max="15" width="11.85546875" style="27" customWidth="1"/>
    <col min="16" max="16384" width="10.7109375" style="27"/>
  </cols>
  <sheetData>
    <row r="1" spans="1:11" ht="6" customHeight="1">
      <c r="D1" s="28"/>
      <c r="E1" s="26"/>
    </row>
    <row r="2" spans="1:11" s="33" customFormat="1" ht="16">
      <c r="A2" s="253"/>
      <c r="B2" s="252"/>
      <c r="C2" s="256"/>
      <c r="D2" s="225" t="s">
        <v>160</v>
      </c>
      <c r="E2" s="226" t="s">
        <v>428</v>
      </c>
      <c r="F2" s="31"/>
      <c r="G2" s="31"/>
      <c r="H2" s="32"/>
      <c r="I2" s="31"/>
      <c r="J2" s="31"/>
      <c r="K2" s="262"/>
    </row>
    <row r="3" spans="1:11" s="33" customFormat="1" ht="16">
      <c r="A3" s="253"/>
      <c r="B3" s="252"/>
      <c r="C3" s="256"/>
      <c r="D3" s="225" t="s">
        <v>42</v>
      </c>
      <c r="E3" s="504" t="s">
        <v>181</v>
      </c>
      <c r="F3" s="31"/>
      <c r="G3" s="31"/>
      <c r="H3" s="31"/>
      <c r="I3" s="31"/>
      <c r="J3" s="31"/>
      <c r="K3" s="262"/>
    </row>
    <row r="4" spans="1:11" s="33" customFormat="1" ht="16">
      <c r="A4" s="253"/>
      <c r="B4" s="252"/>
      <c r="C4" s="256"/>
      <c r="D4" s="225" t="s">
        <v>52</v>
      </c>
      <c r="E4" s="226" t="s">
        <v>429</v>
      </c>
      <c r="F4" s="31"/>
      <c r="G4" s="31"/>
      <c r="H4" s="31"/>
      <c r="I4" s="31"/>
      <c r="J4" s="31"/>
      <c r="K4" s="262"/>
    </row>
    <row r="5" spans="1:11" s="33" customFormat="1" ht="16">
      <c r="A5" s="253"/>
      <c r="B5" s="252"/>
      <c r="C5" s="256"/>
      <c r="D5" s="225" t="s">
        <v>217</v>
      </c>
      <c r="E5" s="226" t="str">
        <f>Voorblad!E46</f>
        <v>180417 V2</v>
      </c>
      <c r="F5" s="31"/>
      <c r="G5" s="31"/>
      <c r="H5" s="31"/>
      <c r="I5" s="31"/>
      <c r="J5" s="31"/>
      <c r="K5" s="262"/>
    </row>
    <row r="6" spans="1:11" s="33" customFormat="1" ht="16">
      <c r="A6" s="253"/>
      <c r="B6" s="252"/>
      <c r="C6" s="256"/>
      <c r="D6" s="225" t="s">
        <v>158</v>
      </c>
      <c r="E6" s="226" t="s">
        <v>383</v>
      </c>
      <c r="F6" s="31"/>
      <c r="G6" s="31"/>
      <c r="H6" s="31"/>
      <c r="I6" s="31"/>
      <c r="J6" s="31"/>
      <c r="K6" s="262"/>
    </row>
    <row r="7" spans="1:11" s="33" customFormat="1" ht="16">
      <c r="A7" s="253"/>
      <c r="B7" s="252"/>
      <c r="C7" s="256"/>
      <c r="D7" s="225" t="s">
        <v>8</v>
      </c>
      <c r="E7" s="227">
        <v>42736</v>
      </c>
      <c r="F7" s="31"/>
      <c r="G7" s="31"/>
      <c r="H7" s="31"/>
      <c r="I7" s="31"/>
      <c r="J7" s="31"/>
      <c r="K7" s="262"/>
    </row>
    <row r="8" spans="1:11" s="33" customFormat="1" ht="16">
      <c r="A8" s="253"/>
      <c r="B8" s="252"/>
      <c r="C8" s="256"/>
      <c r="D8" s="225" t="s">
        <v>41</v>
      </c>
      <c r="E8" s="504" t="s">
        <v>426</v>
      </c>
      <c r="F8" s="31"/>
      <c r="G8" s="31"/>
      <c r="H8" s="31"/>
      <c r="I8" s="544">
        <f>Voorblad!$E$15</f>
        <v>42917</v>
      </c>
      <c r="J8" s="31"/>
      <c r="K8" s="262"/>
    </row>
    <row r="9" spans="1:11" s="33" customFormat="1" ht="24" customHeight="1">
      <c r="A9" s="253"/>
      <c r="B9" s="252"/>
      <c r="C9" s="256"/>
      <c r="D9" s="29"/>
      <c r="K9" s="262"/>
    </row>
    <row r="10" spans="1:11" s="33" customFormat="1" ht="16">
      <c r="A10" s="253"/>
      <c r="B10" s="252"/>
      <c r="C10" s="256"/>
      <c r="D10" s="28"/>
      <c r="F10" s="34"/>
      <c r="K10" s="262"/>
    </row>
    <row r="11" spans="1:11" s="33" customFormat="1" ht="16">
      <c r="A11" s="253"/>
      <c r="B11" s="252"/>
      <c r="C11" s="256"/>
      <c r="D11" s="218" t="s">
        <v>204</v>
      </c>
      <c r="E11" s="218"/>
      <c r="F11" s="218"/>
      <c r="G11" s="218"/>
      <c r="H11" s="218"/>
      <c r="I11" s="218"/>
      <c r="J11" s="219"/>
      <c r="K11" s="262"/>
    </row>
    <row r="12" spans="1:11">
      <c r="E12" s="220"/>
      <c r="F12" s="220"/>
      <c r="G12" s="220"/>
      <c r="H12" s="220"/>
      <c r="I12" s="220"/>
      <c r="J12" s="220"/>
    </row>
    <row r="13" spans="1:11" s="221" customFormat="1" ht="26">
      <c r="A13" s="254"/>
      <c r="B13" s="252"/>
      <c r="C13" s="257"/>
      <c r="D13" s="222" t="s">
        <v>211</v>
      </c>
      <c r="E13" s="223" t="s">
        <v>129</v>
      </c>
      <c r="F13" s="224" t="s">
        <v>113</v>
      </c>
      <c r="G13" s="224" t="s">
        <v>243</v>
      </c>
      <c r="H13" s="224" t="s">
        <v>209</v>
      </c>
      <c r="I13" s="224" t="s">
        <v>63</v>
      </c>
      <c r="J13" s="224" t="s">
        <v>90</v>
      </c>
      <c r="K13" s="263"/>
    </row>
    <row r="14" spans="1:11" s="62" customFormat="1" ht="21" customHeight="1">
      <c r="A14" s="255"/>
      <c r="B14" s="252"/>
      <c r="C14" s="258"/>
      <c r="D14" s="230" t="s">
        <v>26</v>
      </c>
      <c r="E14" s="231"/>
      <c r="F14" s="231"/>
      <c r="G14" s="232"/>
      <c r="H14" s="232"/>
      <c r="I14" s="232"/>
      <c r="J14" s="232"/>
      <c r="K14" s="264"/>
    </row>
    <row r="15" spans="1:11" s="62" customFormat="1" ht="39.75" customHeight="1">
      <c r="A15" s="260">
        <v>0</v>
      </c>
      <c r="B15" s="259"/>
      <c r="C15" s="258"/>
      <c r="D15" s="247">
        <f>VLOOKUP(A15,'1.5 Opbouw uurtarieven'!$A$12:$C$36,2,FALSE)</f>
        <v>0</v>
      </c>
      <c r="J15" s="248"/>
      <c r="K15" s="264"/>
    </row>
    <row r="16" spans="1:11">
      <c r="D16" s="38" t="s">
        <v>219</v>
      </c>
      <c r="E16" s="154">
        <v>0</v>
      </c>
      <c r="F16" s="39">
        <f>H16/G16</f>
        <v>0</v>
      </c>
      <c r="G16" s="40">
        <v>200</v>
      </c>
      <c r="H16" s="39">
        <f>$H$29*E16</f>
        <v>0</v>
      </c>
      <c r="I16" s="41">
        <f>(VLOOKUP(A15,'1.5 Opbouw uurtarieven'!$A$12:$AU$44,41,FALSE))</f>
        <v>0</v>
      </c>
      <c r="J16" s="42">
        <f>I16*H16</f>
        <v>0</v>
      </c>
    </row>
    <row r="17" spans="1:256">
      <c r="D17" s="38"/>
      <c r="E17" s="38"/>
      <c r="F17" s="38"/>
      <c r="G17" s="38"/>
      <c r="H17" s="38"/>
      <c r="I17" s="38"/>
      <c r="J17" s="38"/>
      <c r="K17" s="26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0">
        <v>0</v>
      </c>
      <c r="B18" s="259"/>
      <c r="C18" s="258"/>
      <c r="D18" s="247">
        <f>VLOOKUP(A18,'1.5 Opbouw uurtarieven'!$A$12:$C$36,2,FALSE)</f>
        <v>0</v>
      </c>
      <c r="J18" s="248"/>
      <c r="K18" s="264"/>
    </row>
    <row r="19" spans="1:256">
      <c r="D19" s="38" t="s">
        <v>219</v>
      </c>
      <c r="E19" s="154">
        <v>0</v>
      </c>
      <c r="F19" s="39">
        <f>H19/G19</f>
        <v>0</v>
      </c>
      <c r="G19" s="40">
        <v>200</v>
      </c>
      <c r="H19" s="39">
        <f>$H$29*E19</f>
        <v>0</v>
      </c>
      <c r="I19" s="41">
        <f>(VLOOKUP(A18,'1.5 Opbouw uurtarieven'!$A$12:$AU$44,41,FALSE))</f>
        <v>0</v>
      </c>
      <c r="J19" s="42">
        <f>I19*H19</f>
        <v>0</v>
      </c>
    </row>
    <row r="20" spans="1:256">
      <c r="D20" s="38"/>
      <c r="E20" s="38"/>
      <c r="F20" s="38"/>
      <c r="G20" s="38"/>
      <c r="H20" s="38"/>
      <c r="I20" s="38"/>
      <c r="J20" s="38"/>
      <c r="K20" s="26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0">
        <v>0</v>
      </c>
      <c r="B21" s="259"/>
      <c r="C21" s="258"/>
      <c r="D21" s="247">
        <f>VLOOKUP(A21,'1.5 Opbouw uurtarieven'!$A$12:$C$36,2,FALSE)</f>
        <v>0</v>
      </c>
      <c r="J21" s="248"/>
      <c r="K21" s="264"/>
    </row>
    <row r="22" spans="1:256">
      <c r="D22" s="38" t="s">
        <v>219</v>
      </c>
      <c r="E22" s="154">
        <v>0</v>
      </c>
      <c r="F22" s="39">
        <f>H22/G22</f>
        <v>0</v>
      </c>
      <c r="G22" s="40">
        <v>200</v>
      </c>
      <c r="H22" s="39">
        <f>$H$29*E22</f>
        <v>0</v>
      </c>
      <c r="I22" s="41">
        <f>(VLOOKUP(A21,'1.5 Opbouw uurtarieven'!$A$12:$AU$44,41,FALSE))</f>
        <v>0</v>
      </c>
      <c r="J22" s="42">
        <f>I22*H22</f>
        <v>0</v>
      </c>
    </row>
    <row r="23" spans="1:256">
      <c r="D23" s="38"/>
      <c r="E23" s="38"/>
      <c r="F23" s="38"/>
      <c r="G23" s="38"/>
      <c r="H23" s="38"/>
      <c r="I23" s="38"/>
      <c r="J23" s="38"/>
      <c r="K23" s="265"/>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0">
        <v>0</v>
      </c>
      <c r="B24" s="252"/>
      <c r="C24" s="258"/>
      <c r="D24" s="247">
        <f>VLOOKUP(A24,'1.5 Opbouw uurtarieven'!$A$12:$C$36,2,FALSE)</f>
        <v>0</v>
      </c>
      <c r="J24" s="248"/>
      <c r="K24" s="264"/>
    </row>
    <row r="25" spans="1:256">
      <c r="D25" s="38" t="s">
        <v>219</v>
      </c>
      <c r="E25" s="154"/>
      <c r="F25" s="39">
        <f>H25/G25</f>
        <v>0</v>
      </c>
      <c r="G25" s="40">
        <v>200</v>
      </c>
      <c r="H25" s="39">
        <f>$H$29*E25</f>
        <v>0</v>
      </c>
      <c r="I25" s="41">
        <f>(VLOOKUP(A24,'1.5 Opbouw uurtarieven'!$A$12:$AU$44,41,FALSE))</f>
        <v>0</v>
      </c>
      <c r="J25" s="42">
        <f>I25*H25</f>
        <v>0</v>
      </c>
    </row>
    <row r="26" spans="1:256">
      <c r="D26" s="38"/>
      <c r="E26" s="38"/>
      <c r="F26" s="38"/>
      <c r="G26" s="38"/>
      <c r="H26" s="38"/>
      <c r="I26" s="38"/>
      <c r="J26" s="38"/>
      <c r="K26" s="265"/>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0">
        <v>0</v>
      </c>
      <c r="B27" s="252"/>
      <c r="C27" s="258"/>
      <c r="D27" s="247">
        <f>VLOOKUP(A27,'1.5 Opbouw uurtarieven'!$A$12:$C$36,2,FALSE)</f>
        <v>0</v>
      </c>
      <c r="J27" s="248"/>
      <c r="K27" s="264"/>
    </row>
    <row r="28" spans="1:256">
      <c r="D28" s="38" t="s">
        <v>219</v>
      </c>
      <c r="E28" s="193">
        <v>0</v>
      </c>
      <c r="F28" s="44">
        <f>H28/G28</f>
        <v>0</v>
      </c>
      <c r="G28" s="40">
        <v>200</v>
      </c>
      <c r="H28" s="44">
        <f>$H$29*E28</f>
        <v>0</v>
      </c>
      <c r="I28" s="41">
        <f>(VLOOKUP(A27,'1.5 Opbouw uurtarieven'!$A$12:$AU$44,41,FALSE))</f>
        <v>0</v>
      </c>
      <c r="J28" s="45">
        <f>I28*H28</f>
        <v>0</v>
      </c>
    </row>
    <row r="29" spans="1:256" s="62" customFormat="1" ht="18" customHeight="1">
      <c r="A29" s="827">
        <f>IF(E29&gt;=100%,"Totaal productie-uren, maximaal 100%",0)</f>
        <v>0</v>
      </c>
      <c r="B29" s="252"/>
      <c r="C29" s="258"/>
      <c r="D29" s="230"/>
      <c r="E29" s="235">
        <f>E28+E25+E22+E19+E16</f>
        <v>0</v>
      </c>
      <c r="F29" s="236">
        <f>SUM(F16:F28)</f>
        <v>0</v>
      </c>
      <c r="G29" s="232"/>
      <c r="H29" s="236">
        <f>SUM('1.3-Basis ruimtestaat'!Q:R)</f>
        <v>0</v>
      </c>
      <c r="I29" s="231"/>
      <c r="J29" s="237">
        <f>SUM(J16:J28)</f>
        <v>0</v>
      </c>
      <c r="K29" s="264"/>
      <c r="L29" s="212">
        <f>IF(H29=0,0,J29/H29)</f>
        <v>0</v>
      </c>
    </row>
    <row r="30" spans="1:256" s="62" customFormat="1" ht="21" customHeight="1">
      <c r="A30" s="828"/>
      <c r="B30" s="252"/>
      <c r="C30" s="258"/>
      <c r="D30" s="230" t="s">
        <v>94</v>
      </c>
      <c r="G30" s="232"/>
      <c r="H30" s="232"/>
      <c r="I30" s="232"/>
      <c r="J30" s="232"/>
      <c r="K30" s="264"/>
      <c r="L30" s="233"/>
    </row>
    <row r="31" spans="1:256" s="62" customFormat="1">
      <c r="A31" s="260">
        <v>0</v>
      </c>
      <c r="B31" s="252"/>
      <c r="C31" s="258"/>
      <c r="D31" s="247">
        <f>VLOOKUP(A31,'1.5 Opbouw uurtarieven'!$A$12:$C$36,2,FALSE)</f>
        <v>0</v>
      </c>
      <c r="J31" s="248"/>
      <c r="K31" s="264"/>
      <c r="L31" s="249"/>
    </row>
    <row r="32" spans="1:256">
      <c r="D32" s="229" t="s">
        <v>219</v>
      </c>
      <c r="E32" s="154">
        <v>0</v>
      </c>
      <c r="F32" s="39">
        <f>H32/G32</f>
        <v>0</v>
      </c>
      <c r="G32" s="40">
        <v>200</v>
      </c>
      <c r="H32" s="39">
        <f>E32*$H$29</f>
        <v>0</v>
      </c>
      <c r="I32" s="41">
        <f>(VLOOKUP(A31,'1.5 Opbouw uurtarieven'!$A$12:$AU$44,41,FALSE))</f>
        <v>0</v>
      </c>
      <c r="J32" s="42">
        <f>I32*H32</f>
        <v>0</v>
      </c>
    </row>
    <row r="33" spans="1:256">
      <c r="D33" s="229"/>
      <c r="E33" s="62"/>
      <c r="F33" s="39"/>
      <c r="G33" s="40"/>
      <c r="H33" s="39"/>
      <c r="I33" s="41"/>
      <c r="J33" s="42"/>
    </row>
    <row r="34" spans="1:256" s="62" customFormat="1" ht="39.75" customHeight="1">
      <c r="A34" s="260">
        <v>0</v>
      </c>
      <c r="B34" s="252"/>
      <c r="C34" s="258"/>
      <c r="D34" s="247">
        <f>VLOOKUP(A34,'1.5 Opbouw uurtarieven'!$A$12:$C$36,2,FALSE)</f>
        <v>0</v>
      </c>
      <c r="J34" s="248"/>
      <c r="K34" s="264"/>
      <c r="L34" s="249"/>
    </row>
    <row r="35" spans="1:256">
      <c r="D35" s="229" t="s">
        <v>219</v>
      </c>
      <c r="E35" s="154">
        <v>0</v>
      </c>
      <c r="F35" s="39">
        <f>H35/G35</f>
        <v>0</v>
      </c>
      <c r="G35" s="40">
        <v>200</v>
      </c>
      <c r="H35" s="39">
        <f>E35*$H$29</f>
        <v>0</v>
      </c>
      <c r="I35" s="41">
        <f>(VLOOKUP(A34,'1.5 Opbouw uurtarieven'!$A$12:$AU$44,41,FALSE))</f>
        <v>0</v>
      </c>
      <c r="J35" s="42">
        <f>I35*H35</f>
        <v>0</v>
      </c>
    </row>
    <row r="36" spans="1:256">
      <c r="D36" s="229"/>
      <c r="E36" s="38"/>
      <c r="F36" s="38"/>
      <c r="G36" s="38"/>
      <c r="H36" s="38"/>
      <c r="I36" s="38"/>
      <c r="J36" s="38"/>
      <c r="K36" s="265"/>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0">
        <v>0</v>
      </c>
      <c r="B37" s="252"/>
      <c r="C37" s="258"/>
      <c r="D37" s="247">
        <f>VLOOKUP(A37,'1.5 Opbouw uurtarieven'!$A$12:$C$36,2,FALSE)</f>
        <v>0</v>
      </c>
      <c r="J37" s="248"/>
      <c r="K37" s="264"/>
    </row>
    <row r="38" spans="1:256">
      <c r="D38" s="229" t="s">
        <v>219</v>
      </c>
      <c r="E38" s="193">
        <v>0</v>
      </c>
      <c r="F38" s="44">
        <f>H38/G38</f>
        <v>0</v>
      </c>
      <c r="G38" s="40">
        <v>200</v>
      </c>
      <c r="H38" s="44">
        <f>E38*H29</f>
        <v>0</v>
      </c>
      <c r="I38" s="41">
        <f>(VLOOKUP(A37,'1.5 Opbouw uurtarieven'!$A$12:$AU$44,41,FALSE))</f>
        <v>0</v>
      </c>
      <c r="J38" s="45">
        <f>I38*H38</f>
        <v>0</v>
      </c>
    </row>
    <row r="39" spans="1:256">
      <c r="D39" s="229"/>
      <c r="E39" s="47">
        <f>E38+E35+E32</f>
        <v>0</v>
      </c>
      <c r="F39" s="48">
        <f>SUM(F32:F38)</f>
        <v>0</v>
      </c>
      <c r="G39" s="37"/>
      <c r="H39" s="48">
        <f>SUM(H32:H38)</f>
        <v>0</v>
      </c>
      <c r="I39" s="38"/>
      <c r="J39" s="50">
        <f>SUM(J32:J38)</f>
        <v>0</v>
      </c>
      <c r="K39" s="38"/>
      <c r="L39" s="212">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5"/>
      <c r="B40" s="252"/>
      <c r="C40" s="258"/>
      <c r="D40" s="230" t="s">
        <v>69</v>
      </c>
      <c r="E40" s="231"/>
      <c r="F40" s="231"/>
      <c r="G40" s="232"/>
      <c r="H40" s="232"/>
      <c r="I40" s="232"/>
      <c r="J40" s="232"/>
      <c r="K40" s="264"/>
      <c r="L40" s="234"/>
    </row>
    <row r="41" spans="1:256" s="62" customFormat="1" ht="78" hidden="1">
      <c r="A41" s="260" t="s">
        <v>272</v>
      </c>
      <c r="B41" s="252"/>
      <c r="C41" s="258"/>
      <c r="D41" s="247" t="str">
        <f>VLOOKUP(A41,'1.5 Opbouw uurtarieven'!$A$12:$C$36,2,FALSE)</f>
        <v>11.01 Werknemer algemeen schoonmaakonderhoud 0 t/m 7 jaar</v>
      </c>
      <c r="J41" s="248"/>
      <c r="K41" s="264"/>
    </row>
    <row r="42" spans="1:256" hidden="1">
      <c r="D42" s="229" t="s">
        <v>47</v>
      </c>
      <c r="E42" s="154">
        <v>0</v>
      </c>
      <c r="F42" s="39">
        <f>IF(H42=0,0,H42/G42)</f>
        <v>0</v>
      </c>
      <c r="G42" s="40">
        <f>364-G38-G68</f>
        <v>164</v>
      </c>
      <c r="H42" s="39">
        <f>$H$49*E42</f>
        <v>0</v>
      </c>
      <c r="I42" s="41">
        <f>(VLOOKUP(A41,'1.5 Opbouw uurtarieven'!$A$12:$AU$36,42,FALSE)*'1.1a-Jaarprijzen'!H174)+(VLOOKUP(A41,'1.5 Opbouw uurtarieven'!$A$12:$AU$36,42,FALSE))</f>
        <v>0</v>
      </c>
      <c r="J42" s="42">
        <f>I42*H42</f>
        <v>0</v>
      </c>
      <c r="K42" s="266"/>
    </row>
    <row r="43" spans="1:256" hidden="1">
      <c r="D43" s="229"/>
      <c r="E43" s="38"/>
      <c r="F43" s="38"/>
      <c r="G43" s="38"/>
      <c r="H43" s="38"/>
      <c r="I43" s="38"/>
      <c r="J43" s="38"/>
      <c r="K43" s="265"/>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78" hidden="1">
      <c r="A44" s="260" t="s">
        <v>273</v>
      </c>
      <c r="B44" s="252"/>
      <c r="C44" s="258"/>
      <c r="D44" s="247" t="str">
        <f>VLOOKUP(A44,'1.5 Opbouw uurtarieven'!$A$12:$C$36,2,FALSE)</f>
        <v>11.01 Werknemer algemeen schoonmaakonderhoud 8 jaar en meer</v>
      </c>
      <c r="E44" s="62">
        <v>0</v>
      </c>
      <c r="J44" s="248"/>
      <c r="K44" s="264"/>
    </row>
    <row r="45" spans="1:256" hidden="1">
      <c r="D45" s="229" t="s">
        <v>47</v>
      </c>
      <c r="E45" s="154">
        <v>0</v>
      </c>
      <c r="F45" s="39">
        <f>IF(H45=0,0,H45/G45)</f>
        <v>0</v>
      </c>
      <c r="G45" s="40">
        <f>$G$42</f>
        <v>164</v>
      </c>
      <c r="H45" s="39">
        <f>$H$49*E45</f>
        <v>0</v>
      </c>
      <c r="I45" s="41">
        <f>(VLOOKUP(A44,'1.5 Opbouw uurtarieven'!$A$12:$AU$36,42,FALSE)*'1.1a-Jaarprijzen'!H177)+(VLOOKUP(A44,'1.5 Opbouw uurtarieven'!$A$12:$AU$36,42,FALSE))</f>
        <v>0</v>
      </c>
      <c r="J45" s="42">
        <f>I45*H45</f>
        <v>0</v>
      </c>
      <c r="K45" s="266"/>
    </row>
    <row r="46" spans="1:256" hidden="1">
      <c r="D46" s="229"/>
      <c r="E46" s="38"/>
      <c r="F46" s="38"/>
      <c r="G46" s="38"/>
      <c r="H46" s="38"/>
      <c r="I46" s="38"/>
      <c r="J46" s="38"/>
      <c r="K46" s="265"/>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0"/>
      <c r="B47" s="252"/>
      <c r="C47" s="258"/>
      <c r="D47" s="247">
        <f>VLOOKUP(A47,'1.5 Opbouw uurtarieven'!$A$12:$C$36,2,FALSE)</f>
        <v>0</v>
      </c>
      <c r="G47" s="250"/>
      <c r="H47" s="250"/>
      <c r="J47" s="251"/>
      <c r="K47" s="264"/>
    </row>
    <row r="48" spans="1:256" hidden="1">
      <c r="D48" s="229" t="s">
        <v>47</v>
      </c>
      <c r="E48" s="193">
        <v>0</v>
      </c>
      <c r="F48" s="44">
        <f>IF(H48=0,0,H48/G48)</f>
        <v>0</v>
      </c>
      <c r="G48" s="40">
        <f>$G$42</f>
        <v>164</v>
      </c>
      <c r="H48" s="44">
        <f>$H$49*E48</f>
        <v>0</v>
      </c>
      <c r="I48" s="41">
        <f>(VLOOKUP(A47,'1.5 Opbouw uurtarieven'!$A$12:$AU$36,42,FALSE)*'1.1a-Jaarprijzen'!H180)+(VLOOKUP(A47,'1.5 Opbouw uurtarieven'!$A$12:$AU$36,42,FALSE))</f>
        <v>0</v>
      </c>
      <c r="J48" s="45">
        <f>I48*H48</f>
        <v>0</v>
      </c>
      <c r="K48" s="266"/>
    </row>
    <row r="49" spans="1:12" hidden="1">
      <c r="A49" s="827">
        <f>IF(E49&gt;=100%,"Totaal productie-uren, maximaal 100%",0)</f>
        <v>0</v>
      </c>
      <c r="D49" s="228"/>
      <c r="E49" s="47">
        <f>E48+E45+E42</f>
        <v>0</v>
      </c>
      <c r="F49" s="48">
        <f>SUM(F42:F48)</f>
        <v>0</v>
      </c>
      <c r="G49" s="37"/>
      <c r="H49" s="48">
        <f>SUM('1.3-Basis ruimtestaat'!S:S)/(G42+G68)*G42</f>
        <v>0</v>
      </c>
      <c r="I49" s="49"/>
      <c r="J49" s="50">
        <f>SUM(J42:J48)</f>
        <v>0</v>
      </c>
      <c r="L49" s="212">
        <f>IF(H49=0,0,J49/H49)</f>
        <v>0</v>
      </c>
    </row>
    <row r="50" spans="1:12" s="62" customFormat="1" hidden="1">
      <c r="A50" s="828"/>
      <c r="B50" s="252"/>
      <c r="C50" s="258"/>
      <c r="D50" s="230" t="s">
        <v>107</v>
      </c>
      <c r="E50" s="231"/>
      <c r="F50" s="231"/>
      <c r="G50" s="232"/>
      <c r="H50" s="232"/>
      <c r="I50" s="232"/>
      <c r="J50" s="232"/>
      <c r="K50" s="264"/>
    </row>
    <row r="51" spans="1:12" s="62" customFormat="1" hidden="1">
      <c r="A51" s="260"/>
      <c r="B51" s="252"/>
      <c r="C51" s="258"/>
      <c r="D51" s="247">
        <f>VLOOKUP(A51,'1.5 Opbouw uurtarieven'!$A$12:$C$36,2,FALSE)</f>
        <v>0</v>
      </c>
      <c r="J51" s="248"/>
      <c r="K51" s="264"/>
    </row>
    <row r="52" spans="1:12" hidden="1">
      <c r="D52" s="229" t="s">
        <v>47</v>
      </c>
      <c r="E52" s="154">
        <v>0</v>
      </c>
      <c r="F52" s="39">
        <f>IF(H52=0,0,H52/G52)</f>
        <v>0</v>
      </c>
      <c r="G52" s="40">
        <f>$G$42</f>
        <v>164</v>
      </c>
      <c r="H52" s="39">
        <f>E52*$H$49</f>
        <v>0</v>
      </c>
      <c r="I52" s="41">
        <f>(VLOOKUP(A51,'1.5 Opbouw uurtarieven'!$A$12:$AU$36,42,FALSE)*'1.1a-Jaarprijzen'!H184)+(VLOOKUP(A51,'1.5 Opbouw uurtarieven'!$A$12:$AU$36,42,FALSE))</f>
        <v>0</v>
      </c>
      <c r="J52" s="42">
        <f>I52*H52</f>
        <v>0</v>
      </c>
      <c r="K52" s="266"/>
    </row>
    <row r="53" spans="1:12" hidden="1">
      <c r="D53" s="229"/>
      <c r="E53" s="62"/>
      <c r="F53" s="39"/>
      <c r="G53" s="40"/>
      <c r="H53" s="153"/>
      <c r="I53" s="38"/>
      <c r="J53" s="42"/>
      <c r="K53" s="266"/>
    </row>
    <row r="54" spans="1:12" s="62" customFormat="1" hidden="1">
      <c r="A54" s="260"/>
      <c r="B54" s="252"/>
      <c r="C54" s="258"/>
      <c r="D54" s="247">
        <f>VLOOKUP(A54,'1.5 Opbouw uurtarieven'!$A$12:$C$36,2,FALSE)</f>
        <v>0</v>
      </c>
      <c r="J54" s="251"/>
      <c r="K54" s="264"/>
    </row>
    <row r="55" spans="1:12" hidden="1">
      <c r="D55" s="229" t="s">
        <v>47</v>
      </c>
      <c r="E55" s="154">
        <v>0</v>
      </c>
      <c r="F55" s="39">
        <f>IF(H55=0,0,H55/G55)</f>
        <v>0</v>
      </c>
      <c r="G55" s="40">
        <f>$G$42</f>
        <v>164</v>
      </c>
      <c r="H55" s="39">
        <f>E55*$H$49</f>
        <v>0</v>
      </c>
      <c r="I55" s="41">
        <f>(VLOOKUP(A54,'1.5 Opbouw uurtarieven'!$A$12:$AU$36,42,FALSE)*'1.1a-Jaarprijzen'!H187)+(VLOOKUP(A54,'1.5 Opbouw uurtarieven'!$A$12:$AU$36,42,FALSE))</f>
        <v>0</v>
      </c>
      <c r="J55" s="42">
        <f>I55*H55</f>
        <v>0</v>
      </c>
      <c r="K55" s="266"/>
    </row>
    <row r="56" spans="1:12" hidden="1">
      <c r="D56" s="229"/>
      <c r="E56" s="38"/>
      <c r="F56" s="39"/>
      <c r="G56" s="40"/>
      <c r="H56" s="153"/>
      <c r="I56" s="41"/>
      <c r="J56" s="42"/>
      <c r="K56" s="266"/>
    </row>
    <row r="57" spans="1:12" s="62" customFormat="1" ht="65" hidden="1">
      <c r="A57" s="260" t="s">
        <v>263</v>
      </c>
      <c r="B57" s="252"/>
      <c r="C57" s="258"/>
      <c r="D57" s="247" t="str">
        <f>VLOOKUP(A57,'1.5 Opbouw uurtarieven'!$A$12:$C$36,2,FALSE)</f>
        <v xml:space="preserve">21.01 Objectleider (algemeen schoonmaakonderhoud) </v>
      </c>
      <c r="J57" s="251"/>
      <c r="K57" s="264"/>
    </row>
    <row r="58" spans="1:12" hidden="1">
      <c r="D58" s="229" t="s">
        <v>47</v>
      </c>
      <c r="E58" s="193">
        <v>0</v>
      </c>
      <c r="F58" s="44">
        <f>IF(H58=0,0,H58/G58)</f>
        <v>0</v>
      </c>
      <c r="G58" s="40">
        <f>$G$42</f>
        <v>164</v>
      </c>
      <c r="H58" s="39">
        <f>E58*$H$49</f>
        <v>0</v>
      </c>
      <c r="I58" s="41">
        <f>(VLOOKUP(A57,'1.5 Opbouw uurtarieven'!$A$12:$AU$36,42,FALSE)*'1.1a-Jaarprijzen'!H190)+(VLOOKUP(A57,'1.5 Opbouw uurtarieven'!$A$12:$AU$36,42,FALSE))</f>
        <v>0</v>
      </c>
      <c r="J58" s="45">
        <f>I58*H58</f>
        <v>0</v>
      </c>
      <c r="K58" s="266"/>
    </row>
    <row r="59" spans="1:12" hidden="1">
      <c r="D59" s="228"/>
      <c r="E59" s="47">
        <f>E58+E55+E52</f>
        <v>0</v>
      </c>
      <c r="F59" s="48">
        <f>SUM(F52:F58)</f>
        <v>0</v>
      </c>
      <c r="G59" s="37"/>
      <c r="H59" s="48">
        <f>SUM(H52:H58)</f>
        <v>0</v>
      </c>
      <c r="I59" s="49"/>
      <c r="L59" s="212">
        <f>IF(H59=0,0,J60/H59)</f>
        <v>0</v>
      </c>
    </row>
    <row r="60" spans="1:12" hidden="1">
      <c r="D60" s="228"/>
      <c r="E60" s="47"/>
      <c r="F60" s="48"/>
      <c r="G60" s="37"/>
      <c r="H60" s="48"/>
      <c r="J60" s="50">
        <f>SUM(J52:J58)</f>
        <v>0</v>
      </c>
      <c r="L60" s="212"/>
    </row>
    <row r="61" spans="1:12">
      <c r="D61" s="228"/>
      <c r="E61" s="47"/>
      <c r="F61" s="48"/>
      <c r="G61" s="37"/>
      <c r="H61" s="48"/>
      <c r="I61" s="49"/>
      <c r="J61" s="50"/>
      <c r="L61" s="212"/>
    </row>
    <row r="62" spans="1:12">
      <c r="D62" s="228"/>
      <c r="E62" s="47"/>
      <c r="F62" s="48"/>
      <c r="G62" s="37"/>
      <c r="H62" s="48"/>
      <c r="I62" s="48" t="s">
        <v>95</v>
      </c>
      <c r="J62" s="50">
        <f>J60+J49+J39+J29</f>
        <v>0</v>
      </c>
      <c r="L62" s="212"/>
    </row>
    <row r="63" spans="1:12">
      <c r="D63" s="228"/>
      <c r="E63" s="47"/>
      <c r="F63" s="48"/>
      <c r="G63" s="37"/>
      <c r="H63" s="48"/>
      <c r="I63" s="49"/>
      <c r="J63" s="50"/>
      <c r="L63" s="212"/>
    </row>
    <row r="64" spans="1:12" hidden="1">
      <c r="D64" s="228"/>
      <c r="E64" s="47"/>
      <c r="F64" s="48"/>
      <c r="G64" s="37"/>
      <c r="H64" s="48"/>
      <c r="I64" s="49"/>
      <c r="J64" s="50"/>
      <c r="L64" s="212"/>
    </row>
    <row r="65" spans="1:12" hidden="1">
      <c r="D65" s="228"/>
      <c r="E65" s="47"/>
      <c r="F65" s="48"/>
      <c r="G65" s="37"/>
      <c r="H65" s="48"/>
      <c r="I65" s="49" t="s">
        <v>264</v>
      </c>
      <c r="J65" s="50">
        <f>J62</f>
        <v>0</v>
      </c>
      <c r="L65" s="212"/>
    </row>
    <row r="66" spans="1:12" s="62" customFormat="1" ht="21" hidden="1" customHeight="1">
      <c r="A66" s="255"/>
      <c r="B66" s="252"/>
      <c r="C66" s="258"/>
      <c r="D66" s="230" t="s">
        <v>70</v>
      </c>
      <c r="E66" s="231"/>
      <c r="F66" s="231"/>
      <c r="G66" s="232"/>
      <c r="H66" s="232"/>
      <c r="I66" s="232"/>
      <c r="J66" s="232"/>
      <c r="K66" s="264"/>
    </row>
    <row r="67" spans="1:12" s="62" customFormat="1" ht="39.75" hidden="1" customHeight="1">
      <c r="A67" s="260" t="s">
        <v>272</v>
      </c>
      <c r="B67" s="252"/>
      <c r="C67" s="258"/>
      <c r="D67" s="247" t="str">
        <f>VLOOKUP(A67,'1.5 Opbouw uurtarieven'!$A$12:$C$36,2,FALSE)</f>
        <v>11.01 Werknemer algemeen schoonmaakonderhoud 0 t/m 7 jaar</v>
      </c>
      <c r="J67" s="248"/>
      <c r="K67" s="264"/>
    </row>
    <row r="68" spans="1:12" hidden="1">
      <c r="D68" s="229" t="s">
        <v>168</v>
      </c>
      <c r="E68" s="154">
        <v>0</v>
      </c>
      <c r="F68" s="39">
        <f>IF(H68=0,0,H68/G68)</f>
        <v>0</v>
      </c>
      <c r="G68" s="40">
        <f>'1.4-Premies en opslagen'!$C$56</f>
        <v>0</v>
      </c>
      <c r="H68" s="39">
        <f>$H$75*E68</f>
        <v>0</v>
      </c>
      <c r="I68" s="41">
        <f>(VLOOKUP(A67,'1.5 Opbouw uurtarieven'!$A$12:$AU$36,44,FALSE)*'1.1a-Jaarprijzen'!H200)+(VLOOKUP(A67,'1.5 Opbouw uurtarieven'!$A$12:$AU$36,44,FALSE))</f>
        <v>0</v>
      </c>
      <c r="J68" s="42">
        <f>I68*H68</f>
        <v>0</v>
      </c>
      <c r="K68" s="266"/>
      <c r="L68" s="53"/>
    </row>
    <row r="69" spans="1:12" hidden="1">
      <c r="D69" s="229"/>
      <c r="E69" s="38"/>
      <c r="F69" s="39"/>
      <c r="G69" s="40"/>
      <c r="H69" s="153"/>
      <c r="I69" s="41"/>
      <c r="J69" s="42"/>
      <c r="K69" s="266"/>
      <c r="L69" s="53"/>
    </row>
    <row r="70" spans="1:12" s="62" customFormat="1" ht="39.75" hidden="1" customHeight="1">
      <c r="A70" s="260" t="s">
        <v>273</v>
      </c>
      <c r="B70" s="252"/>
      <c r="C70" s="258"/>
      <c r="D70" s="247" t="str">
        <f>VLOOKUP(A70,'1.5 Opbouw uurtarieven'!$A$12:$C$36,2,FALSE)</f>
        <v>11.01 Werknemer algemeen schoonmaakonderhoud 8 jaar en meer</v>
      </c>
      <c r="J70" s="248"/>
      <c r="K70" s="264"/>
      <c r="L70" s="249"/>
    </row>
    <row r="71" spans="1:12" hidden="1">
      <c r="D71" s="229" t="s">
        <v>168</v>
      </c>
      <c r="E71" s="154">
        <v>0</v>
      </c>
      <c r="F71" s="39">
        <f>IF(H71=0,0,H71/G71)</f>
        <v>0</v>
      </c>
      <c r="G71" s="40">
        <f>'1.4-Premies en opslagen'!$C$56</f>
        <v>0</v>
      </c>
      <c r="H71" s="39">
        <f>$H$75*E71</f>
        <v>0</v>
      </c>
      <c r="I71" s="41">
        <f>(VLOOKUP(A70,'1.5 Opbouw uurtarieven'!$A$12:$AU$36,44,FALSE)*'1.1a-Jaarprijzen'!H203)+(VLOOKUP(A70,'1.5 Opbouw uurtarieven'!$A$12:$AU$36,44,FALSE))</f>
        <v>0</v>
      </c>
      <c r="J71" s="42">
        <f>I71*H71</f>
        <v>0</v>
      </c>
      <c r="K71" s="266"/>
    </row>
    <row r="72" spans="1:12" hidden="1">
      <c r="D72" s="229"/>
      <c r="E72" s="38"/>
      <c r="F72" s="39"/>
      <c r="G72" s="40"/>
      <c r="H72" s="153"/>
      <c r="I72" s="41"/>
      <c r="J72" s="42"/>
      <c r="K72" s="266"/>
    </row>
    <row r="73" spans="1:12" s="62" customFormat="1" ht="39.75" hidden="1" customHeight="1">
      <c r="A73" s="260" t="s">
        <v>262</v>
      </c>
      <c r="B73" s="252"/>
      <c r="C73" s="258"/>
      <c r="D73" s="247" t="e">
        <f>VLOOKUP(A73,'1.5 Opbouw uurtarieven'!$A$12:$C$36,2,FALSE)</f>
        <v>#N/A</v>
      </c>
      <c r="J73" s="248"/>
      <c r="K73" s="264"/>
      <c r="L73" s="249"/>
    </row>
    <row r="74" spans="1:12" hidden="1">
      <c r="D74" s="229" t="s">
        <v>168</v>
      </c>
      <c r="E74" s="193">
        <v>0</v>
      </c>
      <c r="F74" s="44">
        <f>IF(H74=0,0,H74/G74)</f>
        <v>0</v>
      </c>
      <c r="G74" s="40">
        <f>'1.4-Premies en opslagen'!$C$56</f>
        <v>0</v>
      </c>
      <c r="H74" s="44">
        <f>$H$75*E74</f>
        <v>0</v>
      </c>
      <c r="I74" s="41" t="e">
        <f>(VLOOKUP(A73,'1.5 Opbouw uurtarieven'!$A$12:$AU$36,44,FALSE)*'1.1a-Jaarprijzen'!H206)+(VLOOKUP(A73,'1.5 Opbouw uurtarieven'!$A$12:$AU$36,44,FALSE))</f>
        <v>#N/A</v>
      </c>
      <c r="J74" s="45" t="e">
        <f>I74*H74</f>
        <v>#N/A</v>
      </c>
      <c r="K74" s="266"/>
    </row>
    <row r="75" spans="1:12" ht="12.75" hidden="1" customHeight="1">
      <c r="A75" s="827">
        <f>IF(E75&gt;=100%,"Totaal productie-uren, maximaal 100%",0)</f>
        <v>0</v>
      </c>
      <c r="D75" s="228"/>
      <c r="E75" s="47">
        <f>E74+E71+E68</f>
        <v>0</v>
      </c>
      <c r="F75" s="48">
        <f>SUM(F68:F74)</f>
        <v>0</v>
      </c>
      <c r="G75" s="37"/>
      <c r="H75" s="48">
        <f>SUM('1.3-Basis ruimtestaat'!S:S)/(G42+G68)*G68</f>
        <v>0</v>
      </c>
      <c r="I75" s="49"/>
      <c r="J75" s="50" t="e">
        <f>SUM(J68:J74)</f>
        <v>#N/A</v>
      </c>
      <c r="L75" s="212">
        <f>IF(H75=0,0,J75/H75)</f>
        <v>0</v>
      </c>
    </row>
    <row r="76" spans="1:12" s="62" customFormat="1" ht="21" hidden="1" customHeight="1">
      <c r="A76" s="828"/>
      <c r="B76" s="252"/>
      <c r="C76" s="258"/>
      <c r="D76" s="230" t="s">
        <v>167</v>
      </c>
      <c r="E76" s="231"/>
      <c r="F76" s="231"/>
      <c r="G76" s="232"/>
      <c r="H76" s="232"/>
      <c r="I76" s="232"/>
      <c r="J76" s="232"/>
      <c r="K76" s="264"/>
    </row>
    <row r="77" spans="1:12" s="62" customFormat="1" ht="39.75" hidden="1" customHeight="1">
      <c r="A77" s="260" t="s">
        <v>274</v>
      </c>
      <c r="B77" s="252"/>
      <c r="C77" s="258"/>
      <c r="D77" s="247" t="e">
        <f>VLOOKUP(A77,'1.5 Opbouw uurtarieven'!$A$12:$C$36,2,FALSE)</f>
        <v>#N/A</v>
      </c>
      <c r="J77" s="248"/>
      <c r="K77" s="264"/>
      <c r="L77" s="249"/>
    </row>
    <row r="78" spans="1:12" hidden="1">
      <c r="D78" s="229" t="s">
        <v>168</v>
      </c>
      <c r="E78" s="154">
        <v>0</v>
      </c>
      <c r="F78" s="39">
        <f>IF(H78=0,0,H78/G78)</f>
        <v>0</v>
      </c>
      <c r="G78" s="40">
        <f>'1.4-Premies en opslagen'!$C$56</f>
        <v>0</v>
      </c>
      <c r="H78" s="39">
        <f>E78*$H$75</f>
        <v>0</v>
      </c>
      <c r="I78" s="41" t="e">
        <f>(VLOOKUP(A77,'1.5 Opbouw uurtarieven'!$A$12:$AU$36,44,FALSE)*'1.1a-Jaarprijzen'!H210)+(VLOOKUP(A77,'1.5 Opbouw uurtarieven'!$A$12:$AU$36,44,FALSE))</f>
        <v>#N/A</v>
      </c>
      <c r="J78" s="42" t="e">
        <f>I78*H78</f>
        <v>#N/A</v>
      </c>
      <c r="K78" s="264"/>
    </row>
    <row r="79" spans="1:12" hidden="1">
      <c r="D79" s="229"/>
      <c r="E79" s="62"/>
      <c r="F79" s="39"/>
      <c r="G79" s="40"/>
      <c r="H79" s="153"/>
      <c r="I79" s="41"/>
      <c r="J79" s="42"/>
      <c r="K79" s="264"/>
    </row>
    <row r="80" spans="1:12" s="62" customFormat="1" ht="39.75" hidden="1" customHeight="1">
      <c r="A80" s="260"/>
      <c r="B80" s="252"/>
      <c r="C80" s="258"/>
      <c r="D80" s="247">
        <f>VLOOKUP(A80,'1.5 Opbouw uurtarieven'!$A$12:$C$36,2,FALSE)</f>
        <v>0</v>
      </c>
      <c r="J80" s="248"/>
      <c r="K80" s="264"/>
      <c r="L80" s="249"/>
    </row>
    <row r="81" spans="1:12" hidden="1">
      <c r="D81" s="229" t="s">
        <v>168</v>
      </c>
      <c r="E81" s="154">
        <v>0</v>
      </c>
      <c r="F81" s="39">
        <f>IF(H81=0,0,H81/G81)</f>
        <v>0</v>
      </c>
      <c r="G81" s="40">
        <f>'1.4-Premies en opslagen'!$C$56</f>
        <v>0</v>
      </c>
      <c r="H81" s="39">
        <f>E81*$H$75</f>
        <v>0</v>
      </c>
      <c r="I81" s="41">
        <f>(VLOOKUP(A80,'1.5 Opbouw uurtarieven'!$A$12:$AU$36,44,FALSE)*'1.1a-Jaarprijzen'!H213)+(VLOOKUP(A80,'1.5 Opbouw uurtarieven'!$A$12:$AU$36,44,FALSE))</f>
        <v>0</v>
      </c>
      <c r="J81" s="42">
        <f>I81*H81</f>
        <v>0</v>
      </c>
      <c r="K81" s="264"/>
    </row>
    <row r="82" spans="1:12" hidden="1">
      <c r="D82" s="229"/>
      <c r="E82" s="38"/>
      <c r="F82" s="39"/>
      <c r="G82" s="40"/>
      <c r="H82" s="153"/>
      <c r="I82" s="41"/>
      <c r="J82" s="42"/>
      <c r="K82" s="264"/>
    </row>
    <row r="83" spans="1:12" s="62" customFormat="1" ht="39.75" hidden="1" customHeight="1">
      <c r="A83" s="260" t="s">
        <v>263</v>
      </c>
      <c r="B83" s="252"/>
      <c r="C83" s="258"/>
      <c r="D83" s="247" t="str">
        <f>VLOOKUP(A83,'1.5 Opbouw uurtarieven'!$A$12:$C$36,2,FALSE)</f>
        <v xml:space="preserve">21.01 Objectleider (algemeen schoonmaakonderhoud) </v>
      </c>
      <c r="J83" s="248"/>
      <c r="K83" s="264"/>
      <c r="L83" s="249"/>
    </row>
    <row r="84" spans="1:12" hidden="1">
      <c r="D84" s="229" t="s">
        <v>168</v>
      </c>
      <c r="E84" s="193">
        <v>0</v>
      </c>
      <c r="F84" s="44">
        <f>IF(H84=0,0,H84/G84)</f>
        <v>0</v>
      </c>
      <c r="G84" s="40">
        <f>'1.4-Premies en opslagen'!$C$56</f>
        <v>0</v>
      </c>
      <c r="H84" s="44">
        <f>E84*$H$75</f>
        <v>0</v>
      </c>
      <c r="I84" s="41">
        <f>(VLOOKUP(A83,'1.5 Opbouw uurtarieven'!$A$12:$AU$36,44,FALSE)*'1.1a-Jaarprijzen'!H216)+(VLOOKUP(A83,'1.5 Opbouw uurtarieven'!$A$12:$AU$36,44,FALSE))</f>
        <v>0</v>
      </c>
      <c r="J84" s="45">
        <f>I84*H84</f>
        <v>0</v>
      </c>
      <c r="K84" s="264"/>
    </row>
    <row r="85" spans="1:12" hidden="1">
      <c r="D85" s="228"/>
      <c r="E85" s="47">
        <f>E84+E81+E78</f>
        <v>0</v>
      </c>
      <c r="F85" s="48">
        <f>SUM(F78:F84)</f>
        <v>0</v>
      </c>
      <c r="G85" s="37"/>
      <c r="H85" s="48">
        <f>SUM(H78:H84)</f>
        <v>0</v>
      </c>
      <c r="I85" s="49"/>
      <c r="J85" s="50" t="e">
        <f>SUM(J78:J84)</f>
        <v>#N/A</v>
      </c>
      <c r="K85" s="264"/>
      <c r="L85" s="212">
        <f>IF(H85=0,0,J85/H85)</f>
        <v>0</v>
      </c>
    </row>
    <row r="86" spans="1:12">
      <c r="D86" s="228"/>
      <c r="E86" s="52"/>
      <c r="F86" s="48"/>
      <c r="G86" s="37"/>
      <c r="H86" s="48"/>
      <c r="I86" s="49"/>
      <c r="J86" s="194"/>
      <c r="K86" s="264"/>
      <c r="L86" s="43"/>
    </row>
    <row r="87" spans="1:12">
      <c r="D87" s="228" t="s">
        <v>192</v>
      </c>
      <c r="E87" s="52"/>
      <c r="F87" s="48"/>
      <c r="G87" s="37"/>
      <c r="H87" s="48"/>
      <c r="I87" s="49"/>
      <c r="J87" s="50">
        <f>'1.6-Machine-investeringskosten'!E152</f>
        <v>0</v>
      </c>
      <c r="L87" s="43"/>
    </row>
    <row r="88" spans="1:12">
      <c r="D88" s="228"/>
      <c r="E88" s="52"/>
      <c r="F88" s="48"/>
      <c r="G88" s="37"/>
      <c r="H88" s="48"/>
      <c r="I88" s="49"/>
      <c r="J88" s="50"/>
    </row>
    <row r="89" spans="1:12">
      <c r="D89" s="228"/>
      <c r="E89" s="52"/>
      <c r="F89" s="48"/>
      <c r="G89" s="37"/>
      <c r="I89" s="48" t="s">
        <v>322</v>
      </c>
      <c r="J89" s="50">
        <f>J62+J87</f>
        <v>0</v>
      </c>
      <c r="L89" s="545" t="e">
        <f>J89/H29</f>
        <v>#DIV/0!</v>
      </c>
    </row>
    <row r="90" spans="1:12">
      <c r="D90" s="228"/>
      <c r="E90" s="52"/>
      <c r="F90" s="48"/>
      <c r="G90" s="37"/>
      <c r="H90" s="48"/>
      <c r="I90" s="49"/>
      <c r="J90" s="50"/>
    </row>
    <row r="91" spans="1:12">
      <c r="D91" s="228" t="s">
        <v>239</v>
      </c>
      <c r="E91" s="52"/>
      <c r="F91" s="48"/>
      <c r="G91" s="37"/>
      <c r="H91" s="48"/>
      <c r="I91" s="49"/>
      <c r="J91" s="50"/>
    </row>
    <row r="92" spans="1:12">
      <c r="D92" s="228"/>
      <c r="E92" s="52"/>
      <c r="F92" s="48"/>
      <c r="G92" s="37"/>
      <c r="H92" s="48"/>
      <c r="I92" s="49"/>
      <c r="J92" s="50"/>
    </row>
    <row r="93" spans="1:12" s="33" customFormat="1" ht="16">
      <c r="A93" s="253"/>
      <c r="B93" s="252"/>
      <c r="C93" s="256"/>
      <c r="D93" s="218" t="s">
        <v>265</v>
      </c>
      <c r="E93" s="218"/>
      <c r="F93" s="218"/>
      <c r="G93" s="218"/>
      <c r="H93" s="218"/>
      <c r="I93" s="218"/>
      <c r="J93" s="219"/>
      <c r="K93" s="262"/>
    </row>
    <row r="94" spans="1:12">
      <c r="D94" s="228"/>
      <c r="E94" s="49"/>
      <c r="F94" s="209"/>
      <c r="G94" s="195"/>
      <c r="H94" s="209"/>
      <c r="I94" s="49"/>
      <c r="J94" s="49"/>
    </row>
    <row r="95" spans="1:12">
      <c r="D95" s="228"/>
      <c r="E95" s="49"/>
      <c r="F95" s="209" t="s">
        <v>240</v>
      </c>
      <c r="G95" s="195"/>
      <c r="H95" s="209" t="s">
        <v>275</v>
      </c>
      <c r="I95" s="49"/>
      <c r="J95" s="49"/>
      <c r="L95" s="43"/>
    </row>
    <row r="96" spans="1:12">
      <c r="D96" s="229" t="s">
        <v>315</v>
      </c>
      <c r="E96" s="49"/>
      <c r="F96" s="408"/>
      <c r="G96" s="54"/>
      <c r="H96" s="42"/>
      <c r="I96" s="42"/>
      <c r="J96" s="42"/>
      <c r="L96" s="545" t="e">
        <f>J87/H29</f>
        <v>#DIV/0!</v>
      </c>
    </row>
    <row r="97" spans="1:15">
      <c r="D97" s="38" t="s">
        <v>316</v>
      </c>
      <c r="E97" s="49"/>
      <c r="F97" s="408"/>
      <c r="G97" s="54"/>
      <c r="H97" s="42"/>
      <c r="I97" s="55"/>
      <c r="J97" s="42"/>
      <c r="L97" s="545"/>
    </row>
    <row r="98" spans="1:15">
      <c r="D98" s="38" t="s">
        <v>317</v>
      </c>
      <c r="E98" s="49"/>
      <c r="F98" s="36"/>
      <c r="G98" s="40"/>
      <c r="H98" s="55"/>
      <c r="I98" s="55"/>
      <c r="J98" s="42">
        <v>0</v>
      </c>
      <c r="L98" s="545" t="e">
        <f>J89/H29</f>
        <v>#DIV/0!</v>
      </c>
      <c r="M98" s="201"/>
      <c r="N98" s="43"/>
      <c r="O98" s="201"/>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1"/>
      <c r="O102" s="43"/>
    </row>
    <row r="103" spans="1:15">
      <c r="G103" s="35" t="s">
        <v>7</v>
      </c>
      <c r="I103" s="59">
        <v>0.21</v>
      </c>
      <c r="J103" s="45">
        <f>I103*J102</f>
        <v>0</v>
      </c>
    </row>
    <row r="104" spans="1:15">
      <c r="G104" s="35" t="s">
        <v>177</v>
      </c>
      <c r="I104" s="27" t="s">
        <v>190</v>
      </c>
      <c r="J104" s="42">
        <f>J103+J102</f>
        <v>0</v>
      </c>
      <c r="M104" s="201"/>
      <c r="N104" s="43"/>
      <c r="O104" s="43"/>
    </row>
    <row r="105" spans="1:15">
      <c r="D105" s="46"/>
      <c r="E105" s="49"/>
      <c r="F105" s="49"/>
      <c r="G105" s="49"/>
      <c r="H105" s="49"/>
      <c r="I105" s="49"/>
      <c r="J105" s="42"/>
    </row>
    <row r="106" spans="1:15">
      <c r="J106" s="53"/>
    </row>
    <row r="107" spans="1:15"/>
    <row r="108" spans="1:15" s="33" customFormat="1" ht="16">
      <c r="A108" s="253"/>
      <c r="B108" s="252"/>
      <c r="C108" s="256"/>
      <c r="D108" s="218" t="s">
        <v>266</v>
      </c>
      <c r="E108" s="218"/>
      <c r="F108" s="218"/>
      <c r="G108" s="218"/>
      <c r="H108" s="218"/>
      <c r="I108" s="218"/>
      <c r="J108" s="219"/>
      <c r="K108" s="262"/>
    </row>
    <row r="109" spans="1:15"/>
    <row r="110" spans="1:15"/>
    <row r="111" spans="1:15" s="221" customFormat="1" ht="39">
      <c r="A111" s="254"/>
      <c r="B111" s="252"/>
      <c r="C111" s="257"/>
      <c r="D111" s="222" t="s">
        <v>211</v>
      </c>
      <c r="E111" s="223" t="s">
        <v>129</v>
      </c>
      <c r="F111" s="224" t="s">
        <v>365</v>
      </c>
      <c r="G111" s="224" t="s">
        <v>243</v>
      </c>
      <c r="H111" s="224" t="s">
        <v>209</v>
      </c>
      <c r="I111" s="224" t="s">
        <v>63</v>
      </c>
      <c r="J111" s="224" t="s">
        <v>90</v>
      </c>
      <c r="K111" s="263"/>
    </row>
    <row r="112" spans="1:15" s="62" customFormat="1" ht="21" customHeight="1">
      <c r="A112" s="255"/>
      <c r="B112" s="252"/>
      <c r="C112" s="258"/>
      <c r="D112" s="230" t="s">
        <v>26</v>
      </c>
      <c r="E112" s="231"/>
      <c r="F112" s="231"/>
      <c r="G112" s="232"/>
      <c r="H112" s="232"/>
      <c r="I112" s="232"/>
      <c r="J112" s="232"/>
      <c r="K112" s="264"/>
    </row>
    <row r="113" spans="1:256" s="62" customFormat="1" ht="39.75" customHeight="1">
      <c r="A113" s="260">
        <v>0</v>
      </c>
      <c r="B113" s="259"/>
      <c r="C113" s="258"/>
      <c r="D113" s="247">
        <f>VLOOKUP(A113,'1.5 Opbouw uurtarieven'!$A$12:$C$46,2,FALSE)</f>
        <v>0</v>
      </c>
      <c r="J113" s="248"/>
      <c r="K113" s="264"/>
    </row>
    <row r="114" spans="1:256">
      <c r="D114" s="38" t="s">
        <v>219</v>
      </c>
      <c r="E114" s="154"/>
      <c r="F114" s="39">
        <f>H114/G114</f>
        <v>0</v>
      </c>
      <c r="G114" s="40">
        <v>2</v>
      </c>
      <c r="H114" s="39">
        <f>$H$127*E114</f>
        <v>0</v>
      </c>
      <c r="I114" s="41">
        <f>(VLOOKUP(A113,'1.5 Opbouw uurtarieven'!$A$12:$AU$46,41,FALSE)*'1.1a-Jaarprijzen'!$C$149)+(VLOOKUP(A113,'1.5 Opbouw uurtarieven'!$A$12:$AU$46,41,FALSE))</f>
        <v>0</v>
      </c>
      <c r="J114" s="42">
        <f>I114*H114</f>
        <v>0</v>
      </c>
    </row>
    <row r="115" spans="1:256">
      <c r="D115" s="38"/>
      <c r="E115" s="38"/>
      <c r="F115" s="38"/>
      <c r="G115" s="38"/>
      <c r="H115" s="38"/>
      <c r="I115" s="38"/>
      <c r="J115" s="38"/>
      <c r="K115" s="265"/>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0">
        <v>0</v>
      </c>
      <c r="B116" s="259"/>
      <c r="C116" s="258"/>
      <c r="D116" s="247">
        <f>VLOOKUP(A116,'1.5 Opbouw uurtarieven'!$A$12:$C$46,2,FALSE)</f>
        <v>0</v>
      </c>
      <c r="J116" s="248"/>
      <c r="K116" s="264"/>
    </row>
    <row r="117" spans="1:256">
      <c r="D117" s="38" t="s">
        <v>219</v>
      </c>
      <c r="E117" s="154">
        <v>0</v>
      </c>
      <c r="F117" s="39">
        <f>H117/G117</f>
        <v>0</v>
      </c>
      <c r="G117" s="40">
        <v>2</v>
      </c>
      <c r="H117" s="39">
        <f>$H$127*E117</f>
        <v>0</v>
      </c>
      <c r="I117" s="41">
        <f>(VLOOKUP(A116,'1.5 Opbouw uurtarieven'!$A$12:$AU$46,41,FALSE)*'1.1a-Jaarprijzen'!$C$149)+(VLOOKUP(A116,'1.5 Opbouw uurtarieven'!$A$12:$AU$46,41,FALSE))</f>
        <v>0</v>
      </c>
      <c r="J117" s="42">
        <f>I117*H117</f>
        <v>0</v>
      </c>
    </row>
    <row r="118" spans="1:256">
      <c r="D118" s="38"/>
      <c r="E118" s="38"/>
      <c r="F118" s="38"/>
      <c r="G118" s="38"/>
      <c r="H118" s="38"/>
      <c r="I118" s="38"/>
      <c r="J118" s="38"/>
      <c r="K118" s="265"/>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0">
        <v>0</v>
      </c>
      <c r="B119" s="259"/>
      <c r="C119" s="258"/>
      <c r="D119" s="247">
        <f>VLOOKUP(A119,'1.5 Opbouw uurtarieven'!$A$12:$C$46,2,FALSE)</f>
        <v>0</v>
      </c>
      <c r="J119" s="248"/>
      <c r="K119" s="264"/>
    </row>
    <row r="120" spans="1:256">
      <c r="D120" s="38" t="s">
        <v>219</v>
      </c>
      <c r="E120" s="154">
        <v>0</v>
      </c>
      <c r="F120" s="39">
        <f>H120/G120</f>
        <v>0</v>
      </c>
      <c r="G120" s="40">
        <v>2</v>
      </c>
      <c r="H120" s="39">
        <f>$H$127*E120</f>
        <v>0</v>
      </c>
      <c r="I120" s="41">
        <f>(VLOOKUP(A119,'1.5 Opbouw uurtarieven'!$A$12:$AU$46,41,FALSE)*'1.1a-Jaarprijzen'!$C$149)+(VLOOKUP(A119,'1.5 Opbouw uurtarieven'!$A$12:$AU$46,41,FALSE))</f>
        <v>0</v>
      </c>
      <c r="J120" s="42">
        <f>I120*H120</f>
        <v>0</v>
      </c>
    </row>
    <row r="121" spans="1:256">
      <c r="D121" s="38"/>
      <c r="E121" s="38"/>
      <c r="F121" s="38"/>
      <c r="G121" s="38"/>
      <c r="H121" s="38"/>
      <c r="I121" s="38"/>
      <c r="J121" s="38"/>
      <c r="K121" s="265"/>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0">
        <v>0</v>
      </c>
      <c r="B122" s="252"/>
      <c r="C122" s="258"/>
      <c r="D122" s="247">
        <f>VLOOKUP(A122,'1.5 Opbouw uurtarieven'!$A$12:$C$46,2,FALSE)</f>
        <v>0</v>
      </c>
      <c r="J122" s="248"/>
      <c r="K122" s="264"/>
    </row>
    <row r="123" spans="1:256">
      <c r="D123" s="38" t="s">
        <v>219</v>
      </c>
      <c r="E123" s="154"/>
      <c r="F123" s="39">
        <f>H123/G123</f>
        <v>0</v>
      </c>
      <c r="G123" s="40">
        <v>2</v>
      </c>
      <c r="H123" s="39">
        <f>$H$127*E123</f>
        <v>0</v>
      </c>
      <c r="I123" s="41">
        <f>(VLOOKUP(A122,'1.5 Opbouw uurtarieven'!$A$12:$AU$46,41,FALSE)*'1.1a-Jaarprijzen'!$C$149)+(VLOOKUP(A122,'1.5 Opbouw uurtarieven'!$A$12:$AU$46,41,FALSE))</f>
        <v>0</v>
      </c>
      <c r="J123" s="42">
        <f>I123*H123</f>
        <v>0</v>
      </c>
    </row>
    <row r="124" spans="1:256">
      <c r="D124" s="38"/>
      <c r="E124" s="38"/>
      <c r="F124" s="38"/>
      <c r="G124" s="38"/>
      <c r="H124" s="38"/>
      <c r="I124" s="38"/>
      <c r="J124" s="38"/>
      <c r="K124" s="265"/>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0">
        <v>0</v>
      </c>
      <c r="B125" s="252"/>
      <c r="C125" s="258"/>
      <c r="D125" s="247">
        <f>VLOOKUP(A125,'1.5 Opbouw uurtarieven'!$A$12:$C$46,2,FALSE)</f>
        <v>0</v>
      </c>
      <c r="J125" s="248"/>
      <c r="K125" s="264"/>
    </row>
    <row r="126" spans="1:256">
      <c r="D126" s="38" t="s">
        <v>219</v>
      </c>
      <c r="E126" s="193">
        <v>0</v>
      </c>
      <c r="F126" s="44">
        <f>H126/G126</f>
        <v>0</v>
      </c>
      <c r="G126" s="40">
        <v>2</v>
      </c>
      <c r="H126" s="39">
        <f>$H$127*E126</f>
        <v>0</v>
      </c>
      <c r="I126" s="41">
        <f>(VLOOKUP(A125,'1.5 Opbouw uurtarieven'!$A$12:$AU$46,41,FALSE)*'1.1a-Jaarprijzen'!$C$149)+(VLOOKUP(A125,'1.5 Opbouw uurtarieven'!$A$12:$AU$46,41,FALSE))</f>
        <v>0</v>
      </c>
      <c r="J126" s="45">
        <f>I126*H126</f>
        <v>0</v>
      </c>
    </row>
    <row r="127" spans="1:256" s="62" customFormat="1" ht="18" customHeight="1">
      <c r="A127" s="827">
        <f>IF(E127&gt;=100%,"Totaal productie-uren, maximaal 100%",0)</f>
        <v>0</v>
      </c>
      <c r="B127" s="252"/>
      <c r="C127" s="258"/>
      <c r="D127" s="230"/>
      <c r="E127" s="235">
        <f>E126+E123+E120+E117+E114</f>
        <v>0</v>
      </c>
      <c r="F127" s="236">
        <f>SUM(F114:F126)</f>
        <v>0</v>
      </c>
      <c r="G127" s="232"/>
      <c r="H127" s="803">
        <f>SUM('1.9-Glasbewassing'!Q16:T93)</f>
        <v>0</v>
      </c>
      <c r="I127" s="231">
        <v>0</v>
      </c>
      <c r="J127" s="237">
        <f>SUM(J114:J126)</f>
        <v>0</v>
      </c>
      <c r="K127" s="264"/>
      <c r="L127" s="498">
        <f>IF(H127=0,0,J127/H127)</f>
        <v>0</v>
      </c>
    </row>
    <row r="128" spans="1:256" s="62" customFormat="1" ht="21" customHeight="1">
      <c r="A128" s="828"/>
      <c r="B128" s="252"/>
      <c r="C128" s="258"/>
      <c r="D128" s="230" t="s">
        <v>94</v>
      </c>
      <c r="G128" s="232"/>
      <c r="H128" s="232"/>
      <c r="I128" s="232"/>
      <c r="J128" s="232"/>
      <c r="K128" s="264"/>
      <c r="L128" s="233"/>
    </row>
    <row r="129" spans="1:256" s="62" customFormat="1" ht="39.75" customHeight="1">
      <c r="A129" s="260">
        <v>0</v>
      </c>
      <c r="B129" s="252"/>
      <c r="C129" s="258"/>
      <c r="D129" s="247">
        <f>VLOOKUP(A129,'1.5 Opbouw uurtarieven'!$A$12:$C$46,2,FALSE)</f>
        <v>0</v>
      </c>
      <c r="J129" s="248"/>
      <c r="K129" s="264"/>
      <c r="L129" s="249"/>
    </row>
    <row r="130" spans="1:256">
      <c r="D130" s="229" t="s">
        <v>219</v>
      </c>
      <c r="E130" s="154"/>
      <c r="F130" s="39">
        <f>H130/G130</f>
        <v>0</v>
      </c>
      <c r="G130" s="40">
        <v>2</v>
      </c>
      <c r="H130" s="39">
        <f>$H$127*E130</f>
        <v>0</v>
      </c>
      <c r="I130" s="41">
        <f>(VLOOKUP(A129,'1.5 Opbouw uurtarieven'!$A$12:$AU$46,41,FALSE)*'1.1a-Jaarprijzen'!$C$149)+(VLOOKUP(A129,'1.5 Opbouw uurtarieven'!$A$12:$AU$46,41,FALSE))</f>
        <v>0</v>
      </c>
      <c r="J130" s="42">
        <f>I130*H130</f>
        <v>0</v>
      </c>
    </row>
    <row r="131" spans="1:256">
      <c r="D131" s="229"/>
      <c r="E131" s="62"/>
      <c r="F131" s="39"/>
      <c r="G131" s="40"/>
      <c r="H131" s="39"/>
      <c r="I131" s="41"/>
      <c r="J131" s="42"/>
    </row>
    <row r="132" spans="1:256" s="62" customFormat="1" ht="39.75" customHeight="1">
      <c r="A132" s="260">
        <v>0</v>
      </c>
      <c r="B132" s="252"/>
      <c r="C132" s="258"/>
      <c r="D132" s="247">
        <f>VLOOKUP(A132,'1.5 Opbouw uurtarieven'!$A$12:$C$46,2,FALSE)</f>
        <v>0</v>
      </c>
      <c r="J132" s="248"/>
      <c r="K132" s="264"/>
      <c r="L132" s="249"/>
    </row>
    <row r="133" spans="1:256">
      <c r="D133" s="229" t="s">
        <v>219</v>
      </c>
      <c r="E133" s="154">
        <v>0</v>
      </c>
      <c r="F133" s="39">
        <f>H133/G133</f>
        <v>0</v>
      </c>
      <c r="G133" s="40">
        <v>2</v>
      </c>
      <c r="H133" s="39">
        <f>$H$127*E133</f>
        <v>0</v>
      </c>
      <c r="I133" s="41">
        <f>(VLOOKUP(A132,'1.5 Opbouw uurtarieven'!$A$12:$AU$46,41,FALSE)*'1.1a-Jaarprijzen'!$C$149)+(VLOOKUP(A132,'1.5 Opbouw uurtarieven'!$A$12:$AU$46,41,FALSE))</f>
        <v>0</v>
      </c>
      <c r="J133" s="42">
        <f>I133*H133</f>
        <v>0</v>
      </c>
    </row>
    <row r="134" spans="1:256">
      <c r="D134" s="229"/>
      <c r="E134" s="38"/>
      <c r="F134" s="38"/>
      <c r="G134" s="38"/>
      <c r="H134" s="38"/>
      <c r="I134" s="38"/>
      <c r="J134" s="38"/>
      <c r="K134" s="265"/>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0">
        <v>0</v>
      </c>
      <c r="B135" s="252"/>
      <c r="C135" s="258"/>
      <c r="D135" s="247">
        <f>VLOOKUP(A135,'1.5 Opbouw uurtarieven'!$A$12:$C$46,2,FALSE)</f>
        <v>0</v>
      </c>
      <c r="J135" s="248"/>
      <c r="K135" s="264"/>
    </row>
    <row r="136" spans="1:256">
      <c r="D136" s="229" t="s">
        <v>219</v>
      </c>
      <c r="E136" s="193"/>
      <c r="F136" s="44">
        <f>H136/G136</f>
        <v>0</v>
      </c>
      <c r="G136" s="40">
        <v>2</v>
      </c>
      <c r="H136" s="39">
        <f>$H$127*E136</f>
        <v>0</v>
      </c>
      <c r="I136" s="41">
        <f>(VLOOKUP(A135,'1.5 Opbouw uurtarieven'!$A$12:$AU$46,41,FALSE)*'1.1a-Jaarprijzen'!$C$149)+(VLOOKUP(A135,'1.5 Opbouw uurtarieven'!$A$12:$AU$46,41,FALSE))</f>
        <v>0</v>
      </c>
      <c r="J136" s="45">
        <f>I136*H136</f>
        <v>0</v>
      </c>
    </row>
    <row r="137" spans="1:256">
      <c r="D137" s="229"/>
      <c r="E137" s="47">
        <f>E136+E133+E130</f>
        <v>0</v>
      </c>
      <c r="F137" s="48">
        <f>SUM(F130:F136)</f>
        <v>0</v>
      </c>
      <c r="G137" s="37"/>
      <c r="H137" s="804">
        <f>SUM(H130:H136)</f>
        <v>0</v>
      </c>
      <c r="I137" s="38"/>
      <c r="J137" s="50">
        <f>SUM(J130:J136)</f>
        <v>0</v>
      </c>
      <c r="K137" s="38"/>
      <c r="L137" s="498">
        <f>IF(H127=0,0,J139/H127)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29"/>
      <c r="E138" s="47"/>
      <c r="F138" s="48"/>
      <c r="G138" s="37"/>
      <c r="H138" s="48"/>
      <c r="I138" s="38"/>
      <c r="J138" s="50"/>
      <c r="K138" s="38"/>
      <c r="L138" s="49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29"/>
      <c r="E139" s="47"/>
      <c r="F139" s="48"/>
      <c r="G139" s="37"/>
      <c r="H139" s="48"/>
      <c r="I139" s="38"/>
      <c r="J139" s="50">
        <f>J137+J127</f>
        <v>0</v>
      </c>
      <c r="K139" s="38"/>
      <c r="L139" s="49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29"/>
      <c r="E140" s="47"/>
      <c r="F140" s="48"/>
      <c r="G140" s="37"/>
      <c r="H140" s="48"/>
      <c r="I140" s="38"/>
      <c r="J140" s="50"/>
      <c r="K140" s="38"/>
      <c r="L140" s="49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28" t="s">
        <v>363</v>
      </c>
      <c r="E141" s="47"/>
      <c r="F141" s="48"/>
      <c r="G141" s="37"/>
      <c r="H141" s="48"/>
      <c r="I141" s="38"/>
      <c r="J141" s="50"/>
      <c r="K141" s="38"/>
      <c r="L141" s="49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28"/>
      <c r="E142" s="52"/>
      <c r="F142" s="48"/>
      <c r="G142" s="37"/>
      <c r="H142" s="48"/>
      <c r="I142" s="49"/>
      <c r="J142" s="194"/>
      <c r="K142" s="264"/>
      <c r="L142" s="43"/>
    </row>
    <row r="143" spans="1:256">
      <c r="D143" s="35" t="s">
        <v>364</v>
      </c>
      <c r="E143" s="52"/>
      <c r="G143" s="37"/>
      <c r="H143" s="48"/>
      <c r="I143" s="49"/>
      <c r="J143" s="50">
        <f>SUM('1.9-Glasbewassing'!AD12:AD223)</f>
        <v>0</v>
      </c>
      <c r="L143" s="43"/>
    </row>
    <row r="144" spans="1:256">
      <c r="D144" s="228"/>
      <c r="E144" s="52"/>
      <c r="F144" s="48"/>
      <c r="G144" s="37"/>
      <c r="H144" s="48"/>
      <c r="I144" s="49"/>
      <c r="J144" s="50"/>
    </row>
    <row r="145" spans="1:12">
      <c r="D145" s="829" t="s">
        <v>1053</v>
      </c>
      <c r="F145" s="455">
        <f>SUM('1.9-Glasbewassing'!AH:AH)</f>
        <v>6554.77</v>
      </c>
      <c r="G145" s="27" t="s">
        <v>323</v>
      </c>
    </row>
    <row r="146" spans="1:12">
      <c r="D146" s="829"/>
    </row>
    <row r="147" spans="1:12">
      <c r="D147" s="407"/>
    </row>
    <row r="148" spans="1:12"/>
    <row r="149" spans="1:12" s="62" customFormat="1">
      <c r="A149" s="255"/>
      <c r="B149" s="252"/>
      <c r="C149" s="258"/>
      <c r="D149" s="35"/>
      <c r="E149" s="27"/>
      <c r="F149" s="27"/>
      <c r="G149" s="56" t="s">
        <v>6</v>
      </c>
      <c r="H149" s="27"/>
      <c r="I149" s="57"/>
      <c r="J149" s="621">
        <f>J143+J139</f>
        <v>0</v>
      </c>
      <c r="K149" s="261"/>
      <c r="L149" s="404">
        <f>SUM('1.9-Glasbewassing'!AD1:AE102)</f>
        <v>0</v>
      </c>
    </row>
    <row r="150" spans="1:12" s="62" customFormat="1">
      <c r="A150" s="255"/>
      <c r="B150" s="252"/>
      <c r="C150" s="258"/>
      <c r="D150" s="35"/>
      <c r="E150" s="27"/>
      <c r="F150" s="27"/>
      <c r="G150" s="35" t="s">
        <v>7</v>
      </c>
      <c r="H150" s="27"/>
      <c r="I150" s="59">
        <v>0.21</v>
      </c>
      <c r="J150" s="45">
        <f>I150*J149</f>
        <v>0</v>
      </c>
      <c r="K150" s="261"/>
      <c r="L150" s="404"/>
    </row>
    <row r="151" spans="1:12">
      <c r="G151" s="35" t="s">
        <v>177</v>
      </c>
      <c r="I151" s="27" t="s">
        <v>190</v>
      </c>
      <c r="J151" s="42">
        <f>J150+L149</f>
        <v>0</v>
      </c>
      <c r="L151" s="404"/>
    </row>
    <row r="152" spans="1:12">
      <c r="L152" s="404"/>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5">
    <mergeCell ref="A29:A30"/>
    <mergeCell ref="A49:A50"/>
    <mergeCell ref="A75:A76"/>
    <mergeCell ref="A127:A128"/>
    <mergeCell ref="D145:D146"/>
  </mergeCells>
  <phoneticPr fontId="16"/>
  <conditionalFormatting sqref="A29">
    <cfRule type="expression" dxfId="135" priority="49" stopIfTrue="1">
      <formula>$E$29&gt;100%</formula>
    </cfRule>
  </conditionalFormatting>
  <conditionalFormatting sqref="E29 E49">
    <cfRule type="cellIs" dxfId="134" priority="50" stopIfTrue="1" operator="greaterThan">
      <formula>1</formula>
    </cfRule>
  </conditionalFormatting>
  <conditionalFormatting sqref="E22 E25">
    <cfRule type="cellIs" dxfId="133" priority="47" stopIfTrue="1" operator="lessThanOrEqual">
      <formula>0</formula>
    </cfRule>
  </conditionalFormatting>
  <conditionalFormatting sqref="E28">
    <cfRule type="cellIs" dxfId="132" priority="46" stopIfTrue="1" operator="lessThanOrEqual">
      <formula>0</formula>
    </cfRule>
  </conditionalFormatting>
  <conditionalFormatting sqref="E35">
    <cfRule type="cellIs" dxfId="131" priority="45" stopIfTrue="1" operator="lessThanOrEqual">
      <formula>0</formula>
    </cfRule>
  </conditionalFormatting>
  <conditionalFormatting sqref="E38">
    <cfRule type="cellIs" dxfId="130" priority="44" stopIfTrue="1" operator="lessThanOrEqual">
      <formula>0</formula>
    </cfRule>
  </conditionalFormatting>
  <conditionalFormatting sqref="E19">
    <cfRule type="cellIs" dxfId="129" priority="43" stopIfTrue="1" operator="lessThanOrEqual">
      <formula>0</formula>
    </cfRule>
  </conditionalFormatting>
  <conditionalFormatting sqref="E16">
    <cfRule type="cellIs" dxfId="128" priority="42" stopIfTrue="1" operator="lessThanOrEqual">
      <formula>0</formula>
    </cfRule>
  </conditionalFormatting>
  <conditionalFormatting sqref="A49">
    <cfRule type="expression" dxfId="127" priority="40" stopIfTrue="1">
      <formula>$E$48&gt;100%</formula>
    </cfRule>
  </conditionalFormatting>
  <conditionalFormatting sqref="E42">
    <cfRule type="cellIs" dxfId="126" priority="37" stopIfTrue="1" operator="lessThanOrEqual">
      <formula>0</formula>
    </cfRule>
  </conditionalFormatting>
  <conditionalFormatting sqref="E45">
    <cfRule type="cellIs" dxfId="125" priority="36" stopIfTrue="1" operator="lessThanOrEqual">
      <formula>0</formula>
    </cfRule>
  </conditionalFormatting>
  <conditionalFormatting sqref="E48">
    <cfRule type="cellIs" dxfId="124" priority="35" stopIfTrue="1" operator="lessThanOrEqual">
      <formula>0</formula>
    </cfRule>
  </conditionalFormatting>
  <conditionalFormatting sqref="E32">
    <cfRule type="cellIs" dxfId="123" priority="22" stopIfTrue="1" operator="lessThanOrEqual">
      <formula>0</formula>
    </cfRule>
  </conditionalFormatting>
  <conditionalFormatting sqref="E55">
    <cfRule type="cellIs" dxfId="122" priority="21" stopIfTrue="1" operator="lessThanOrEqual">
      <formula>0</formula>
    </cfRule>
  </conditionalFormatting>
  <conditionalFormatting sqref="E58">
    <cfRule type="cellIs" dxfId="121" priority="20" stopIfTrue="1" operator="lessThanOrEqual">
      <formula>0</formula>
    </cfRule>
  </conditionalFormatting>
  <conditionalFormatting sqref="E59:E65">
    <cfRule type="cellIs" dxfId="120" priority="24" stopIfTrue="1" operator="greaterThan">
      <formula>1</formula>
    </cfRule>
  </conditionalFormatting>
  <conditionalFormatting sqref="E52">
    <cfRule type="cellIs" dxfId="119" priority="19" stopIfTrue="1" operator="lessThanOrEqual">
      <formula>0</formula>
    </cfRule>
  </conditionalFormatting>
  <conditionalFormatting sqref="E85">
    <cfRule type="cellIs" dxfId="118" priority="18" stopIfTrue="1" operator="greaterThan">
      <formula>1</formula>
    </cfRule>
  </conditionalFormatting>
  <conditionalFormatting sqref="A75">
    <cfRule type="expression" dxfId="117" priority="17" stopIfTrue="1">
      <formula>$E$48&gt;100%</formula>
    </cfRule>
  </conditionalFormatting>
  <conditionalFormatting sqref="E75">
    <cfRule type="cellIs" dxfId="116" priority="16" stopIfTrue="1" operator="greaterThan">
      <formula>1</formula>
    </cfRule>
  </conditionalFormatting>
  <conditionalFormatting sqref="E68">
    <cfRule type="cellIs" dxfId="115" priority="15" stopIfTrue="1" operator="lessThanOrEqual">
      <formula>0</formula>
    </cfRule>
  </conditionalFormatting>
  <conditionalFormatting sqref="E71">
    <cfRule type="cellIs" dxfId="114" priority="14" stopIfTrue="1" operator="lessThanOrEqual">
      <formula>0</formula>
    </cfRule>
  </conditionalFormatting>
  <conditionalFormatting sqref="E74">
    <cfRule type="cellIs" dxfId="113" priority="13" stopIfTrue="1" operator="lessThanOrEqual">
      <formula>0</formula>
    </cfRule>
  </conditionalFormatting>
  <conditionalFormatting sqref="E84">
    <cfRule type="cellIs" dxfId="112" priority="11" stopIfTrue="1" operator="lessThanOrEqual">
      <formula>0</formula>
    </cfRule>
  </conditionalFormatting>
  <conditionalFormatting sqref="E81">
    <cfRule type="cellIs" dxfId="111" priority="12" stopIfTrue="1" operator="lessThanOrEqual">
      <formula>0</formula>
    </cfRule>
  </conditionalFormatting>
  <conditionalFormatting sqref="E78">
    <cfRule type="cellIs" dxfId="110" priority="10" stopIfTrue="1" operator="lessThanOrEqual">
      <formula>0</formula>
    </cfRule>
  </conditionalFormatting>
  <conditionalFormatting sqref="A127">
    <cfRule type="expression" dxfId="109" priority="8" stopIfTrue="1">
      <formula>$E$29&gt;100%</formula>
    </cfRule>
  </conditionalFormatting>
  <conditionalFormatting sqref="E127">
    <cfRule type="cellIs" dxfId="108" priority="9" stopIfTrue="1" operator="greaterThan">
      <formula>1</formula>
    </cfRule>
  </conditionalFormatting>
  <conditionalFormatting sqref="E120 E123">
    <cfRule type="cellIs" dxfId="107" priority="7" stopIfTrue="1" operator="lessThanOrEqual">
      <formula>0</formula>
    </cfRule>
  </conditionalFormatting>
  <conditionalFormatting sqref="E126">
    <cfRule type="cellIs" dxfId="106" priority="6" stopIfTrue="1" operator="lessThanOrEqual">
      <formula>0</formula>
    </cfRule>
  </conditionalFormatting>
  <conditionalFormatting sqref="E133">
    <cfRule type="cellIs" dxfId="105" priority="5" stopIfTrue="1" operator="lessThanOrEqual">
      <formula>0</formula>
    </cfRule>
  </conditionalFormatting>
  <conditionalFormatting sqref="E136">
    <cfRule type="cellIs" dxfId="104" priority="4" stopIfTrue="1" operator="lessThanOrEqual">
      <formula>0</formula>
    </cfRule>
  </conditionalFormatting>
  <conditionalFormatting sqref="E117">
    <cfRule type="cellIs" dxfId="103" priority="3" stopIfTrue="1" operator="lessThanOrEqual">
      <formula>0</formula>
    </cfRule>
  </conditionalFormatting>
  <conditionalFormatting sqref="E114">
    <cfRule type="cellIs" dxfId="102" priority="2" stopIfTrue="1" operator="lessThanOrEqual">
      <formula>0</formula>
    </cfRule>
  </conditionalFormatting>
  <conditionalFormatting sqref="E130">
    <cfRule type="cellIs" dxfId="101" priority="1" stopIfTrue="1" operator="lessThanOrEqual">
      <formula>0</formula>
    </cfRule>
  </conditionalFormatting>
  <dataValidations count="1">
    <dataValidation type="list" allowBlank="1" showInputMessage="1" showErrorMessage="1" sqref="A135 A18 A21 A15 A24 A27 A31 A34 A37 A113 A116 A122 A129 A125 A132 A119">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enableFormatConditionsCalculation="0"/>
  <dimension ref="A1:U377"/>
  <sheetViews>
    <sheetView showGridLines="0" showZeros="0" tabSelected="1" showOutlineSymbols="0" zoomScaleSheetLayoutView="75" workbookViewId="0">
      <selection activeCell="D5" sqref="D5"/>
    </sheetView>
  </sheetViews>
  <sheetFormatPr baseColWidth="10" defaultColWidth="0" defaultRowHeight="13" zeroHeight="1" x14ac:dyDescent="0"/>
  <cols>
    <col min="1" max="1" width="3.42578125" customWidth="1"/>
    <col min="2" max="2" width="38.7109375" style="1" bestFit="1" customWidth="1"/>
    <col min="3" max="3" width="22.5703125" style="1" customWidth="1"/>
    <col min="4" max="4" width="16.5703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4.7109375" style="1" customWidth="1"/>
    <col min="13" max="13" width="17.5703125" style="1" customWidth="1"/>
    <col min="14" max="14" width="11.140625" style="1" customWidth="1"/>
    <col min="15" max="15" width="12" style="1" hidden="1" customWidth="1"/>
    <col min="16" max="16" width="7" style="1" hidden="1" customWidth="1"/>
    <col min="17" max="17" width="18.5703125" style="1" hidden="1" customWidth="1"/>
    <col min="18" max="18" width="8.42578125" style="1" hidden="1" customWidth="1"/>
    <col min="19" max="19" width="8.42578125" hidden="1" customWidth="1"/>
    <col min="20" max="20" width="7.85546875" hidden="1" customWidth="1"/>
    <col min="21" max="21" width="13" hidden="1" customWidth="1"/>
    <col min="22" max="16384" width="11.42578125" hidden="1"/>
  </cols>
  <sheetData>
    <row r="1" spans="1:20"/>
    <row r="2" spans="1:20" ht="16">
      <c r="B2" s="72" t="str">
        <f>'1.0-Contractblad'!D2</f>
        <v>Naam opdrachtgever</v>
      </c>
      <c r="C2" s="30" t="str">
        <f>'1.0-Contractblad'!E2</f>
        <v>Stichting Altra - Horizon</v>
      </c>
      <c r="D2" s="33"/>
    </row>
    <row r="3" spans="1:20" ht="16">
      <c r="B3" s="72" t="str">
        <f>'1.0-Contractblad'!D3</f>
        <v>Omschrijving blad</v>
      </c>
      <c r="C3" s="72" t="s">
        <v>43</v>
      </c>
      <c r="D3" s="33"/>
    </row>
    <row r="4" spans="1:20" ht="16">
      <c r="B4" s="72" t="str">
        <f>'1.0-Contractblad'!D4</f>
        <v>Adres/plaats</v>
      </c>
      <c r="C4" s="30" t="str">
        <f>'1.0-Contractblad'!E4</f>
        <v>Regio Noord Holland</v>
      </c>
      <c r="D4" s="33"/>
    </row>
    <row r="5" spans="1:20" ht="16">
      <c r="B5" s="72" t="str">
        <f>'1.0-Contractblad'!D5</f>
        <v>Besteknummer</v>
      </c>
      <c r="C5" s="30" t="str">
        <f>'1.0-Contractblad'!E5</f>
        <v>180417 V2</v>
      </c>
      <c r="D5" s="33"/>
    </row>
    <row r="6" spans="1:20" ht="16">
      <c r="B6" s="72" t="str">
        <f>'1.0-Contractblad'!D6</f>
        <v>Naam leverancier</v>
      </c>
      <c r="C6" s="30" t="str">
        <f>'1.0-Contractblad'!E6</f>
        <v>[NAAM LEVERANCIER]</v>
      </c>
      <c r="D6" s="33"/>
      <c r="F6" s="544">
        <f>Voorblad!$E$15</f>
        <v>42917</v>
      </c>
    </row>
    <row r="7" spans="1:20"/>
    <row r="8" spans="1:20" ht="2" customHeight="1"/>
    <row r="9" spans="1:20">
      <c r="S9" s="1"/>
      <c r="T9" s="1"/>
    </row>
    <row r="10" spans="1:20" s="273" customFormat="1" ht="26">
      <c r="A10" s="787"/>
      <c r="B10" s="267" t="s">
        <v>206</v>
      </c>
      <c r="C10" s="267" t="s">
        <v>171</v>
      </c>
      <c r="D10" s="267" t="s">
        <v>482</v>
      </c>
      <c r="E10" s="267" t="s">
        <v>235</v>
      </c>
      <c r="F10" s="267" t="s">
        <v>182</v>
      </c>
      <c r="G10" s="271" t="s">
        <v>121</v>
      </c>
      <c r="H10" s="268" t="s">
        <v>318</v>
      </c>
      <c r="I10" s="268" t="s">
        <v>319</v>
      </c>
      <c r="J10" s="268" t="s">
        <v>389</v>
      </c>
      <c r="K10" s="268" t="s">
        <v>183</v>
      </c>
      <c r="L10" s="268" t="s">
        <v>396</v>
      </c>
      <c r="M10" s="268" t="s">
        <v>395</v>
      </c>
      <c r="N10" s="268"/>
      <c r="O10" s="1"/>
      <c r="P10" s="272"/>
      <c r="Q10" s="272"/>
      <c r="R10" s="272"/>
    </row>
    <row r="11" spans="1:20">
      <c r="A11" s="788">
        <f t="shared" ref="A11:A16" si="0">G11</f>
        <v>1</v>
      </c>
      <c r="B11" s="767" t="s">
        <v>1067</v>
      </c>
      <c r="C11" s="751" t="s">
        <v>809</v>
      </c>
      <c r="D11" s="752" t="s">
        <v>1014</v>
      </c>
      <c r="E11" s="753">
        <f ca="1">SUMIF('1.3-Basis ruimtestaat'!$D$10:$J$454,'1.1a-Jaarprijzen'!B11,'1.3-Basis ruimtestaat'!$J$10:$J$454)</f>
        <v>1656.9100000000005</v>
      </c>
      <c r="F11" s="753">
        <f ca="1">SUMIF('1.3-Basis ruimtestaat'!D:K,'1.1a-Jaarprijzen'!B11,'1.3-Basis ruimtestaat'!K:K)</f>
        <v>196.59000000000003</v>
      </c>
      <c r="G11" s="754">
        <v>1</v>
      </c>
      <c r="H11" s="755">
        <f t="shared" ref="H11:H16" ca="1" si="1">SUMIF(Totaal2,$B11,UREMAVR)</f>
        <v>0</v>
      </c>
      <c r="I11" s="755">
        <f t="shared" ref="I11:I16" ca="1" si="2">SUMIF(Totaal2,$B11,URENNALOOP)</f>
        <v>0</v>
      </c>
      <c r="J11" s="755">
        <f ca="1">(H11+I11)/255</f>
        <v>0</v>
      </c>
      <c r="K11" s="756">
        <f ca="1">(H11+I11)*'1.0-Contractblad'!$E$39</f>
        <v>0</v>
      </c>
      <c r="L11" s="757">
        <f>SUMIF('1.9-Glasbewassing'!B:B,'1.1a-Jaarprijzen'!B11,'1.9-Glasbewassing'!AH:AH)</f>
        <v>1135.5</v>
      </c>
      <c r="M11" s="752" t="s">
        <v>483</v>
      </c>
      <c r="N11" s="764"/>
      <c r="O11" s="412"/>
      <c r="P11" s="200"/>
      <c r="Q11" s="200"/>
      <c r="R11" s="200"/>
      <c r="S11" s="520"/>
    </row>
    <row r="12" spans="1:20">
      <c r="A12" s="788">
        <f t="shared" si="0"/>
        <v>1</v>
      </c>
      <c r="B12" s="766" t="s">
        <v>1071</v>
      </c>
      <c r="C12" s="758" t="s">
        <v>1072</v>
      </c>
      <c r="D12" s="759" t="s">
        <v>1013</v>
      </c>
      <c r="E12" s="753">
        <f ca="1">SUMIF('1.3-Basis ruimtestaat'!$D$10:$J$454,'1.1a-Jaarprijzen'!B12,'1.3-Basis ruimtestaat'!$J$10:$J$454)</f>
        <v>1766.2399999999996</v>
      </c>
      <c r="F12" s="753">
        <f ca="1">SUMIF('1.3-Basis ruimtestaat'!D:K,'1.1a-Jaarprijzen'!B12,'1.3-Basis ruimtestaat'!K:K)</f>
        <v>170.00999999999996</v>
      </c>
      <c r="G12" s="760">
        <v>1</v>
      </c>
      <c r="H12" s="755">
        <f t="shared" ca="1" si="1"/>
        <v>0</v>
      </c>
      <c r="I12" s="755">
        <f t="shared" ca="1" si="2"/>
        <v>0</v>
      </c>
      <c r="J12" s="755">
        <f ca="1">(H12+I12)/236</f>
        <v>0</v>
      </c>
      <c r="K12" s="762">
        <f ca="1">(H12+I12)*'1.0-Contractblad'!$E$39</f>
        <v>0</v>
      </c>
      <c r="L12" s="757">
        <f>SUMIF('1.9-Glasbewassing'!B:B,'1.1a-Jaarprijzen'!B12,'1.9-Glasbewassing'!AH:AH)</f>
        <v>1284</v>
      </c>
      <c r="M12" s="759" t="s">
        <v>779</v>
      </c>
      <c r="N12" s="764"/>
      <c r="O12" s="412"/>
      <c r="P12" s="200"/>
      <c r="Q12" s="200"/>
      <c r="R12" s="200"/>
      <c r="S12" s="520"/>
    </row>
    <row r="13" spans="1:20">
      <c r="A13" s="788">
        <f t="shared" si="0"/>
        <v>1</v>
      </c>
      <c r="B13" s="766" t="s">
        <v>1017</v>
      </c>
      <c r="C13" s="758" t="s">
        <v>808</v>
      </c>
      <c r="D13" s="759" t="s">
        <v>1013</v>
      </c>
      <c r="E13" s="753">
        <f ca="1">SUMIF('1.3-Basis ruimtestaat'!$D$10:$J$454,'1.1a-Jaarprijzen'!B13,'1.3-Basis ruimtestaat'!$J$10:$J$454)</f>
        <v>1729.8200000000002</v>
      </c>
      <c r="F13" s="753">
        <f ca="1">SUMIF('1.3-Basis ruimtestaat'!D:K,'1.1a-Jaarprijzen'!B13,'1.3-Basis ruimtestaat'!K:K)</f>
        <v>83.71</v>
      </c>
      <c r="G13" s="760">
        <v>1</v>
      </c>
      <c r="H13" s="755">
        <f t="shared" ca="1" si="1"/>
        <v>0</v>
      </c>
      <c r="I13" s="755">
        <f t="shared" ca="1" si="2"/>
        <v>0</v>
      </c>
      <c r="J13" s="755">
        <f ca="1">(H13+I13)/200</f>
        <v>0</v>
      </c>
      <c r="K13" s="762">
        <f ca="1">(H13+I13)*'1.0-Contractblad'!$E$39</f>
        <v>0</v>
      </c>
      <c r="L13" s="757">
        <f>SUMIF('1.9-Glasbewassing'!B:B,'1.1a-Jaarprijzen'!B13,'1.9-Glasbewassing'!AH:AH)</f>
        <v>721.27</v>
      </c>
      <c r="M13" s="759" t="s">
        <v>779</v>
      </c>
      <c r="N13" s="764"/>
      <c r="O13" s="412"/>
      <c r="P13" s="200"/>
      <c r="Q13" s="200"/>
      <c r="R13" s="200"/>
      <c r="S13" s="520"/>
    </row>
    <row r="14" spans="1:20">
      <c r="A14" s="788">
        <f t="shared" si="0"/>
        <v>1</v>
      </c>
      <c r="B14" s="766" t="s">
        <v>1016</v>
      </c>
      <c r="C14" s="758" t="s">
        <v>807</v>
      </c>
      <c r="D14" s="759" t="s">
        <v>1013</v>
      </c>
      <c r="E14" s="753">
        <f ca="1">SUMIF('1.3-Basis ruimtestaat'!$D$10:$J$454,'1.1a-Jaarprijzen'!B14,'1.3-Basis ruimtestaat'!$J$10:$J$454)</f>
        <v>3747.7299999999996</v>
      </c>
      <c r="F14" s="753">
        <f ca="1">SUMIF('1.3-Basis ruimtestaat'!D:K,'1.1a-Jaarprijzen'!B14,'1.3-Basis ruimtestaat'!K:K)</f>
        <v>247.38400000000001</v>
      </c>
      <c r="G14" s="760">
        <v>1</v>
      </c>
      <c r="H14" s="755">
        <f t="shared" ca="1" si="1"/>
        <v>0</v>
      </c>
      <c r="I14" s="755">
        <f t="shared" ca="1" si="2"/>
        <v>0</v>
      </c>
      <c r="J14" s="755">
        <f ca="1">(H14+I14)/200</f>
        <v>0</v>
      </c>
      <c r="K14" s="762">
        <f ca="1">(H14+I14)*'1.0-Contractblad'!$E$39</f>
        <v>0</v>
      </c>
      <c r="L14" s="757">
        <f>SUMIF('1.9-Glasbewassing'!B:B,'1.1a-Jaarprijzen'!B14,'1.9-Glasbewassing'!AH:AH)</f>
        <v>2130</v>
      </c>
      <c r="M14" s="759" t="s">
        <v>780</v>
      </c>
      <c r="N14" s="764"/>
      <c r="O14" s="412"/>
      <c r="P14" s="200"/>
      <c r="Q14" s="200"/>
      <c r="R14" s="200"/>
      <c r="S14" s="520"/>
    </row>
    <row r="15" spans="1:20">
      <c r="A15" s="788">
        <f t="shared" si="0"/>
        <v>1</v>
      </c>
      <c r="B15" s="766" t="s">
        <v>1015</v>
      </c>
      <c r="C15" s="758" t="s">
        <v>806</v>
      </c>
      <c r="D15" s="759" t="s">
        <v>1013</v>
      </c>
      <c r="E15" s="753">
        <f ca="1">SUMIF('1.3-Basis ruimtestaat'!$D$10:$J$454,'1.1a-Jaarprijzen'!B15,'1.3-Basis ruimtestaat'!$J$10:$J$454)</f>
        <v>1346.2099999999998</v>
      </c>
      <c r="F15" s="753">
        <f ca="1">SUMIF('1.3-Basis ruimtestaat'!D:K,'1.1a-Jaarprijzen'!B15,'1.3-Basis ruimtestaat'!K:K)</f>
        <v>77.009999999999991</v>
      </c>
      <c r="G15" s="760">
        <v>1</v>
      </c>
      <c r="H15" s="755">
        <f t="shared" ca="1" si="1"/>
        <v>0</v>
      </c>
      <c r="I15" s="755">
        <f t="shared" ca="1" si="2"/>
        <v>0</v>
      </c>
      <c r="J15" s="755">
        <f ca="1">(H15+I15)/200</f>
        <v>0</v>
      </c>
      <c r="K15" s="762">
        <f ca="1">(H15+I15)*'1.0-Contractblad'!$E$39</f>
        <v>0</v>
      </c>
      <c r="L15" s="757">
        <f>SUMIF('1.9-Glasbewassing'!B:B,'1.1a-Jaarprijzen'!B15,'1.9-Glasbewassing'!AH:AH)</f>
        <v>1284</v>
      </c>
      <c r="M15" s="759" t="s">
        <v>353</v>
      </c>
      <c r="N15" s="764"/>
      <c r="O15" s="412"/>
      <c r="P15" s="200"/>
      <c r="Q15" s="200"/>
      <c r="R15" s="200"/>
      <c r="S15" s="520"/>
    </row>
    <row r="16" spans="1:20">
      <c r="A16" s="788">
        <f t="shared" si="0"/>
        <v>1</v>
      </c>
      <c r="B16" s="766" t="s">
        <v>1068</v>
      </c>
      <c r="C16" s="758" t="s">
        <v>1018</v>
      </c>
      <c r="D16" s="759" t="s">
        <v>1014</v>
      </c>
      <c r="E16" s="753">
        <f ca="1">SUMIF('1.3-Basis ruimtestaat'!$D$10:$J$454,'1.1a-Jaarprijzen'!B16,'1.3-Basis ruimtestaat'!$J$10:$J$454)</f>
        <v>380.5</v>
      </c>
      <c r="F16" s="753">
        <f ca="1">SUMIF('1.3-Basis ruimtestaat'!D:K,'1.1a-Jaarprijzen'!B16,'1.3-Basis ruimtestaat'!K:K)</f>
        <v>66</v>
      </c>
      <c r="G16" s="760">
        <v>1</v>
      </c>
      <c r="H16" s="755">
        <f t="shared" ca="1" si="1"/>
        <v>0</v>
      </c>
      <c r="I16" s="755">
        <f t="shared" ca="1" si="2"/>
        <v>0</v>
      </c>
      <c r="J16" s="755">
        <f ca="1">(H16+I16)/255</f>
        <v>0</v>
      </c>
      <c r="K16" s="762">
        <f ca="1">(H16+I16)*'1.0-Contractblad'!$E$39</f>
        <v>0</v>
      </c>
      <c r="L16" s="757">
        <f>SUMIF('1.9-Glasbewassing'!B:B,'1.1a-Jaarprijzen'!B16,'1.9-Glasbewassing'!AH:AH)</f>
        <v>0</v>
      </c>
      <c r="M16" s="759" t="s">
        <v>779</v>
      </c>
      <c r="N16" s="764"/>
      <c r="O16" s="412"/>
      <c r="P16" s="200"/>
      <c r="Q16" s="200"/>
      <c r="R16" s="200"/>
      <c r="S16" s="520"/>
    </row>
    <row r="17" spans="1:19" hidden="1">
      <c r="A17" s="788"/>
      <c r="B17" s="766"/>
      <c r="C17" s="758"/>
      <c r="D17" s="759"/>
      <c r="E17" s="753"/>
      <c r="F17" s="753"/>
      <c r="G17" s="760"/>
      <c r="H17" s="755"/>
      <c r="I17" s="755"/>
      <c r="J17" s="755"/>
      <c r="K17" s="762"/>
      <c r="L17" s="757"/>
      <c r="M17" s="759"/>
      <c r="N17" s="764"/>
      <c r="O17" s="412"/>
      <c r="P17" s="200"/>
      <c r="Q17" s="200"/>
      <c r="R17" s="200"/>
      <c r="S17" s="520"/>
    </row>
    <row r="18" spans="1:19" hidden="1">
      <c r="A18" s="788"/>
      <c r="B18" s="766"/>
      <c r="C18" s="758"/>
      <c r="D18" s="759"/>
      <c r="E18" s="753"/>
      <c r="F18" s="753"/>
      <c r="G18" s="760"/>
      <c r="H18" s="755"/>
      <c r="I18" s="755"/>
      <c r="J18" s="755"/>
      <c r="K18" s="762"/>
      <c r="L18" s="757"/>
      <c r="M18" s="759"/>
      <c r="N18" s="764"/>
      <c r="O18" s="412"/>
      <c r="P18" s="200"/>
      <c r="Q18" s="200"/>
    </row>
    <row r="19" spans="1:19" hidden="1">
      <c r="A19" s="788"/>
      <c r="B19" s="766"/>
      <c r="C19" s="758"/>
      <c r="D19" s="759"/>
      <c r="E19" s="753"/>
      <c r="F19" s="753"/>
      <c r="G19" s="760"/>
      <c r="H19" s="755"/>
      <c r="I19" s="755"/>
      <c r="J19" s="755"/>
      <c r="K19" s="762"/>
      <c r="L19" s="757"/>
      <c r="M19" s="759"/>
      <c r="N19" s="764"/>
      <c r="O19" s="412"/>
      <c r="P19" s="200"/>
      <c r="Q19" s="200"/>
      <c r="R19" s="200"/>
      <c r="S19" s="520"/>
    </row>
    <row r="20" spans="1:19" hidden="1">
      <c r="A20" s="788"/>
      <c r="B20" s="766"/>
      <c r="C20" s="758"/>
      <c r="D20" s="759"/>
      <c r="E20" s="753"/>
      <c r="F20" s="753"/>
      <c r="G20" s="760"/>
      <c r="H20" s="755"/>
      <c r="I20" s="755"/>
      <c r="J20" s="755"/>
      <c r="K20" s="762"/>
      <c r="L20" s="757"/>
      <c r="M20" s="759"/>
      <c r="N20" s="764"/>
      <c r="O20" s="412"/>
      <c r="P20" s="200"/>
      <c r="Q20" s="200"/>
      <c r="R20" s="200"/>
      <c r="S20" s="520"/>
    </row>
    <row r="21" spans="1:19" hidden="1">
      <c r="A21" s="788"/>
      <c r="B21" s="766"/>
      <c r="C21" s="758"/>
      <c r="D21" s="759"/>
      <c r="E21" s="753"/>
      <c r="F21" s="753"/>
      <c r="G21" s="760"/>
      <c r="H21" s="755"/>
      <c r="I21" s="755"/>
      <c r="J21" s="755"/>
      <c r="K21" s="762"/>
      <c r="L21" s="757"/>
      <c r="M21" s="759"/>
      <c r="N21" s="764"/>
      <c r="O21" s="412"/>
      <c r="P21" s="200"/>
      <c r="Q21" s="200"/>
      <c r="R21" s="200"/>
      <c r="S21" s="520"/>
    </row>
    <row r="22" spans="1:19" hidden="1">
      <c r="A22" s="788"/>
      <c r="B22" s="766"/>
      <c r="C22" s="758"/>
      <c r="D22" s="759"/>
      <c r="E22" s="753"/>
      <c r="F22" s="753"/>
      <c r="G22" s="760"/>
      <c r="H22" s="755"/>
      <c r="I22" s="755"/>
      <c r="J22" s="755"/>
      <c r="K22" s="762"/>
      <c r="L22" s="757"/>
      <c r="M22" s="759"/>
      <c r="N22" s="764"/>
      <c r="O22" s="412"/>
      <c r="P22" s="200"/>
      <c r="Q22" s="200"/>
      <c r="R22" s="200"/>
      <c r="S22" s="520"/>
    </row>
    <row r="23" spans="1:19" hidden="1">
      <c r="A23" s="788"/>
      <c r="B23" s="766"/>
      <c r="C23" s="758"/>
      <c r="D23" s="759"/>
      <c r="E23" s="753"/>
      <c r="F23" s="753"/>
      <c r="G23" s="760"/>
      <c r="H23" s="755"/>
      <c r="I23" s="755"/>
      <c r="J23" s="755"/>
      <c r="K23" s="762"/>
      <c r="L23" s="757"/>
      <c r="M23" s="759"/>
      <c r="N23" s="764"/>
      <c r="O23" s="412"/>
      <c r="P23" s="200"/>
      <c r="Q23" s="200"/>
      <c r="R23" s="200"/>
      <c r="S23" s="520"/>
    </row>
    <row r="24" spans="1:19" hidden="1">
      <c r="A24" s="788"/>
      <c r="B24" s="766"/>
      <c r="C24" s="758"/>
      <c r="D24" s="759"/>
      <c r="E24" s="753"/>
      <c r="F24" s="753"/>
      <c r="G24" s="760"/>
      <c r="H24" s="755"/>
      <c r="I24" s="755"/>
      <c r="J24" s="761"/>
      <c r="K24" s="762"/>
      <c r="L24" s="757"/>
      <c r="M24" s="759"/>
      <c r="N24" s="764"/>
      <c r="O24" s="412"/>
      <c r="P24" s="200"/>
      <c r="Q24" s="200"/>
      <c r="R24" s="200"/>
      <c r="S24" s="520"/>
    </row>
    <row r="25" spans="1:19" hidden="1">
      <c r="A25" s="788"/>
      <c r="B25" s="766"/>
      <c r="C25" s="758"/>
      <c r="D25" s="759"/>
      <c r="E25" s="753"/>
      <c r="F25" s="753"/>
      <c r="G25" s="760"/>
      <c r="H25" s="755"/>
      <c r="I25" s="755"/>
      <c r="J25" s="761"/>
      <c r="K25" s="762"/>
      <c r="L25" s="757"/>
      <c r="M25" s="759"/>
      <c r="N25" s="764"/>
      <c r="O25" s="412"/>
      <c r="P25" s="200"/>
      <c r="Q25" s="200"/>
      <c r="R25" s="200"/>
      <c r="S25" s="520"/>
    </row>
    <row r="26" spans="1:19" hidden="1">
      <c r="A26" s="788"/>
      <c r="B26" s="766"/>
      <c r="C26" s="758"/>
      <c r="D26" s="759"/>
      <c r="E26" s="753"/>
      <c r="F26" s="753"/>
      <c r="G26" s="760"/>
      <c r="H26" s="755"/>
      <c r="I26" s="755"/>
      <c r="J26" s="761"/>
      <c r="K26" s="762"/>
      <c r="L26" s="757"/>
      <c r="M26" s="759"/>
      <c r="N26" s="764"/>
      <c r="O26" s="412"/>
      <c r="P26" s="200"/>
      <c r="Q26" s="200"/>
      <c r="R26" s="200"/>
      <c r="S26" s="520"/>
    </row>
    <row r="27" spans="1:19" hidden="1">
      <c r="A27" s="788"/>
      <c r="B27" s="768"/>
      <c r="C27" s="758"/>
      <c r="D27" s="759"/>
      <c r="E27" s="753"/>
      <c r="F27" s="753"/>
      <c r="G27" s="760"/>
      <c r="H27" s="755"/>
      <c r="I27" s="755"/>
      <c r="J27" s="761"/>
      <c r="K27" s="762"/>
      <c r="L27" s="757"/>
      <c r="M27" s="759"/>
      <c r="N27" s="764"/>
      <c r="O27" s="412"/>
      <c r="P27" s="200"/>
      <c r="Q27" s="200"/>
      <c r="R27" s="200"/>
      <c r="S27" s="520"/>
    </row>
    <row r="28" spans="1:19" hidden="1">
      <c r="A28" s="788"/>
      <c r="B28" s="766"/>
      <c r="C28" s="758"/>
      <c r="D28" s="759"/>
      <c r="E28" s="753"/>
      <c r="F28" s="753"/>
      <c r="G28" s="760"/>
      <c r="H28" s="755"/>
      <c r="I28" s="755"/>
      <c r="J28" s="761"/>
      <c r="K28" s="762"/>
      <c r="L28" s="757"/>
      <c r="M28" s="759"/>
      <c r="N28" s="764"/>
      <c r="O28" s="412"/>
      <c r="P28" s="200"/>
      <c r="Q28" s="200"/>
      <c r="R28" s="200"/>
      <c r="S28" s="520"/>
    </row>
    <row r="29" spans="1:19" hidden="1">
      <c r="A29" s="788"/>
      <c r="B29" s="768"/>
      <c r="C29" s="758"/>
      <c r="D29" s="759"/>
      <c r="E29" s="753"/>
      <c r="F29" s="753"/>
      <c r="G29" s="760"/>
      <c r="H29" s="755"/>
      <c r="I29" s="755"/>
      <c r="J29" s="761"/>
      <c r="K29" s="762"/>
      <c r="L29" s="757"/>
      <c r="M29" s="759"/>
      <c r="N29" s="764"/>
      <c r="O29" s="412"/>
      <c r="P29" s="200"/>
      <c r="Q29" s="200"/>
      <c r="R29" s="200"/>
      <c r="S29" s="520"/>
    </row>
    <row r="30" spans="1:19" hidden="1">
      <c r="A30" s="788"/>
      <c r="B30" s="766"/>
      <c r="C30" s="758"/>
      <c r="D30" s="759"/>
      <c r="E30" s="753"/>
      <c r="F30" s="753"/>
      <c r="G30" s="760"/>
      <c r="H30" s="755"/>
      <c r="I30" s="755"/>
      <c r="J30" s="761"/>
      <c r="K30" s="762"/>
      <c r="L30" s="757"/>
      <c r="M30" s="759"/>
      <c r="N30" s="764"/>
      <c r="O30" s="412"/>
      <c r="P30" s="200"/>
      <c r="Q30" s="200"/>
      <c r="R30" s="200"/>
      <c r="S30" s="520"/>
    </row>
    <row r="31" spans="1:19" hidden="1">
      <c r="A31" s="788"/>
      <c r="B31" s="766"/>
      <c r="C31" s="758"/>
      <c r="D31" s="759"/>
      <c r="E31" s="753"/>
      <c r="F31" s="753"/>
      <c r="G31" s="760"/>
      <c r="H31" s="755"/>
      <c r="I31" s="755"/>
      <c r="J31" s="761"/>
      <c r="K31" s="762"/>
      <c r="L31" s="757"/>
      <c r="M31" s="759"/>
      <c r="N31" s="764"/>
      <c r="O31" s="412"/>
      <c r="P31" s="200"/>
      <c r="Q31" s="200"/>
      <c r="R31" s="200"/>
      <c r="S31" s="520"/>
    </row>
    <row r="32" spans="1:19" hidden="1">
      <c r="A32" s="788"/>
      <c r="B32" s="766"/>
      <c r="C32" s="758"/>
      <c r="D32" s="759"/>
      <c r="E32" s="753"/>
      <c r="F32" s="753"/>
      <c r="G32" s="760"/>
      <c r="H32" s="755"/>
      <c r="I32" s="755"/>
      <c r="J32" s="761"/>
      <c r="K32" s="762"/>
      <c r="L32" s="757"/>
      <c r="M32" s="759"/>
      <c r="N32" s="764"/>
      <c r="O32" s="412"/>
      <c r="P32" s="200"/>
      <c r="Q32" s="200"/>
      <c r="R32" s="200"/>
      <c r="S32" s="520"/>
    </row>
    <row r="33" spans="1:19" hidden="1">
      <c r="A33" s="788"/>
      <c r="B33" s="766"/>
      <c r="C33" s="758"/>
      <c r="D33" s="759"/>
      <c r="E33" s="753"/>
      <c r="F33" s="753"/>
      <c r="G33" s="760"/>
      <c r="H33" s="755"/>
      <c r="I33" s="755"/>
      <c r="J33" s="761"/>
      <c r="K33" s="762"/>
      <c r="L33" s="757"/>
      <c r="M33" s="759"/>
      <c r="N33" s="764"/>
      <c r="O33" s="412"/>
      <c r="P33" s="200"/>
      <c r="Q33" s="200"/>
      <c r="R33" s="200"/>
      <c r="S33" s="520"/>
    </row>
    <row r="34" spans="1:19" hidden="1">
      <c r="A34" s="788"/>
      <c r="B34" s="766"/>
      <c r="C34" s="758"/>
      <c r="D34" s="759"/>
      <c r="E34" s="753"/>
      <c r="F34" s="753"/>
      <c r="G34" s="760"/>
      <c r="H34" s="755"/>
      <c r="I34" s="755"/>
      <c r="J34" s="761"/>
      <c r="K34" s="762"/>
      <c r="L34" s="757"/>
      <c r="M34" s="759"/>
      <c r="N34" s="764"/>
      <c r="O34" s="412"/>
      <c r="P34" s="200"/>
      <c r="Q34" s="200"/>
      <c r="R34" s="200"/>
      <c r="S34" s="520"/>
    </row>
    <row r="35" spans="1:19" hidden="1">
      <c r="A35" s="788"/>
      <c r="B35" s="768"/>
      <c r="C35" s="758"/>
      <c r="D35" s="759"/>
      <c r="E35" s="753"/>
      <c r="F35" s="753"/>
      <c r="G35" s="760"/>
      <c r="H35" s="755"/>
      <c r="I35" s="755"/>
      <c r="J35" s="761"/>
      <c r="K35" s="762"/>
      <c r="L35" s="757"/>
      <c r="M35" s="759"/>
      <c r="N35" s="764"/>
      <c r="O35" s="412"/>
      <c r="P35" s="200"/>
      <c r="Q35" s="200"/>
      <c r="R35" s="200"/>
      <c r="S35" s="520"/>
    </row>
    <row r="36" spans="1:19" hidden="1">
      <c r="A36" s="788"/>
      <c r="B36" s="768"/>
      <c r="C36" s="758"/>
      <c r="D36" s="759"/>
      <c r="E36" s="753"/>
      <c r="F36" s="753"/>
      <c r="G36" s="760"/>
      <c r="H36" s="755"/>
      <c r="I36" s="755"/>
      <c r="J36" s="761"/>
      <c r="K36" s="762"/>
      <c r="L36" s="757"/>
      <c r="M36" s="759"/>
      <c r="N36" s="764"/>
      <c r="O36" s="412"/>
      <c r="P36" s="200"/>
      <c r="Q36" s="200"/>
      <c r="R36" s="200"/>
      <c r="S36" s="520"/>
    </row>
    <row r="37" spans="1:19" hidden="1">
      <c r="A37" s="788"/>
      <c r="B37" s="768"/>
      <c r="C37" s="758"/>
      <c r="D37" s="759"/>
      <c r="E37" s="753"/>
      <c r="F37" s="753"/>
      <c r="G37" s="760"/>
      <c r="H37" s="755"/>
      <c r="I37" s="755"/>
      <c r="J37" s="761"/>
      <c r="K37" s="762"/>
      <c r="L37" s="757"/>
      <c r="M37" s="759"/>
      <c r="N37" s="764"/>
      <c r="O37" s="412"/>
      <c r="P37" s="200"/>
      <c r="Q37" s="200"/>
      <c r="R37" s="200"/>
      <c r="S37" s="520"/>
    </row>
    <row r="38" spans="1:19" hidden="1">
      <c r="A38" s="788"/>
      <c r="B38" s="766"/>
      <c r="C38" s="758"/>
      <c r="D38" s="759"/>
      <c r="E38" s="753"/>
      <c r="F38" s="753"/>
      <c r="G38" s="760"/>
      <c r="H38" s="755"/>
      <c r="I38" s="755"/>
      <c r="J38" s="761"/>
      <c r="K38" s="762"/>
      <c r="L38" s="757"/>
      <c r="M38" s="759"/>
      <c r="N38" s="764"/>
      <c r="O38" s="412"/>
      <c r="P38" s="200"/>
      <c r="Q38" s="200"/>
      <c r="R38" s="200"/>
      <c r="S38" s="520"/>
    </row>
    <row r="39" spans="1:19" hidden="1">
      <c r="A39" s="788"/>
      <c r="B39" s="768"/>
      <c r="C39" s="758"/>
      <c r="D39" s="759"/>
      <c r="E39" s="753"/>
      <c r="F39" s="753"/>
      <c r="G39" s="760"/>
      <c r="H39" s="755"/>
      <c r="I39" s="755"/>
      <c r="J39" s="761"/>
      <c r="K39" s="762"/>
      <c r="L39" s="757"/>
      <c r="M39" s="759"/>
      <c r="N39" s="764"/>
      <c r="O39" s="412"/>
      <c r="P39" s="200"/>
      <c r="Q39" s="200"/>
      <c r="R39" s="200"/>
      <c r="S39" s="520"/>
    </row>
    <row r="40" spans="1:19" hidden="1">
      <c r="A40" s="788"/>
      <c r="B40" s="768"/>
      <c r="C40" s="758"/>
      <c r="D40" s="759"/>
      <c r="E40" s="753"/>
      <c r="F40" s="753"/>
      <c r="G40" s="760"/>
      <c r="H40" s="755"/>
      <c r="I40" s="755"/>
      <c r="J40" s="761"/>
      <c r="K40" s="762"/>
      <c r="L40" s="757"/>
      <c r="M40" s="759"/>
      <c r="N40" s="764"/>
      <c r="P40" s="200"/>
      <c r="Q40" s="200"/>
      <c r="R40" s="200"/>
      <c r="S40" s="520"/>
    </row>
    <row r="41" spans="1:19" hidden="1">
      <c r="A41" s="788"/>
      <c r="B41" s="768"/>
      <c r="C41" s="758"/>
      <c r="D41" s="759"/>
      <c r="E41" s="753"/>
      <c r="F41" s="753"/>
      <c r="G41" s="760"/>
      <c r="H41" s="755"/>
      <c r="I41" s="755"/>
      <c r="J41" s="761"/>
      <c r="K41" s="762"/>
      <c r="L41" s="757"/>
      <c r="M41" s="759"/>
      <c r="N41" s="764"/>
      <c r="O41" s="412"/>
      <c r="P41" s="200"/>
      <c r="Q41" s="200"/>
      <c r="R41" s="200"/>
      <c r="S41" s="520"/>
    </row>
    <row r="42" spans="1:19" hidden="1">
      <c r="A42" s="788"/>
      <c r="B42" s="768"/>
      <c r="C42" s="758"/>
      <c r="D42" s="759"/>
      <c r="E42" s="753"/>
      <c r="F42" s="753"/>
      <c r="G42" s="760"/>
      <c r="H42" s="755"/>
      <c r="I42" s="755"/>
      <c r="J42" s="761"/>
      <c r="K42" s="762"/>
      <c r="L42" s="757"/>
      <c r="M42" s="759"/>
      <c r="N42" s="764"/>
      <c r="O42" s="412"/>
      <c r="P42" s="200"/>
      <c r="Q42" s="200"/>
      <c r="R42" s="200"/>
      <c r="S42" s="520"/>
    </row>
    <row r="43" spans="1:19" hidden="1">
      <c r="A43" s="788"/>
      <c r="B43" s="758"/>
      <c r="C43" s="758"/>
      <c r="D43" s="759"/>
      <c r="E43" s="753"/>
      <c r="F43" s="753"/>
      <c r="G43" s="760"/>
      <c r="H43" s="755"/>
      <c r="I43" s="755"/>
      <c r="J43" s="761"/>
      <c r="K43" s="762"/>
      <c r="L43" s="757"/>
      <c r="M43" s="759"/>
      <c r="N43" s="764"/>
      <c r="O43" s="412"/>
      <c r="P43" s="200"/>
      <c r="Q43" s="200"/>
      <c r="R43" s="200"/>
      <c r="S43" s="520"/>
    </row>
    <row r="44" spans="1:19" hidden="1">
      <c r="A44" s="788"/>
      <c r="B44" s="768"/>
      <c r="C44" s="758"/>
      <c r="D44" s="759"/>
      <c r="E44" s="753"/>
      <c r="F44" s="753"/>
      <c r="G44" s="760"/>
      <c r="H44" s="755"/>
      <c r="I44" s="755"/>
      <c r="J44" s="761"/>
      <c r="K44" s="762"/>
      <c r="L44" s="757"/>
      <c r="M44" s="759"/>
      <c r="N44" s="764"/>
      <c r="O44" s="412"/>
      <c r="P44" s="200"/>
      <c r="Q44" s="200"/>
      <c r="R44" s="200"/>
      <c r="S44" s="520"/>
    </row>
    <row r="45" spans="1:19" hidden="1">
      <c r="A45" s="788"/>
      <c r="B45" s="768"/>
      <c r="C45" s="758"/>
      <c r="D45" s="759"/>
      <c r="E45" s="753"/>
      <c r="F45" s="753"/>
      <c r="G45" s="760"/>
      <c r="H45" s="755"/>
      <c r="I45" s="755"/>
      <c r="J45" s="761"/>
      <c r="K45" s="762"/>
      <c r="L45" s="757"/>
      <c r="M45" s="759"/>
      <c r="N45" s="764"/>
      <c r="O45" s="412"/>
      <c r="P45" s="200"/>
      <c r="Q45" s="200"/>
      <c r="R45" s="200"/>
      <c r="S45" s="520"/>
    </row>
    <row r="46" spans="1:19" hidden="1">
      <c r="A46" s="788"/>
      <c r="B46" s="766"/>
      <c r="C46" s="758"/>
      <c r="D46" s="759"/>
      <c r="E46" s="753"/>
      <c r="F46" s="753"/>
      <c r="G46" s="760"/>
      <c r="H46" s="755"/>
      <c r="I46" s="755"/>
      <c r="J46" s="761"/>
      <c r="K46" s="762"/>
      <c r="L46" s="757"/>
      <c r="M46" s="759"/>
      <c r="N46" s="764"/>
      <c r="O46" s="412"/>
      <c r="P46" s="200"/>
      <c r="Q46" s="200"/>
      <c r="R46" s="200"/>
      <c r="S46" s="520"/>
    </row>
    <row r="47" spans="1:19" hidden="1">
      <c r="A47" s="788"/>
      <c r="B47" s="766"/>
      <c r="C47" s="758"/>
      <c r="D47" s="759"/>
      <c r="E47" s="753"/>
      <c r="F47" s="753"/>
      <c r="G47" s="760"/>
      <c r="H47" s="755"/>
      <c r="I47" s="755"/>
      <c r="J47" s="761"/>
      <c r="K47" s="762"/>
      <c r="L47" s="757"/>
      <c r="M47" s="759"/>
      <c r="N47" s="764"/>
      <c r="O47" s="412"/>
      <c r="P47" s="200"/>
      <c r="Q47" s="200"/>
      <c r="R47" s="200"/>
      <c r="S47" s="520"/>
    </row>
    <row r="48" spans="1:19" hidden="1">
      <c r="A48" s="788"/>
      <c r="B48" s="766"/>
      <c r="C48" s="758"/>
      <c r="D48" s="759"/>
      <c r="E48" s="753"/>
      <c r="F48" s="753"/>
      <c r="G48" s="760"/>
      <c r="H48" s="755"/>
      <c r="I48" s="755"/>
      <c r="J48" s="761"/>
      <c r="K48" s="762"/>
      <c r="L48" s="757"/>
      <c r="M48" s="759"/>
      <c r="N48" s="764"/>
      <c r="O48" s="412"/>
      <c r="P48" s="200"/>
      <c r="Q48" s="200"/>
      <c r="R48" s="200"/>
      <c r="S48" s="520"/>
    </row>
    <row r="49" spans="1:19" hidden="1">
      <c r="A49" s="788"/>
      <c r="B49" s="766"/>
      <c r="C49" s="758"/>
      <c r="D49" s="759"/>
      <c r="E49" s="753"/>
      <c r="F49" s="753"/>
      <c r="G49" s="760"/>
      <c r="H49" s="755"/>
      <c r="I49" s="755"/>
      <c r="J49" s="761"/>
      <c r="K49" s="762"/>
      <c r="L49" s="781"/>
      <c r="M49" s="759"/>
      <c r="N49" s="764"/>
      <c r="O49" s="412"/>
      <c r="P49" s="200"/>
      <c r="Q49" s="200"/>
      <c r="R49" s="200"/>
      <c r="S49" s="520"/>
    </row>
    <row r="50" spans="1:19" hidden="1">
      <c r="A50" s="788"/>
      <c r="B50" s="766"/>
      <c r="C50" s="758"/>
      <c r="D50" s="759"/>
      <c r="E50" s="753"/>
      <c r="F50" s="753"/>
      <c r="G50" s="760"/>
      <c r="H50" s="755"/>
      <c r="I50" s="755"/>
      <c r="J50" s="761"/>
      <c r="K50" s="762"/>
      <c r="L50" s="757"/>
      <c r="M50" s="759"/>
      <c r="N50" s="764"/>
      <c r="O50" s="412"/>
      <c r="P50" s="200"/>
      <c r="Q50" s="200"/>
      <c r="R50" s="200"/>
      <c r="S50" s="520"/>
    </row>
    <row r="51" spans="1:19" hidden="1">
      <c r="A51" s="788"/>
      <c r="B51" s="766"/>
      <c r="C51" s="758"/>
      <c r="D51" s="759"/>
      <c r="E51" s="753"/>
      <c r="F51" s="753"/>
      <c r="G51" s="760"/>
      <c r="H51" s="755"/>
      <c r="I51" s="755"/>
      <c r="J51" s="761"/>
      <c r="K51" s="762"/>
      <c r="L51" s="757"/>
      <c r="M51" s="759"/>
      <c r="N51" s="764"/>
      <c r="O51" s="412"/>
      <c r="P51" s="200"/>
      <c r="Q51" s="200"/>
      <c r="R51" s="200"/>
      <c r="S51" s="520"/>
    </row>
    <row r="52" spans="1:19" hidden="1">
      <c r="A52" s="788"/>
      <c r="B52" s="766"/>
      <c r="C52" s="758"/>
      <c r="D52" s="759"/>
      <c r="E52" s="753"/>
      <c r="F52" s="753"/>
      <c r="G52" s="760"/>
      <c r="H52" s="755"/>
      <c r="I52" s="755"/>
      <c r="J52" s="761"/>
      <c r="K52" s="762"/>
      <c r="L52" s="757"/>
      <c r="M52" s="759"/>
      <c r="N52" s="764"/>
      <c r="O52" s="412"/>
      <c r="P52" s="200"/>
      <c r="Q52" s="200"/>
      <c r="R52" s="200"/>
      <c r="S52" s="520"/>
    </row>
    <row r="53" spans="1:19" hidden="1">
      <c r="A53" s="788"/>
      <c r="B53" s="766"/>
      <c r="C53" s="758"/>
      <c r="D53" s="759"/>
      <c r="E53" s="753"/>
      <c r="F53" s="753"/>
      <c r="G53" s="760"/>
      <c r="H53" s="755"/>
      <c r="I53" s="755"/>
      <c r="J53" s="761"/>
      <c r="K53" s="762"/>
      <c r="L53" s="757"/>
      <c r="M53" s="759"/>
      <c r="N53" s="764"/>
      <c r="O53" s="412"/>
      <c r="P53" s="200"/>
      <c r="Q53" s="200"/>
      <c r="R53" s="200"/>
      <c r="S53" s="520"/>
    </row>
    <row r="54" spans="1:19" hidden="1">
      <c r="A54" s="788"/>
      <c r="B54" s="766"/>
      <c r="C54" s="758"/>
      <c r="D54" s="759"/>
      <c r="E54" s="753"/>
      <c r="F54" s="753"/>
      <c r="G54" s="760"/>
      <c r="H54" s="755"/>
      <c r="I54" s="755"/>
      <c r="J54" s="761"/>
      <c r="K54" s="762"/>
      <c r="L54" s="757"/>
      <c r="M54" s="759"/>
      <c r="N54" s="764"/>
      <c r="O54" s="412"/>
      <c r="P54" s="200"/>
      <c r="Q54" s="200"/>
      <c r="R54" s="200"/>
      <c r="S54" s="520"/>
    </row>
    <row r="55" spans="1:19" hidden="1">
      <c r="A55" s="788"/>
      <c r="B55" s="766"/>
      <c r="C55" s="758"/>
      <c r="D55" s="759"/>
      <c r="E55" s="753"/>
      <c r="F55" s="753"/>
      <c r="G55" s="760"/>
      <c r="H55" s="755"/>
      <c r="I55" s="755"/>
      <c r="J55" s="761"/>
      <c r="K55" s="762"/>
      <c r="L55" s="757"/>
      <c r="M55" s="759"/>
      <c r="N55" s="764"/>
      <c r="O55" s="412"/>
      <c r="P55" s="200"/>
      <c r="Q55" s="200"/>
      <c r="R55" s="200"/>
      <c r="S55" s="520"/>
    </row>
    <row r="56" spans="1:19" hidden="1">
      <c r="A56" s="788"/>
      <c r="B56" s="766"/>
      <c r="C56" s="758"/>
      <c r="D56" s="759"/>
      <c r="E56" s="753"/>
      <c r="F56" s="753"/>
      <c r="G56" s="760"/>
      <c r="H56" s="755"/>
      <c r="I56" s="755"/>
      <c r="J56" s="761"/>
      <c r="K56" s="762"/>
      <c r="L56" s="757"/>
      <c r="M56" s="759"/>
      <c r="N56" s="764"/>
      <c r="O56" s="412"/>
      <c r="P56" s="200"/>
      <c r="Q56" s="200"/>
      <c r="R56" s="200"/>
      <c r="S56" s="520"/>
    </row>
    <row r="57" spans="1:19" hidden="1">
      <c r="A57" s="788"/>
      <c r="B57" s="766"/>
      <c r="C57" s="758"/>
      <c r="D57" s="759"/>
      <c r="E57" s="753"/>
      <c r="F57" s="753"/>
      <c r="G57" s="760"/>
      <c r="H57" s="755"/>
      <c r="I57" s="755"/>
      <c r="J57" s="761"/>
      <c r="K57" s="762"/>
      <c r="L57" s="757"/>
      <c r="M57" s="759"/>
      <c r="N57" s="764"/>
      <c r="O57" s="412"/>
      <c r="P57" s="200"/>
      <c r="Q57" s="200"/>
      <c r="R57" s="200"/>
      <c r="S57" s="520"/>
    </row>
    <row r="58" spans="1:19" hidden="1">
      <c r="A58" s="788"/>
      <c r="B58" s="766"/>
      <c r="C58" s="758"/>
      <c r="D58" s="759"/>
      <c r="E58" s="753"/>
      <c r="F58" s="753"/>
      <c r="G58" s="760"/>
      <c r="H58" s="755"/>
      <c r="I58" s="755"/>
      <c r="J58" s="761"/>
      <c r="K58" s="762"/>
      <c r="L58" s="757"/>
      <c r="M58" s="759"/>
      <c r="N58" s="764"/>
      <c r="O58" s="412"/>
      <c r="P58" s="200"/>
      <c r="Q58" s="200"/>
      <c r="R58" s="200"/>
      <c r="S58" s="520"/>
    </row>
    <row r="59" spans="1:19" hidden="1">
      <c r="A59" s="788"/>
      <c r="B59" s="766"/>
      <c r="C59" s="758"/>
      <c r="D59" s="759"/>
      <c r="E59" s="753"/>
      <c r="F59" s="753"/>
      <c r="G59" s="760"/>
      <c r="H59" s="755"/>
      <c r="I59" s="755"/>
      <c r="J59" s="761"/>
      <c r="K59" s="762"/>
      <c r="L59" s="757"/>
      <c r="M59" s="759"/>
      <c r="N59" s="764"/>
      <c r="O59" s="412"/>
      <c r="P59" s="200"/>
      <c r="Q59" s="200"/>
      <c r="R59" s="200"/>
      <c r="S59" s="520"/>
    </row>
    <row r="60" spans="1:19" hidden="1">
      <c r="A60" s="788"/>
      <c r="B60" s="766"/>
      <c r="C60" s="763"/>
      <c r="D60" s="759"/>
      <c r="E60" s="753"/>
      <c r="F60" s="753"/>
      <c r="G60" s="760"/>
      <c r="H60" s="755"/>
      <c r="I60" s="755"/>
      <c r="J60" s="761"/>
      <c r="K60" s="762"/>
      <c r="L60" s="757"/>
      <c r="M60" s="759"/>
      <c r="N60" s="764"/>
      <c r="O60" s="412"/>
      <c r="P60" s="200"/>
      <c r="Q60" s="200"/>
      <c r="R60" s="200"/>
      <c r="S60" s="520"/>
    </row>
    <row r="61" spans="1:19" hidden="1">
      <c r="A61" s="788"/>
      <c r="B61" s="766"/>
      <c r="C61" s="758"/>
      <c r="D61" s="759"/>
      <c r="E61" s="753"/>
      <c r="F61" s="753"/>
      <c r="G61" s="760"/>
      <c r="H61" s="755"/>
      <c r="I61" s="755"/>
      <c r="J61" s="761"/>
      <c r="K61" s="762"/>
      <c r="L61" s="757"/>
      <c r="M61" s="759"/>
      <c r="N61" s="764"/>
      <c r="O61" s="412"/>
      <c r="P61" s="200"/>
      <c r="Q61" s="200"/>
      <c r="R61" s="200"/>
      <c r="S61" s="520"/>
    </row>
    <row r="62" spans="1:19" hidden="1">
      <c r="A62" s="750"/>
      <c r="B62" s="766"/>
      <c r="C62" s="758"/>
      <c r="D62" s="759"/>
      <c r="E62" s="753"/>
      <c r="F62" s="753"/>
      <c r="G62" s="760"/>
      <c r="H62" s="755"/>
      <c r="I62" s="755"/>
      <c r="J62" s="761"/>
      <c r="K62" s="762"/>
      <c r="L62" s="757"/>
      <c r="M62" s="759"/>
      <c r="N62" s="764"/>
      <c r="O62" s="412"/>
      <c r="P62" s="200"/>
      <c r="Q62" s="200"/>
      <c r="R62" s="200"/>
      <c r="S62" s="520"/>
    </row>
    <row r="63" spans="1:19" hidden="1">
      <c r="A63" s="750"/>
      <c r="B63" s="766"/>
      <c r="C63" s="758"/>
      <c r="D63" s="759"/>
      <c r="E63" s="753"/>
      <c r="F63" s="753"/>
      <c r="G63" s="760"/>
      <c r="H63" s="755"/>
      <c r="I63" s="755"/>
      <c r="J63" s="761"/>
      <c r="K63" s="762"/>
      <c r="L63" s="757"/>
      <c r="M63" s="759"/>
      <c r="N63" s="764"/>
      <c r="O63" s="412"/>
      <c r="P63" s="200"/>
      <c r="Q63" s="200"/>
      <c r="R63" s="200"/>
      <c r="S63" s="520"/>
    </row>
    <row r="64" spans="1:19" hidden="1">
      <c r="A64" s="515"/>
      <c r="B64" s="458"/>
      <c r="C64" s="298"/>
      <c r="D64" s="299"/>
      <c r="E64" s="610"/>
      <c r="F64" s="610"/>
      <c r="G64" s="460"/>
      <c r="H64" s="608"/>
      <c r="I64" s="608"/>
      <c r="J64" s="608"/>
      <c r="K64" s="609"/>
      <c r="L64" s="723"/>
      <c r="M64" s="299"/>
      <c r="N64" s="764"/>
      <c r="P64" s="200"/>
      <c r="Q64" s="200"/>
      <c r="R64" s="200"/>
      <c r="S64" s="520"/>
    </row>
    <row r="65" spans="1:21">
      <c r="A65" s="516"/>
      <c r="B65" s="213"/>
      <c r="C65" s="214"/>
      <c r="D65" s="214"/>
      <c r="E65" s="215"/>
      <c r="F65" s="215"/>
      <c r="G65" s="216"/>
      <c r="H65" s="447"/>
      <c r="I65" s="447"/>
      <c r="J65" s="198"/>
      <c r="K65" s="217"/>
      <c r="L65" s="217"/>
      <c r="M65" s="217"/>
      <c r="N65" s="217"/>
    </row>
    <row r="66" spans="1:21" hidden="1">
      <c r="A66" s="516"/>
      <c r="B66" s="213"/>
      <c r="C66" s="214"/>
      <c r="D66" s="214"/>
      <c r="E66" s="215"/>
      <c r="F66" s="215"/>
      <c r="G66" s="216"/>
      <c r="H66" s="198"/>
      <c r="I66" s="198"/>
      <c r="J66" s="217"/>
      <c r="K66" s="217"/>
    </row>
    <row r="67" spans="1:21" hidden="1">
      <c r="A67" s="516"/>
      <c r="E67" s="200"/>
      <c r="F67" s="200"/>
      <c r="H67" s="533">
        <f>'1.0-Contractblad'!$L$29</f>
        <v>0</v>
      </c>
      <c r="I67" s="533">
        <f>H67</f>
        <v>0</v>
      </c>
      <c r="J67" s="533">
        <f>'1.0-Contractblad'!$L$75</f>
        <v>0</v>
      </c>
      <c r="K67" s="533">
        <f>'1.0-Contractblad'!$L$39</f>
        <v>0</v>
      </c>
      <c r="L67" s="199">
        <f>'1.0-Contractblad'!$L$59</f>
        <v>0</v>
      </c>
      <c r="M67" s="199">
        <f>'1.0-Contractblad'!$L$85</f>
        <v>0</v>
      </c>
      <c r="N67" s="199"/>
      <c r="P67" s="199"/>
      <c r="Q67" s="199"/>
      <c r="S67" s="1"/>
      <c r="T67" s="1"/>
      <c r="U67" s="202"/>
    </row>
    <row r="68" spans="1:21">
      <c r="A68" s="516"/>
      <c r="D68" s="204"/>
      <c r="E68" s="205"/>
      <c r="F68" s="205"/>
      <c r="G68" s="204"/>
      <c r="H68" s="204"/>
      <c r="S68" s="1"/>
      <c r="T68" s="1"/>
      <c r="U68" s="1"/>
    </row>
    <row r="69" spans="1:21" s="270" customFormat="1" ht="39">
      <c r="A69" s="517">
        <f t="shared" ref="A69:A75" si="3">A10</f>
        <v>0</v>
      </c>
      <c r="B69" s="267" t="s">
        <v>206</v>
      </c>
      <c r="C69" s="267" t="s">
        <v>171</v>
      </c>
      <c r="D69" s="267" t="s">
        <v>270</v>
      </c>
      <c r="E69" s="268" t="s">
        <v>143</v>
      </c>
      <c r="F69" s="268" t="s">
        <v>64</v>
      </c>
      <c r="G69" s="268" t="s">
        <v>65</v>
      </c>
      <c r="H69" s="268" t="s">
        <v>229</v>
      </c>
      <c r="I69" s="268" t="s">
        <v>40</v>
      </c>
      <c r="J69" s="268" t="s">
        <v>157</v>
      </c>
      <c r="K69" s="268" t="s">
        <v>156</v>
      </c>
      <c r="L69" s="268" t="s">
        <v>66</v>
      </c>
      <c r="M69" s="268" t="s">
        <v>198</v>
      </c>
      <c r="N69" s="268"/>
      <c r="O69" s="1"/>
      <c r="P69" s="269"/>
      <c r="Q69" s="269"/>
      <c r="R69" s="269"/>
      <c r="S69" s="269"/>
      <c r="T69" s="269"/>
      <c r="U69" s="269"/>
    </row>
    <row r="70" spans="1:21">
      <c r="A70" s="517">
        <f t="shared" si="3"/>
        <v>1</v>
      </c>
      <c r="B70" s="299" t="str">
        <f t="shared" ref="B70:B75" si="4">B11</f>
        <v>Altra Jeugdhulp Hofgeest</v>
      </c>
      <c r="C70" s="299" t="str">
        <f t="shared" ref="C70:C75" si="5">D11</f>
        <v>Altra Kantoor</v>
      </c>
      <c r="D70" s="406"/>
      <c r="E70" s="301">
        <f>VLOOKUP($B11,'1.6-Machine-investeringskosten'!$B$97:$E$149,4,FALSE)</f>
        <v>0</v>
      </c>
      <c r="F70" s="301">
        <f t="shared" ref="F70:F75" ca="1" si="6">$H$67*H11+$I$67*I11</f>
        <v>0</v>
      </c>
      <c r="G70" s="301">
        <f t="shared" ref="G70:G75" ca="1" si="7">$K$67*K11</f>
        <v>0</v>
      </c>
      <c r="H70" s="301"/>
      <c r="I70" s="301">
        <f ca="1">E70+F70+G70+D70+H70</f>
        <v>0</v>
      </c>
      <c r="J70" s="466">
        <f>SUMIF('1.3a-Mutaties'!E:E,'1.1a-Jaarprijzen'!B70,'1.3a-Mutaties'!Z:Z)</f>
        <v>0</v>
      </c>
      <c r="K70" s="467"/>
      <c r="L70" s="301">
        <f>SUMIF('1.9-Glasbewassing'!$B$15:$B$117,'1.1a-Jaarprijzen'!B70,'1.9-Glasbewassing'!$AD$15:$AD$117)+SUMIF('1.9-Glasbewassing'!$B$15:$B$117,'1.1a-Jaarprijzen'!B70,'1.9-Glasbewassing'!$AE$15:$AE$117)</f>
        <v>0</v>
      </c>
      <c r="M70" s="302">
        <f t="shared" ref="M70" ca="1" si="8">IF(K70="Ja",L70+I70,I70+J70+L70)</f>
        <v>0</v>
      </c>
      <c r="N70" s="749"/>
      <c r="O70" s="725">
        <f ca="1">L70/E11</f>
        <v>0</v>
      </c>
      <c r="P70" s="203">
        <f ca="1">L70/(E11+F11)</f>
        <v>0</v>
      </c>
      <c r="R70" s="425"/>
      <c r="S70" s="1"/>
      <c r="T70" s="1"/>
      <c r="U70" s="1"/>
    </row>
    <row r="71" spans="1:21">
      <c r="A71" s="517">
        <f t="shared" si="3"/>
        <v>1</v>
      </c>
      <c r="B71" s="299" t="str">
        <f t="shared" si="4"/>
        <v>Altra School2care</v>
      </c>
      <c r="C71" s="299" t="str">
        <f t="shared" si="5"/>
        <v>Altra Onderwijs</v>
      </c>
      <c r="D71" s="406">
        <f>'1.8-Afroepprijs'!H46</f>
        <v>0</v>
      </c>
      <c r="E71" s="301">
        <f>VLOOKUP($B12,'1.6-Machine-investeringskosten'!$B$97:$E$149,4,FALSE)</f>
        <v>0</v>
      </c>
      <c r="F71" s="301">
        <f t="shared" ca="1" si="6"/>
        <v>0</v>
      </c>
      <c r="G71" s="301">
        <f t="shared" ca="1" si="7"/>
        <v>0</v>
      </c>
      <c r="H71" s="301"/>
      <c r="I71" s="301">
        <f t="shared" ref="I71:I75" ca="1" si="9">E71+F71+G71+D71+H71</f>
        <v>0</v>
      </c>
      <c r="J71" s="466">
        <f>SUMIF('1.3a-Mutaties'!E:E,'1.1a-Jaarprijzen'!B71,'1.3a-Mutaties'!Z:Z)</f>
        <v>0</v>
      </c>
      <c r="K71" s="467"/>
      <c r="L71" s="301">
        <f>SUMIF('1.9-Glasbewassing'!$B$15:$B$117,'1.1a-Jaarprijzen'!B71,'1.9-Glasbewassing'!$AD$15:$AD$117)+SUMIF('1.9-Glasbewassing'!$B$15:$B$117,'1.1a-Jaarprijzen'!B71,'1.9-Glasbewassing'!$AE$15:$AE$117)</f>
        <v>0</v>
      </c>
      <c r="M71" s="302">
        <f t="shared" ref="M71:M73" ca="1" si="10">IF(K71="Ja",L71+I71,I71+J71+L71)</f>
        <v>0</v>
      </c>
      <c r="N71" s="749"/>
      <c r="O71" s="725">
        <f t="shared" ref="O71:O75" ca="1" si="11">L71/E12</f>
        <v>0</v>
      </c>
      <c r="P71" s="203">
        <f t="shared" ref="P71:P75" ca="1" si="12">L71/(E12+F12)</f>
        <v>0</v>
      </c>
      <c r="R71" s="425"/>
      <c r="S71" s="1"/>
      <c r="T71" s="1"/>
      <c r="U71" s="1"/>
    </row>
    <row r="72" spans="1:21">
      <c r="A72" s="517">
        <f t="shared" si="3"/>
        <v>1</v>
      </c>
      <c r="B72" s="299" t="str">
        <f t="shared" si="4"/>
        <v>Altra College Zuidoost</v>
      </c>
      <c r="C72" s="299" t="str">
        <f t="shared" si="5"/>
        <v>Altra Onderwijs</v>
      </c>
      <c r="D72" s="406"/>
      <c r="E72" s="301">
        <f>VLOOKUP($B13,'1.6-Machine-investeringskosten'!$B$97:$E$149,4,FALSE)</f>
        <v>0</v>
      </c>
      <c r="F72" s="301">
        <f t="shared" ca="1" si="6"/>
        <v>0</v>
      </c>
      <c r="G72" s="301">
        <f t="shared" ca="1" si="7"/>
        <v>0</v>
      </c>
      <c r="H72" s="301"/>
      <c r="I72" s="301">
        <f t="shared" ca="1" si="9"/>
        <v>0</v>
      </c>
      <c r="J72" s="466">
        <f>SUMIF('1.3a-Mutaties'!E:E,'1.1a-Jaarprijzen'!B72,'1.3a-Mutaties'!Z:Z)</f>
        <v>0</v>
      </c>
      <c r="K72" s="467"/>
      <c r="L72" s="301">
        <f>SUMIF('1.9-Glasbewassing'!$B$15:$B$117,'1.1a-Jaarprijzen'!B72,'1.9-Glasbewassing'!$AD$15:$AD$117)+SUMIF('1.9-Glasbewassing'!$B$15:$B$117,'1.1a-Jaarprijzen'!B72,'1.9-Glasbewassing'!$AE$15:$AE$117)</f>
        <v>0</v>
      </c>
      <c r="M72" s="302">
        <f t="shared" ca="1" si="10"/>
        <v>0</v>
      </c>
      <c r="N72" s="749"/>
      <c r="O72" s="725">
        <f t="shared" ca="1" si="11"/>
        <v>0</v>
      </c>
      <c r="P72" s="203">
        <f t="shared" ca="1" si="12"/>
        <v>0</v>
      </c>
      <c r="R72" s="425"/>
      <c r="S72" s="1"/>
      <c r="T72" s="1"/>
      <c r="U72" s="1"/>
    </row>
    <row r="73" spans="1:21">
      <c r="A73" s="517">
        <f t="shared" si="3"/>
        <v>1</v>
      </c>
      <c r="B73" s="299" t="str">
        <f t="shared" si="4"/>
        <v>Altra College Bleichrodt</v>
      </c>
      <c r="C73" s="299" t="str">
        <f t="shared" si="5"/>
        <v>Altra Onderwijs</v>
      </c>
      <c r="D73" s="406"/>
      <c r="E73" s="301">
        <f>VLOOKUP($B14,'1.6-Machine-investeringskosten'!$B$97:$E$149,4,FALSE)</f>
        <v>0</v>
      </c>
      <c r="F73" s="301">
        <f t="shared" ca="1" si="6"/>
        <v>0</v>
      </c>
      <c r="G73" s="301">
        <f t="shared" ca="1" si="7"/>
        <v>0</v>
      </c>
      <c r="H73" s="301"/>
      <c r="I73" s="301">
        <f t="shared" ca="1" si="9"/>
        <v>0</v>
      </c>
      <c r="J73" s="466">
        <f>SUMIF('1.3a-Mutaties'!E:E,'1.1a-Jaarprijzen'!B73,'1.3a-Mutaties'!Z:Z)</f>
        <v>0</v>
      </c>
      <c r="K73" s="467"/>
      <c r="L73" s="301">
        <f>SUMIF('1.9-Glasbewassing'!$B$15:$B$117,'1.1a-Jaarprijzen'!B73,'1.9-Glasbewassing'!$AD$15:$AD$117)+SUMIF('1.9-Glasbewassing'!$B$15:$B$117,'1.1a-Jaarprijzen'!B73,'1.9-Glasbewassing'!$AE$15:$AE$117)</f>
        <v>0</v>
      </c>
      <c r="M73" s="302">
        <f t="shared" ca="1" si="10"/>
        <v>0</v>
      </c>
      <c r="N73" s="749"/>
      <c r="O73" s="725">
        <f t="shared" ca="1" si="11"/>
        <v>0</v>
      </c>
      <c r="P73" s="203">
        <f t="shared" ca="1" si="12"/>
        <v>0</v>
      </c>
      <c r="R73" s="425"/>
      <c r="S73" s="1"/>
      <c r="T73" s="1"/>
      <c r="U73" s="1"/>
    </row>
    <row r="74" spans="1:21">
      <c r="A74" s="517">
        <f t="shared" si="3"/>
        <v>1</v>
      </c>
      <c r="B74" s="299" t="str">
        <f t="shared" si="4"/>
        <v>Altra College Haarlemmermeer</v>
      </c>
      <c r="C74" s="299" t="str">
        <f t="shared" si="5"/>
        <v>Altra Onderwijs</v>
      </c>
      <c r="D74" s="406"/>
      <c r="E74" s="301">
        <f>VLOOKUP($B15,'1.6-Machine-investeringskosten'!$B$97:$E$149,4,FALSE)</f>
        <v>0</v>
      </c>
      <c r="F74" s="301">
        <f t="shared" ca="1" si="6"/>
        <v>0</v>
      </c>
      <c r="G74" s="301">
        <f t="shared" ca="1" si="7"/>
        <v>0</v>
      </c>
      <c r="H74" s="301"/>
      <c r="I74" s="301">
        <f t="shared" ca="1" si="9"/>
        <v>0</v>
      </c>
      <c r="J74" s="466">
        <f>SUMIF('1.3a-Mutaties'!E:E,'1.1a-Jaarprijzen'!B74,'1.3a-Mutaties'!Z:Z)</f>
        <v>0</v>
      </c>
      <c r="K74" s="467"/>
      <c r="L74" s="301">
        <f>SUMIF('1.9-Glasbewassing'!$B$15:$B$117,'1.1a-Jaarprijzen'!B74,'1.9-Glasbewassing'!$AD$15:$AD$117)+SUMIF('1.9-Glasbewassing'!$B$15:$B$117,'1.1a-Jaarprijzen'!B74,'1.9-Glasbewassing'!$AE$15:$AE$117)</f>
        <v>0</v>
      </c>
      <c r="M74" s="302">
        <f t="shared" ref="M74:M75" ca="1" si="13">IF(K74="Ja",L74+I74,I74+J74+L74)</f>
        <v>0</v>
      </c>
      <c r="N74" s="749"/>
      <c r="O74" s="725">
        <f t="shared" ca="1" si="11"/>
        <v>0</v>
      </c>
      <c r="P74" s="203">
        <f t="shared" ca="1" si="12"/>
        <v>0</v>
      </c>
      <c r="R74" s="425"/>
      <c r="S74" s="1"/>
      <c r="T74" s="1"/>
      <c r="U74" s="1"/>
    </row>
    <row r="75" spans="1:21">
      <c r="A75" s="517">
        <f t="shared" si="3"/>
        <v>1</v>
      </c>
      <c r="B75" s="299" t="str">
        <f t="shared" si="4"/>
        <v>Altra Jeugdhulp Dr. Willem Dreesweg</v>
      </c>
      <c r="C75" s="299" t="str">
        <f t="shared" si="5"/>
        <v>Altra Kantoor</v>
      </c>
      <c r="D75" s="406"/>
      <c r="E75" s="301">
        <f>VLOOKUP($B16,'1.6-Machine-investeringskosten'!$B$97:$E$149,4,FALSE)</f>
        <v>0</v>
      </c>
      <c r="F75" s="301">
        <f t="shared" ca="1" si="6"/>
        <v>0</v>
      </c>
      <c r="G75" s="301">
        <f t="shared" ca="1" si="7"/>
        <v>0</v>
      </c>
      <c r="H75" s="301"/>
      <c r="I75" s="301">
        <f t="shared" ca="1" si="9"/>
        <v>0</v>
      </c>
      <c r="J75" s="466">
        <f>SUMIF('1.3a-Mutaties'!E:E,'1.1a-Jaarprijzen'!B75,'1.3a-Mutaties'!Z:Z)</f>
        <v>0</v>
      </c>
      <c r="K75" s="467"/>
      <c r="L75" s="301">
        <f>SUMIF('1.9-Glasbewassing'!$B$15:$B$117,'1.1a-Jaarprijzen'!B75,'1.9-Glasbewassing'!$AD$15:$AD$117)+SUMIF('1.9-Glasbewassing'!$B$15:$B$117,'1.1a-Jaarprijzen'!B75,'1.9-Glasbewassing'!$AE$15:$AE$117)</f>
        <v>0</v>
      </c>
      <c r="M75" s="302">
        <f t="shared" ca="1" si="13"/>
        <v>0</v>
      </c>
      <c r="N75" s="749"/>
      <c r="O75" s="725">
        <f t="shared" ca="1" si="11"/>
        <v>0</v>
      </c>
      <c r="P75" s="203">
        <f t="shared" ca="1" si="12"/>
        <v>0</v>
      </c>
      <c r="R75" s="425"/>
      <c r="S75" s="1"/>
      <c r="T75" s="1"/>
      <c r="U75" s="1"/>
    </row>
    <row r="76" spans="1:21" s="800" customFormat="1" hidden="1">
      <c r="A76" s="789"/>
      <c r="B76" s="298"/>
      <c r="C76" s="298"/>
      <c r="D76" s="790"/>
      <c r="E76" s="791"/>
      <c r="F76" s="791"/>
      <c r="G76" s="791"/>
      <c r="H76" s="791"/>
      <c r="I76" s="791"/>
      <c r="J76" s="792"/>
      <c r="K76" s="793"/>
      <c r="L76" s="791"/>
      <c r="M76" s="794"/>
      <c r="N76" s="795"/>
      <c r="O76" s="796"/>
      <c r="P76" s="797"/>
      <c r="Q76" s="798"/>
      <c r="R76" s="799"/>
      <c r="S76" s="798"/>
      <c r="T76" s="798"/>
      <c r="U76" s="798"/>
    </row>
    <row r="77" spans="1:21" s="800" customFormat="1" hidden="1">
      <c r="A77" s="789"/>
      <c r="B77" s="298"/>
      <c r="C77" s="298"/>
      <c r="D77" s="790"/>
      <c r="E77" s="791"/>
      <c r="F77" s="791"/>
      <c r="G77" s="791"/>
      <c r="H77" s="791"/>
      <c r="I77" s="791"/>
      <c r="J77" s="792"/>
      <c r="K77" s="793"/>
      <c r="L77" s="791"/>
      <c r="M77" s="794"/>
      <c r="N77" s="802"/>
      <c r="O77" s="796"/>
      <c r="P77" s="797"/>
      <c r="Q77" s="798"/>
      <c r="R77" s="799"/>
      <c r="S77" s="798"/>
      <c r="T77" s="798"/>
      <c r="U77" s="798"/>
    </row>
    <row r="78" spans="1:21" s="800" customFormat="1" hidden="1">
      <c r="A78" s="789"/>
      <c r="B78" s="298"/>
      <c r="C78" s="298"/>
      <c r="D78" s="790"/>
      <c r="E78" s="791"/>
      <c r="F78" s="791"/>
      <c r="G78" s="791"/>
      <c r="H78" s="791"/>
      <c r="I78" s="791"/>
      <c r="J78" s="792"/>
      <c r="K78" s="793"/>
      <c r="L78" s="791"/>
      <c r="M78" s="794"/>
      <c r="N78" s="795"/>
      <c r="O78" s="796"/>
      <c r="P78" s="797"/>
      <c r="Q78" s="798"/>
      <c r="R78" s="799"/>
      <c r="S78" s="798"/>
      <c r="T78" s="798"/>
      <c r="U78" s="798"/>
    </row>
    <row r="79" spans="1:21" s="800" customFormat="1" hidden="1">
      <c r="A79" s="789"/>
      <c r="B79" s="298"/>
      <c r="C79" s="298"/>
      <c r="D79" s="790"/>
      <c r="E79" s="791"/>
      <c r="F79" s="791"/>
      <c r="G79" s="791"/>
      <c r="H79" s="791"/>
      <c r="I79" s="791"/>
      <c r="J79" s="792"/>
      <c r="K79" s="793"/>
      <c r="L79" s="791"/>
      <c r="M79" s="794"/>
      <c r="N79" s="795"/>
      <c r="O79" s="796"/>
      <c r="P79" s="797"/>
      <c r="Q79" s="798"/>
      <c r="R79" s="799"/>
      <c r="S79" s="798"/>
      <c r="T79" s="798"/>
      <c r="U79" s="798"/>
    </row>
    <row r="80" spans="1:21" s="800" customFormat="1" hidden="1">
      <c r="A80" s="789"/>
      <c r="B80" s="298"/>
      <c r="C80" s="298"/>
      <c r="D80" s="790"/>
      <c r="E80" s="791"/>
      <c r="F80" s="791"/>
      <c r="G80" s="791"/>
      <c r="H80" s="791"/>
      <c r="I80" s="791"/>
      <c r="J80" s="792"/>
      <c r="K80" s="793"/>
      <c r="L80" s="791"/>
      <c r="M80" s="794"/>
      <c r="N80" s="795"/>
      <c r="O80" s="796"/>
      <c r="P80" s="797"/>
      <c r="Q80" s="798"/>
      <c r="R80" s="799"/>
      <c r="S80" s="798"/>
      <c r="T80" s="798"/>
      <c r="U80" s="798"/>
    </row>
    <row r="81" spans="1:21" s="800" customFormat="1" hidden="1">
      <c r="A81" s="789"/>
      <c r="B81" s="298"/>
      <c r="C81" s="298"/>
      <c r="D81" s="790"/>
      <c r="E81" s="791"/>
      <c r="F81" s="791"/>
      <c r="G81" s="791"/>
      <c r="H81" s="791"/>
      <c r="I81" s="791"/>
      <c r="J81" s="792"/>
      <c r="K81" s="793"/>
      <c r="L81" s="791"/>
      <c r="M81" s="794"/>
      <c r="N81" s="795"/>
      <c r="O81" s="796"/>
      <c r="P81" s="797"/>
      <c r="Q81" s="798"/>
      <c r="R81" s="799"/>
      <c r="S81" s="798"/>
      <c r="T81" s="798"/>
      <c r="U81" s="798"/>
    </row>
    <row r="82" spans="1:21" s="800" customFormat="1" hidden="1">
      <c r="A82" s="789"/>
      <c r="B82" s="298"/>
      <c r="C82" s="298"/>
      <c r="D82" s="790"/>
      <c r="E82" s="791"/>
      <c r="F82" s="791"/>
      <c r="G82" s="791"/>
      <c r="H82" s="791"/>
      <c r="I82" s="791"/>
      <c r="J82" s="792"/>
      <c r="K82" s="793"/>
      <c r="L82" s="791"/>
      <c r="M82" s="794"/>
      <c r="N82" s="795"/>
      <c r="O82" s="796"/>
      <c r="P82" s="797"/>
      <c r="Q82" s="798"/>
      <c r="R82" s="799"/>
      <c r="S82" s="798"/>
      <c r="T82" s="798"/>
      <c r="U82" s="798"/>
    </row>
    <row r="83" spans="1:21" s="800" customFormat="1" hidden="1">
      <c r="A83" s="789"/>
      <c r="B83" s="298"/>
      <c r="C83" s="298"/>
      <c r="D83" s="790"/>
      <c r="E83" s="791"/>
      <c r="F83" s="791"/>
      <c r="G83" s="791"/>
      <c r="H83" s="791"/>
      <c r="I83" s="791"/>
      <c r="J83" s="792"/>
      <c r="K83" s="793"/>
      <c r="L83" s="791"/>
      <c r="M83" s="794"/>
      <c r="N83" s="795"/>
      <c r="O83" s="796"/>
      <c r="P83" s="797"/>
      <c r="Q83" s="798"/>
      <c r="R83" s="799"/>
      <c r="S83" s="798"/>
      <c r="T83" s="798"/>
      <c r="U83" s="798"/>
    </row>
    <row r="84" spans="1:21" s="800" customFormat="1" hidden="1">
      <c r="A84" s="789"/>
      <c r="B84" s="298"/>
      <c r="C84" s="298"/>
      <c r="D84" s="790"/>
      <c r="E84" s="791"/>
      <c r="F84" s="791"/>
      <c r="G84" s="791"/>
      <c r="H84" s="791"/>
      <c r="I84" s="791"/>
      <c r="J84" s="792"/>
      <c r="K84" s="793"/>
      <c r="L84" s="791"/>
      <c r="M84" s="794"/>
      <c r="N84" s="795"/>
      <c r="O84" s="796"/>
      <c r="P84" s="797"/>
      <c r="Q84" s="798"/>
      <c r="R84" s="799"/>
      <c r="S84" s="798"/>
      <c r="T84" s="798"/>
      <c r="U84" s="798"/>
    </row>
    <row r="85" spans="1:21" s="800" customFormat="1" hidden="1">
      <c r="A85" s="789"/>
      <c r="B85" s="298"/>
      <c r="C85" s="298"/>
      <c r="D85" s="790"/>
      <c r="E85" s="791"/>
      <c r="F85" s="791"/>
      <c r="G85" s="791"/>
      <c r="H85" s="791"/>
      <c r="I85" s="791"/>
      <c r="J85" s="792"/>
      <c r="K85" s="793"/>
      <c r="L85" s="791"/>
      <c r="M85" s="794"/>
      <c r="N85" s="795"/>
      <c r="O85" s="796"/>
      <c r="P85" s="797"/>
      <c r="Q85" s="798"/>
      <c r="R85" s="799"/>
      <c r="S85" s="798"/>
      <c r="T85" s="798"/>
      <c r="U85" s="798"/>
    </row>
    <row r="86" spans="1:21" s="800" customFormat="1" hidden="1">
      <c r="A86" s="789"/>
      <c r="B86" s="298"/>
      <c r="C86" s="298"/>
      <c r="D86" s="790"/>
      <c r="E86" s="791"/>
      <c r="F86" s="791"/>
      <c r="G86" s="791"/>
      <c r="H86" s="791"/>
      <c r="I86" s="791"/>
      <c r="J86" s="792"/>
      <c r="K86" s="793"/>
      <c r="L86" s="791"/>
      <c r="M86" s="794"/>
      <c r="N86" s="795"/>
      <c r="O86" s="796"/>
      <c r="P86" s="797"/>
      <c r="Q86" s="798"/>
      <c r="R86" s="799"/>
      <c r="S86" s="798"/>
      <c r="T86" s="798"/>
      <c r="U86" s="798"/>
    </row>
    <row r="87" spans="1:21" s="800" customFormat="1" hidden="1">
      <c r="A87" s="789"/>
      <c r="B87" s="298"/>
      <c r="C87" s="298"/>
      <c r="D87" s="790"/>
      <c r="E87" s="791"/>
      <c r="F87" s="791"/>
      <c r="G87" s="791"/>
      <c r="H87" s="791"/>
      <c r="I87" s="791"/>
      <c r="J87" s="792"/>
      <c r="K87" s="793"/>
      <c r="L87" s="791"/>
      <c r="M87" s="794"/>
      <c r="N87" s="795"/>
      <c r="O87" s="796"/>
      <c r="P87" s="797"/>
      <c r="Q87" s="798"/>
      <c r="R87" s="799"/>
      <c r="S87" s="798"/>
      <c r="T87" s="798"/>
      <c r="U87" s="798"/>
    </row>
    <row r="88" spans="1:21" s="800" customFormat="1" hidden="1">
      <c r="A88" s="789"/>
      <c r="B88" s="298"/>
      <c r="C88" s="298"/>
      <c r="D88" s="790"/>
      <c r="E88" s="791"/>
      <c r="F88" s="791"/>
      <c r="G88" s="791"/>
      <c r="H88" s="791"/>
      <c r="I88" s="791"/>
      <c r="J88" s="792"/>
      <c r="K88" s="793"/>
      <c r="L88" s="791"/>
      <c r="M88" s="794"/>
      <c r="N88" s="795"/>
      <c r="O88" s="796"/>
      <c r="P88" s="797"/>
      <c r="Q88" s="798"/>
      <c r="R88" s="799"/>
      <c r="S88" s="798"/>
      <c r="T88" s="798"/>
      <c r="U88" s="798"/>
    </row>
    <row r="89" spans="1:21" s="800" customFormat="1" hidden="1">
      <c r="A89" s="789"/>
      <c r="B89" s="298"/>
      <c r="C89" s="298"/>
      <c r="D89" s="790"/>
      <c r="E89" s="791"/>
      <c r="F89" s="791"/>
      <c r="G89" s="791"/>
      <c r="H89" s="791"/>
      <c r="I89" s="791"/>
      <c r="J89" s="792"/>
      <c r="K89" s="793"/>
      <c r="L89" s="791"/>
      <c r="M89" s="794"/>
      <c r="N89" s="795"/>
      <c r="O89" s="796"/>
      <c r="P89" s="797"/>
      <c r="Q89" s="798"/>
      <c r="R89" s="799"/>
      <c r="S89" s="798"/>
      <c r="T89" s="798"/>
      <c r="U89" s="798"/>
    </row>
    <row r="90" spans="1:21" s="800" customFormat="1" hidden="1">
      <c r="A90" s="789"/>
      <c r="B90" s="298"/>
      <c r="C90" s="298"/>
      <c r="D90" s="790"/>
      <c r="E90" s="791"/>
      <c r="F90" s="791"/>
      <c r="G90" s="791"/>
      <c r="H90" s="791"/>
      <c r="I90" s="791"/>
      <c r="J90" s="792"/>
      <c r="K90" s="793"/>
      <c r="L90" s="791"/>
      <c r="M90" s="794"/>
      <c r="N90" s="795"/>
      <c r="O90" s="796"/>
      <c r="P90" s="797"/>
      <c r="Q90" s="798"/>
      <c r="R90" s="799"/>
      <c r="S90" s="798"/>
      <c r="T90" s="798"/>
      <c r="U90" s="798"/>
    </row>
    <row r="91" spans="1:21" s="800" customFormat="1" hidden="1">
      <c r="A91" s="789"/>
      <c r="B91" s="298"/>
      <c r="C91" s="298"/>
      <c r="D91" s="790"/>
      <c r="E91" s="791"/>
      <c r="F91" s="791"/>
      <c r="G91" s="791"/>
      <c r="H91" s="791"/>
      <c r="I91" s="791"/>
      <c r="J91" s="792"/>
      <c r="K91" s="793"/>
      <c r="L91" s="791"/>
      <c r="M91" s="794"/>
      <c r="N91" s="795"/>
      <c r="O91" s="796"/>
      <c r="P91" s="797"/>
      <c r="Q91" s="798"/>
      <c r="R91" s="799"/>
      <c r="S91" s="798"/>
      <c r="T91" s="798"/>
      <c r="U91" s="798"/>
    </row>
    <row r="92" spans="1:21" s="800" customFormat="1" hidden="1">
      <c r="A92" s="789"/>
      <c r="B92" s="298"/>
      <c r="C92" s="298"/>
      <c r="D92" s="790"/>
      <c r="E92" s="791"/>
      <c r="F92" s="791"/>
      <c r="G92" s="791"/>
      <c r="H92" s="791"/>
      <c r="I92" s="791"/>
      <c r="J92" s="792"/>
      <c r="K92" s="793"/>
      <c r="L92" s="791"/>
      <c r="M92" s="794"/>
      <c r="N92" s="795"/>
      <c r="O92" s="796"/>
      <c r="P92" s="797"/>
      <c r="Q92" s="798"/>
      <c r="R92" s="799"/>
      <c r="S92" s="798"/>
      <c r="T92" s="798"/>
      <c r="U92" s="798"/>
    </row>
    <row r="93" spans="1:21" s="800" customFormat="1" hidden="1">
      <c r="A93" s="789"/>
      <c r="B93" s="298"/>
      <c r="C93" s="298"/>
      <c r="D93" s="790"/>
      <c r="E93" s="791"/>
      <c r="F93" s="791"/>
      <c r="G93" s="791"/>
      <c r="H93" s="791"/>
      <c r="I93" s="791"/>
      <c r="J93" s="792"/>
      <c r="K93" s="793"/>
      <c r="L93" s="791"/>
      <c r="M93" s="794"/>
      <c r="N93" s="795"/>
      <c r="O93" s="796"/>
      <c r="P93" s="797"/>
      <c r="Q93" s="798"/>
      <c r="R93" s="799"/>
      <c r="S93" s="798"/>
      <c r="T93" s="798"/>
      <c r="U93" s="798"/>
    </row>
    <row r="94" spans="1:21" s="800" customFormat="1" hidden="1">
      <c r="A94" s="789"/>
      <c r="B94" s="298"/>
      <c r="C94" s="298"/>
      <c r="D94" s="790"/>
      <c r="E94" s="801"/>
      <c r="F94" s="791"/>
      <c r="G94" s="791"/>
      <c r="H94" s="791"/>
      <c r="I94" s="791"/>
      <c r="J94" s="792"/>
      <c r="K94" s="793"/>
      <c r="L94" s="791"/>
      <c r="M94" s="794"/>
      <c r="N94" s="795"/>
      <c r="O94" s="796"/>
      <c r="P94" s="797"/>
      <c r="Q94" s="798"/>
      <c r="R94" s="799"/>
      <c r="S94" s="798"/>
      <c r="T94" s="798"/>
      <c r="U94" s="798"/>
    </row>
    <row r="95" spans="1:21" s="800" customFormat="1" hidden="1">
      <c r="A95" s="789"/>
      <c r="B95" s="298"/>
      <c r="C95" s="298"/>
      <c r="D95" s="790"/>
      <c r="E95" s="791"/>
      <c r="F95" s="791"/>
      <c r="G95" s="791"/>
      <c r="H95" s="791"/>
      <c r="I95" s="791"/>
      <c r="J95" s="792"/>
      <c r="K95" s="793"/>
      <c r="L95" s="791"/>
      <c r="M95" s="794"/>
      <c r="N95" s="795"/>
      <c r="O95" s="796"/>
      <c r="P95" s="797"/>
      <c r="Q95" s="798"/>
      <c r="R95" s="799"/>
      <c r="S95" s="798"/>
      <c r="T95" s="798"/>
      <c r="U95" s="798"/>
    </row>
    <row r="96" spans="1:21" s="800" customFormat="1" hidden="1">
      <c r="A96" s="789"/>
      <c r="B96" s="298"/>
      <c r="C96" s="298"/>
      <c r="D96" s="790"/>
      <c r="E96" s="791"/>
      <c r="F96" s="791"/>
      <c r="G96" s="791"/>
      <c r="H96" s="791"/>
      <c r="I96" s="791"/>
      <c r="J96" s="792"/>
      <c r="K96" s="793"/>
      <c r="L96" s="791"/>
      <c r="M96" s="794"/>
      <c r="N96" s="795"/>
      <c r="O96" s="796"/>
      <c r="P96" s="797"/>
      <c r="Q96" s="798"/>
      <c r="R96" s="799"/>
      <c r="S96" s="798"/>
      <c r="T96" s="798"/>
      <c r="U96" s="798"/>
    </row>
    <row r="97" spans="1:21" s="800" customFormat="1" hidden="1">
      <c r="A97" s="789"/>
      <c r="B97" s="298"/>
      <c r="C97" s="298"/>
      <c r="D97" s="790"/>
      <c r="E97" s="791"/>
      <c r="F97" s="791"/>
      <c r="G97" s="791"/>
      <c r="H97" s="791"/>
      <c r="I97" s="791"/>
      <c r="J97" s="792"/>
      <c r="K97" s="793"/>
      <c r="L97" s="791"/>
      <c r="M97" s="794"/>
      <c r="N97" s="795"/>
      <c r="O97" s="796"/>
      <c r="P97" s="797"/>
      <c r="Q97" s="798"/>
      <c r="R97" s="799"/>
      <c r="S97" s="798"/>
      <c r="T97" s="798"/>
      <c r="U97" s="798"/>
    </row>
    <row r="98" spans="1:21" s="800" customFormat="1" hidden="1">
      <c r="A98" s="789"/>
      <c r="B98" s="298"/>
      <c r="C98" s="298"/>
      <c r="D98" s="790"/>
      <c r="E98" s="791"/>
      <c r="F98" s="791"/>
      <c r="G98" s="791"/>
      <c r="H98" s="791"/>
      <c r="I98" s="791"/>
      <c r="J98" s="792"/>
      <c r="K98" s="793"/>
      <c r="L98" s="791"/>
      <c r="M98" s="794"/>
      <c r="N98" s="795"/>
      <c r="O98" s="796"/>
      <c r="P98" s="797"/>
      <c r="Q98" s="798"/>
      <c r="R98" s="799"/>
      <c r="S98" s="798"/>
      <c r="T98" s="798"/>
      <c r="U98" s="798"/>
    </row>
    <row r="99" spans="1:21" s="800" customFormat="1" hidden="1">
      <c r="A99" s="789"/>
      <c r="B99" s="298"/>
      <c r="C99" s="298"/>
      <c r="D99" s="790"/>
      <c r="E99" s="791"/>
      <c r="F99" s="791"/>
      <c r="G99" s="791"/>
      <c r="H99" s="791"/>
      <c r="I99" s="791"/>
      <c r="J99" s="792"/>
      <c r="K99" s="793"/>
      <c r="L99" s="791"/>
      <c r="M99" s="794"/>
      <c r="N99" s="795"/>
      <c r="O99" s="796"/>
      <c r="P99" s="797"/>
      <c r="Q99" s="798"/>
      <c r="R99" s="799"/>
      <c r="S99" s="798"/>
      <c r="T99" s="798"/>
      <c r="U99" s="798"/>
    </row>
    <row r="100" spans="1:21" s="800" customFormat="1" hidden="1">
      <c r="A100" s="789"/>
      <c r="B100" s="298"/>
      <c r="C100" s="298"/>
      <c r="D100" s="790"/>
      <c r="E100" s="791"/>
      <c r="F100" s="791"/>
      <c r="G100" s="791"/>
      <c r="H100" s="791"/>
      <c r="I100" s="791"/>
      <c r="J100" s="792"/>
      <c r="K100" s="793"/>
      <c r="L100" s="791"/>
      <c r="M100" s="794"/>
      <c r="N100" s="795"/>
      <c r="O100" s="796"/>
      <c r="P100" s="797"/>
      <c r="Q100" s="798"/>
      <c r="R100" s="799"/>
      <c r="S100" s="798"/>
      <c r="T100" s="798"/>
      <c r="U100" s="798"/>
    </row>
    <row r="101" spans="1:21" s="800" customFormat="1" hidden="1">
      <c r="A101" s="789"/>
      <c r="B101" s="298"/>
      <c r="C101" s="298"/>
      <c r="D101" s="790"/>
      <c r="E101" s="791"/>
      <c r="F101" s="791"/>
      <c r="G101" s="791"/>
      <c r="H101" s="791"/>
      <c r="I101" s="791"/>
      <c r="J101" s="792"/>
      <c r="K101" s="793"/>
      <c r="L101" s="791"/>
      <c r="M101" s="794"/>
      <c r="N101" s="795"/>
      <c r="O101" s="796"/>
      <c r="P101" s="797"/>
      <c r="Q101" s="798"/>
      <c r="R101" s="799"/>
      <c r="S101" s="798"/>
      <c r="T101" s="798"/>
      <c r="U101" s="798"/>
    </row>
    <row r="102" spans="1:21" s="800" customFormat="1" hidden="1">
      <c r="A102" s="789"/>
      <c r="B102" s="298"/>
      <c r="C102" s="298"/>
      <c r="D102" s="790"/>
      <c r="E102" s="791"/>
      <c r="F102" s="791"/>
      <c r="G102" s="791"/>
      <c r="H102" s="791"/>
      <c r="I102" s="791"/>
      <c r="J102" s="792"/>
      <c r="K102" s="793"/>
      <c r="L102" s="791"/>
      <c r="M102" s="794"/>
      <c r="N102" s="795"/>
      <c r="O102" s="796"/>
      <c r="P102" s="797"/>
      <c r="Q102" s="798"/>
      <c r="R102" s="799"/>
      <c r="S102" s="798"/>
      <c r="T102" s="798"/>
      <c r="U102" s="798"/>
    </row>
    <row r="103" spans="1:21" s="800" customFormat="1" hidden="1">
      <c r="A103" s="789"/>
      <c r="B103" s="298"/>
      <c r="C103" s="298"/>
      <c r="D103" s="790"/>
      <c r="E103" s="791"/>
      <c r="F103" s="791"/>
      <c r="G103" s="791"/>
      <c r="H103" s="791"/>
      <c r="I103" s="791"/>
      <c r="J103" s="792"/>
      <c r="K103" s="793"/>
      <c r="L103" s="791"/>
      <c r="M103" s="794"/>
      <c r="N103" s="795"/>
      <c r="O103" s="796"/>
      <c r="P103" s="797"/>
      <c r="Q103" s="798"/>
      <c r="R103" s="799"/>
      <c r="S103" s="798"/>
      <c r="T103" s="798"/>
      <c r="U103" s="798"/>
    </row>
    <row r="104" spans="1:21" s="800" customFormat="1" hidden="1">
      <c r="A104" s="789"/>
      <c r="B104" s="298"/>
      <c r="C104" s="298"/>
      <c r="D104" s="790"/>
      <c r="E104" s="791"/>
      <c r="F104" s="791"/>
      <c r="G104" s="791"/>
      <c r="H104" s="791"/>
      <c r="I104" s="791"/>
      <c r="J104" s="792"/>
      <c r="K104" s="793"/>
      <c r="L104" s="791"/>
      <c r="M104" s="794"/>
      <c r="N104" s="795"/>
      <c r="O104" s="796"/>
      <c r="P104" s="797"/>
      <c r="Q104" s="798"/>
      <c r="R104" s="799"/>
      <c r="S104" s="798"/>
      <c r="T104" s="798"/>
      <c r="U104" s="798"/>
    </row>
    <row r="105" spans="1:21" s="800" customFormat="1" hidden="1">
      <c r="A105" s="789"/>
      <c r="B105" s="298"/>
      <c r="C105" s="298"/>
      <c r="D105" s="790"/>
      <c r="E105" s="791"/>
      <c r="F105" s="791"/>
      <c r="G105" s="791"/>
      <c r="H105" s="791"/>
      <c r="I105" s="791"/>
      <c r="J105" s="792"/>
      <c r="K105" s="793"/>
      <c r="L105" s="791"/>
      <c r="M105" s="794"/>
      <c r="N105" s="795"/>
      <c r="O105" s="796"/>
      <c r="P105" s="797"/>
      <c r="Q105" s="798"/>
      <c r="R105" s="799"/>
      <c r="S105" s="798"/>
      <c r="T105" s="798"/>
      <c r="U105" s="798"/>
    </row>
    <row r="106" spans="1:21" s="800" customFormat="1" hidden="1">
      <c r="A106" s="789"/>
      <c r="B106" s="298"/>
      <c r="C106" s="298"/>
      <c r="D106" s="790"/>
      <c r="E106" s="791"/>
      <c r="F106" s="791"/>
      <c r="G106" s="791"/>
      <c r="H106" s="791"/>
      <c r="I106" s="791"/>
      <c r="J106" s="792"/>
      <c r="K106" s="793"/>
      <c r="L106" s="791"/>
      <c r="M106" s="794"/>
      <c r="N106" s="795"/>
      <c r="O106" s="796"/>
      <c r="P106" s="797"/>
      <c r="Q106" s="798"/>
      <c r="R106" s="799"/>
      <c r="S106" s="798"/>
      <c r="T106" s="798"/>
      <c r="U106" s="798"/>
    </row>
    <row r="107" spans="1:21" s="800" customFormat="1" hidden="1">
      <c r="A107" s="789"/>
      <c r="B107" s="298"/>
      <c r="C107" s="298"/>
      <c r="D107" s="790"/>
      <c r="E107" s="791"/>
      <c r="F107" s="791"/>
      <c r="G107" s="791"/>
      <c r="H107" s="791"/>
      <c r="I107" s="791"/>
      <c r="J107" s="792"/>
      <c r="K107" s="793"/>
      <c r="L107" s="791"/>
      <c r="M107" s="794"/>
      <c r="N107" s="795"/>
      <c r="O107" s="796"/>
      <c r="P107" s="797"/>
      <c r="Q107" s="798"/>
      <c r="R107" s="799"/>
      <c r="S107" s="798"/>
      <c r="T107" s="798"/>
      <c r="U107" s="798"/>
    </row>
    <row r="108" spans="1:21" s="800" customFormat="1" hidden="1">
      <c r="A108" s="789"/>
      <c r="B108" s="298"/>
      <c r="C108" s="298"/>
      <c r="D108" s="790"/>
      <c r="E108" s="791"/>
      <c r="F108" s="791"/>
      <c r="G108" s="791"/>
      <c r="H108" s="791"/>
      <c r="I108" s="791"/>
      <c r="J108" s="792"/>
      <c r="K108" s="793"/>
      <c r="L108" s="791"/>
      <c r="M108" s="794"/>
      <c r="N108" s="795"/>
      <c r="O108" s="796"/>
      <c r="P108" s="797"/>
      <c r="Q108" s="798"/>
      <c r="R108" s="799"/>
      <c r="S108" s="798"/>
      <c r="T108" s="798"/>
      <c r="U108" s="798"/>
    </row>
    <row r="109" spans="1:21" s="800" customFormat="1" hidden="1">
      <c r="A109" s="789"/>
      <c r="B109" s="298"/>
      <c r="C109" s="298"/>
      <c r="D109" s="790"/>
      <c r="E109" s="791"/>
      <c r="F109" s="791"/>
      <c r="G109" s="791"/>
      <c r="H109" s="791"/>
      <c r="I109" s="791"/>
      <c r="J109" s="792"/>
      <c r="K109" s="793"/>
      <c r="L109" s="791"/>
      <c r="M109" s="794"/>
      <c r="N109" s="795"/>
      <c r="O109" s="796"/>
      <c r="P109" s="797"/>
      <c r="Q109" s="798"/>
      <c r="R109" s="799"/>
      <c r="S109" s="798"/>
      <c r="T109" s="798"/>
      <c r="U109" s="798"/>
    </row>
    <row r="110" spans="1:21" s="800" customFormat="1" hidden="1">
      <c r="A110" s="789"/>
      <c r="B110" s="298"/>
      <c r="C110" s="298"/>
      <c r="D110" s="790"/>
      <c r="E110" s="791"/>
      <c r="F110" s="791"/>
      <c r="G110" s="791"/>
      <c r="H110" s="791"/>
      <c r="I110" s="791"/>
      <c r="J110" s="792"/>
      <c r="K110" s="793"/>
      <c r="L110" s="791"/>
      <c r="M110" s="794"/>
      <c r="N110" s="795"/>
      <c r="O110" s="796"/>
      <c r="P110" s="797"/>
      <c r="Q110" s="798"/>
      <c r="R110" s="799"/>
      <c r="S110" s="798"/>
      <c r="T110" s="798"/>
      <c r="U110" s="798"/>
    </row>
    <row r="111" spans="1:21" s="800" customFormat="1" hidden="1">
      <c r="A111" s="789"/>
      <c r="B111" s="298"/>
      <c r="C111" s="298"/>
      <c r="D111" s="790"/>
      <c r="E111" s="791"/>
      <c r="F111" s="791"/>
      <c r="G111" s="791"/>
      <c r="H111" s="791"/>
      <c r="I111" s="791"/>
      <c r="J111" s="792"/>
      <c r="K111" s="793"/>
      <c r="L111" s="791"/>
      <c r="M111" s="794"/>
      <c r="N111" s="795"/>
      <c r="O111" s="796"/>
      <c r="P111" s="797"/>
      <c r="Q111" s="798"/>
      <c r="R111" s="799"/>
      <c r="S111" s="798"/>
      <c r="T111" s="798"/>
      <c r="U111" s="798"/>
    </row>
    <row r="112" spans="1:21" s="800" customFormat="1" hidden="1">
      <c r="A112" s="789"/>
      <c r="B112" s="298"/>
      <c r="C112" s="298"/>
      <c r="D112" s="790"/>
      <c r="E112" s="791"/>
      <c r="F112" s="791"/>
      <c r="G112" s="791"/>
      <c r="H112" s="791"/>
      <c r="I112" s="791"/>
      <c r="J112" s="792"/>
      <c r="K112" s="793"/>
      <c r="L112" s="791"/>
      <c r="M112" s="794"/>
      <c r="N112" s="795"/>
      <c r="O112" s="796"/>
      <c r="P112" s="797"/>
      <c r="Q112" s="798"/>
      <c r="R112" s="799"/>
      <c r="S112" s="798"/>
      <c r="T112" s="798"/>
      <c r="U112" s="798"/>
    </row>
    <row r="113" spans="1:21" s="800" customFormat="1" hidden="1">
      <c r="A113" s="789"/>
      <c r="B113" s="298"/>
      <c r="C113" s="298"/>
      <c r="D113" s="790"/>
      <c r="E113" s="791"/>
      <c r="F113" s="791"/>
      <c r="G113" s="791"/>
      <c r="H113" s="791"/>
      <c r="I113" s="791"/>
      <c r="J113" s="792"/>
      <c r="K113" s="793"/>
      <c r="L113" s="791"/>
      <c r="M113" s="794"/>
      <c r="N113" s="795"/>
      <c r="O113" s="796"/>
      <c r="P113" s="797"/>
      <c r="Q113" s="798"/>
      <c r="R113" s="799"/>
      <c r="S113" s="798"/>
      <c r="T113" s="798"/>
      <c r="U113" s="798"/>
    </row>
    <row r="114" spans="1:21" s="800" customFormat="1" hidden="1">
      <c r="A114" s="789"/>
      <c r="B114" s="298"/>
      <c r="C114" s="298"/>
      <c r="D114" s="790"/>
      <c r="E114" s="791"/>
      <c r="F114" s="791"/>
      <c r="G114" s="791"/>
      <c r="H114" s="791"/>
      <c r="I114" s="791"/>
      <c r="J114" s="792"/>
      <c r="K114" s="793"/>
      <c r="L114" s="791"/>
      <c r="M114" s="794"/>
      <c r="N114" s="795"/>
      <c r="O114" s="796"/>
      <c r="P114" s="797"/>
      <c r="Q114" s="798"/>
      <c r="R114" s="799"/>
      <c r="S114" s="798"/>
      <c r="T114" s="798"/>
      <c r="U114" s="798"/>
    </row>
    <row r="115" spans="1:21" s="800" customFormat="1" hidden="1">
      <c r="A115" s="789"/>
      <c r="B115" s="298"/>
      <c r="C115" s="298"/>
      <c r="D115" s="790"/>
      <c r="E115" s="791"/>
      <c r="F115" s="791"/>
      <c r="G115" s="791"/>
      <c r="H115" s="791"/>
      <c r="I115" s="791"/>
      <c r="J115" s="792"/>
      <c r="K115" s="793"/>
      <c r="L115" s="791"/>
      <c r="M115" s="794"/>
      <c r="N115" s="795"/>
      <c r="O115" s="796"/>
      <c r="P115" s="797"/>
      <c r="Q115" s="798"/>
      <c r="R115" s="799"/>
      <c r="S115" s="798"/>
      <c r="T115" s="798"/>
      <c r="U115" s="798"/>
    </row>
    <row r="116" spans="1:21" s="800" customFormat="1" hidden="1">
      <c r="A116" s="789"/>
      <c r="B116" s="298"/>
      <c r="C116" s="298"/>
      <c r="D116" s="790"/>
      <c r="E116" s="791"/>
      <c r="F116" s="791"/>
      <c r="G116" s="791"/>
      <c r="H116" s="791"/>
      <c r="I116" s="791"/>
      <c r="J116" s="792"/>
      <c r="K116" s="793"/>
      <c r="L116" s="791"/>
      <c r="M116" s="794"/>
      <c r="N116" s="795"/>
      <c r="O116" s="796"/>
      <c r="P116" s="797"/>
      <c r="Q116" s="798"/>
      <c r="R116" s="799"/>
      <c r="S116" s="798"/>
      <c r="T116" s="798"/>
      <c r="U116" s="798"/>
    </row>
    <row r="117" spans="1:21" s="800" customFormat="1" hidden="1">
      <c r="A117" s="789"/>
      <c r="B117" s="298"/>
      <c r="C117" s="298"/>
      <c r="D117" s="790"/>
      <c r="E117" s="791"/>
      <c r="F117" s="791"/>
      <c r="G117" s="791"/>
      <c r="H117" s="791"/>
      <c r="I117" s="791"/>
      <c r="J117" s="792"/>
      <c r="K117" s="793"/>
      <c r="L117" s="791"/>
      <c r="M117" s="794"/>
      <c r="N117" s="795"/>
      <c r="O117" s="796"/>
      <c r="P117" s="797"/>
      <c r="Q117" s="798"/>
      <c r="R117" s="799"/>
      <c r="S117" s="798"/>
      <c r="T117" s="798"/>
      <c r="U117" s="798"/>
    </row>
    <row r="118" spans="1:21" s="800" customFormat="1" hidden="1">
      <c r="A118" s="789"/>
      <c r="B118" s="298"/>
      <c r="C118" s="298"/>
      <c r="D118" s="790"/>
      <c r="E118" s="791"/>
      <c r="F118" s="791"/>
      <c r="G118" s="791"/>
      <c r="H118" s="791"/>
      <c r="I118" s="791"/>
      <c r="J118" s="792"/>
      <c r="K118" s="793"/>
      <c r="L118" s="791"/>
      <c r="M118" s="794"/>
      <c r="N118" s="795"/>
      <c r="O118" s="796"/>
      <c r="P118" s="797"/>
      <c r="Q118" s="798"/>
      <c r="R118" s="799"/>
      <c r="S118" s="798"/>
      <c r="T118" s="798"/>
      <c r="U118" s="798"/>
    </row>
    <row r="119" spans="1:21" s="800" customFormat="1" hidden="1">
      <c r="A119" s="789"/>
      <c r="B119" s="298"/>
      <c r="C119" s="298"/>
      <c r="D119" s="790"/>
      <c r="E119" s="791"/>
      <c r="F119" s="791"/>
      <c r="G119" s="791"/>
      <c r="H119" s="791"/>
      <c r="I119" s="791"/>
      <c r="J119" s="792"/>
      <c r="K119" s="793"/>
      <c r="L119" s="791"/>
      <c r="M119" s="794"/>
      <c r="N119" s="795"/>
      <c r="O119" s="796"/>
      <c r="P119" s="797"/>
      <c r="Q119" s="798"/>
      <c r="R119" s="799"/>
      <c r="S119" s="798"/>
      <c r="T119" s="798"/>
      <c r="U119" s="798"/>
    </row>
    <row r="120" spans="1:21" s="800" customFormat="1" hidden="1">
      <c r="A120" s="789"/>
      <c r="B120" s="298"/>
      <c r="C120" s="298"/>
      <c r="D120" s="790"/>
      <c r="E120" s="801"/>
      <c r="F120" s="791"/>
      <c r="G120" s="791"/>
      <c r="H120" s="791"/>
      <c r="I120" s="791"/>
      <c r="J120" s="792"/>
      <c r="K120" s="793"/>
      <c r="L120" s="791"/>
      <c r="M120" s="794"/>
      <c r="N120" s="795"/>
      <c r="O120" s="796"/>
      <c r="P120" s="797"/>
      <c r="Q120" s="798"/>
      <c r="R120" s="799"/>
      <c r="S120" s="798"/>
      <c r="T120" s="798"/>
      <c r="U120" s="798"/>
    </row>
    <row r="121" spans="1:21" hidden="1">
      <c r="A121" s="517">
        <f>A63</f>
        <v>0</v>
      </c>
      <c r="B121" s="299">
        <f>B63</f>
        <v>0</v>
      </c>
      <c r="C121" s="299">
        <f>D63</f>
        <v>0</v>
      </c>
      <c r="D121" s="406"/>
      <c r="E121" s="301"/>
      <c r="F121" s="301"/>
      <c r="G121" s="301"/>
      <c r="H121" s="301"/>
      <c r="I121" s="301"/>
      <c r="J121" s="466"/>
      <c r="K121" s="467"/>
      <c r="L121" s="301"/>
      <c r="M121" s="302"/>
      <c r="N121" s="653"/>
      <c r="O121" s="725" t="e">
        <f t="shared" ref="O121" si="14">L121/E63</f>
        <v>#DIV/0!</v>
      </c>
      <c r="P121" s="203" t="e">
        <f t="shared" ref="P121" si="15">L121/(E63+F63)</f>
        <v>#DIV/0!</v>
      </c>
      <c r="R121" s="425"/>
      <c r="S121" s="1"/>
      <c r="T121" s="1"/>
      <c r="U121" s="1"/>
    </row>
    <row r="122" spans="1:21" hidden="1">
      <c r="A122" s="517"/>
      <c r="B122" s="299"/>
      <c r="C122" s="299"/>
      <c r="D122" s="406"/>
      <c r="E122" s="301"/>
      <c r="F122" s="301"/>
      <c r="G122" s="301"/>
      <c r="H122" s="301"/>
      <c r="I122" s="301"/>
      <c r="J122" s="466"/>
      <c r="K122" s="467"/>
      <c r="L122" s="301"/>
      <c r="M122" s="302"/>
      <c r="N122" s="653"/>
      <c r="O122" s="725"/>
      <c r="P122" s="203"/>
      <c r="R122" s="425"/>
      <c r="S122" s="1"/>
      <c r="T122" s="1"/>
      <c r="U122" s="1"/>
    </row>
    <row r="123" spans="1:21">
      <c r="A123" s="517"/>
      <c r="B123" s="214"/>
      <c r="C123" s="214"/>
      <c r="D123" s="652"/>
      <c r="E123" s="653"/>
      <c r="F123" s="653"/>
      <c r="G123" s="653"/>
      <c r="H123" s="653"/>
      <c r="I123" s="653"/>
      <c r="J123" s="654"/>
      <c r="K123" s="655"/>
      <c r="L123" s="653"/>
      <c r="M123" s="653"/>
      <c r="N123" s="653"/>
      <c r="P123" s="203"/>
      <c r="R123" s="425"/>
      <c r="S123" s="1"/>
      <c r="T123" s="1"/>
      <c r="U123" s="1"/>
    </row>
    <row r="124" spans="1:21" s="273" customFormat="1" ht="16">
      <c r="B124" s="272"/>
      <c r="C124" s="272"/>
      <c r="D124" s="272"/>
      <c r="E124" s="274"/>
      <c r="F124" s="405"/>
      <c r="G124" s="405"/>
      <c r="H124" s="303"/>
      <c r="I124" s="275"/>
      <c r="J124" s="275"/>
      <c r="K124" s="303"/>
      <c r="L124" s="276"/>
      <c r="M124" s="276"/>
      <c r="N124" s="276"/>
      <c r="O124" s="1"/>
      <c r="P124" s="277"/>
      <c r="Q124" s="272"/>
      <c r="R124" s="272"/>
      <c r="S124" s="272"/>
    </row>
    <row r="125" spans="1:21">
      <c r="E125" s="200"/>
      <c r="F125" s="200"/>
      <c r="M125" s="203"/>
      <c r="N125" s="203"/>
      <c r="O125" s="272"/>
      <c r="S125" s="1"/>
    </row>
    <row r="126" spans="1:21" s="270" customFormat="1" ht="39">
      <c r="B126" s="271" t="s">
        <v>121</v>
      </c>
      <c r="C126" s="271"/>
      <c r="D126" s="267" t="s">
        <v>270</v>
      </c>
      <c r="E126" s="268" t="s">
        <v>143</v>
      </c>
      <c r="F126" s="268" t="s">
        <v>64</v>
      </c>
      <c r="G126" s="268" t="s">
        <v>65</v>
      </c>
      <c r="H126" s="268" t="s">
        <v>229</v>
      </c>
      <c r="I126" s="268" t="s">
        <v>40</v>
      </c>
      <c r="J126" s="268" t="s">
        <v>157</v>
      </c>
      <c r="K126" s="268" t="s">
        <v>156</v>
      </c>
      <c r="L126" s="268" t="s">
        <v>66</v>
      </c>
      <c r="M126" s="268" t="s">
        <v>198</v>
      </c>
      <c r="N126" s="268"/>
      <c r="O126" s="1"/>
      <c r="P126" s="269"/>
      <c r="Q126" s="269"/>
      <c r="R126" s="269"/>
      <c r="S126" s="269"/>
      <c r="T126" s="269"/>
      <c r="U126" s="269"/>
    </row>
    <row r="127" spans="1:21">
      <c r="B127" s="450"/>
      <c r="E127" s="200"/>
      <c r="F127" s="200"/>
      <c r="O127" s="269"/>
      <c r="S127" s="1"/>
    </row>
    <row r="128" spans="1:21">
      <c r="B128" s="518">
        <v>1</v>
      </c>
      <c r="C128" s="451">
        <f ca="1">SUMIF($G$11:$P$42,$B128,$P$11:$P$42)</f>
        <v>0</v>
      </c>
      <c r="D128" s="425">
        <f ca="1">SUMIF($A$70:$M$122,$B128,$D$70:$D$122)</f>
        <v>0</v>
      </c>
      <c r="E128" s="425">
        <f ca="1">SUMIF($A$70:$M$122,$B128,$E$70:$E$122)</f>
        <v>0</v>
      </c>
      <c r="F128" s="425">
        <f ca="1">SUMIF($A$70:$M$122,$B128,$F$70:$F$122)</f>
        <v>0</v>
      </c>
      <c r="G128" s="425">
        <f ca="1">SUMIF($A$70:$M$122,$B128,$G$70:$G$122)</f>
        <v>0</v>
      </c>
      <c r="H128" s="425">
        <f ca="1">SUMIF($A$70:$M$122,$B128,$H$70:$H$122)</f>
        <v>0</v>
      </c>
      <c r="I128" s="425">
        <f ca="1">SUMIF($A$70:$M$122,$B128,$I$70:$I$122)</f>
        <v>0</v>
      </c>
      <c r="J128" s="425">
        <f ca="1">SUMIF($A$70:$M$122,$B128,$J$70:$J$122)</f>
        <v>0</v>
      </c>
      <c r="K128" s="425"/>
      <c r="L128" s="425">
        <f ca="1">SUMIF($A$70:$M$122,$B128,$L$70:$L$122)</f>
        <v>0</v>
      </c>
      <c r="M128" s="425">
        <f ca="1">SUMIF($A$70:$M$122,$B128,$M$70:$M$122)</f>
        <v>0</v>
      </c>
      <c r="N128" s="425"/>
      <c r="S128" s="1"/>
    </row>
    <row r="129" spans="2:21">
      <c r="B129" s="518">
        <v>2</v>
      </c>
      <c r="C129" s="451">
        <f ca="1">SUMIF($G$11:$P$42,$B129,$P$11:$P$42)</f>
        <v>0</v>
      </c>
      <c r="D129" s="425">
        <f ca="1">SUMIF($A$70:$M$122,$B129,$D$70:$D$122)</f>
        <v>0</v>
      </c>
      <c r="E129" s="425">
        <f ca="1">SUMIF($A$70:$M$122,$B129,$E$70:$E$122)</f>
        <v>0</v>
      </c>
      <c r="F129" s="425">
        <f ca="1">SUMIF($A$70:$M$122,$B129,$F$70:$F$122)</f>
        <v>0</v>
      </c>
      <c r="G129" s="425">
        <f ca="1">SUMIF($A$70:$M$122,$B129,$G$70:$G$122)</f>
        <v>0</v>
      </c>
      <c r="H129" s="425">
        <f ca="1">SUMIF($A$70:$M$122,$B129,$H$70:$H$122)</f>
        <v>0</v>
      </c>
      <c r="I129" s="425">
        <f ca="1">SUMIF($A$70:$M$122,$B129,$I$70:$I$122)</f>
        <v>0</v>
      </c>
      <c r="J129" s="425">
        <f ca="1">SUMIF($A$70:$M$122,$B129,$J$70:$J$122)</f>
        <v>0</v>
      </c>
      <c r="K129" s="425"/>
      <c r="L129" s="425">
        <f ca="1">SUMIF($A$70:$M$122,$B129,$L$70:$L$122)</f>
        <v>0</v>
      </c>
      <c r="M129" s="425">
        <f ca="1">SUMIF($A$70:$M$122,$B129,$M$70:$M$122)</f>
        <v>0</v>
      </c>
      <c r="N129" s="425"/>
      <c r="S129" s="1"/>
    </row>
    <row r="130" spans="2:21">
      <c r="B130" s="518">
        <v>3</v>
      </c>
      <c r="C130" s="451">
        <f ca="1">SUMIF($G$11:$P$42,$B130,$P$11:$P$42)</f>
        <v>0</v>
      </c>
      <c r="D130" s="425">
        <f ca="1">SUMIF($A$70:$M$122,$B130,$D$70:$D$122)</f>
        <v>0</v>
      </c>
      <c r="E130" s="425">
        <f ca="1">SUMIF($A$70:$M$122,$B130,$E$70:$E$122)</f>
        <v>0</v>
      </c>
      <c r="F130" s="425">
        <f ca="1">SUMIF($A$70:$M$122,$B130,$F$70:$F$122)</f>
        <v>0</v>
      </c>
      <c r="G130" s="425">
        <f ca="1">SUMIF($A$70:$M$122,$B130,$G$70:$G$122)</f>
        <v>0</v>
      </c>
      <c r="H130" s="425">
        <f ca="1">SUMIF($A$70:$M$122,$B130,$H$70:$H$122)</f>
        <v>0</v>
      </c>
      <c r="I130" s="425">
        <f ca="1">SUMIF($A$70:$M$122,$B130,$I$70:$I$122)</f>
        <v>0</v>
      </c>
      <c r="J130" s="425">
        <f ca="1">SUMIF($A$70:$M$122,$B130,$J$70:$J$122)</f>
        <v>0</v>
      </c>
      <c r="K130" s="425"/>
      <c r="L130" s="425">
        <f ca="1">SUMIF($A$70:$M$122,$B130,$L$70:$L$122)</f>
        <v>0</v>
      </c>
      <c r="M130" s="425">
        <f ca="1">SUMIF($A$70:$M$122,$B130,$M$70:$M$122)</f>
        <v>0</v>
      </c>
      <c r="N130" s="425"/>
      <c r="S130" s="1"/>
    </row>
    <row r="131" spans="2:21">
      <c r="B131" s="518">
        <v>4</v>
      </c>
      <c r="C131" s="451">
        <f ca="1">SUMIF($G$11:$P$42,$B131,$P$11:$P$42)</f>
        <v>0</v>
      </c>
      <c r="D131" s="425">
        <f ca="1">SUMIF($A$70:$M$122,$B131,$D$70:$D$122)</f>
        <v>0</v>
      </c>
      <c r="E131" s="425">
        <f ca="1">SUMIF($A$70:$M$122,$B131,$E$70:$E$122)</f>
        <v>0</v>
      </c>
      <c r="F131" s="425">
        <f ca="1">SUMIF($A$70:$M$122,$B131,$F$70:$F$122)</f>
        <v>0</v>
      </c>
      <c r="G131" s="425">
        <f ca="1">SUMIF($A$70:$M$122,$B131,$G$70:$G$122)</f>
        <v>0</v>
      </c>
      <c r="H131" s="425">
        <f ca="1">SUMIF($A$70:$M$122,$B131,$H$70:$H$122)</f>
        <v>0</v>
      </c>
      <c r="I131" s="425">
        <f ca="1">SUMIF($A$70:$M$122,$B131,$I$70:$I$122)</f>
        <v>0</v>
      </c>
      <c r="J131" s="425">
        <f ca="1">SUMIF($A$70:$M$122,$B131,$J$70:$J$122)</f>
        <v>0</v>
      </c>
      <c r="K131" s="425"/>
      <c r="L131" s="425">
        <f ca="1">SUMIF($A$70:$M$122,$B131,$L$70:$L$122)</f>
        <v>0</v>
      </c>
      <c r="M131" s="425">
        <f ca="1">SUMIF($A$70:$M$122,$B131,$M$70:$M$122)</f>
        <v>0</v>
      </c>
      <c r="N131" s="425"/>
      <c r="S131" s="1"/>
    </row>
    <row r="132" spans="2:21">
      <c r="B132" s="450"/>
      <c r="E132" s="200"/>
      <c r="F132" s="200"/>
      <c r="S132" s="1"/>
    </row>
    <row r="133" spans="2:21" s="273" customFormat="1" ht="23" customHeight="1">
      <c r="B133" s="272"/>
      <c r="C133" s="272"/>
      <c r="D133" s="272"/>
      <c r="E133" s="274"/>
      <c r="F133" s="405"/>
      <c r="G133" s="405"/>
      <c r="H133" s="303" t="s">
        <v>267</v>
      </c>
      <c r="I133" s="275">
        <f ca="1">SUM(I128:I132)</f>
        <v>0</v>
      </c>
      <c r="J133" s="275">
        <f ca="1">SUM(J128:J132)</f>
        <v>0</v>
      </c>
      <c r="K133" s="303" t="s">
        <v>267</v>
      </c>
      <c r="L133" s="276">
        <f ca="1">SUM(L128:L132)</f>
        <v>0</v>
      </c>
      <c r="M133" s="276">
        <f ca="1">SUM(M128:M132)</f>
        <v>0</v>
      </c>
      <c r="N133" s="276"/>
      <c r="O133" s="1"/>
      <c r="P133" s="277"/>
      <c r="Q133" s="272"/>
      <c r="R133" s="272"/>
      <c r="S133" s="272"/>
    </row>
    <row r="134" spans="2:21" s="270" customFormat="1" ht="39">
      <c r="B134" s="271" t="s">
        <v>121</v>
      </c>
      <c r="C134" s="271" t="s">
        <v>1076</v>
      </c>
      <c r="D134" s="271" t="s">
        <v>318</v>
      </c>
      <c r="E134" s="268" t="s">
        <v>319</v>
      </c>
      <c r="F134" s="268" t="s">
        <v>183</v>
      </c>
      <c r="G134" s="268" t="s">
        <v>398</v>
      </c>
      <c r="H134" s="268"/>
      <c r="I134" s="832"/>
      <c r="J134" s="832"/>
      <c r="K134" s="832"/>
      <c r="L134" s="832"/>
      <c r="M134" s="832"/>
      <c r="N134" s="832"/>
      <c r="O134" s="272"/>
      <c r="P134" s="269"/>
      <c r="Q134" s="269"/>
      <c r="R134" s="269"/>
      <c r="S134" s="269"/>
      <c r="T134" s="269"/>
      <c r="U134" s="269"/>
    </row>
    <row r="135" spans="2:21">
      <c r="B135" s="281"/>
      <c r="E135" s="200"/>
      <c r="F135" s="200"/>
      <c r="O135" s="269"/>
      <c r="S135" s="1"/>
    </row>
    <row r="136" spans="2:21">
      <c r="B136" s="518">
        <v>1</v>
      </c>
      <c r="C136" s="611">
        <f ca="1">SUMIF($A$11:$A$64,$B136,$E$11:$E$64)+SUMIF($A$11:$A$64,$B136,$F$11:$F$64)</f>
        <v>11468.114</v>
      </c>
      <c r="D136" s="614">
        <f ca="1">SUMIF($A$11:$A$64,$B136,$H$11:$H$64)</f>
        <v>0</v>
      </c>
      <c r="E136" s="614">
        <f ca="1">SUMIF($A$11:$A$64,$B136,$I$11:$I$64)</f>
        <v>0</v>
      </c>
      <c r="F136" s="614">
        <f ca="1">SUMIF($A$11:$A$64,B136,$K$11:$K$64)</f>
        <v>0</v>
      </c>
      <c r="G136" s="614">
        <f>SUMIF($A$11:$A$64,$B136,$L$11:$L$64)</f>
        <v>6554.77</v>
      </c>
      <c r="H136" s="456"/>
      <c r="I136" s="456"/>
      <c r="J136" s="456"/>
      <c r="K136" s="456"/>
      <c r="L136" s="456"/>
      <c r="M136" s="456"/>
      <c r="N136" s="456"/>
      <c r="S136" s="1"/>
    </row>
    <row r="137" spans="2:21">
      <c r="B137" s="518">
        <v>2</v>
      </c>
      <c r="C137" s="611">
        <f>SUMIF($A$11:$A$64,$B137,$E$11:$E$64)+SUMIF($A$11:$A$64,$B137,$F$11:$F$64)</f>
        <v>0</v>
      </c>
      <c r="D137" s="614">
        <f>SUMIF($A$11:$A$64,$B137,$H$11:$H$64)</f>
        <v>0</v>
      </c>
      <c r="E137" s="614">
        <f>SUMIF($A$11:$A$64,$B137,$I$11:$I$64)</f>
        <v>0</v>
      </c>
      <c r="F137" s="614">
        <f>SUMIF($A$11:$A$64,B137,$K$11:$K$64)</f>
        <v>0</v>
      </c>
      <c r="G137" s="614">
        <f>SUMIF($A$11:$A$64,$B137,$L$11:$L$64)</f>
        <v>0</v>
      </c>
      <c r="H137" s="456"/>
      <c r="I137" s="456"/>
      <c r="J137" s="456"/>
      <c r="K137" s="456"/>
      <c r="L137" s="456"/>
      <c r="M137" s="456"/>
      <c r="N137" s="456"/>
      <c r="S137" s="1"/>
    </row>
    <row r="138" spans="2:21">
      <c r="B138" s="518">
        <v>3</v>
      </c>
      <c r="C138" s="611">
        <f>SUMIF($A$11:$A$64,$B138,$E$11:$E$64)+SUMIF($A$11:$A$64,$B138,$F$11:$F$64)</f>
        <v>0</v>
      </c>
      <c r="D138" s="614">
        <f>SUMIF($A$11:$A$64,$B138,$H$11:$H$64)</f>
        <v>0</v>
      </c>
      <c r="E138" s="614">
        <f>SUMIF($A$11:$A$64,$B138,$I$11:$I$64)</f>
        <v>0</v>
      </c>
      <c r="F138" s="614">
        <f>SUMIF($A$11:$A$64,B138,$K$11:$K$64)</f>
        <v>0</v>
      </c>
      <c r="G138" s="614">
        <f>SUMIF($A$11:$A$64,$B138,$L$11:$L$64)</f>
        <v>0</v>
      </c>
      <c r="S138" s="1"/>
    </row>
    <row r="139" spans="2:21">
      <c r="B139" s="518">
        <v>4</v>
      </c>
      <c r="C139" s="611">
        <f>SUMIF($A$11:$A$64,$B139,$E$11:$E$64)+SUMIF($A$11:$A$64,$B139,$F$11:$F$64)</f>
        <v>0</v>
      </c>
      <c r="D139" s="614">
        <f>SUMIF($A$11:$A$64,$B139,$H$11:$H$64)</f>
        <v>0</v>
      </c>
      <c r="E139" s="614">
        <f>SUMIF($A$11:$A$64,$B139,$I$11:$I$64)</f>
        <v>0</v>
      </c>
      <c r="F139" s="614">
        <f>SUMIF($A$11:$A$64,B139,$K$11:$K$64)</f>
        <v>0</v>
      </c>
      <c r="G139" s="614">
        <f>SUMIF($A$11:$A$64,$B139,$L$11:$L$64)</f>
        <v>0</v>
      </c>
      <c r="S139" s="1"/>
    </row>
    <row r="140" spans="2:21" ht="14" thickBot="1">
      <c r="B140" s="281"/>
      <c r="C140" s="612"/>
      <c r="D140" s="200"/>
      <c r="E140" s="200"/>
      <c r="F140" s="200"/>
      <c r="S140" s="1"/>
    </row>
    <row r="141" spans="2:21" ht="15" thickTop="1" thickBot="1">
      <c r="B141" s="281"/>
      <c r="C141" s="613">
        <f ca="1">SUM(C136:C139)</f>
        <v>11468.114</v>
      </c>
      <c r="D141" s="830">
        <f ca="1">SUM(D136:E139)</f>
        <v>0</v>
      </c>
      <c r="E141" s="831"/>
      <c r="F141" s="615">
        <f ca="1">SUM(F136:F139)</f>
        <v>0</v>
      </c>
      <c r="G141" s="615">
        <f>SUM(G136:H139)</f>
        <v>6554.77</v>
      </c>
      <c r="S141" s="1"/>
    </row>
    <row r="142" spans="2:21" ht="14" thickTop="1">
      <c r="B142" s="281"/>
      <c r="D142" s="456"/>
      <c r="E142" s="200"/>
      <c r="F142" s="200"/>
      <c r="S142" s="1"/>
    </row>
    <row r="143" spans="2:21">
      <c r="B143" s="282"/>
      <c r="C143" s="279"/>
      <c r="D143" s="279"/>
      <c r="E143" s="279"/>
      <c r="F143" s="279"/>
      <c r="G143" s="279"/>
      <c r="H143" s="279"/>
      <c r="I143" s="278"/>
      <c r="J143" s="278"/>
      <c r="K143" s="278"/>
      <c r="L143" s="403"/>
      <c r="M143" s="278"/>
      <c r="N143" s="278"/>
      <c r="S143" s="1"/>
    </row>
    <row r="144" spans="2:21">
      <c r="B144" s="283"/>
      <c r="C144" s="290" t="s">
        <v>236</v>
      </c>
      <c r="D144" s="290" t="s">
        <v>236</v>
      </c>
      <c r="E144" s="290" t="s">
        <v>236</v>
      </c>
      <c r="F144" s="290" t="s">
        <v>236</v>
      </c>
      <c r="G144" s="290" t="s">
        <v>236</v>
      </c>
      <c r="H144" s="280"/>
      <c r="I144" s="278"/>
      <c r="J144" s="278"/>
      <c r="K144" s="278"/>
      <c r="L144" s="278"/>
      <c r="M144" s="278"/>
      <c r="N144" s="278"/>
      <c r="S144" s="1"/>
    </row>
    <row r="145" spans="2:19">
      <c r="B145" s="283"/>
      <c r="C145" s="459">
        <v>2018</v>
      </c>
      <c r="D145" s="459">
        <f>C145+1</f>
        <v>2019</v>
      </c>
      <c r="E145" s="459">
        <f>D145+1</f>
        <v>2020</v>
      </c>
      <c r="F145" s="459">
        <f>E145+1</f>
        <v>2021</v>
      </c>
      <c r="G145" s="459">
        <f>F145+1</f>
        <v>2022</v>
      </c>
      <c r="H145" s="280"/>
      <c r="I145" s="278"/>
      <c r="J145" s="278"/>
      <c r="K145" s="278"/>
      <c r="L145" s="278"/>
      <c r="M145" s="278"/>
      <c r="N145" s="278"/>
      <c r="S145" s="1"/>
    </row>
    <row r="146" spans="2:19" s="273" customFormat="1" ht="18" customHeight="1">
      <c r="B146" s="292" t="s">
        <v>237</v>
      </c>
      <c r="C146" s="293"/>
      <c r="D146" s="293"/>
      <c r="E146" s="293"/>
      <c r="F146" s="293"/>
      <c r="G146" s="294"/>
      <c r="H146" s="295"/>
      <c r="I146" s="296"/>
      <c r="J146" s="296"/>
      <c r="K146" s="296"/>
      <c r="L146" s="296"/>
      <c r="M146" s="296"/>
      <c r="N146" s="296"/>
      <c r="O146" s="1"/>
      <c r="P146" s="272"/>
      <c r="Q146" s="272"/>
      <c r="R146" s="272"/>
      <c r="S146" s="272"/>
    </row>
    <row r="147" spans="2:19" ht="21" customHeight="1">
      <c r="B147" s="284" t="s">
        <v>238</v>
      </c>
      <c r="C147" s="297"/>
      <c r="D147" s="297"/>
      <c r="E147" s="297"/>
      <c r="F147" s="297"/>
      <c r="G147" s="297"/>
      <c r="H147" s="280"/>
      <c r="I147" s="278"/>
      <c r="J147" s="278"/>
      <c r="K147" s="278"/>
      <c r="L147" s="278"/>
      <c r="M147" s="278"/>
      <c r="N147" s="278"/>
      <c r="O147" s="272"/>
      <c r="S147" s="1"/>
    </row>
    <row r="148" spans="2:19" hidden="1">
      <c r="B148" s="285">
        <v>1</v>
      </c>
      <c r="C148" s="291">
        <f>B148*C147+B148</f>
        <v>1</v>
      </c>
      <c r="D148" s="291">
        <f>C148*D147+C148</f>
        <v>1</v>
      </c>
      <c r="E148" s="291">
        <f>D148*E147+D148</f>
        <v>1</v>
      </c>
      <c r="F148" s="291">
        <f>E148*F147+E148</f>
        <v>1</v>
      </c>
      <c r="G148" s="291">
        <f>F148*G147+F148</f>
        <v>1</v>
      </c>
      <c r="H148" s="280"/>
      <c r="I148" s="278"/>
      <c r="J148" s="278"/>
      <c r="K148" s="278"/>
      <c r="L148" s="278"/>
      <c r="M148" s="278"/>
      <c r="N148" s="278"/>
      <c r="S148" s="1"/>
    </row>
    <row r="149" spans="2:19" hidden="1">
      <c r="B149" s="283"/>
      <c r="C149" s="286">
        <f>MAX(B148:G148)-1</f>
        <v>0</v>
      </c>
      <c r="D149" s="288"/>
      <c r="E149" s="288"/>
      <c r="F149" s="288"/>
      <c r="G149" s="288"/>
      <c r="H149" s="280"/>
      <c r="I149" s="278"/>
      <c r="J149" s="278"/>
      <c r="K149" s="278"/>
      <c r="L149" s="278"/>
      <c r="M149" s="278"/>
      <c r="N149" s="278"/>
      <c r="S149" s="1"/>
    </row>
    <row r="150" spans="2:19">
      <c r="B150" s="281"/>
      <c r="C150" s="278"/>
      <c r="D150" s="278"/>
      <c r="E150" s="289"/>
      <c r="F150" s="289"/>
      <c r="G150" s="278"/>
      <c r="H150" s="287"/>
      <c r="I150" s="278"/>
      <c r="J150" s="278"/>
      <c r="K150" s="278"/>
      <c r="L150" s="278"/>
      <c r="M150" s="278"/>
      <c r="N150" s="278"/>
      <c r="S150" s="1"/>
    </row>
    <row r="151" spans="2:19">
      <c r="B151" s="281"/>
      <c r="E151" s="200"/>
      <c r="F151" s="200"/>
      <c r="H151" s="278"/>
      <c r="I151" s="278"/>
      <c r="J151" s="278"/>
      <c r="K151" s="278"/>
      <c r="L151" s="278"/>
      <c r="M151" s="278"/>
      <c r="N151" s="278"/>
      <c r="S151" s="1"/>
    </row>
    <row r="152" spans="2:19" hidden="1">
      <c r="E152" s="200"/>
      <c r="F152" s="200"/>
      <c r="S152" s="1"/>
    </row>
    <row r="153" spans="2:19" hidden="1">
      <c r="E153" s="200"/>
      <c r="F153" s="200"/>
      <c r="S153" s="1"/>
    </row>
    <row r="154" spans="2:19" hidden="1">
      <c r="E154" s="200"/>
      <c r="F154" s="200"/>
      <c r="S154" s="1"/>
    </row>
    <row r="155" spans="2:19" hidden="1">
      <c r="E155" s="200"/>
      <c r="F155" s="200"/>
      <c r="S155" s="1"/>
    </row>
    <row r="156" spans="2:19" hidden="1">
      <c r="E156" s="200"/>
      <c r="F156" s="200"/>
      <c r="S156" s="1"/>
    </row>
    <row r="157" spans="2:19" hidden="1">
      <c r="E157" s="200"/>
      <c r="F157" s="200"/>
      <c r="S157" s="1"/>
    </row>
    <row r="158" spans="2:19" hidden="1">
      <c r="E158" s="200"/>
      <c r="F158" s="200"/>
      <c r="S158" s="1"/>
    </row>
    <row r="159" spans="2:19" hidden="1">
      <c r="E159" s="200"/>
      <c r="F159" s="200"/>
      <c r="S159" s="1"/>
    </row>
    <row r="160" spans="2:19" hidden="1">
      <c r="E160" s="200"/>
      <c r="F160" s="200"/>
      <c r="S160" s="1"/>
    </row>
    <row r="161" spans="5:19" hidden="1">
      <c r="E161" s="200"/>
      <c r="F161" s="200"/>
      <c r="S161" s="1"/>
    </row>
    <row r="162" spans="5:19" hidden="1">
      <c r="E162" s="200"/>
      <c r="F162" s="200"/>
      <c r="S162" s="1"/>
    </row>
    <row r="163" spans="5:19" hidden="1">
      <c r="E163" s="200"/>
      <c r="F163" s="200"/>
      <c r="S163" s="1"/>
    </row>
    <row r="164" spans="5:19" hidden="1">
      <c r="E164" s="200"/>
      <c r="F164" s="200"/>
      <c r="S164" s="1"/>
    </row>
    <row r="165" spans="5:19" hidden="1">
      <c r="E165" s="200"/>
      <c r="F165" s="200"/>
      <c r="S165" s="1"/>
    </row>
    <row r="166" spans="5:19" hidden="1">
      <c r="E166" s="200"/>
      <c r="F166" s="200"/>
      <c r="S166" s="1"/>
    </row>
    <row r="167" spans="5:19" hidden="1">
      <c r="E167" s="200"/>
      <c r="F167" s="200"/>
      <c r="S167" s="1"/>
    </row>
    <row r="168" spans="5:19" hidden="1">
      <c r="E168" s="200"/>
      <c r="F168" s="200"/>
      <c r="S168" s="1"/>
    </row>
    <row r="169" spans="5:19" hidden="1">
      <c r="E169" s="200"/>
      <c r="F169" s="200"/>
      <c r="S169" s="1"/>
    </row>
    <row r="170" spans="5:19" hidden="1">
      <c r="E170" s="200"/>
      <c r="F170" s="200"/>
      <c r="S170" s="1"/>
    </row>
    <row r="171" spans="5:19" hidden="1">
      <c r="E171" s="200"/>
      <c r="F171" s="200"/>
      <c r="S171" s="1"/>
    </row>
    <row r="172" spans="5:19" hidden="1">
      <c r="E172" s="200"/>
      <c r="F172" s="200"/>
      <c r="S172" s="1"/>
    </row>
    <row r="173" spans="5:19" hidden="1">
      <c r="E173" s="200"/>
      <c r="F173" s="200"/>
      <c r="S173" s="1"/>
    </row>
    <row r="174" spans="5:19" hidden="1">
      <c r="E174" s="200"/>
      <c r="F174" s="200"/>
      <c r="S174" s="1"/>
    </row>
    <row r="175" spans="5:19" hidden="1">
      <c r="E175" s="200"/>
      <c r="F175" s="200"/>
      <c r="S175" s="1"/>
    </row>
    <row r="176" spans="5:19" hidden="1">
      <c r="E176" s="200"/>
      <c r="F176" s="200"/>
      <c r="S176" s="1"/>
    </row>
    <row r="177" spans="5:19" hidden="1">
      <c r="E177" s="200"/>
      <c r="F177" s="200"/>
      <c r="S177" s="1"/>
    </row>
    <row r="178" spans="5:19" hidden="1">
      <c r="E178" s="200"/>
      <c r="F178" s="200"/>
      <c r="S178" s="1"/>
    </row>
    <row r="179" spans="5:19" hidden="1">
      <c r="E179" s="200"/>
      <c r="F179" s="200"/>
      <c r="S179" s="1"/>
    </row>
    <row r="180" spans="5:19" hidden="1">
      <c r="E180" s="200"/>
      <c r="F180" s="200"/>
      <c r="S180" s="1"/>
    </row>
    <row r="181" spans="5:19" hidden="1">
      <c r="E181" s="200"/>
      <c r="F181" s="200"/>
      <c r="S181" s="1"/>
    </row>
    <row r="182" spans="5:19" hidden="1">
      <c r="E182" s="200"/>
      <c r="F182" s="200"/>
      <c r="S182" s="1"/>
    </row>
    <row r="183" spans="5:19" hidden="1">
      <c r="E183" s="200"/>
      <c r="F183" s="200"/>
      <c r="S183" s="1"/>
    </row>
    <row r="184" spans="5:19" hidden="1">
      <c r="E184" s="200"/>
      <c r="F184" s="200"/>
      <c r="S184" s="1"/>
    </row>
    <row r="185" spans="5:19" hidden="1">
      <c r="E185" s="200"/>
      <c r="F185" s="200"/>
      <c r="S185" s="1"/>
    </row>
    <row r="186" spans="5:19" hidden="1">
      <c r="E186" s="200"/>
      <c r="F186" s="200"/>
      <c r="S186" s="1"/>
    </row>
    <row r="187" spans="5:19" hidden="1">
      <c r="E187" s="200"/>
      <c r="F187" s="200"/>
      <c r="S187" s="1"/>
    </row>
    <row r="188" spans="5:19" hidden="1">
      <c r="E188" s="200"/>
      <c r="F188" s="200"/>
      <c r="S188" s="1"/>
    </row>
    <row r="189" spans="5:19" hidden="1">
      <c r="E189" s="200"/>
      <c r="F189" s="200"/>
      <c r="S189" s="1"/>
    </row>
    <row r="190" spans="5:19" hidden="1">
      <c r="E190" s="200"/>
      <c r="F190" s="200"/>
      <c r="S190" s="1"/>
    </row>
    <row r="191" spans="5:19" hidden="1">
      <c r="E191" s="200"/>
      <c r="F191" s="200"/>
      <c r="S191" s="1"/>
    </row>
    <row r="192" spans="5:19" hidden="1">
      <c r="E192" s="200"/>
      <c r="F192" s="200"/>
      <c r="S192" s="1"/>
    </row>
    <row r="193" spans="5:19" hidden="1">
      <c r="E193" s="200"/>
      <c r="F193" s="200"/>
      <c r="S193" s="1"/>
    </row>
    <row r="194" spans="5:19" hidden="1">
      <c r="E194" s="200"/>
      <c r="F194" s="200"/>
      <c r="S194" s="1"/>
    </row>
    <row r="195" spans="5:19" hidden="1">
      <c r="E195" s="200"/>
      <c r="F195" s="200"/>
      <c r="S195" s="1"/>
    </row>
    <row r="196" spans="5:19" hidden="1">
      <c r="E196" s="200"/>
      <c r="F196" s="200"/>
      <c r="S196" s="1"/>
    </row>
    <row r="197" spans="5:19" hidden="1">
      <c r="E197" s="200"/>
      <c r="F197" s="200"/>
      <c r="S197" s="1"/>
    </row>
    <row r="198" spans="5:19" hidden="1">
      <c r="E198" s="200"/>
      <c r="F198" s="200"/>
      <c r="S198" s="1"/>
    </row>
    <row r="199" spans="5:19" hidden="1">
      <c r="E199" s="200"/>
      <c r="F199" s="200"/>
      <c r="S199" s="1"/>
    </row>
    <row r="200" spans="5:19" hidden="1">
      <c r="E200" s="200"/>
      <c r="F200" s="200"/>
      <c r="S200" s="1"/>
    </row>
    <row r="201" spans="5:19" hidden="1">
      <c r="E201" s="200"/>
      <c r="F201" s="200"/>
      <c r="S201" s="1"/>
    </row>
    <row r="202" spans="5:19" hidden="1">
      <c r="E202" s="200"/>
      <c r="F202" s="200"/>
      <c r="S202" s="1"/>
    </row>
    <row r="203" spans="5:19" hidden="1">
      <c r="E203" s="200"/>
      <c r="F203" s="200"/>
      <c r="S203" s="1"/>
    </row>
    <row r="204" spans="5:19" hidden="1">
      <c r="E204" s="200"/>
      <c r="F204" s="200"/>
      <c r="S204" s="1"/>
    </row>
    <row r="205" spans="5:19" hidden="1">
      <c r="E205" s="200"/>
      <c r="F205" s="200"/>
      <c r="S205" s="1"/>
    </row>
    <row r="206" spans="5:19" hidden="1">
      <c r="E206" s="200"/>
      <c r="F206" s="200"/>
      <c r="S206" s="1"/>
    </row>
    <row r="207" spans="5:19" hidden="1">
      <c r="E207" s="200"/>
      <c r="F207" s="200"/>
      <c r="S207" s="1"/>
    </row>
    <row r="208" spans="5:19" hidden="1">
      <c r="E208" s="200"/>
      <c r="F208" s="200"/>
      <c r="S208" s="1"/>
    </row>
    <row r="209" spans="5:19" hidden="1">
      <c r="E209" s="200"/>
      <c r="F209" s="200"/>
      <c r="S209" s="1"/>
    </row>
    <row r="210" spans="5:19" hidden="1">
      <c r="E210" s="200"/>
      <c r="F210" s="200"/>
      <c r="S210" s="1"/>
    </row>
    <row r="211" spans="5:19" hidden="1">
      <c r="E211" s="200"/>
      <c r="F211" s="200"/>
      <c r="S211" s="1"/>
    </row>
    <row r="212" spans="5:19" hidden="1">
      <c r="E212" s="200"/>
      <c r="F212" s="200"/>
      <c r="S212" s="1"/>
    </row>
    <row r="213" spans="5:19" hidden="1">
      <c r="E213" s="200"/>
      <c r="F213" s="200"/>
      <c r="S213" s="1"/>
    </row>
    <row r="214" spans="5:19" hidden="1">
      <c r="E214" s="200"/>
      <c r="F214" s="200"/>
      <c r="S214" s="1"/>
    </row>
    <row r="215" spans="5:19" hidden="1">
      <c r="E215" s="200"/>
      <c r="F215" s="200"/>
      <c r="S215" s="1"/>
    </row>
    <row r="216" spans="5:19" hidden="1">
      <c r="E216" s="200"/>
      <c r="F216" s="200"/>
      <c r="S216" s="1"/>
    </row>
    <row r="217" spans="5:19" hidden="1">
      <c r="E217" s="200"/>
      <c r="F217" s="200"/>
      <c r="S217" s="1"/>
    </row>
    <row r="218" spans="5:19" hidden="1">
      <c r="E218" s="200"/>
      <c r="F218" s="200"/>
      <c r="S218" s="1"/>
    </row>
    <row r="219" spans="5:19" hidden="1">
      <c r="E219" s="200"/>
      <c r="F219" s="200"/>
      <c r="S219" s="1"/>
    </row>
    <row r="220" spans="5:19" hidden="1">
      <c r="E220" s="200"/>
      <c r="F220" s="200"/>
      <c r="S220" s="1"/>
    </row>
    <row r="221" spans="5:19" hidden="1">
      <c r="E221" s="200"/>
      <c r="F221" s="200"/>
      <c r="S221" s="1"/>
    </row>
    <row r="222" spans="5:19" hidden="1">
      <c r="E222" s="200"/>
      <c r="F222" s="200"/>
      <c r="S222" s="1"/>
    </row>
    <row r="223" spans="5:19" hidden="1">
      <c r="E223" s="200"/>
      <c r="F223" s="200"/>
      <c r="S223" s="1"/>
    </row>
    <row r="224" spans="5:19" hidden="1">
      <c r="E224" s="200"/>
      <c r="F224" s="200"/>
      <c r="S224" s="1"/>
    </row>
    <row r="225" spans="5:19" hidden="1">
      <c r="E225" s="200"/>
      <c r="F225" s="200"/>
      <c r="S225" s="1"/>
    </row>
    <row r="226" spans="5:19" hidden="1">
      <c r="E226" s="200"/>
      <c r="F226" s="200"/>
      <c r="S226" s="1"/>
    </row>
    <row r="227" spans="5:19" hidden="1">
      <c r="E227" s="200"/>
      <c r="F227" s="200"/>
      <c r="S227" s="1"/>
    </row>
    <row r="228" spans="5:19" hidden="1">
      <c r="E228" s="200"/>
      <c r="F228" s="200"/>
      <c r="S228" s="1"/>
    </row>
    <row r="229" spans="5:19" hidden="1">
      <c r="E229" s="200"/>
      <c r="F229" s="200"/>
      <c r="S229" s="1"/>
    </row>
    <row r="230" spans="5:19" hidden="1">
      <c r="E230" s="200"/>
      <c r="F230" s="200"/>
      <c r="S230" s="1"/>
    </row>
    <row r="231" spans="5:19" hidden="1">
      <c r="E231" s="200"/>
      <c r="F231" s="200"/>
      <c r="S231" s="1"/>
    </row>
    <row r="232" spans="5:19" hidden="1">
      <c r="E232" s="200"/>
      <c r="F232" s="200"/>
      <c r="S232" s="1"/>
    </row>
    <row r="233" spans="5:19" hidden="1">
      <c r="E233" s="200"/>
      <c r="F233" s="200"/>
      <c r="S233" s="1"/>
    </row>
    <row r="234" spans="5:19" hidden="1">
      <c r="E234" s="200"/>
      <c r="F234" s="200"/>
      <c r="S234" s="1"/>
    </row>
    <row r="235" spans="5:19" hidden="1">
      <c r="E235" s="200"/>
      <c r="F235" s="200"/>
      <c r="S235" s="1"/>
    </row>
    <row r="236" spans="5:19" hidden="1">
      <c r="E236" s="200"/>
      <c r="F236" s="200"/>
      <c r="S236" s="1"/>
    </row>
    <row r="237" spans="5:19" hidden="1">
      <c r="E237" s="200"/>
      <c r="F237" s="200"/>
      <c r="S237" s="1"/>
    </row>
    <row r="238" spans="5:19" hidden="1">
      <c r="E238" s="200"/>
      <c r="F238" s="200"/>
      <c r="S238" s="1"/>
    </row>
    <row r="239" spans="5:19" hidden="1">
      <c r="E239" s="200"/>
      <c r="F239" s="200"/>
      <c r="S239" s="1"/>
    </row>
    <row r="240" spans="5:19" hidden="1">
      <c r="E240" s="200"/>
      <c r="F240" s="200"/>
      <c r="S240" s="1"/>
    </row>
    <row r="241" spans="5:19" hidden="1">
      <c r="E241" s="200"/>
      <c r="F241" s="200"/>
      <c r="S241" s="1"/>
    </row>
    <row r="242" spans="5:19" hidden="1">
      <c r="E242" s="200"/>
      <c r="F242" s="200"/>
      <c r="S242" s="1"/>
    </row>
    <row r="243" spans="5:19" hidden="1">
      <c r="E243" s="200"/>
      <c r="F243" s="200"/>
      <c r="S243" s="1"/>
    </row>
    <row r="244" spans="5:19" hidden="1">
      <c r="E244" s="200"/>
      <c r="F244" s="200"/>
      <c r="S244" s="1"/>
    </row>
    <row r="245" spans="5:19" hidden="1">
      <c r="E245" s="200"/>
      <c r="F245" s="200"/>
      <c r="S245" s="1"/>
    </row>
    <row r="246" spans="5:19" hidden="1">
      <c r="E246" s="200"/>
      <c r="F246" s="200"/>
      <c r="S246" s="1"/>
    </row>
    <row r="247" spans="5:19" hidden="1">
      <c r="E247" s="200"/>
      <c r="F247" s="200"/>
      <c r="S247" s="1"/>
    </row>
    <row r="248" spans="5:19" hidden="1">
      <c r="E248" s="200"/>
      <c r="F248" s="200"/>
      <c r="S248" s="1"/>
    </row>
    <row r="249" spans="5:19" hidden="1">
      <c r="E249" s="200"/>
      <c r="F249" s="200"/>
      <c r="S249" s="1"/>
    </row>
    <row r="250" spans="5:19" hidden="1">
      <c r="E250" s="200"/>
      <c r="F250" s="200"/>
      <c r="S250" s="1"/>
    </row>
    <row r="251" spans="5:19" hidden="1">
      <c r="E251" s="200"/>
      <c r="F251" s="200"/>
      <c r="S251" s="1"/>
    </row>
    <row r="252" spans="5:19" hidden="1">
      <c r="E252" s="200"/>
      <c r="F252" s="200"/>
      <c r="S252" s="1"/>
    </row>
    <row r="253" spans="5:19" hidden="1">
      <c r="E253" s="200"/>
      <c r="F253" s="200"/>
      <c r="S253" s="1"/>
    </row>
    <row r="254" spans="5:19" hidden="1">
      <c r="E254" s="200"/>
      <c r="F254" s="200"/>
      <c r="S254" s="1"/>
    </row>
    <row r="255" spans="5:19" hidden="1">
      <c r="E255" s="200"/>
      <c r="F255" s="200"/>
      <c r="S255" s="1"/>
    </row>
    <row r="256" spans="5:19" hidden="1">
      <c r="E256" s="200"/>
      <c r="F256" s="200"/>
      <c r="S256" s="1"/>
    </row>
    <row r="257" spans="5:19" hidden="1">
      <c r="E257" s="200"/>
      <c r="F257" s="200"/>
      <c r="S257" s="1"/>
    </row>
    <row r="258" spans="5:19" hidden="1">
      <c r="E258" s="200"/>
      <c r="F258" s="200"/>
      <c r="S258" s="1"/>
    </row>
    <row r="259" spans="5:19" hidden="1">
      <c r="E259" s="200"/>
      <c r="F259" s="200"/>
      <c r="S259" s="1"/>
    </row>
    <row r="260" spans="5:19" hidden="1">
      <c r="E260" s="200"/>
      <c r="F260" s="200"/>
      <c r="S260" s="1"/>
    </row>
    <row r="261" spans="5:19" hidden="1">
      <c r="E261" s="200"/>
      <c r="F261" s="200"/>
      <c r="S261" s="1"/>
    </row>
    <row r="262" spans="5:19" hidden="1">
      <c r="E262" s="200"/>
      <c r="F262" s="200"/>
      <c r="S262" s="1"/>
    </row>
    <row r="263" spans="5:19" hidden="1">
      <c r="E263" s="200"/>
      <c r="F263" s="200"/>
      <c r="S263" s="1"/>
    </row>
    <row r="264" spans="5:19" hidden="1">
      <c r="E264" s="200"/>
      <c r="F264" s="200"/>
    </row>
    <row r="265" spans="5:19" hidden="1">
      <c r="E265" s="200"/>
      <c r="F265" s="200"/>
    </row>
    <row r="266" spans="5:19" hidden="1">
      <c r="E266" s="200"/>
      <c r="F266" s="200"/>
    </row>
    <row r="267" spans="5:19" hidden="1">
      <c r="E267" s="200"/>
      <c r="F267" s="200"/>
    </row>
    <row r="268" spans="5:19" hidden="1">
      <c r="E268" s="200"/>
      <c r="F268" s="200"/>
    </row>
    <row r="269" spans="5:19" hidden="1">
      <c r="E269" s="200"/>
      <c r="F269" s="200"/>
    </row>
    <row r="270" spans="5:19" hidden="1">
      <c r="E270" s="200"/>
      <c r="F270" s="200"/>
    </row>
    <row r="271" spans="5:19" hidden="1">
      <c r="E271" s="200"/>
      <c r="F271" s="200"/>
    </row>
    <row r="272" spans="5:19" hidden="1">
      <c r="E272" s="200"/>
      <c r="F272" s="200"/>
    </row>
    <row r="273" spans="5:6" hidden="1">
      <c r="E273" s="200"/>
      <c r="F273" s="200"/>
    </row>
    <row r="274" spans="5:6" hidden="1">
      <c r="E274" s="200"/>
      <c r="F274" s="200"/>
    </row>
    <row r="275" spans="5:6" hidden="1">
      <c r="E275" s="200"/>
      <c r="F275" s="200"/>
    </row>
    <row r="276" spans="5:6" hidden="1">
      <c r="E276" s="200"/>
      <c r="F276" s="200"/>
    </row>
    <row r="277" spans="5:6" hidden="1">
      <c r="E277" s="200"/>
      <c r="F277" s="200"/>
    </row>
    <row r="278" spans="5:6" hidden="1">
      <c r="E278" s="200"/>
      <c r="F278" s="200"/>
    </row>
    <row r="279" spans="5:6" hidden="1">
      <c r="E279" s="200"/>
      <c r="F279" s="200"/>
    </row>
    <row r="280" spans="5:6" hidden="1">
      <c r="E280" s="200"/>
      <c r="F280" s="200"/>
    </row>
    <row r="281" spans="5:6" hidden="1">
      <c r="E281" s="200"/>
      <c r="F281" s="200"/>
    </row>
    <row r="282" spans="5:6" hidden="1">
      <c r="E282" s="200"/>
      <c r="F282" s="200"/>
    </row>
    <row r="283" spans="5:6" hidden="1">
      <c r="E283" s="200"/>
      <c r="F283" s="200"/>
    </row>
    <row r="284" spans="5:6" hidden="1">
      <c r="E284" s="200"/>
      <c r="F284" s="200"/>
    </row>
    <row r="285" spans="5:6" hidden="1">
      <c r="E285" s="200"/>
      <c r="F285" s="200"/>
    </row>
    <row r="286" spans="5:6" hidden="1">
      <c r="E286" s="200"/>
      <c r="F286" s="200"/>
    </row>
    <row r="287" spans="5:6" hidden="1">
      <c r="E287" s="200"/>
      <c r="F287" s="200"/>
    </row>
    <row r="288" spans="5:6" hidden="1">
      <c r="E288" s="200"/>
      <c r="F288" s="200"/>
    </row>
    <row r="289" spans="5:6" hidden="1">
      <c r="E289" s="200"/>
      <c r="F289" s="200"/>
    </row>
    <row r="290" spans="5:6" hidden="1">
      <c r="E290" s="200"/>
      <c r="F290" s="200"/>
    </row>
    <row r="291" spans="5:6" hidden="1">
      <c r="E291" s="200"/>
      <c r="F291" s="200"/>
    </row>
    <row r="292" spans="5:6" hidden="1">
      <c r="E292" s="200"/>
      <c r="F292" s="200"/>
    </row>
    <row r="293" spans="5:6" hidden="1">
      <c r="E293" s="200"/>
      <c r="F293" s="200"/>
    </row>
    <row r="294" spans="5:6" hidden="1">
      <c r="E294" s="200"/>
      <c r="F294" s="200"/>
    </row>
    <row r="295" spans="5:6" hidden="1">
      <c r="E295" s="200"/>
      <c r="F295" s="200"/>
    </row>
    <row r="296" spans="5:6" hidden="1">
      <c r="E296" s="200"/>
      <c r="F296" s="200"/>
    </row>
    <row r="297" spans="5:6" hidden="1">
      <c r="E297" s="200"/>
      <c r="F297" s="200"/>
    </row>
    <row r="298" spans="5:6" hidden="1">
      <c r="E298" s="200"/>
      <c r="F298" s="200"/>
    </row>
    <row r="299" spans="5:6" hidden="1">
      <c r="E299" s="200"/>
      <c r="F299" s="200"/>
    </row>
    <row r="300" spans="5:6" hidden="1">
      <c r="E300" s="200"/>
      <c r="F300" s="200"/>
    </row>
    <row r="301" spans="5:6" hidden="1">
      <c r="E301" s="200"/>
      <c r="F301" s="200"/>
    </row>
    <row r="302" spans="5:6" hidden="1">
      <c r="E302" s="200"/>
      <c r="F302" s="200"/>
    </row>
    <row r="303" spans="5:6" hidden="1">
      <c r="E303" s="200"/>
      <c r="F303" s="200"/>
    </row>
    <row r="304" spans="5:6" hidden="1">
      <c r="E304" s="200"/>
      <c r="F304" s="200"/>
    </row>
    <row r="305" spans="5:6" hidden="1">
      <c r="E305" s="200"/>
      <c r="F305" s="200"/>
    </row>
    <row r="306" spans="5:6" hidden="1">
      <c r="E306" s="200"/>
      <c r="F306" s="200"/>
    </row>
    <row r="307" spans="5:6" hidden="1">
      <c r="E307" s="200"/>
      <c r="F307" s="200"/>
    </row>
    <row r="308" spans="5:6" hidden="1">
      <c r="E308" s="200"/>
      <c r="F308" s="200"/>
    </row>
    <row r="309" spans="5:6" hidden="1">
      <c r="E309" s="200"/>
      <c r="F309" s="200"/>
    </row>
    <row r="310" spans="5:6" hidden="1">
      <c r="E310" s="200"/>
      <c r="F310" s="200"/>
    </row>
    <row r="311" spans="5:6" hidden="1">
      <c r="E311" s="200"/>
      <c r="F311" s="200"/>
    </row>
    <row r="312" spans="5:6" hidden="1">
      <c r="E312" s="200"/>
      <c r="F312" s="200"/>
    </row>
    <row r="313" spans="5:6" hidden="1">
      <c r="E313" s="200"/>
      <c r="F313" s="200"/>
    </row>
    <row r="314" spans="5:6" hidden="1">
      <c r="E314" s="200"/>
      <c r="F314" s="200"/>
    </row>
    <row r="315" spans="5:6" hidden="1">
      <c r="E315" s="200"/>
      <c r="F315" s="200"/>
    </row>
    <row r="316" spans="5:6" hidden="1">
      <c r="E316" s="200"/>
      <c r="F316" s="200"/>
    </row>
    <row r="317" spans="5:6" hidden="1">
      <c r="E317" s="200"/>
      <c r="F317" s="200"/>
    </row>
    <row r="318" spans="5:6" hidden="1">
      <c r="E318" s="200"/>
      <c r="F318" s="200"/>
    </row>
    <row r="319" spans="5:6" hidden="1">
      <c r="E319" s="200"/>
      <c r="F319" s="200"/>
    </row>
    <row r="320" spans="5:6" hidden="1">
      <c r="E320" s="200"/>
      <c r="F320" s="200"/>
    </row>
    <row r="321"/>
    <row r="322"/>
    <row r="323"/>
    <row r="324"/>
    <row r="325" hidden="1"/>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sheetData>
  <autoFilter ref="B10:M63"/>
  <sortState ref="A36:U47">
    <sortCondition ref="B36"/>
  </sortState>
  <mergeCells count="2">
    <mergeCell ref="D141:E141"/>
    <mergeCell ref="I134:N134"/>
  </mergeCells>
  <phoneticPr fontId="45"/>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rowBreaks count="2" manualBreakCount="2">
    <brk id="67" min="1" max="13" man="1"/>
    <brk id="122" min="1" max="13" man="1"/>
  </rowBreaks>
  <colBreaks count="1" manualBreakCount="1">
    <brk id="13" min="9" max="147" man="1"/>
  </colBreaks>
  <drawing r:id="rId1"/>
  <legacyDrawing r:id="rId2"/>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sheetPr>
  <dimension ref="C1:AC119"/>
  <sheetViews>
    <sheetView showGridLines="0" showZeros="0" showOutlineSymbols="0" topLeftCell="B1" zoomScaleSheetLayoutView="75" workbookViewId="0">
      <selection activeCell="D25" sqref="D25"/>
    </sheetView>
  </sheetViews>
  <sheetFormatPr baseColWidth="10" defaultColWidth="10.7109375" defaultRowHeight="13" x14ac:dyDescent="0"/>
  <cols>
    <col min="1" max="1" width="0" style="88" hidden="1" customWidth="1"/>
    <col min="2" max="2" width="2.28515625" style="88" customWidth="1"/>
    <col min="3" max="3" width="12.7109375" style="78" customWidth="1"/>
    <col min="4" max="4" width="12.28515625" style="78" customWidth="1"/>
    <col min="5" max="5" width="10.42578125" style="83" customWidth="1"/>
    <col min="6" max="6" width="44.85546875" style="84" bestFit="1" customWidth="1"/>
    <col min="7" max="7" width="20.7109375" style="710"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hidden="1" customWidth="1"/>
    <col min="14" max="14" width="13.5703125" style="82" customWidth="1"/>
    <col min="15" max="15" width="31.85546875" style="82" customWidth="1"/>
    <col min="16" max="16" width="4.5703125" style="82" customWidth="1"/>
    <col min="17" max="17" width="13" style="82" hidden="1"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9" s="71" customFormat="1">
      <c r="C1" s="63"/>
      <c r="D1" s="63"/>
      <c r="E1" s="63"/>
      <c r="F1" s="64"/>
      <c r="G1" s="701"/>
      <c r="H1" s="65"/>
      <c r="I1" s="65"/>
      <c r="J1" s="65"/>
      <c r="K1" s="66"/>
      <c r="L1" s="67"/>
      <c r="M1" s="67"/>
      <c r="N1" s="68"/>
      <c r="O1" s="68"/>
      <c r="P1" s="68"/>
      <c r="Q1" s="68"/>
      <c r="R1" s="68"/>
      <c r="S1" s="68"/>
      <c r="T1" s="69"/>
      <c r="U1" s="70"/>
      <c r="Z1" s="60"/>
    </row>
    <row r="2" spans="3:29" s="71" customFormat="1">
      <c r="C2" s="63"/>
      <c r="D2" s="63"/>
      <c r="E2" s="63"/>
      <c r="F2" s="64"/>
      <c r="G2" s="701"/>
      <c r="H2" s="65"/>
      <c r="I2" s="65"/>
      <c r="J2" s="65"/>
      <c r="K2" s="66"/>
      <c r="L2" s="67"/>
      <c r="M2" s="67"/>
      <c r="N2" s="68"/>
      <c r="O2" s="68"/>
      <c r="P2" s="68"/>
      <c r="Q2" s="68"/>
      <c r="R2" s="68"/>
      <c r="S2" s="68"/>
      <c r="T2" s="69"/>
      <c r="U2" s="70"/>
      <c r="Z2" s="60"/>
    </row>
    <row r="3" spans="3:29" s="33" customFormat="1" ht="16">
      <c r="C3" s="72" t="str">
        <f>'1.1a-Jaarprijzen'!B2</f>
        <v>Naam opdrachtgever</v>
      </c>
      <c r="D3" s="72"/>
      <c r="F3" s="30" t="str">
        <f>'1.1a-Jaarprijzen'!C2</f>
        <v>Stichting Altra - Horizon</v>
      </c>
      <c r="G3" s="702"/>
      <c r="H3" s="65"/>
      <c r="I3" s="65"/>
      <c r="J3" s="65"/>
      <c r="K3" s="66"/>
      <c r="L3" s="74"/>
      <c r="M3" s="74"/>
      <c r="N3" s="75"/>
      <c r="O3" s="75"/>
      <c r="P3" s="75"/>
      <c r="Q3" s="75"/>
      <c r="R3" s="75"/>
      <c r="S3" s="75"/>
    </row>
    <row r="4" spans="3:29" s="33" customFormat="1" ht="16">
      <c r="C4" s="72" t="str">
        <f>'1.1a-Jaarprijzen'!B3</f>
        <v>Omschrijving blad</v>
      </c>
      <c r="D4" s="72"/>
      <c r="F4" s="72" t="s">
        <v>159</v>
      </c>
      <c r="G4" s="703"/>
      <c r="H4" s="65"/>
      <c r="I4" s="65"/>
      <c r="J4" s="65"/>
      <c r="K4" s="66"/>
      <c r="L4" s="74"/>
      <c r="M4" s="74"/>
      <c r="N4" s="75"/>
      <c r="O4" s="75"/>
      <c r="P4" s="75"/>
      <c r="Q4" s="75"/>
      <c r="R4" s="75"/>
      <c r="S4" s="75"/>
    </row>
    <row r="5" spans="3:29" s="33" customFormat="1" ht="16">
      <c r="C5" s="72" t="str">
        <f>'1.1a-Jaarprijzen'!B4</f>
        <v>Adres/plaats</v>
      </c>
      <c r="D5" s="72"/>
      <c r="F5" s="30" t="str">
        <f>'1.1a-Jaarprijzen'!C4</f>
        <v>Regio Noord Holland</v>
      </c>
      <c r="G5" s="704"/>
      <c r="H5" s="77"/>
      <c r="I5" s="77"/>
      <c r="J5" s="77"/>
      <c r="K5" s="74"/>
      <c r="L5" s="74"/>
      <c r="M5" s="74"/>
      <c r="N5" s="75"/>
      <c r="O5" s="75"/>
      <c r="P5" s="75"/>
      <c r="Q5" s="75"/>
      <c r="R5" s="75"/>
      <c r="S5" s="75"/>
    </row>
    <row r="6" spans="3:29" s="33" customFormat="1" ht="16">
      <c r="C6" s="72" t="str">
        <f>'1.1a-Jaarprijzen'!B5</f>
        <v>Besteknummer</v>
      </c>
      <c r="D6" s="72"/>
      <c r="F6" s="30" t="str">
        <f>'1.1a-Jaarprijzen'!C5</f>
        <v>180417 V2</v>
      </c>
      <c r="G6" s="703"/>
      <c r="H6" s="73"/>
      <c r="I6" s="73"/>
      <c r="J6" s="73"/>
      <c r="K6" s="74"/>
      <c r="L6" s="74"/>
      <c r="M6" s="74"/>
      <c r="N6" s="75"/>
      <c r="O6" s="75"/>
      <c r="P6" s="75"/>
      <c r="Q6" s="75"/>
      <c r="R6" s="75"/>
      <c r="S6" s="75"/>
    </row>
    <row r="7" spans="3:29" s="33" customFormat="1" ht="16">
      <c r="C7" s="72" t="str">
        <f>'1.1a-Jaarprijzen'!B6</f>
        <v>Naam leverancier</v>
      </c>
      <c r="D7" s="72"/>
      <c r="F7" s="30" t="str">
        <f>'1.1a-Jaarprijzen'!C6</f>
        <v>[NAAM LEVERANCIER]</v>
      </c>
      <c r="G7" s="705">
        <f>Voorblad!$E$15</f>
        <v>42917</v>
      </c>
      <c r="H7" s="73"/>
      <c r="I7" s="73"/>
      <c r="J7" s="73"/>
      <c r="K7" s="74"/>
      <c r="L7" s="74"/>
      <c r="M7" s="74"/>
      <c r="N7" s="75"/>
      <c r="O7" s="75"/>
      <c r="P7" s="75"/>
      <c r="Q7" s="75"/>
      <c r="R7" s="75"/>
      <c r="S7" s="75"/>
    </row>
    <row r="8" spans="3:29" s="71" customFormat="1">
      <c r="C8" s="78"/>
      <c r="D8" s="78"/>
      <c r="E8" s="79"/>
      <c r="F8" s="80"/>
      <c r="G8" s="706"/>
      <c r="H8" s="65"/>
      <c r="I8" s="65"/>
      <c r="J8" s="65"/>
      <c r="K8" s="66"/>
      <c r="L8" s="67"/>
      <c r="M8" s="67"/>
      <c r="N8" s="68"/>
      <c r="O8" s="68"/>
      <c r="P8" s="68"/>
      <c r="Q8" s="68"/>
      <c r="R8" s="68"/>
      <c r="S8" s="68"/>
      <c r="T8" s="69"/>
      <c r="U8" s="70"/>
      <c r="Z8" s="60"/>
    </row>
    <row r="9" spans="3:29" s="61" customFormat="1" ht="39">
      <c r="C9" s="307" t="s">
        <v>328</v>
      </c>
      <c r="D9" s="307" t="s">
        <v>329</v>
      </c>
      <c r="E9" s="267" t="s">
        <v>38</v>
      </c>
      <c r="F9" s="308" t="s">
        <v>234</v>
      </c>
      <c r="G9" s="309" t="s">
        <v>128</v>
      </c>
      <c r="H9" s="310" t="s">
        <v>313</v>
      </c>
      <c r="I9" s="310" t="s">
        <v>312</v>
      </c>
      <c r="J9" s="310"/>
      <c r="K9" s="311" t="s">
        <v>16</v>
      </c>
      <c r="L9" s="312" t="s">
        <v>142</v>
      </c>
      <c r="M9" s="312" t="s">
        <v>80</v>
      </c>
      <c r="N9" s="313" t="s">
        <v>176</v>
      </c>
      <c r="O9" s="314" t="s">
        <v>83</v>
      </c>
      <c r="P9" s="314" t="s">
        <v>17</v>
      </c>
      <c r="Q9" s="409"/>
      <c r="R9" s="409"/>
    </row>
    <row r="10" spans="3:29" s="71" customFormat="1">
      <c r="C10" s="315">
        <v>0</v>
      </c>
      <c r="D10" s="315"/>
      <c r="E10" s="316">
        <v>0</v>
      </c>
      <c r="F10" s="317">
        <v>0</v>
      </c>
      <c r="G10" s="707">
        <v>0</v>
      </c>
      <c r="H10" s="319">
        <v>0</v>
      </c>
      <c r="I10" s="319">
        <v>0</v>
      </c>
      <c r="J10" s="319">
        <v>0</v>
      </c>
      <c r="K10" s="318">
        <v>0</v>
      </c>
      <c r="L10" s="319">
        <v>0</v>
      </c>
      <c r="M10" s="319"/>
      <c r="N10" s="320">
        <v>0</v>
      </c>
      <c r="O10" s="321"/>
      <c r="P10" s="306"/>
      <c r="U10" s="60"/>
    </row>
    <row r="11" spans="3:29" s="409" customFormat="1">
      <c r="C11" s="726">
        <v>1051</v>
      </c>
      <c r="D11" s="727">
        <v>101</v>
      </c>
      <c r="E11" s="727">
        <v>51</v>
      </c>
      <c r="F11" s="728" t="s">
        <v>334</v>
      </c>
      <c r="G11" s="729" t="s">
        <v>1055</v>
      </c>
      <c r="H11" s="730"/>
      <c r="I11" s="730"/>
      <c r="J11" s="731"/>
      <c r="K11" s="732">
        <f t="shared" ref="K11:K40" si="0">IF(H11=0,0,E11/(H11+I11))</f>
        <v>0</v>
      </c>
      <c r="L11" s="733">
        <f>SUMIF('1.3-Basis ruimtestaat'!L:L,C11,'1.3-Basis ruimtestaat'!J:J)</f>
        <v>87</v>
      </c>
      <c r="M11" s="733">
        <f>SUMIF('1.3-Basis ruimtestaat'!L:L,C11,'1.3-Basis ruimtestaat'!K:K)</f>
        <v>0</v>
      </c>
      <c r="N11" s="734">
        <f t="shared" ref="N11:N42" si="1">IF(L11=0,"",L11/$L$103)</f>
        <v>8.1863784308688556E-3</v>
      </c>
      <c r="O11" s="735"/>
      <c r="P11" s="736" t="s">
        <v>699</v>
      </c>
      <c r="Q11" s="71"/>
      <c r="U11" s="61"/>
      <c r="AC11" s="71"/>
    </row>
    <row r="12" spans="3:29" s="409" customFormat="1">
      <c r="C12" s="726">
        <v>1080</v>
      </c>
      <c r="D12" s="727">
        <v>101</v>
      </c>
      <c r="E12" s="727">
        <v>80</v>
      </c>
      <c r="F12" s="728" t="s">
        <v>334</v>
      </c>
      <c r="G12" s="729" t="s">
        <v>1073</v>
      </c>
      <c r="H12" s="730"/>
      <c r="I12" s="730"/>
      <c r="J12" s="731"/>
      <c r="K12" s="732">
        <f t="shared" ref="K12" si="2">IF(H12=0,0,E12/(H12+I12))</f>
        <v>0</v>
      </c>
      <c r="L12" s="733">
        <f>SUMIF('1.3-Basis ruimtestaat'!L:L,C12,'1.3-Basis ruimtestaat'!J:J)</f>
        <v>0</v>
      </c>
      <c r="M12" s="733">
        <f>SUMIF('1.3-Basis ruimtestaat'!L:L,C12,'1.3-Basis ruimtestaat'!K:K)</f>
        <v>0</v>
      </c>
      <c r="N12" s="734" t="str">
        <f t="shared" si="1"/>
        <v/>
      </c>
      <c r="O12" s="737"/>
      <c r="P12" s="736" t="s">
        <v>699</v>
      </c>
      <c r="Q12" s="71"/>
      <c r="U12" s="61"/>
      <c r="AC12" s="71"/>
    </row>
    <row r="13" spans="3:29" s="409" customFormat="1">
      <c r="C13" s="726">
        <v>1090</v>
      </c>
      <c r="D13" s="727">
        <v>101</v>
      </c>
      <c r="E13" s="727">
        <v>90</v>
      </c>
      <c r="F13" s="728" t="s">
        <v>334</v>
      </c>
      <c r="G13" s="729" t="s">
        <v>1062</v>
      </c>
      <c r="H13" s="730"/>
      <c r="I13" s="730"/>
      <c r="J13" s="731"/>
      <c r="K13" s="732">
        <f t="shared" si="0"/>
        <v>0</v>
      </c>
      <c r="L13" s="733">
        <f>SUMIF('1.3-Basis ruimtestaat'!L:L,C13,'1.3-Basis ruimtestaat'!J:J)</f>
        <v>0</v>
      </c>
      <c r="M13" s="733">
        <f>SUMIF('1.3-Basis ruimtestaat'!L:L,C13,'1.3-Basis ruimtestaat'!K:K)</f>
        <v>0</v>
      </c>
      <c r="N13" s="734" t="str">
        <f t="shared" si="1"/>
        <v/>
      </c>
      <c r="O13" s="737"/>
      <c r="P13" s="736" t="s">
        <v>699</v>
      </c>
      <c r="Q13" s="71"/>
      <c r="U13" s="61"/>
      <c r="AC13" s="71"/>
    </row>
    <row r="14" spans="3:29" s="409" customFormat="1">
      <c r="C14" s="726">
        <v>1102</v>
      </c>
      <c r="D14" s="727">
        <v>101</v>
      </c>
      <c r="E14" s="727">
        <v>102</v>
      </c>
      <c r="F14" s="728" t="s">
        <v>334</v>
      </c>
      <c r="G14" s="729" t="s">
        <v>1031</v>
      </c>
      <c r="H14" s="730"/>
      <c r="I14" s="730"/>
      <c r="J14" s="731"/>
      <c r="K14" s="732">
        <f t="shared" si="0"/>
        <v>0</v>
      </c>
      <c r="L14" s="733">
        <f>SUMIF('1.3-Basis ruimtestaat'!L:L,C14,'1.3-Basis ruimtestaat'!J:J)</f>
        <v>0</v>
      </c>
      <c r="M14" s="733">
        <f>SUMIF('1.3-Basis ruimtestaat'!L:L,C14,'1.3-Basis ruimtestaat'!K:K)</f>
        <v>0</v>
      </c>
      <c r="N14" s="734" t="str">
        <f t="shared" si="1"/>
        <v/>
      </c>
      <c r="O14" s="735"/>
      <c r="P14" s="736" t="s">
        <v>699</v>
      </c>
      <c r="Q14" s="71"/>
      <c r="U14" s="61"/>
      <c r="AC14" s="71"/>
    </row>
    <row r="15" spans="3:29" s="409" customFormat="1">
      <c r="C15" s="726">
        <v>1120</v>
      </c>
      <c r="D15" s="727">
        <v>101</v>
      </c>
      <c r="E15" s="727">
        <v>120</v>
      </c>
      <c r="F15" s="728" t="s">
        <v>334</v>
      </c>
      <c r="G15" s="729" t="s">
        <v>1054</v>
      </c>
      <c r="H15" s="730"/>
      <c r="I15" s="730"/>
      <c r="J15" s="731"/>
      <c r="K15" s="732">
        <f t="shared" si="0"/>
        <v>0</v>
      </c>
      <c r="L15" s="733">
        <f>SUMIF('1.3-Basis ruimtestaat'!L:L,C15,'1.3-Basis ruimtestaat'!J:J)</f>
        <v>0</v>
      </c>
      <c r="M15" s="733">
        <f>SUMIF('1.3-Basis ruimtestaat'!L:L,C15,'1.3-Basis ruimtestaat'!K:K)</f>
        <v>0</v>
      </c>
      <c r="N15" s="734" t="str">
        <f t="shared" si="1"/>
        <v/>
      </c>
      <c r="O15" s="735"/>
      <c r="P15" s="736" t="s">
        <v>699</v>
      </c>
      <c r="Q15" s="71"/>
      <c r="U15" s="61"/>
      <c r="AC15" s="71"/>
    </row>
    <row r="16" spans="3:29" s="409" customFormat="1">
      <c r="C16" s="726">
        <v>1153</v>
      </c>
      <c r="D16" s="727">
        <v>101</v>
      </c>
      <c r="E16" s="727">
        <v>153</v>
      </c>
      <c r="F16" s="728" t="s">
        <v>334</v>
      </c>
      <c r="G16" s="729" t="s">
        <v>1032</v>
      </c>
      <c r="H16" s="730"/>
      <c r="I16" s="730"/>
      <c r="J16" s="731"/>
      <c r="K16" s="732">
        <f t="shared" si="0"/>
        <v>0</v>
      </c>
      <c r="L16" s="733">
        <f>SUMIF('1.3-Basis ruimtestaat'!L:L,C16,'1.3-Basis ruimtestaat'!J:J)</f>
        <v>0</v>
      </c>
      <c r="M16" s="733">
        <f>SUMIF('1.3-Basis ruimtestaat'!L:L,C16,'1.3-Basis ruimtestaat'!K:K)</f>
        <v>0</v>
      </c>
      <c r="N16" s="734" t="str">
        <f t="shared" si="1"/>
        <v/>
      </c>
      <c r="O16" s="735"/>
      <c r="P16" s="736" t="s">
        <v>699</v>
      </c>
      <c r="Q16" s="71"/>
      <c r="U16" s="61"/>
      <c r="AC16" s="71"/>
    </row>
    <row r="17" spans="3:29" s="409" customFormat="1">
      <c r="C17" s="726">
        <v>1200</v>
      </c>
      <c r="D17" s="727">
        <v>101</v>
      </c>
      <c r="E17" s="727">
        <v>200</v>
      </c>
      <c r="F17" s="728" t="s">
        <v>334</v>
      </c>
      <c r="G17" s="729" t="s">
        <v>335</v>
      </c>
      <c r="H17" s="730"/>
      <c r="I17" s="730"/>
      <c r="J17" s="731"/>
      <c r="K17" s="732">
        <f t="shared" si="0"/>
        <v>0</v>
      </c>
      <c r="L17" s="733">
        <f>SUMIF('1.3-Basis ruimtestaat'!L:L,C17,'1.3-Basis ruimtestaat'!J:J)</f>
        <v>701.6500000000002</v>
      </c>
      <c r="M17" s="733">
        <f>SUMIF('1.3-Basis ruimtestaat'!L:L,C17,'1.3-Basis ruimtestaat'!K:K)</f>
        <v>0</v>
      </c>
      <c r="N17" s="734">
        <f t="shared" si="1"/>
        <v>6.6022671563438329E-2</v>
      </c>
      <c r="O17" s="735"/>
      <c r="P17" s="736" t="s">
        <v>699</v>
      </c>
      <c r="Q17" s="71"/>
      <c r="U17" s="61"/>
      <c r="AC17" s="71"/>
    </row>
    <row r="18" spans="3:29" s="409" customFormat="1">
      <c r="C18" s="726">
        <v>1255</v>
      </c>
      <c r="D18" s="727">
        <v>101</v>
      </c>
      <c r="E18" s="727">
        <v>255</v>
      </c>
      <c r="F18" s="728" t="s">
        <v>334</v>
      </c>
      <c r="G18" s="729" t="s">
        <v>1033</v>
      </c>
      <c r="H18" s="730"/>
      <c r="I18" s="730"/>
      <c r="J18" s="731"/>
      <c r="K18" s="732">
        <f t="shared" si="0"/>
        <v>0</v>
      </c>
      <c r="L18" s="733">
        <f>SUMIF('1.3-Basis ruimtestaat'!L:L,C18,'1.3-Basis ruimtestaat'!J:J)</f>
        <v>969.22000000000014</v>
      </c>
      <c r="M18" s="733">
        <f>SUMIF('1.3-Basis ruimtestaat'!L:L,C18,'1.3-Basis ruimtestaat'!K:K)</f>
        <v>0</v>
      </c>
      <c r="N18" s="734">
        <f t="shared" si="1"/>
        <v>9.1200019572031193E-2</v>
      </c>
      <c r="O18" s="735"/>
      <c r="P18" s="736" t="s">
        <v>699</v>
      </c>
      <c r="Q18" s="71"/>
      <c r="U18" s="61"/>
      <c r="AC18" s="71"/>
    </row>
    <row r="19" spans="3:29" s="409" customFormat="1" ht="26">
      <c r="C19" s="726">
        <v>1236</v>
      </c>
      <c r="D19" s="727">
        <v>101</v>
      </c>
      <c r="E19" s="727">
        <v>236</v>
      </c>
      <c r="F19" s="728" t="s">
        <v>334</v>
      </c>
      <c r="G19" s="729" t="s">
        <v>1075</v>
      </c>
      <c r="H19" s="730"/>
      <c r="I19" s="730"/>
      <c r="J19" s="731"/>
      <c r="K19" s="732">
        <f t="shared" si="0"/>
        <v>0</v>
      </c>
      <c r="L19" s="733">
        <f>SUMIF('1.3-Basis ruimtestaat'!L:L,C19,'1.3-Basis ruimtestaat'!J:J)</f>
        <v>322.56</v>
      </c>
      <c r="M19" s="733">
        <f>SUMIF('1.3-Basis ruimtestaat'!L:L,C19,'1.3-Basis ruimtestaat'!K:K)</f>
        <v>0</v>
      </c>
      <c r="N19" s="734">
        <f t="shared" si="1"/>
        <v>3.0351703754724808E-2</v>
      </c>
      <c r="O19" s="738" t="s">
        <v>1069</v>
      </c>
      <c r="P19" s="736" t="s">
        <v>699</v>
      </c>
      <c r="Q19" s="71"/>
      <c r="U19" s="61"/>
      <c r="AC19" s="71"/>
    </row>
    <row r="20" spans="3:29" s="409" customFormat="1">
      <c r="C20" s="726">
        <v>2051</v>
      </c>
      <c r="D20" s="727">
        <v>102</v>
      </c>
      <c r="E20" s="727">
        <v>51</v>
      </c>
      <c r="F20" s="728" t="s">
        <v>397</v>
      </c>
      <c r="G20" s="729" t="s">
        <v>1055</v>
      </c>
      <c r="H20" s="730"/>
      <c r="I20" s="730"/>
      <c r="J20" s="731"/>
      <c r="K20" s="732">
        <f t="shared" si="0"/>
        <v>0</v>
      </c>
      <c r="L20" s="733">
        <f>SUMIF('1.3-Basis ruimtestaat'!L:L,C20,'1.3-Basis ruimtestaat'!J:J)</f>
        <v>0</v>
      </c>
      <c r="M20" s="733">
        <f>SUMIF('1.3-Basis ruimtestaat'!L:L,C20,'1.3-Basis ruimtestaat'!K:K)</f>
        <v>0</v>
      </c>
      <c r="N20" s="734" t="str">
        <f t="shared" si="1"/>
        <v/>
      </c>
      <c r="O20" s="735"/>
      <c r="P20" s="736" t="s">
        <v>75</v>
      </c>
      <c r="Q20" s="71"/>
      <c r="U20" s="61"/>
      <c r="AC20" s="71"/>
    </row>
    <row r="21" spans="3:29" s="409" customFormat="1">
      <c r="C21" s="726">
        <v>2080</v>
      </c>
      <c r="D21" s="727">
        <v>102</v>
      </c>
      <c r="E21" s="727">
        <v>80</v>
      </c>
      <c r="F21" s="728" t="s">
        <v>397</v>
      </c>
      <c r="G21" s="729" t="s">
        <v>1073</v>
      </c>
      <c r="H21" s="730"/>
      <c r="I21" s="730"/>
      <c r="J21" s="731"/>
      <c r="K21" s="732">
        <f t="shared" ref="K21" si="3">IF(H21=0,0,E21/(H21+I21))</f>
        <v>0</v>
      </c>
      <c r="L21" s="733">
        <f>SUMIF('1.3-Basis ruimtestaat'!L:L,C21,'1.3-Basis ruimtestaat'!J:J)</f>
        <v>0</v>
      </c>
      <c r="M21" s="733">
        <f>SUMIF('1.3-Basis ruimtestaat'!L:L,C21,'1.3-Basis ruimtestaat'!K:K)</f>
        <v>0</v>
      </c>
      <c r="N21" s="734" t="str">
        <f t="shared" si="1"/>
        <v/>
      </c>
      <c r="O21" s="735"/>
      <c r="P21" s="736" t="s">
        <v>75</v>
      </c>
      <c r="Q21" s="71"/>
      <c r="U21" s="61"/>
      <c r="AC21" s="71"/>
    </row>
    <row r="22" spans="3:29" s="409" customFormat="1">
      <c r="C22" s="726">
        <v>2120</v>
      </c>
      <c r="D22" s="727">
        <v>102</v>
      </c>
      <c r="E22" s="727">
        <v>120</v>
      </c>
      <c r="F22" s="728" t="s">
        <v>397</v>
      </c>
      <c r="G22" s="729" t="s">
        <v>1054</v>
      </c>
      <c r="H22" s="730"/>
      <c r="I22" s="730"/>
      <c r="J22" s="731"/>
      <c r="K22" s="732">
        <f t="shared" si="0"/>
        <v>0</v>
      </c>
      <c r="L22" s="733">
        <f>SUMIF('1.3-Basis ruimtestaat'!L:L,C22,'1.3-Basis ruimtestaat'!J:J)</f>
        <v>0</v>
      </c>
      <c r="M22" s="733">
        <f>SUMIF('1.3-Basis ruimtestaat'!L:L,C22,'1.3-Basis ruimtestaat'!K:K)</f>
        <v>0</v>
      </c>
      <c r="N22" s="734" t="str">
        <f t="shared" si="1"/>
        <v/>
      </c>
      <c r="O22" s="735"/>
      <c r="P22" s="736" t="s">
        <v>75</v>
      </c>
      <c r="U22" s="61"/>
      <c r="AC22" s="71"/>
    </row>
    <row r="23" spans="3:29" s="409" customFormat="1">
      <c r="C23" s="726">
        <v>2153</v>
      </c>
      <c r="D23" s="727">
        <v>102</v>
      </c>
      <c r="E23" s="727">
        <v>153</v>
      </c>
      <c r="F23" s="728" t="s">
        <v>397</v>
      </c>
      <c r="G23" s="729" t="s">
        <v>1032</v>
      </c>
      <c r="H23" s="730"/>
      <c r="I23" s="730"/>
      <c r="J23" s="731"/>
      <c r="K23" s="732">
        <f t="shared" si="0"/>
        <v>0</v>
      </c>
      <c r="L23" s="733">
        <f>SUMIF('1.3-Basis ruimtestaat'!L:L,C23,'1.3-Basis ruimtestaat'!J:J)</f>
        <v>0</v>
      </c>
      <c r="M23" s="733">
        <f>SUMIF('1.3-Basis ruimtestaat'!L:L,C23,'1.3-Basis ruimtestaat'!K:K)</f>
        <v>0</v>
      </c>
      <c r="N23" s="734" t="str">
        <f t="shared" si="1"/>
        <v/>
      </c>
      <c r="O23" s="735"/>
      <c r="P23" s="736" t="s">
        <v>75</v>
      </c>
      <c r="U23" s="61"/>
      <c r="AC23" s="71"/>
    </row>
    <row r="24" spans="3:29" s="409" customFormat="1">
      <c r="C24" s="726">
        <v>2200</v>
      </c>
      <c r="D24" s="727">
        <v>102</v>
      </c>
      <c r="E24" s="727">
        <v>200</v>
      </c>
      <c r="F24" s="728" t="s">
        <v>397</v>
      </c>
      <c r="G24" s="729" t="s">
        <v>335</v>
      </c>
      <c r="H24" s="730"/>
      <c r="I24" s="730"/>
      <c r="J24" s="731"/>
      <c r="K24" s="732">
        <f t="shared" si="0"/>
        <v>0</v>
      </c>
      <c r="L24" s="733">
        <f>SUMIF('1.3-Basis ruimtestaat'!L:L,C24,'1.3-Basis ruimtestaat'!J:J)</f>
        <v>238</v>
      </c>
      <c r="M24" s="733">
        <f>SUMIF('1.3-Basis ruimtestaat'!L:L,C24,'1.3-Basis ruimtestaat'!K:K)</f>
        <v>0</v>
      </c>
      <c r="N24" s="734">
        <f t="shared" si="1"/>
        <v>2.2394920305135492E-2</v>
      </c>
      <c r="O24" s="735"/>
      <c r="P24" s="736" t="s">
        <v>75</v>
      </c>
      <c r="U24" s="61"/>
      <c r="AC24" s="71"/>
    </row>
    <row r="25" spans="3:29" s="409" customFormat="1" ht="26">
      <c r="C25" s="726">
        <v>2236</v>
      </c>
      <c r="D25" s="727">
        <v>102</v>
      </c>
      <c r="E25" s="727">
        <v>236</v>
      </c>
      <c r="F25" s="728" t="s">
        <v>397</v>
      </c>
      <c r="G25" s="729" t="s">
        <v>1075</v>
      </c>
      <c r="H25" s="730"/>
      <c r="I25" s="730"/>
      <c r="J25" s="731"/>
      <c r="K25" s="732">
        <f t="shared" si="0"/>
        <v>0</v>
      </c>
      <c r="L25" s="733">
        <f>SUMIF('1.3-Basis ruimtestaat'!L:L,C25,'1.3-Basis ruimtestaat'!J:J)</f>
        <v>174.69</v>
      </c>
      <c r="M25" s="733">
        <f>SUMIF('1.3-Basis ruimtestaat'!L:L,C25,'1.3-Basis ruimtestaat'!K:K)</f>
        <v>0</v>
      </c>
      <c r="N25" s="734">
        <f t="shared" si="1"/>
        <v>1.6437683311361844E-2</v>
      </c>
      <c r="O25" s="738" t="s">
        <v>1069</v>
      </c>
      <c r="P25" s="736" t="s">
        <v>75</v>
      </c>
      <c r="U25" s="61"/>
      <c r="AC25" s="71"/>
    </row>
    <row r="26" spans="3:29" s="409" customFormat="1">
      <c r="C26" s="726">
        <v>2255</v>
      </c>
      <c r="D26" s="727">
        <v>102</v>
      </c>
      <c r="E26" s="727">
        <v>255</v>
      </c>
      <c r="F26" s="728" t="s">
        <v>397</v>
      </c>
      <c r="G26" s="729" t="s">
        <v>1033</v>
      </c>
      <c r="H26" s="730"/>
      <c r="I26" s="730"/>
      <c r="J26" s="731"/>
      <c r="K26" s="732">
        <f t="shared" si="0"/>
        <v>0</v>
      </c>
      <c r="L26" s="733">
        <f>SUMIF('1.3-Basis ruimtestaat'!L:L,C26,'1.3-Basis ruimtestaat'!J:J)</f>
        <v>0</v>
      </c>
      <c r="M26" s="733">
        <f>SUMIF('1.3-Basis ruimtestaat'!L:L,C26,'1.3-Basis ruimtestaat'!K:K)</f>
        <v>0</v>
      </c>
      <c r="N26" s="734" t="str">
        <f t="shared" si="1"/>
        <v/>
      </c>
      <c r="O26" s="737"/>
      <c r="P26" s="736" t="s">
        <v>75</v>
      </c>
      <c r="U26" s="61"/>
      <c r="AC26" s="71"/>
    </row>
    <row r="27" spans="3:29" s="409" customFormat="1">
      <c r="C27" s="726">
        <v>3012</v>
      </c>
      <c r="D27" s="727">
        <v>103</v>
      </c>
      <c r="E27" s="727">
        <v>12</v>
      </c>
      <c r="F27" s="728" t="s">
        <v>1023</v>
      </c>
      <c r="G27" s="729" t="s">
        <v>1056</v>
      </c>
      <c r="H27" s="730"/>
      <c r="I27" s="730"/>
      <c r="J27" s="731"/>
      <c r="K27" s="732">
        <f t="shared" si="0"/>
        <v>0</v>
      </c>
      <c r="L27" s="733">
        <f>SUMIF('1.3-Basis ruimtestaat'!L:L,C27,'1.3-Basis ruimtestaat'!J:J)</f>
        <v>0</v>
      </c>
      <c r="M27" s="733">
        <f>SUMIF('1.3-Basis ruimtestaat'!L:L,C27,'1.3-Basis ruimtestaat'!K:K)</f>
        <v>0</v>
      </c>
      <c r="N27" s="734" t="str">
        <f t="shared" si="1"/>
        <v/>
      </c>
      <c r="O27" s="737"/>
      <c r="P27" s="736"/>
      <c r="U27" s="61"/>
      <c r="AC27" s="71"/>
    </row>
    <row r="28" spans="3:29" s="409" customFormat="1">
      <c r="C28" s="726">
        <v>3051</v>
      </c>
      <c r="D28" s="727">
        <v>103</v>
      </c>
      <c r="E28" s="727">
        <v>51</v>
      </c>
      <c r="F28" s="728" t="s">
        <v>1023</v>
      </c>
      <c r="G28" s="729" t="s">
        <v>1055</v>
      </c>
      <c r="H28" s="730"/>
      <c r="I28" s="730"/>
      <c r="J28" s="731"/>
      <c r="K28" s="732">
        <f t="shared" si="0"/>
        <v>0</v>
      </c>
      <c r="L28" s="733">
        <f>SUMIF('1.3-Basis ruimtestaat'!L:L,C28,'1.3-Basis ruimtestaat'!J:J)</f>
        <v>0</v>
      </c>
      <c r="M28" s="733">
        <f>SUMIF('1.3-Basis ruimtestaat'!L:L,C28,'1.3-Basis ruimtestaat'!K:K)</f>
        <v>0</v>
      </c>
      <c r="N28" s="734" t="str">
        <f t="shared" si="1"/>
        <v/>
      </c>
      <c r="O28" s="737"/>
      <c r="P28" s="736" t="s">
        <v>75</v>
      </c>
      <c r="U28" s="61"/>
      <c r="AC28" s="71"/>
    </row>
    <row r="29" spans="3:29" s="409" customFormat="1">
      <c r="C29" s="726">
        <v>3102</v>
      </c>
      <c r="D29" s="727">
        <v>103</v>
      </c>
      <c r="E29" s="727">
        <v>102</v>
      </c>
      <c r="F29" s="728" t="s">
        <v>1023</v>
      </c>
      <c r="G29" s="729" t="s">
        <v>1031</v>
      </c>
      <c r="H29" s="730"/>
      <c r="I29" s="730"/>
      <c r="J29" s="731"/>
      <c r="K29" s="732">
        <f t="shared" si="0"/>
        <v>0</v>
      </c>
      <c r="L29" s="733">
        <f>SUMIF('1.3-Basis ruimtestaat'!L:L,C29,'1.3-Basis ruimtestaat'!J:J)</f>
        <v>0</v>
      </c>
      <c r="M29" s="733">
        <f>SUMIF('1.3-Basis ruimtestaat'!L:L,C29,'1.3-Basis ruimtestaat'!K:K)</f>
        <v>0</v>
      </c>
      <c r="N29" s="734" t="str">
        <f t="shared" si="1"/>
        <v/>
      </c>
      <c r="O29" s="737"/>
      <c r="P29" s="736" t="s">
        <v>75</v>
      </c>
      <c r="U29" s="61"/>
      <c r="AC29" s="71"/>
    </row>
    <row r="30" spans="3:29" s="409" customFormat="1">
      <c r="C30" s="726">
        <v>3120</v>
      </c>
      <c r="D30" s="727">
        <v>103</v>
      </c>
      <c r="E30" s="727">
        <v>120</v>
      </c>
      <c r="F30" s="728" t="s">
        <v>1023</v>
      </c>
      <c r="G30" s="729" t="s">
        <v>1054</v>
      </c>
      <c r="H30" s="730"/>
      <c r="I30" s="730"/>
      <c r="J30" s="731"/>
      <c r="K30" s="732">
        <f t="shared" si="0"/>
        <v>0</v>
      </c>
      <c r="L30" s="733">
        <f>SUMIF('1.3-Basis ruimtestaat'!L:L,C30,'1.3-Basis ruimtestaat'!J:J)</f>
        <v>0</v>
      </c>
      <c r="M30" s="733">
        <f>SUMIF('1.3-Basis ruimtestaat'!L:L,C30,'1.3-Basis ruimtestaat'!K:K)</f>
        <v>0</v>
      </c>
      <c r="N30" s="734" t="str">
        <f t="shared" si="1"/>
        <v/>
      </c>
      <c r="O30" s="737"/>
      <c r="P30" s="736" t="s">
        <v>75</v>
      </c>
      <c r="U30" s="61"/>
      <c r="AC30" s="71"/>
    </row>
    <row r="31" spans="3:29" s="409" customFormat="1">
      <c r="C31" s="726">
        <v>3153</v>
      </c>
      <c r="D31" s="727">
        <v>103</v>
      </c>
      <c r="E31" s="727">
        <v>153</v>
      </c>
      <c r="F31" s="728" t="s">
        <v>1023</v>
      </c>
      <c r="G31" s="729" t="s">
        <v>1032</v>
      </c>
      <c r="H31" s="730"/>
      <c r="I31" s="730"/>
      <c r="J31" s="731"/>
      <c r="K31" s="732">
        <f t="shared" si="0"/>
        <v>0</v>
      </c>
      <c r="L31" s="733">
        <f>SUMIF('1.3-Basis ruimtestaat'!L:L,C31,'1.3-Basis ruimtestaat'!J:J)</f>
        <v>0</v>
      </c>
      <c r="M31" s="733">
        <f>SUMIF('1.3-Basis ruimtestaat'!L:L,C31,'1.3-Basis ruimtestaat'!K:K)</f>
        <v>0</v>
      </c>
      <c r="N31" s="734" t="str">
        <f t="shared" si="1"/>
        <v/>
      </c>
      <c r="O31" s="737"/>
      <c r="P31" s="736" t="s">
        <v>75</v>
      </c>
      <c r="U31" s="61"/>
      <c r="AC31" s="71"/>
    </row>
    <row r="32" spans="3:29" s="409" customFormat="1">
      <c r="C32" s="726">
        <v>3200</v>
      </c>
      <c r="D32" s="727">
        <v>103</v>
      </c>
      <c r="E32" s="727">
        <v>200</v>
      </c>
      <c r="F32" s="728" t="s">
        <v>1023</v>
      </c>
      <c r="G32" s="729" t="s">
        <v>335</v>
      </c>
      <c r="H32" s="730"/>
      <c r="I32" s="730"/>
      <c r="J32" s="731"/>
      <c r="K32" s="732">
        <f t="shared" ref="K32" si="4">IF(H32=0,0,E32/(H32+I32))</f>
        <v>0</v>
      </c>
      <c r="L32" s="733">
        <f>SUMIF('1.3-Basis ruimtestaat'!L:L,C32,'1.3-Basis ruimtestaat'!J:J)</f>
        <v>1290.57</v>
      </c>
      <c r="M32" s="733">
        <f>SUMIF('1.3-Basis ruimtestaat'!L:L,C32,'1.3-Basis ruimtestaat'!K:K)</f>
        <v>0</v>
      </c>
      <c r="N32" s="734">
        <f t="shared" si="1"/>
        <v>0.12143786679915423</v>
      </c>
      <c r="O32" s="737"/>
      <c r="P32" s="736" t="s">
        <v>75</v>
      </c>
      <c r="U32" s="61"/>
      <c r="AC32" s="71"/>
    </row>
    <row r="33" spans="3:29" s="409" customFormat="1">
      <c r="C33" s="726">
        <v>3210</v>
      </c>
      <c r="D33" s="727">
        <v>103</v>
      </c>
      <c r="E33" s="727">
        <v>210</v>
      </c>
      <c r="F33" s="728" t="s">
        <v>1023</v>
      </c>
      <c r="G33" s="729" t="s">
        <v>1086</v>
      </c>
      <c r="H33" s="730"/>
      <c r="I33" s="730"/>
      <c r="J33" s="731"/>
      <c r="K33" s="732">
        <f t="shared" si="0"/>
        <v>0</v>
      </c>
      <c r="L33" s="733">
        <f>SUMIF('1.3-Basis ruimtestaat'!L:L,C33,'1.3-Basis ruimtestaat'!J:J)</f>
        <v>0</v>
      </c>
      <c r="M33" s="733">
        <f>SUMIF('1.3-Basis ruimtestaat'!L:L,C33,'1.3-Basis ruimtestaat'!K:K)</f>
        <v>0</v>
      </c>
      <c r="N33" s="734" t="str">
        <f t="shared" si="1"/>
        <v/>
      </c>
      <c r="O33" s="737"/>
      <c r="P33" s="736" t="s">
        <v>75</v>
      </c>
      <c r="U33" s="61"/>
      <c r="AC33" s="71"/>
    </row>
    <row r="34" spans="3:29" s="409" customFormat="1">
      <c r="C34" s="726">
        <v>3225</v>
      </c>
      <c r="D34" s="727">
        <v>103</v>
      </c>
      <c r="E34" s="727">
        <v>225</v>
      </c>
      <c r="F34" s="728" t="s">
        <v>1023</v>
      </c>
      <c r="G34" s="729" t="s">
        <v>1063</v>
      </c>
      <c r="H34" s="730"/>
      <c r="I34" s="730"/>
      <c r="J34" s="731"/>
      <c r="K34" s="732">
        <f t="shared" si="0"/>
        <v>0</v>
      </c>
      <c r="L34" s="733">
        <f>SUMIF('1.3-Basis ruimtestaat'!L:L,C34,'1.3-Basis ruimtestaat'!J:J)</f>
        <v>0</v>
      </c>
      <c r="M34" s="733">
        <f>SUMIF('1.3-Basis ruimtestaat'!L:L,C34,'1.3-Basis ruimtestaat'!K:K)</f>
        <v>0</v>
      </c>
      <c r="N34" s="734" t="str">
        <f t="shared" si="1"/>
        <v/>
      </c>
      <c r="O34" s="737"/>
      <c r="P34" s="736" t="s">
        <v>75</v>
      </c>
      <c r="U34" s="61"/>
      <c r="AC34" s="71"/>
    </row>
    <row r="35" spans="3:29" s="409" customFormat="1" ht="26">
      <c r="C35" s="726">
        <v>3236</v>
      </c>
      <c r="D35" s="727">
        <v>103</v>
      </c>
      <c r="E35" s="727">
        <v>236</v>
      </c>
      <c r="F35" s="728" t="s">
        <v>1023</v>
      </c>
      <c r="G35" s="729" t="s">
        <v>1075</v>
      </c>
      <c r="H35" s="730"/>
      <c r="I35" s="730"/>
      <c r="J35" s="731"/>
      <c r="K35" s="732">
        <f t="shared" si="0"/>
        <v>0</v>
      </c>
      <c r="L35" s="733">
        <f>SUMIF('1.3-Basis ruimtestaat'!L:L,C35,'1.3-Basis ruimtestaat'!J:J)</f>
        <v>414.35</v>
      </c>
      <c r="M35" s="733">
        <f>SUMIF('1.3-Basis ruimtestaat'!L:L,C35,'1.3-Basis ruimtestaat'!K:K)</f>
        <v>0</v>
      </c>
      <c r="N35" s="734">
        <f t="shared" si="1"/>
        <v>3.8988803480810463E-2</v>
      </c>
      <c r="O35" s="738" t="s">
        <v>1069</v>
      </c>
      <c r="P35" s="736" t="s">
        <v>75</v>
      </c>
      <c r="U35" s="61"/>
      <c r="AC35" s="71"/>
    </row>
    <row r="36" spans="3:29" s="409" customFormat="1">
      <c r="C36" s="726">
        <v>3255</v>
      </c>
      <c r="D36" s="727">
        <v>103</v>
      </c>
      <c r="E36" s="727">
        <v>255</v>
      </c>
      <c r="F36" s="728" t="s">
        <v>1023</v>
      </c>
      <c r="G36" s="729" t="s">
        <v>1033</v>
      </c>
      <c r="H36" s="730"/>
      <c r="I36" s="730"/>
      <c r="J36" s="731"/>
      <c r="K36" s="732">
        <f t="shared" si="0"/>
        <v>0</v>
      </c>
      <c r="L36" s="733">
        <f>SUMIF('1.3-Basis ruimtestaat'!L:L,C36,'1.3-Basis ruimtestaat'!J:J)</f>
        <v>593.95999999999992</v>
      </c>
      <c r="M36" s="733">
        <f>SUMIF('1.3-Basis ruimtestaat'!L:L,C36,'1.3-Basis ruimtestaat'!K:K)</f>
        <v>0</v>
      </c>
      <c r="N36" s="734">
        <f t="shared" si="1"/>
        <v>5.5889440606883507E-2</v>
      </c>
      <c r="O36" s="737"/>
      <c r="P36" s="736" t="s">
        <v>75</v>
      </c>
      <c r="U36" s="61"/>
      <c r="AC36" s="71"/>
    </row>
    <row r="37" spans="3:29" s="409" customFormat="1">
      <c r="C37" s="726">
        <v>4051</v>
      </c>
      <c r="D37" s="727">
        <v>104</v>
      </c>
      <c r="E37" s="727">
        <v>51</v>
      </c>
      <c r="F37" s="728" t="s">
        <v>337</v>
      </c>
      <c r="G37" s="729" t="s">
        <v>1055</v>
      </c>
      <c r="H37" s="730"/>
      <c r="I37" s="730"/>
      <c r="J37" s="731"/>
      <c r="K37" s="732">
        <f t="shared" si="0"/>
        <v>0</v>
      </c>
      <c r="L37" s="733">
        <f>SUMIF('1.3-Basis ruimtestaat'!L:L,C37,'1.3-Basis ruimtestaat'!J:J)</f>
        <v>0</v>
      </c>
      <c r="M37" s="733">
        <f>SUMIF('1.3-Basis ruimtestaat'!L:L,C37,'1.3-Basis ruimtestaat'!K:K)</f>
        <v>0</v>
      </c>
      <c r="N37" s="734" t="str">
        <f t="shared" si="1"/>
        <v/>
      </c>
      <c r="O37" s="737"/>
      <c r="P37" s="736" t="s">
        <v>307</v>
      </c>
      <c r="U37" s="61"/>
      <c r="AC37" s="71"/>
    </row>
    <row r="38" spans="3:29" s="409" customFormat="1">
      <c r="C38" s="726">
        <v>4102</v>
      </c>
      <c r="D38" s="727">
        <v>104</v>
      </c>
      <c r="E38" s="727">
        <v>102</v>
      </c>
      <c r="F38" s="728" t="s">
        <v>337</v>
      </c>
      <c r="G38" s="729" t="s">
        <v>1031</v>
      </c>
      <c r="H38" s="730"/>
      <c r="I38" s="730"/>
      <c r="J38" s="731"/>
      <c r="K38" s="732">
        <f t="shared" si="0"/>
        <v>0</v>
      </c>
      <c r="L38" s="733">
        <f>SUMIF('1.3-Basis ruimtestaat'!L:L,C38,'1.3-Basis ruimtestaat'!J:J)</f>
        <v>0</v>
      </c>
      <c r="M38" s="733">
        <f>SUMIF('1.3-Basis ruimtestaat'!L:L,C38,'1.3-Basis ruimtestaat'!K:K)</f>
        <v>0</v>
      </c>
      <c r="N38" s="734" t="str">
        <f t="shared" si="1"/>
        <v/>
      </c>
      <c r="O38" s="737"/>
      <c r="P38" s="736" t="s">
        <v>307</v>
      </c>
      <c r="U38" s="61"/>
      <c r="AC38" s="71"/>
    </row>
    <row r="39" spans="3:29" s="409" customFormat="1">
      <c r="C39" s="726">
        <v>4153</v>
      </c>
      <c r="D39" s="727">
        <v>104</v>
      </c>
      <c r="E39" s="727">
        <v>153</v>
      </c>
      <c r="F39" s="728" t="s">
        <v>337</v>
      </c>
      <c r="G39" s="729" t="s">
        <v>1032</v>
      </c>
      <c r="H39" s="730"/>
      <c r="I39" s="730"/>
      <c r="J39" s="731"/>
      <c r="K39" s="732">
        <f t="shared" si="0"/>
        <v>0</v>
      </c>
      <c r="L39" s="733">
        <f>SUMIF('1.3-Basis ruimtestaat'!L:L,C39,'1.3-Basis ruimtestaat'!J:J)</f>
        <v>0</v>
      </c>
      <c r="M39" s="733">
        <f>SUMIF('1.3-Basis ruimtestaat'!L:L,C39,'1.3-Basis ruimtestaat'!K:K)</f>
        <v>0</v>
      </c>
      <c r="N39" s="734" t="str">
        <f t="shared" si="1"/>
        <v/>
      </c>
      <c r="O39" s="737"/>
      <c r="P39" s="736" t="s">
        <v>307</v>
      </c>
      <c r="U39" s="61"/>
      <c r="AC39" s="71"/>
    </row>
    <row r="40" spans="3:29" s="409" customFormat="1">
      <c r="C40" s="726">
        <v>4200</v>
      </c>
      <c r="D40" s="727">
        <v>104</v>
      </c>
      <c r="E40" s="727">
        <v>200</v>
      </c>
      <c r="F40" s="728" t="s">
        <v>337</v>
      </c>
      <c r="G40" s="729" t="s">
        <v>335</v>
      </c>
      <c r="H40" s="730"/>
      <c r="I40" s="730"/>
      <c r="J40" s="731"/>
      <c r="K40" s="732">
        <f t="shared" si="0"/>
        <v>0</v>
      </c>
      <c r="L40" s="733">
        <f>SUMIF('1.3-Basis ruimtestaat'!L:L,C40,'1.3-Basis ruimtestaat'!J:J)</f>
        <v>196.98999999999998</v>
      </c>
      <c r="M40" s="733">
        <f>SUMIF('1.3-Basis ruimtestaat'!L:L,C40,'1.3-Basis ruimtestaat'!K:K)</f>
        <v>0</v>
      </c>
      <c r="N40" s="734">
        <f t="shared" si="1"/>
        <v>1.8536030886170757E-2</v>
      </c>
      <c r="O40" s="737"/>
      <c r="P40" s="736" t="s">
        <v>307</v>
      </c>
      <c r="U40" s="61"/>
      <c r="AC40" s="71"/>
    </row>
    <row r="41" spans="3:29" s="409" customFormat="1">
      <c r="C41" s="726">
        <v>4210</v>
      </c>
      <c r="D41" s="727">
        <v>104</v>
      </c>
      <c r="E41" s="727">
        <v>210</v>
      </c>
      <c r="F41" s="728" t="s">
        <v>337</v>
      </c>
      <c r="G41" s="729" t="s">
        <v>1086</v>
      </c>
      <c r="H41" s="730"/>
      <c r="I41" s="730"/>
      <c r="J41" s="731"/>
      <c r="K41" s="732">
        <f t="shared" ref="K41:K68" si="5">IF(H41=0,0,E41/(H41+I41))</f>
        <v>0</v>
      </c>
      <c r="L41" s="733">
        <f>SUMIF('1.3-Basis ruimtestaat'!L:L,C41,'1.3-Basis ruimtestaat'!J:J)</f>
        <v>0</v>
      </c>
      <c r="M41" s="733">
        <f>SUMIF('1.3-Basis ruimtestaat'!L:L,C41,'1.3-Basis ruimtestaat'!K:K)</f>
        <v>0</v>
      </c>
      <c r="N41" s="734" t="str">
        <f t="shared" si="1"/>
        <v/>
      </c>
      <c r="O41" s="737"/>
      <c r="P41" s="736" t="s">
        <v>307</v>
      </c>
      <c r="U41" s="61"/>
      <c r="AC41" s="71"/>
    </row>
    <row r="42" spans="3:29" s="409" customFormat="1">
      <c r="C42" s="726">
        <v>4225</v>
      </c>
      <c r="D42" s="727">
        <v>104</v>
      </c>
      <c r="E42" s="727">
        <v>225</v>
      </c>
      <c r="F42" s="728" t="s">
        <v>337</v>
      </c>
      <c r="G42" s="729" t="s">
        <v>1063</v>
      </c>
      <c r="H42" s="730"/>
      <c r="I42" s="730"/>
      <c r="J42" s="731"/>
      <c r="K42" s="732">
        <f t="shared" si="5"/>
        <v>0</v>
      </c>
      <c r="L42" s="733">
        <f>SUMIF('1.3-Basis ruimtestaat'!L:L,C42,'1.3-Basis ruimtestaat'!J:J)</f>
        <v>0</v>
      </c>
      <c r="M42" s="733">
        <f>SUMIF('1.3-Basis ruimtestaat'!L:L,C42,'1.3-Basis ruimtestaat'!K:K)</f>
        <v>0</v>
      </c>
      <c r="N42" s="734" t="str">
        <f t="shared" si="1"/>
        <v/>
      </c>
      <c r="O42" s="737"/>
      <c r="P42" s="736" t="s">
        <v>307</v>
      </c>
      <c r="U42" s="61"/>
      <c r="AC42" s="71"/>
    </row>
    <row r="43" spans="3:29" s="409" customFormat="1" ht="26">
      <c r="C43" s="726">
        <v>4236</v>
      </c>
      <c r="D43" s="727">
        <v>104</v>
      </c>
      <c r="E43" s="727">
        <v>236</v>
      </c>
      <c r="F43" s="728" t="s">
        <v>337</v>
      </c>
      <c r="G43" s="729" t="s">
        <v>1075</v>
      </c>
      <c r="H43" s="730"/>
      <c r="I43" s="730"/>
      <c r="J43" s="731"/>
      <c r="K43" s="732">
        <f t="shared" si="5"/>
        <v>0</v>
      </c>
      <c r="L43" s="733">
        <f>SUMIF('1.3-Basis ruimtestaat'!L:L,C43,'1.3-Basis ruimtestaat'!J:J)</f>
        <v>69.44</v>
      </c>
      <c r="M43" s="733">
        <f>SUMIF('1.3-Basis ruimtestaat'!L:L,C43,'1.3-Basis ruimtestaat'!K:K)</f>
        <v>0</v>
      </c>
      <c r="N43" s="734">
        <f t="shared" ref="N43:N74" si="6">IF(L43=0,"",L43/$L$103)</f>
        <v>6.5340473360865903E-3</v>
      </c>
      <c r="O43" s="738" t="s">
        <v>1069</v>
      </c>
      <c r="P43" s="736" t="s">
        <v>307</v>
      </c>
      <c r="U43" s="61"/>
      <c r="AC43" s="71"/>
    </row>
    <row r="44" spans="3:29" s="409" customFormat="1">
      <c r="C44" s="726">
        <v>4255</v>
      </c>
      <c r="D44" s="727">
        <v>104</v>
      </c>
      <c r="E44" s="727">
        <v>255</v>
      </c>
      <c r="F44" s="728" t="s">
        <v>337</v>
      </c>
      <c r="G44" s="729" t="s">
        <v>1033</v>
      </c>
      <c r="H44" s="730"/>
      <c r="I44" s="730"/>
      <c r="J44" s="731"/>
      <c r="K44" s="732">
        <f t="shared" si="5"/>
        <v>0</v>
      </c>
      <c r="L44" s="733">
        <f>SUMIF('1.3-Basis ruimtestaat'!L:L,C44,'1.3-Basis ruimtestaat'!J:J)</f>
        <v>88.91</v>
      </c>
      <c r="M44" s="733">
        <f>SUMIF('1.3-Basis ruimtestaat'!L:L,C44,'1.3-Basis ruimtestaat'!K:K)</f>
        <v>0</v>
      </c>
      <c r="N44" s="734">
        <f t="shared" si="6"/>
        <v>8.3661023711327585E-3</v>
      </c>
      <c r="O44" s="737"/>
      <c r="P44" s="736" t="s">
        <v>307</v>
      </c>
      <c r="U44" s="61"/>
      <c r="AC44" s="71"/>
    </row>
    <row r="45" spans="3:29" s="409" customFormat="1">
      <c r="C45" s="726">
        <v>5120</v>
      </c>
      <c r="D45" s="727">
        <v>105</v>
      </c>
      <c r="E45" s="727">
        <v>120</v>
      </c>
      <c r="F45" s="728" t="s">
        <v>310</v>
      </c>
      <c r="G45" s="729" t="s">
        <v>1054</v>
      </c>
      <c r="H45" s="730"/>
      <c r="I45" s="730"/>
      <c r="J45" s="731"/>
      <c r="K45" s="732">
        <f t="shared" si="5"/>
        <v>0</v>
      </c>
      <c r="L45" s="733">
        <f>SUMIF('1.3-Basis ruimtestaat'!L:L,C45,'1.3-Basis ruimtestaat'!J:J)</f>
        <v>0</v>
      </c>
      <c r="M45" s="733">
        <f>SUMIF('1.3-Basis ruimtestaat'!L:L,C45,'1.3-Basis ruimtestaat'!K:K)</f>
        <v>0</v>
      </c>
      <c r="N45" s="734" t="str">
        <f t="shared" si="6"/>
        <v/>
      </c>
      <c r="O45" s="737"/>
      <c r="P45" s="736" t="s">
        <v>75</v>
      </c>
      <c r="U45" s="61"/>
      <c r="AC45" s="71"/>
    </row>
    <row r="46" spans="3:29" s="409" customFormat="1">
      <c r="C46" s="726">
        <v>5153</v>
      </c>
      <c r="D46" s="727">
        <v>105</v>
      </c>
      <c r="E46" s="727">
        <v>153</v>
      </c>
      <c r="F46" s="728" t="s">
        <v>310</v>
      </c>
      <c r="G46" s="729" t="s">
        <v>1032</v>
      </c>
      <c r="H46" s="730"/>
      <c r="I46" s="730"/>
      <c r="J46" s="731"/>
      <c r="K46" s="732">
        <f t="shared" si="5"/>
        <v>0</v>
      </c>
      <c r="L46" s="733">
        <f>SUMIF('1.3-Basis ruimtestaat'!L:L,C46,'1.3-Basis ruimtestaat'!J:J)</f>
        <v>0</v>
      </c>
      <c r="M46" s="733">
        <f>SUMIF('1.3-Basis ruimtestaat'!L:L,C46,'1.3-Basis ruimtestaat'!K:K)</f>
        <v>0</v>
      </c>
      <c r="N46" s="734" t="str">
        <f t="shared" si="6"/>
        <v/>
      </c>
      <c r="O46" s="737"/>
      <c r="P46" s="736" t="s">
        <v>75</v>
      </c>
      <c r="U46" s="61"/>
      <c r="AC46" s="71"/>
    </row>
    <row r="47" spans="3:29" s="409" customFormat="1">
      <c r="C47" s="726">
        <v>5200</v>
      </c>
      <c r="D47" s="727">
        <v>105</v>
      </c>
      <c r="E47" s="727">
        <v>200</v>
      </c>
      <c r="F47" s="728" t="s">
        <v>310</v>
      </c>
      <c r="G47" s="729" t="s">
        <v>335</v>
      </c>
      <c r="H47" s="730"/>
      <c r="I47" s="730"/>
      <c r="J47" s="731"/>
      <c r="K47" s="732">
        <f t="shared" ref="K47" si="7">IF(H47=0,0,E47/(H47+I47))</f>
        <v>0</v>
      </c>
      <c r="L47" s="733">
        <f>SUMIF('1.3-Basis ruimtestaat'!L:L,C47,'1.3-Basis ruimtestaat'!J:J)</f>
        <v>15.53</v>
      </c>
      <c r="M47" s="733">
        <f>SUMIF('1.3-Basis ruimtestaat'!L:L,C47,'1.3-Basis ruimtestaat'!K:K)</f>
        <v>0</v>
      </c>
      <c r="N47" s="734">
        <f t="shared" si="6"/>
        <v>1.4613155980619922E-3</v>
      </c>
      <c r="O47" s="737"/>
      <c r="P47" s="736" t="s">
        <v>75</v>
      </c>
      <c r="U47" s="61"/>
      <c r="AC47" s="71"/>
    </row>
    <row r="48" spans="3:29" s="409" customFormat="1">
      <c r="C48" s="726">
        <v>5210</v>
      </c>
      <c r="D48" s="727">
        <v>105</v>
      </c>
      <c r="E48" s="727">
        <v>210</v>
      </c>
      <c r="F48" s="728" t="s">
        <v>310</v>
      </c>
      <c r="G48" s="729" t="s">
        <v>1086</v>
      </c>
      <c r="H48" s="730"/>
      <c r="I48" s="730"/>
      <c r="J48" s="731"/>
      <c r="K48" s="732">
        <f t="shared" si="5"/>
        <v>0</v>
      </c>
      <c r="L48" s="733">
        <f>SUMIF('1.3-Basis ruimtestaat'!L:L,C48,'1.3-Basis ruimtestaat'!J:J)</f>
        <v>0</v>
      </c>
      <c r="M48" s="733">
        <f>SUMIF('1.3-Basis ruimtestaat'!L:L,C48,'1.3-Basis ruimtestaat'!K:K)</f>
        <v>0</v>
      </c>
      <c r="N48" s="734" t="str">
        <f t="shared" si="6"/>
        <v/>
      </c>
      <c r="O48" s="737"/>
      <c r="P48" s="736" t="s">
        <v>75</v>
      </c>
      <c r="U48" s="61"/>
      <c r="AC48" s="71"/>
    </row>
    <row r="49" spans="3:29" s="409" customFormat="1">
      <c r="C49" s="726">
        <v>5225</v>
      </c>
      <c r="D49" s="727">
        <v>105</v>
      </c>
      <c r="E49" s="727">
        <v>225</v>
      </c>
      <c r="F49" s="728" t="s">
        <v>310</v>
      </c>
      <c r="G49" s="729" t="s">
        <v>1063</v>
      </c>
      <c r="H49" s="730"/>
      <c r="I49" s="730"/>
      <c r="J49" s="731"/>
      <c r="K49" s="732">
        <f t="shared" si="5"/>
        <v>0</v>
      </c>
      <c r="L49" s="733">
        <f>SUMIF('1.3-Basis ruimtestaat'!L:L,C49,'1.3-Basis ruimtestaat'!J:J)</f>
        <v>0</v>
      </c>
      <c r="M49" s="733">
        <f>SUMIF('1.3-Basis ruimtestaat'!L:L,C49,'1.3-Basis ruimtestaat'!K:K)</f>
        <v>0</v>
      </c>
      <c r="N49" s="734" t="str">
        <f t="shared" si="6"/>
        <v/>
      </c>
      <c r="O49" s="737"/>
      <c r="P49" s="736" t="s">
        <v>75</v>
      </c>
      <c r="U49" s="61"/>
      <c r="AC49" s="71"/>
    </row>
    <row r="50" spans="3:29" s="409" customFormat="1">
      <c r="C50" s="726">
        <v>5255</v>
      </c>
      <c r="D50" s="727">
        <v>105</v>
      </c>
      <c r="E50" s="727">
        <v>255</v>
      </c>
      <c r="F50" s="728" t="s">
        <v>310</v>
      </c>
      <c r="G50" s="729" t="s">
        <v>1033</v>
      </c>
      <c r="H50" s="730"/>
      <c r="I50" s="730"/>
      <c r="J50" s="731"/>
      <c r="K50" s="732">
        <f t="shared" si="5"/>
        <v>0</v>
      </c>
      <c r="L50" s="733">
        <f>SUMIF('1.3-Basis ruimtestaat'!L:L,C50,'1.3-Basis ruimtestaat'!J:J)</f>
        <v>35.049999999999997</v>
      </c>
      <c r="M50" s="733">
        <f>SUMIF('1.3-Basis ruimtestaat'!L:L,C50,'1.3-Basis ruimtestaat'!K:K)</f>
        <v>0</v>
      </c>
      <c r="N50" s="734">
        <f t="shared" si="6"/>
        <v>3.2980754482983144E-3</v>
      </c>
      <c r="O50" s="737"/>
      <c r="P50" s="736" t="s">
        <v>75</v>
      </c>
      <c r="U50" s="61"/>
      <c r="AC50" s="71"/>
    </row>
    <row r="51" spans="3:29" s="409" customFormat="1">
      <c r="C51" s="726">
        <v>6120</v>
      </c>
      <c r="D51" s="727">
        <v>107</v>
      </c>
      <c r="E51" s="727">
        <v>120</v>
      </c>
      <c r="F51" s="728" t="s">
        <v>790</v>
      </c>
      <c r="G51" s="729" t="s">
        <v>1054</v>
      </c>
      <c r="H51" s="730"/>
      <c r="I51" s="730"/>
      <c r="J51" s="731"/>
      <c r="K51" s="732">
        <f t="shared" si="5"/>
        <v>0</v>
      </c>
      <c r="L51" s="733">
        <f>SUMIF('1.3-Basis ruimtestaat'!L:L,C51,'1.3-Basis ruimtestaat'!J:J)</f>
        <v>0</v>
      </c>
      <c r="M51" s="733">
        <f>SUMIF('1.3-Basis ruimtestaat'!L:L,C51,'1.3-Basis ruimtestaat'!K:K)</f>
        <v>0</v>
      </c>
      <c r="N51" s="734" t="str">
        <f t="shared" si="6"/>
        <v/>
      </c>
      <c r="O51" s="737"/>
      <c r="P51" s="736" t="s">
        <v>308</v>
      </c>
      <c r="U51" s="61"/>
      <c r="AC51" s="71"/>
    </row>
    <row r="52" spans="3:29" s="409" customFormat="1">
      <c r="C52" s="726">
        <v>6153</v>
      </c>
      <c r="D52" s="727">
        <v>107</v>
      </c>
      <c r="E52" s="727">
        <v>153</v>
      </c>
      <c r="F52" s="728" t="s">
        <v>790</v>
      </c>
      <c r="G52" s="729" t="s">
        <v>1032</v>
      </c>
      <c r="H52" s="730"/>
      <c r="I52" s="730"/>
      <c r="J52" s="731"/>
      <c r="K52" s="732">
        <f t="shared" si="5"/>
        <v>0</v>
      </c>
      <c r="L52" s="733">
        <f>SUMIF('1.3-Basis ruimtestaat'!L:L,C52,'1.3-Basis ruimtestaat'!J:J)</f>
        <v>0</v>
      </c>
      <c r="M52" s="733">
        <f>SUMIF('1.3-Basis ruimtestaat'!L:L,C52,'1.3-Basis ruimtestaat'!K:K)</f>
        <v>0</v>
      </c>
      <c r="N52" s="734" t="str">
        <f t="shared" si="6"/>
        <v/>
      </c>
      <c r="O52" s="737"/>
      <c r="P52" s="736" t="s">
        <v>308</v>
      </c>
      <c r="U52" s="61"/>
      <c r="AC52" s="71"/>
    </row>
    <row r="53" spans="3:29" s="409" customFormat="1">
      <c r="C53" s="726">
        <v>6200</v>
      </c>
      <c r="D53" s="727">
        <v>107</v>
      </c>
      <c r="E53" s="727">
        <v>200</v>
      </c>
      <c r="F53" s="728" t="s">
        <v>790</v>
      </c>
      <c r="G53" s="729" t="s">
        <v>335</v>
      </c>
      <c r="H53" s="730"/>
      <c r="I53" s="730"/>
      <c r="J53" s="731"/>
      <c r="K53" s="732">
        <f t="shared" si="5"/>
        <v>0</v>
      </c>
      <c r="L53" s="733">
        <f>SUMIF('1.3-Basis ruimtestaat'!L:L,C53,'1.3-Basis ruimtestaat'!J:J)</f>
        <v>718.24999999999989</v>
      </c>
      <c r="M53" s="733">
        <f>SUMIF('1.3-Basis ruimtestaat'!L:L,C53,'1.3-Basis ruimtestaat'!K:K)</f>
        <v>0</v>
      </c>
      <c r="N53" s="734">
        <f t="shared" si="6"/>
        <v>6.7584670206569594E-2</v>
      </c>
      <c r="O53" s="737"/>
      <c r="P53" s="736" t="s">
        <v>308</v>
      </c>
      <c r="U53" s="61"/>
      <c r="AC53" s="71"/>
    </row>
    <row r="54" spans="3:29" s="409" customFormat="1">
      <c r="C54" s="726">
        <v>7153</v>
      </c>
      <c r="D54" s="727">
        <v>107</v>
      </c>
      <c r="E54" s="727">
        <v>153</v>
      </c>
      <c r="F54" s="728" t="s">
        <v>309</v>
      </c>
      <c r="G54" s="729" t="s">
        <v>1032</v>
      </c>
      <c r="H54" s="730"/>
      <c r="I54" s="730"/>
      <c r="J54" s="731"/>
      <c r="K54" s="732">
        <f t="shared" si="5"/>
        <v>0</v>
      </c>
      <c r="L54" s="733">
        <f>SUMIF('1.3-Basis ruimtestaat'!L:L,C54,'1.3-Basis ruimtestaat'!J:J)</f>
        <v>0</v>
      </c>
      <c r="M54" s="733">
        <f>SUMIF('1.3-Basis ruimtestaat'!L:L,C54,'1.3-Basis ruimtestaat'!K:K)</f>
        <v>0</v>
      </c>
      <c r="N54" s="734" t="str">
        <f t="shared" si="6"/>
        <v/>
      </c>
      <c r="O54" s="737"/>
      <c r="P54" s="736" t="s">
        <v>308</v>
      </c>
      <c r="U54" s="61"/>
      <c r="AC54" s="71"/>
    </row>
    <row r="55" spans="3:29" s="409" customFormat="1">
      <c r="C55" s="726">
        <v>7200</v>
      </c>
      <c r="D55" s="727">
        <v>107</v>
      </c>
      <c r="E55" s="727">
        <v>200</v>
      </c>
      <c r="F55" s="728" t="s">
        <v>309</v>
      </c>
      <c r="G55" s="729" t="s">
        <v>335</v>
      </c>
      <c r="H55" s="730"/>
      <c r="I55" s="730"/>
      <c r="J55" s="731"/>
      <c r="K55" s="732">
        <f t="shared" si="5"/>
        <v>0</v>
      </c>
      <c r="L55" s="733">
        <f>SUMIF('1.3-Basis ruimtestaat'!L:L,C55,'1.3-Basis ruimtestaat'!J:J)</f>
        <v>2657.9600000000005</v>
      </c>
      <c r="M55" s="733">
        <f>SUMIF('1.3-Basis ruimtestaat'!L:L,C55,'1.3-Basis ruimtestaat'!K:K)</f>
        <v>0</v>
      </c>
      <c r="N55" s="734">
        <f t="shared" si="6"/>
        <v>0.25010421165646191</v>
      </c>
      <c r="O55" s="737"/>
      <c r="P55" s="736" t="s">
        <v>308</v>
      </c>
      <c r="U55" s="61"/>
      <c r="AC55" s="71"/>
    </row>
    <row r="56" spans="3:29" s="409" customFormat="1">
      <c r="C56" s="726">
        <v>7225</v>
      </c>
      <c r="D56" s="727">
        <v>107</v>
      </c>
      <c r="E56" s="727">
        <v>225</v>
      </c>
      <c r="F56" s="728" t="s">
        <v>309</v>
      </c>
      <c r="G56" s="729" t="s">
        <v>1063</v>
      </c>
      <c r="H56" s="730"/>
      <c r="I56" s="730"/>
      <c r="J56" s="731"/>
      <c r="K56" s="732">
        <f t="shared" si="5"/>
        <v>0</v>
      </c>
      <c r="L56" s="733">
        <f>SUMIF('1.3-Basis ruimtestaat'!L:L,C56,'1.3-Basis ruimtestaat'!J:J)</f>
        <v>0</v>
      </c>
      <c r="M56" s="733">
        <f>SUMIF('1.3-Basis ruimtestaat'!L:L,C56,'1.3-Basis ruimtestaat'!K:K)</f>
        <v>0</v>
      </c>
      <c r="N56" s="734" t="str">
        <f t="shared" si="6"/>
        <v/>
      </c>
      <c r="O56" s="737"/>
      <c r="P56" s="736" t="s">
        <v>308</v>
      </c>
      <c r="U56" s="61"/>
      <c r="AC56" s="71"/>
    </row>
    <row r="57" spans="3:29" s="409" customFormat="1">
      <c r="C57" s="726">
        <v>7255</v>
      </c>
      <c r="D57" s="727">
        <v>107</v>
      </c>
      <c r="E57" s="727">
        <v>255</v>
      </c>
      <c r="F57" s="728" t="s">
        <v>309</v>
      </c>
      <c r="G57" s="729" t="s">
        <v>1033</v>
      </c>
      <c r="H57" s="730"/>
      <c r="I57" s="730"/>
      <c r="J57" s="731"/>
      <c r="K57" s="732">
        <f t="shared" si="5"/>
        <v>0</v>
      </c>
      <c r="L57" s="733">
        <f>SUMIF('1.3-Basis ruimtestaat'!L:L,C57,'1.3-Basis ruimtestaat'!J:J)</f>
        <v>159</v>
      </c>
      <c r="M57" s="733">
        <f>SUMIF('1.3-Basis ruimtestaat'!L:L,C57,'1.3-Basis ruimtestaat'!K:K)</f>
        <v>0</v>
      </c>
      <c r="N57" s="734">
        <f t="shared" si="6"/>
        <v>1.4961312304691356E-2</v>
      </c>
      <c r="O57" s="737"/>
      <c r="P57" s="736" t="s">
        <v>308</v>
      </c>
      <c r="U57" s="61"/>
      <c r="AC57" s="71"/>
    </row>
    <row r="58" spans="3:29" s="409" customFormat="1">
      <c r="C58" s="726">
        <v>8153</v>
      </c>
      <c r="D58" s="727">
        <v>107</v>
      </c>
      <c r="E58" s="727">
        <v>153</v>
      </c>
      <c r="F58" s="728" t="s">
        <v>1074</v>
      </c>
      <c r="G58" s="729" t="s">
        <v>1032</v>
      </c>
      <c r="H58" s="730"/>
      <c r="I58" s="730"/>
      <c r="J58" s="731"/>
      <c r="K58" s="732">
        <f t="shared" ref="K58" si="8">IF(H58=0,0,E58/(H58+I58))</f>
        <v>0</v>
      </c>
      <c r="L58" s="733">
        <f>SUMIF('1.3-Basis ruimtestaat'!L:L,C58,'1.3-Basis ruimtestaat'!J:J)</f>
        <v>0</v>
      </c>
      <c r="M58" s="733">
        <f>SUMIF('1.3-Basis ruimtestaat'!L:L,C58,'1.3-Basis ruimtestaat'!K:K)</f>
        <v>0</v>
      </c>
      <c r="N58" s="734" t="str">
        <f t="shared" si="6"/>
        <v/>
      </c>
      <c r="O58" s="737"/>
      <c r="P58" s="736" t="s">
        <v>308</v>
      </c>
      <c r="U58" s="61"/>
      <c r="AC58" s="71"/>
    </row>
    <row r="59" spans="3:29" s="409" customFormat="1">
      <c r="C59" s="726">
        <v>9051</v>
      </c>
      <c r="D59" s="727">
        <v>109</v>
      </c>
      <c r="E59" s="727">
        <v>51</v>
      </c>
      <c r="F59" s="728" t="s">
        <v>333</v>
      </c>
      <c r="G59" s="729" t="s">
        <v>1055</v>
      </c>
      <c r="H59" s="730"/>
      <c r="I59" s="730"/>
      <c r="J59" s="731"/>
      <c r="K59" s="732">
        <f t="shared" si="5"/>
        <v>0</v>
      </c>
      <c r="L59" s="733">
        <f>SUMIF('1.3-Basis ruimtestaat'!L:L,C59,'1.3-Basis ruimtestaat'!J:J)</f>
        <v>0</v>
      </c>
      <c r="M59" s="733">
        <f>SUMIF('1.3-Basis ruimtestaat'!L:L,C59,'1.3-Basis ruimtestaat'!K:K)</f>
        <v>0</v>
      </c>
      <c r="N59" s="734" t="str">
        <f t="shared" si="6"/>
        <v/>
      </c>
      <c r="O59" s="737"/>
      <c r="P59" s="736" t="s">
        <v>75</v>
      </c>
      <c r="U59" s="61"/>
      <c r="AC59" s="71"/>
    </row>
    <row r="60" spans="3:29" s="409" customFormat="1">
      <c r="C60" s="726">
        <v>9080</v>
      </c>
      <c r="D60" s="727">
        <v>109</v>
      </c>
      <c r="E60" s="727">
        <v>80</v>
      </c>
      <c r="F60" s="728" t="s">
        <v>333</v>
      </c>
      <c r="G60" s="729" t="s">
        <v>1073</v>
      </c>
      <c r="H60" s="730"/>
      <c r="I60" s="730"/>
      <c r="J60" s="731"/>
      <c r="K60" s="732">
        <f t="shared" si="5"/>
        <v>0</v>
      </c>
      <c r="L60" s="733">
        <f>SUMIF('1.3-Basis ruimtestaat'!L:L,C60,'1.3-Basis ruimtestaat'!J:J)</f>
        <v>0</v>
      </c>
      <c r="M60" s="733">
        <f>SUMIF('1.3-Basis ruimtestaat'!L:L,C60,'1.3-Basis ruimtestaat'!K:K)</f>
        <v>0</v>
      </c>
      <c r="N60" s="734" t="str">
        <f t="shared" si="6"/>
        <v/>
      </c>
      <c r="O60" s="737"/>
      <c r="P60" s="736" t="s">
        <v>75</v>
      </c>
      <c r="U60" s="61"/>
      <c r="AC60" s="71"/>
    </row>
    <row r="61" spans="3:29" s="409" customFormat="1">
      <c r="C61" s="726">
        <v>9120</v>
      </c>
      <c r="D61" s="727">
        <v>109</v>
      </c>
      <c r="E61" s="727">
        <v>120</v>
      </c>
      <c r="F61" s="728" t="s">
        <v>333</v>
      </c>
      <c r="G61" s="729" t="s">
        <v>1054</v>
      </c>
      <c r="H61" s="730"/>
      <c r="I61" s="730"/>
      <c r="J61" s="731"/>
      <c r="K61" s="732">
        <f t="shared" si="5"/>
        <v>0</v>
      </c>
      <c r="L61" s="733">
        <f>SUMIF('1.3-Basis ruimtestaat'!L:L,C61,'1.3-Basis ruimtestaat'!J:J)</f>
        <v>0</v>
      </c>
      <c r="M61" s="733">
        <f>SUMIF('1.3-Basis ruimtestaat'!L:L,C61,'1.3-Basis ruimtestaat'!K:K)</f>
        <v>0</v>
      </c>
      <c r="N61" s="734" t="str">
        <f t="shared" si="6"/>
        <v/>
      </c>
      <c r="O61" s="737"/>
      <c r="P61" s="736" t="s">
        <v>75</v>
      </c>
      <c r="U61" s="61"/>
      <c r="AC61" s="71"/>
    </row>
    <row r="62" spans="3:29" s="409" customFormat="1">
      <c r="C62" s="726">
        <v>9153</v>
      </c>
      <c r="D62" s="727">
        <v>109</v>
      </c>
      <c r="E62" s="727">
        <v>153</v>
      </c>
      <c r="F62" s="728" t="s">
        <v>333</v>
      </c>
      <c r="G62" s="729" t="s">
        <v>1032</v>
      </c>
      <c r="H62" s="730"/>
      <c r="I62" s="730"/>
      <c r="J62" s="731"/>
      <c r="K62" s="732">
        <f t="shared" si="5"/>
        <v>0</v>
      </c>
      <c r="L62" s="733">
        <f>SUMIF('1.3-Basis ruimtestaat'!L:L,C62,'1.3-Basis ruimtestaat'!J:J)</f>
        <v>0</v>
      </c>
      <c r="M62" s="733">
        <f>SUMIF('1.3-Basis ruimtestaat'!L:L,C62,'1.3-Basis ruimtestaat'!K:K)</f>
        <v>0</v>
      </c>
      <c r="N62" s="734" t="str">
        <f t="shared" si="6"/>
        <v/>
      </c>
      <c r="O62" s="737"/>
      <c r="P62" s="736" t="s">
        <v>75</v>
      </c>
      <c r="U62" s="61"/>
      <c r="AC62" s="71"/>
    </row>
    <row r="63" spans="3:29" s="409" customFormat="1">
      <c r="C63" s="726">
        <v>9200</v>
      </c>
      <c r="D63" s="727">
        <v>109</v>
      </c>
      <c r="E63" s="727">
        <v>200</v>
      </c>
      <c r="F63" s="728" t="s">
        <v>333</v>
      </c>
      <c r="G63" s="729" t="s">
        <v>335</v>
      </c>
      <c r="H63" s="730"/>
      <c r="I63" s="730"/>
      <c r="J63" s="731"/>
      <c r="K63" s="732">
        <f t="shared" si="5"/>
        <v>0</v>
      </c>
      <c r="L63" s="733">
        <f>SUMIF('1.3-Basis ruimtestaat'!L:L,C63,'1.3-Basis ruimtestaat'!J:J)</f>
        <v>72.239999999999995</v>
      </c>
      <c r="M63" s="733">
        <f>SUMIF('1.3-Basis ruimtestaat'!L:L,C63,'1.3-Basis ruimtestaat'!K:K)</f>
        <v>0</v>
      </c>
      <c r="N63" s="734">
        <f t="shared" si="6"/>
        <v>6.7975169867352421E-3</v>
      </c>
      <c r="O63" s="737"/>
      <c r="P63" s="736" t="s">
        <v>75</v>
      </c>
      <c r="U63" s="61"/>
      <c r="AC63" s="71"/>
    </row>
    <row r="64" spans="3:29" s="409" customFormat="1" ht="26">
      <c r="C64" s="726">
        <v>9225</v>
      </c>
      <c r="D64" s="727">
        <v>109</v>
      </c>
      <c r="E64" s="727">
        <v>225</v>
      </c>
      <c r="F64" s="728" t="s">
        <v>333</v>
      </c>
      <c r="G64" s="729" t="s">
        <v>1075</v>
      </c>
      <c r="H64" s="730"/>
      <c r="I64" s="730"/>
      <c r="J64" s="731"/>
      <c r="K64" s="732">
        <f t="shared" ref="K64" si="9">IF(H64=0,0,E64/(H64+I64))</f>
        <v>0</v>
      </c>
      <c r="L64" s="733">
        <f>SUMIF('1.3-Basis ruimtestaat'!L:L,C64,'1.3-Basis ruimtestaat'!J:J)</f>
        <v>0</v>
      </c>
      <c r="M64" s="733">
        <f>SUMIF('1.3-Basis ruimtestaat'!L:L,C64,'1.3-Basis ruimtestaat'!K:K)</f>
        <v>0</v>
      </c>
      <c r="N64" s="734" t="str">
        <f t="shared" si="6"/>
        <v/>
      </c>
      <c r="O64" s="738" t="s">
        <v>1069</v>
      </c>
      <c r="P64" s="736" t="s">
        <v>75</v>
      </c>
      <c r="U64" s="61"/>
      <c r="AC64" s="71"/>
    </row>
    <row r="65" spans="3:29" s="409" customFormat="1" ht="26">
      <c r="C65" s="726">
        <v>9236</v>
      </c>
      <c r="D65" s="727">
        <v>109</v>
      </c>
      <c r="E65" s="727">
        <v>236</v>
      </c>
      <c r="F65" s="728" t="s">
        <v>333</v>
      </c>
      <c r="G65" s="729" t="s">
        <v>1075</v>
      </c>
      <c r="H65" s="730"/>
      <c r="I65" s="730"/>
      <c r="J65" s="731"/>
      <c r="K65" s="732">
        <f t="shared" si="5"/>
        <v>0</v>
      </c>
      <c r="L65" s="733">
        <f>SUMIF('1.3-Basis ruimtestaat'!L:L,C65,'1.3-Basis ruimtestaat'!J:J)</f>
        <v>0</v>
      </c>
      <c r="M65" s="733">
        <f>SUMIF('1.3-Basis ruimtestaat'!L:L,C65,'1.3-Basis ruimtestaat'!K:K)</f>
        <v>0</v>
      </c>
      <c r="N65" s="734" t="str">
        <f t="shared" si="6"/>
        <v/>
      </c>
      <c r="O65" s="738" t="s">
        <v>1069</v>
      </c>
      <c r="P65" s="736" t="s">
        <v>75</v>
      </c>
      <c r="U65" s="61"/>
      <c r="AC65" s="71"/>
    </row>
    <row r="66" spans="3:29" s="409" customFormat="1">
      <c r="C66" s="726">
        <v>9255</v>
      </c>
      <c r="D66" s="727">
        <v>109</v>
      </c>
      <c r="E66" s="727">
        <v>255</v>
      </c>
      <c r="F66" s="728" t="s">
        <v>333</v>
      </c>
      <c r="G66" s="729" t="s">
        <v>1033</v>
      </c>
      <c r="H66" s="730"/>
      <c r="I66" s="730"/>
      <c r="J66" s="731"/>
      <c r="K66" s="732">
        <f t="shared" si="5"/>
        <v>0</v>
      </c>
      <c r="L66" s="733">
        <f>SUMIF('1.3-Basis ruimtestaat'!L:L,C66,'1.3-Basis ruimtestaat'!J:J)</f>
        <v>29.25</v>
      </c>
      <c r="M66" s="733">
        <f>SUMIF('1.3-Basis ruimtestaat'!L:L,C66,'1.3-Basis ruimtestaat'!K:K)</f>
        <v>0</v>
      </c>
      <c r="N66" s="734">
        <f t="shared" si="6"/>
        <v>2.7523168862403913E-3</v>
      </c>
      <c r="O66" s="737"/>
      <c r="P66" s="736" t="s">
        <v>75</v>
      </c>
      <c r="U66" s="61"/>
      <c r="AC66" s="71"/>
    </row>
    <row r="67" spans="3:29" s="409" customFormat="1">
      <c r="C67" s="726">
        <v>10200</v>
      </c>
      <c r="D67" s="727">
        <v>110</v>
      </c>
      <c r="E67" s="727">
        <v>200</v>
      </c>
      <c r="F67" s="728" t="s">
        <v>332</v>
      </c>
      <c r="G67" s="729" t="s">
        <v>335</v>
      </c>
      <c r="H67" s="730"/>
      <c r="I67" s="730"/>
      <c r="J67" s="731"/>
      <c r="K67" s="732">
        <f t="shared" si="5"/>
        <v>0</v>
      </c>
      <c r="L67" s="733">
        <f>SUMIF('1.3-Basis ruimtestaat'!L:L,C67,'1.3-Basis ruimtestaat'!J:J)</f>
        <v>4.9400000000000004</v>
      </c>
      <c r="M67" s="733">
        <f>SUMIF('1.3-Basis ruimtestaat'!L:L,C67,'1.3-Basis ruimtestaat'!K:K)</f>
        <v>0</v>
      </c>
      <c r="N67" s="734">
        <f t="shared" si="6"/>
        <v>4.6483574078726609E-4</v>
      </c>
      <c r="O67" s="737"/>
      <c r="P67" s="736" t="s">
        <v>75</v>
      </c>
      <c r="U67" s="61"/>
      <c r="AC67" s="71"/>
    </row>
    <row r="68" spans="3:29" s="409" customFormat="1">
      <c r="C68" s="726">
        <v>11200</v>
      </c>
      <c r="D68" s="727">
        <v>105</v>
      </c>
      <c r="E68" s="727">
        <v>200</v>
      </c>
      <c r="F68" s="728" t="s">
        <v>805</v>
      </c>
      <c r="G68" s="729" t="s">
        <v>335</v>
      </c>
      <c r="H68" s="730"/>
      <c r="I68" s="730"/>
      <c r="J68" s="731"/>
      <c r="K68" s="732">
        <f t="shared" si="5"/>
        <v>0</v>
      </c>
      <c r="L68" s="733">
        <f>SUMIF('1.3-Basis ruimtestaat'!L:L,C68,'1.3-Basis ruimtestaat'!J:J)</f>
        <v>231.03</v>
      </c>
      <c r="M68" s="733">
        <f>SUMIF('1.3-Basis ruimtestaat'!L:L,C68,'1.3-Basis ruimtestaat'!K:K)</f>
        <v>0</v>
      </c>
      <c r="N68" s="734">
        <f t="shared" si="6"/>
        <v>2.1739069067627952E-2</v>
      </c>
      <c r="O68" s="737"/>
      <c r="P68" s="736" t="s">
        <v>75</v>
      </c>
      <c r="U68" s="61"/>
      <c r="AC68" s="71"/>
    </row>
    <row r="69" spans="3:29" s="409" customFormat="1">
      <c r="C69" s="726">
        <v>11210</v>
      </c>
      <c r="D69" s="727">
        <v>105</v>
      </c>
      <c r="E69" s="727">
        <v>210</v>
      </c>
      <c r="F69" s="728" t="s">
        <v>805</v>
      </c>
      <c r="G69" s="729" t="s">
        <v>1086</v>
      </c>
      <c r="H69" s="730"/>
      <c r="I69" s="730"/>
      <c r="J69" s="731"/>
      <c r="K69" s="732">
        <f t="shared" ref="K69:K99" si="10">IF(H69=0,0,E69/(H69+I69))</f>
        <v>0</v>
      </c>
      <c r="L69" s="733">
        <f>SUMIF('1.3-Basis ruimtestaat'!L:L,C69,'1.3-Basis ruimtestaat'!J:J)</f>
        <v>0</v>
      </c>
      <c r="M69" s="733">
        <f>SUMIF('1.3-Basis ruimtestaat'!L:L,C69,'1.3-Basis ruimtestaat'!K:K)</f>
        <v>0</v>
      </c>
      <c r="N69" s="734" t="str">
        <f t="shared" si="6"/>
        <v/>
      </c>
      <c r="O69" s="737"/>
      <c r="P69" s="736" t="s">
        <v>75</v>
      </c>
      <c r="U69" s="61"/>
      <c r="AC69" s="71"/>
    </row>
    <row r="70" spans="3:29" s="409" customFormat="1" ht="26">
      <c r="C70" s="726">
        <v>11236</v>
      </c>
      <c r="D70" s="727">
        <v>105</v>
      </c>
      <c r="E70" s="727">
        <v>236</v>
      </c>
      <c r="F70" s="728" t="s">
        <v>805</v>
      </c>
      <c r="G70" s="729" t="s">
        <v>1075</v>
      </c>
      <c r="H70" s="730"/>
      <c r="I70" s="730"/>
      <c r="J70" s="731"/>
      <c r="K70" s="732">
        <f t="shared" si="10"/>
        <v>0</v>
      </c>
      <c r="L70" s="733">
        <f>SUMIF('1.3-Basis ruimtestaat'!L:L,C70,'1.3-Basis ruimtestaat'!J:J)</f>
        <v>0</v>
      </c>
      <c r="M70" s="733">
        <f>SUMIF('1.3-Basis ruimtestaat'!L:L,C70,'1.3-Basis ruimtestaat'!K:K)</f>
        <v>0</v>
      </c>
      <c r="N70" s="734" t="str">
        <f t="shared" si="6"/>
        <v/>
      </c>
      <c r="O70" s="738" t="s">
        <v>1069</v>
      </c>
      <c r="P70" s="736" t="s">
        <v>75</v>
      </c>
      <c r="U70" s="61"/>
      <c r="AC70" s="71"/>
    </row>
    <row r="71" spans="3:29" s="409" customFormat="1">
      <c r="C71" s="726">
        <v>11255</v>
      </c>
      <c r="D71" s="727">
        <v>105</v>
      </c>
      <c r="E71" s="727">
        <v>255</v>
      </c>
      <c r="F71" s="728" t="s">
        <v>805</v>
      </c>
      <c r="G71" s="729" t="s">
        <v>1033</v>
      </c>
      <c r="H71" s="730"/>
      <c r="I71" s="730"/>
      <c r="J71" s="731"/>
      <c r="K71" s="732">
        <f t="shared" si="10"/>
        <v>0</v>
      </c>
      <c r="L71" s="733">
        <f>SUMIF('1.3-Basis ruimtestaat'!L:L,C71,'1.3-Basis ruimtestaat'!J:J)</f>
        <v>75.02</v>
      </c>
      <c r="M71" s="733">
        <f>SUMIF('1.3-Basis ruimtestaat'!L:L,C71,'1.3-Basis ruimtestaat'!K:K)</f>
        <v>0</v>
      </c>
      <c r="N71" s="734">
        <f t="shared" si="6"/>
        <v>7.0591047113078339E-3</v>
      </c>
      <c r="O71" s="737"/>
      <c r="P71" s="736" t="s">
        <v>75</v>
      </c>
      <c r="U71" s="61"/>
      <c r="AC71" s="71"/>
    </row>
    <row r="72" spans="3:29" s="409" customFormat="1">
      <c r="C72" s="726">
        <v>12008</v>
      </c>
      <c r="D72" s="727">
        <v>105</v>
      </c>
      <c r="E72" s="727">
        <v>8</v>
      </c>
      <c r="F72" s="728" t="s">
        <v>306</v>
      </c>
      <c r="G72" s="729" t="s">
        <v>1064</v>
      </c>
      <c r="H72" s="730"/>
      <c r="I72" s="730"/>
      <c r="J72" s="731"/>
      <c r="K72" s="732">
        <f t="shared" si="10"/>
        <v>0</v>
      </c>
      <c r="L72" s="733">
        <f>SUMIF('1.3-Basis ruimtestaat'!L:L,C72,'1.3-Basis ruimtestaat'!J:J)</f>
        <v>0</v>
      </c>
      <c r="M72" s="733">
        <f>SUMIF('1.3-Basis ruimtestaat'!L:L,C72,'1.3-Basis ruimtestaat'!K:K)</f>
        <v>0</v>
      </c>
      <c r="N72" s="734" t="str">
        <f t="shared" si="6"/>
        <v/>
      </c>
      <c r="O72" s="737"/>
      <c r="P72" s="736"/>
      <c r="U72" s="61"/>
      <c r="AC72" s="71"/>
    </row>
    <row r="73" spans="3:29" s="409" customFormat="1">
      <c r="C73" s="726">
        <v>12051</v>
      </c>
      <c r="D73" s="727">
        <v>105</v>
      </c>
      <c r="E73" s="727">
        <v>51</v>
      </c>
      <c r="F73" s="728" t="s">
        <v>306</v>
      </c>
      <c r="G73" s="729" t="s">
        <v>1055</v>
      </c>
      <c r="H73" s="730"/>
      <c r="I73" s="730"/>
      <c r="J73" s="731"/>
      <c r="K73" s="732">
        <f t="shared" si="10"/>
        <v>0</v>
      </c>
      <c r="L73" s="733">
        <f>SUMIF('1.3-Basis ruimtestaat'!L:L,C73,'1.3-Basis ruimtestaat'!J:J)</f>
        <v>0</v>
      </c>
      <c r="M73" s="733">
        <f>SUMIF('1.3-Basis ruimtestaat'!L:L,C73,'1.3-Basis ruimtestaat'!K:K)</f>
        <v>0</v>
      </c>
      <c r="N73" s="734" t="str">
        <f t="shared" si="6"/>
        <v/>
      </c>
      <c r="O73" s="737"/>
      <c r="P73" s="736" t="s">
        <v>75</v>
      </c>
      <c r="U73" s="61"/>
      <c r="AC73" s="71"/>
    </row>
    <row r="74" spans="3:29" s="409" customFormat="1">
      <c r="C74" s="726">
        <v>12102</v>
      </c>
      <c r="D74" s="727">
        <v>105</v>
      </c>
      <c r="E74" s="727">
        <v>102</v>
      </c>
      <c r="F74" s="728" t="s">
        <v>306</v>
      </c>
      <c r="G74" s="729" t="s">
        <v>1031</v>
      </c>
      <c r="H74" s="730"/>
      <c r="I74" s="730"/>
      <c r="J74" s="731"/>
      <c r="K74" s="732">
        <f t="shared" si="10"/>
        <v>0</v>
      </c>
      <c r="L74" s="733">
        <f>SUMIF('1.3-Basis ruimtestaat'!L:L,C74,'1.3-Basis ruimtestaat'!J:J)</f>
        <v>0</v>
      </c>
      <c r="M74" s="733">
        <f>SUMIF('1.3-Basis ruimtestaat'!L:L,C74,'1.3-Basis ruimtestaat'!K:K)</f>
        <v>0</v>
      </c>
      <c r="N74" s="734" t="str">
        <f t="shared" si="6"/>
        <v/>
      </c>
      <c r="O74" s="737"/>
      <c r="P74" s="736" t="s">
        <v>75</v>
      </c>
      <c r="U74" s="61"/>
      <c r="AC74" s="71"/>
    </row>
    <row r="75" spans="3:29" s="409" customFormat="1">
      <c r="C75" s="726">
        <v>12153</v>
      </c>
      <c r="D75" s="727">
        <v>105</v>
      </c>
      <c r="E75" s="727">
        <v>153</v>
      </c>
      <c r="F75" s="728" t="s">
        <v>306</v>
      </c>
      <c r="G75" s="729" t="s">
        <v>1032</v>
      </c>
      <c r="H75" s="730"/>
      <c r="I75" s="730"/>
      <c r="J75" s="731"/>
      <c r="K75" s="732">
        <f t="shared" si="10"/>
        <v>0</v>
      </c>
      <c r="L75" s="733">
        <f>SUMIF('1.3-Basis ruimtestaat'!L:L,C75,'1.3-Basis ruimtestaat'!J:J)</f>
        <v>0</v>
      </c>
      <c r="M75" s="733">
        <f>SUMIF('1.3-Basis ruimtestaat'!L:L,C75,'1.3-Basis ruimtestaat'!K:K)</f>
        <v>0</v>
      </c>
      <c r="N75" s="734" t="str">
        <f t="shared" ref="N75:N95" si="11">IF(L75=0,"",L75/$L$103)</f>
        <v/>
      </c>
      <c r="O75" s="737"/>
      <c r="P75" s="736" t="s">
        <v>75</v>
      </c>
      <c r="U75" s="61"/>
      <c r="AC75" s="71"/>
    </row>
    <row r="76" spans="3:29" s="409" customFormat="1">
      <c r="C76" s="726">
        <v>12200</v>
      </c>
      <c r="D76" s="727">
        <v>105</v>
      </c>
      <c r="E76" s="727">
        <v>200</v>
      </c>
      <c r="F76" s="728" t="s">
        <v>306</v>
      </c>
      <c r="G76" s="729" t="s">
        <v>335</v>
      </c>
      <c r="H76" s="730"/>
      <c r="I76" s="730"/>
      <c r="J76" s="731"/>
      <c r="K76" s="732">
        <f t="shared" si="10"/>
        <v>0</v>
      </c>
      <c r="L76" s="733">
        <f>SUMIF('1.3-Basis ruimtestaat'!L:L,C76,'1.3-Basis ruimtestaat'!J:J)</f>
        <v>0</v>
      </c>
      <c r="M76" s="733">
        <f>SUMIF('1.3-Basis ruimtestaat'!L:L,C76,'1.3-Basis ruimtestaat'!K:K)</f>
        <v>0</v>
      </c>
      <c r="N76" s="734" t="str">
        <f t="shared" si="11"/>
        <v/>
      </c>
      <c r="O76" s="737"/>
      <c r="P76" s="736" t="s">
        <v>75</v>
      </c>
      <c r="U76" s="61"/>
      <c r="AC76" s="71"/>
    </row>
    <row r="77" spans="3:29" s="409" customFormat="1">
      <c r="C77" s="726">
        <v>12255</v>
      </c>
      <c r="D77" s="727">
        <v>105</v>
      </c>
      <c r="E77" s="727">
        <v>255</v>
      </c>
      <c r="F77" s="728" t="s">
        <v>306</v>
      </c>
      <c r="G77" s="729" t="s">
        <v>1033</v>
      </c>
      <c r="H77" s="730"/>
      <c r="I77" s="730"/>
      <c r="J77" s="731"/>
      <c r="K77" s="732">
        <f t="shared" ref="K77:K95" si="12">IF(H77=0,0,E77/(H77+I77))</f>
        <v>0</v>
      </c>
      <c r="L77" s="733">
        <f>SUMIF('1.3-Basis ruimtestaat'!L:L,C77,'1.3-Basis ruimtestaat'!J:J)</f>
        <v>0</v>
      </c>
      <c r="M77" s="733">
        <f>SUMIF('1.3-Basis ruimtestaat'!L:L,C77,'1.3-Basis ruimtestaat'!K:K)</f>
        <v>0</v>
      </c>
      <c r="N77" s="734" t="str">
        <f t="shared" si="11"/>
        <v/>
      </c>
      <c r="O77" s="737"/>
      <c r="P77" s="736" t="s">
        <v>75</v>
      </c>
      <c r="U77" s="61"/>
      <c r="AC77" s="71"/>
    </row>
    <row r="78" spans="3:29" s="409" customFormat="1">
      <c r="C78" s="726">
        <v>13008</v>
      </c>
      <c r="D78" s="727">
        <v>103</v>
      </c>
      <c r="E78" s="727">
        <v>8</v>
      </c>
      <c r="F78" s="728" t="s">
        <v>698</v>
      </c>
      <c r="G78" s="729" t="s">
        <v>1064</v>
      </c>
      <c r="H78" s="730"/>
      <c r="I78" s="730"/>
      <c r="J78" s="731"/>
      <c r="K78" s="732">
        <f t="shared" si="12"/>
        <v>0</v>
      </c>
      <c r="L78" s="733">
        <f>SUMIF('1.3-Basis ruimtestaat'!L:L,C78,'1.3-Basis ruimtestaat'!J:J)</f>
        <v>0</v>
      </c>
      <c r="M78" s="733">
        <f>SUMIF('1.3-Basis ruimtestaat'!L:L,C78,'1.3-Basis ruimtestaat'!K:K)</f>
        <v>0</v>
      </c>
      <c r="N78" s="734" t="str">
        <f t="shared" si="11"/>
        <v/>
      </c>
      <c r="O78" s="737"/>
      <c r="P78" s="736"/>
      <c r="U78" s="61"/>
      <c r="AC78" s="71"/>
    </row>
    <row r="79" spans="3:29" s="409" customFormat="1">
      <c r="C79" s="726">
        <v>13051</v>
      </c>
      <c r="D79" s="727">
        <v>103</v>
      </c>
      <c r="E79" s="727">
        <v>51</v>
      </c>
      <c r="F79" s="728" t="s">
        <v>698</v>
      </c>
      <c r="G79" s="729" t="s">
        <v>1055</v>
      </c>
      <c r="H79" s="730"/>
      <c r="I79" s="730"/>
      <c r="J79" s="731"/>
      <c r="K79" s="732">
        <f t="shared" si="12"/>
        <v>0</v>
      </c>
      <c r="L79" s="733">
        <f>SUMIF('1.3-Basis ruimtestaat'!L:L,C79,'1.3-Basis ruimtestaat'!J:J)</f>
        <v>0</v>
      </c>
      <c r="M79" s="733">
        <f>SUMIF('1.3-Basis ruimtestaat'!L:L,C79,'1.3-Basis ruimtestaat'!K:K)</f>
        <v>0</v>
      </c>
      <c r="N79" s="734" t="str">
        <f t="shared" si="11"/>
        <v/>
      </c>
      <c r="O79" s="737"/>
      <c r="P79" s="736" t="s">
        <v>75</v>
      </c>
      <c r="U79" s="61"/>
      <c r="AC79" s="71"/>
    </row>
    <row r="80" spans="3:29" s="409" customFormat="1">
      <c r="C80" s="726">
        <v>13153</v>
      </c>
      <c r="D80" s="727">
        <v>103</v>
      </c>
      <c r="E80" s="727">
        <v>153</v>
      </c>
      <c r="F80" s="728" t="s">
        <v>698</v>
      </c>
      <c r="G80" s="729" t="s">
        <v>1032</v>
      </c>
      <c r="H80" s="730"/>
      <c r="I80" s="730"/>
      <c r="J80" s="731"/>
      <c r="K80" s="732">
        <f t="shared" si="12"/>
        <v>0</v>
      </c>
      <c r="L80" s="733">
        <f>SUMIF('1.3-Basis ruimtestaat'!L:L,C80,'1.3-Basis ruimtestaat'!J:J)</f>
        <v>0</v>
      </c>
      <c r="M80" s="733">
        <f>SUMIF('1.3-Basis ruimtestaat'!L:L,C80,'1.3-Basis ruimtestaat'!K:K)</f>
        <v>0</v>
      </c>
      <c r="N80" s="734" t="str">
        <f t="shared" si="11"/>
        <v/>
      </c>
      <c r="O80" s="737"/>
      <c r="P80" s="736" t="s">
        <v>75</v>
      </c>
      <c r="U80" s="61"/>
      <c r="AC80" s="71"/>
    </row>
    <row r="81" spans="3:29" s="409" customFormat="1">
      <c r="C81" s="726">
        <v>13200</v>
      </c>
      <c r="D81" s="727">
        <v>103</v>
      </c>
      <c r="E81" s="727">
        <v>200</v>
      </c>
      <c r="F81" s="728" t="s">
        <v>698</v>
      </c>
      <c r="G81" s="729" t="s">
        <v>335</v>
      </c>
      <c r="H81" s="730"/>
      <c r="I81" s="730"/>
      <c r="J81" s="731"/>
      <c r="K81" s="732">
        <f t="shared" si="12"/>
        <v>0</v>
      </c>
      <c r="L81" s="733">
        <f>SUMIF('1.3-Basis ruimtestaat'!L:L,C81,'1.3-Basis ruimtestaat'!J:J)</f>
        <v>230.07</v>
      </c>
      <c r="M81" s="733">
        <f>SUMIF('1.3-Basis ruimtestaat'!L:L,C81,'1.3-Basis ruimtestaat'!K:K)</f>
        <v>0</v>
      </c>
      <c r="N81" s="734">
        <f t="shared" si="11"/>
        <v>2.1648736615976983E-2</v>
      </c>
      <c r="O81" s="737"/>
      <c r="P81" s="736" t="s">
        <v>75</v>
      </c>
      <c r="U81" s="61"/>
      <c r="AC81" s="71"/>
    </row>
    <row r="82" spans="3:29" s="409" customFormat="1">
      <c r="C82" s="726">
        <v>13210</v>
      </c>
      <c r="D82" s="727">
        <v>103</v>
      </c>
      <c r="E82" s="727">
        <v>210</v>
      </c>
      <c r="F82" s="728" t="s">
        <v>698</v>
      </c>
      <c r="G82" s="729" t="s">
        <v>1086</v>
      </c>
      <c r="H82" s="730"/>
      <c r="I82" s="730"/>
      <c r="J82" s="731"/>
      <c r="K82" s="732">
        <f t="shared" si="12"/>
        <v>0</v>
      </c>
      <c r="L82" s="733">
        <f>SUMIF('1.3-Basis ruimtestaat'!L:L,C82,'1.3-Basis ruimtestaat'!J:J)</f>
        <v>0</v>
      </c>
      <c r="M82" s="733">
        <f>SUMIF('1.3-Basis ruimtestaat'!L:L,C82,'1.3-Basis ruimtestaat'!K:K)</f>
        <v>0</v>
      </c>
      <c r="N82" s="734" t="str">
        <f t="shared" si="11"/>
        <v/>
      </c>
      <c r="O82" s="737"/>
      <c r="P82" s="736" t="s">
        <v>75</v>
      </c>
      <c r="U82" s="61"/>
      <c r="AC82" s="71"/>
    </row>
    <row r="83" spans="3:29" s="409" customFormat="1">
      <c r="C83" s="726">
        <v>13225</v>
      </c>
      <c r="D83" s="727">
        <v>103</v>
      </c>
      <c r="E83" s="727">
        <v>225</v>
      </c>
      <c r="F83" s="728" t="s">
        <v>698</v>
      </c>
      <c r="G83" s="729" t="s">
        <v>1063</v>
      </c>
      <c r="H83" s="730"/>
      <c r="I83" s="730"/>
      <c r="J83" s="731"/>
      <c r="K83" s="732">
        <f t="shared" si="12"/>
        <v>0</v>
      </c>
      <c r="L83" s="733">
        <f>SUMIF('1.3-Basis ruimtestaat'!L:L,C83,'1.3-Basis ruimtestaat'!J:J)</f>
        <v>0</v>
      </c>
      <c r="M83" s="733">
        <f>SUMIF('1.3-Basis ruimtestaat'!L:L,C83,'1.3-Basis ruimtestaat'!K:K)</f>
        <v>0</v>
      </c>
      <c r="N83" s="734" t="str">
        <f t="shared" si="11"/>
        <v/>
      </c>
      <c r="O83" s="737"/>
      <c r="P83" s="736" t="s">
        <v>75</v>
      </c>
      <c r="U83" s="61"/>
      <c r="AC83" s="71"/>
    </row>
    <row r="84" spans="3:29" s="409" customFormat="1">
      <c r="C84" s="726">
        <v>13255</v>
      </c>
      <c r="D84" s="727">
        <v>103</v>
      </c>
      <c r="E84" s="727">
        <v>255</v>
      </c>
      <c r="F84" s="728" t="s">
        <v>698</v>
      </c>
      <c r="G84" s="729" t="s">
        <v>1033</v>
      </c>
      <c r="H84" s="730"/>
      <c r="I84" s="730"/>
      <c r="J84" s="731"/>
      <c r="K84" s="732">
        <f t="shared" si="12"/>
        <v>0</v>
      </c>
      <c r="L84" s="733">
        <f>SUMIF('1.3-Basis ruimtestaat'!L:L,C84,'1.3-Basis ruimtestaat'!J:J)</f>
        <v>0</v>
      </c>
      <c r="M84" s="733">
        <f>SUMIF('1.3-Basis ruimtestaat'!L:L,C84,'1.3-Basis ruimtestaat'!K:K)</f>
        <v>0</v>
      </c>
      <c r="N84" s="734" t="str">
        <f t="shared" si="11"/>
        <v/>
      </c>
      <c r="O84" s="737"/>
      <c r="P84" s="736" t="s">
        <v>75</v>
      </c>
      <c r="U84" s="61"/>
      <c r="AC84" s="71"/>
    </row>
    <row r="85" spans="3:29" s="409" customFormat="1">
      <c r="C85" s="726">
        <v>14008</v>
      </c>
      <c r="D85" s="727">
        <v>108</v>
      </c>
      <c r="E85" s="727">
        <v>8</v>
      </c>
      <c r="F85" s="728" t="s">
        <v>1059</v>
      </c>
      <c r="G85" s="729" t="s">
        <v>1064</v>
      </c>
      <c r="H85" s="730"/>
      <c r="I85" s="730"/>
      <c r="J85" s="731"/>
      <c r="K85" s="732">
        <f t="shared" si="12"/>
        <v>0</v>
      </c>
      <c r="L85" s="733">
        <f>SUMIF('1.3-Basis ruimtestaat'!L:L,C85,'1.3-Basis ruimtestaat'!J:J)</f>
        <v>0</v>
      </c>
      <c r="M85" s="733">
        <f>SUMIF('1.3-Basis ruimtestaat'!L:L,C85,'1.3-Basis ruimtestaat'!K:K)</f>
        <v>0</v>
      </c>
      <c r="N85" s="734" t="str">
        <f t="shared" si="11"/>
        <v/>
      </c>
      <c r="O85" s="737"/>
      <c r="P85" s="736"/>
      <c r="U85" s="61"/>
      <c r="AC85" s="71"/>
    </row>
    <row r="86" spans="3:29" s="409" customFormat="1">
      <c r="C86" s="726">
        <v>14012</v>
      </c>
      <c r="D86" s="727">
        <v>108</v>
      </c>
      <c r="E86" s="727">
        <v>12</v>
      </c>
      <c r="F86" s="728" t="s">
        <v>1059</v>
      </c>
      <c r="G86" s="729" t="s">
        <v>1056</v>
      </c>
      <c r="H86" s="730"/>
      <c r="I86" s="730"/>
      <c r="J86" s="731"/>
      <c r="K86" s="732">
        <f t="shared" si="12"/>
        <v>0</v>
      </c>
      <c r="L86" s="733">
        <f>SUMIF('1.3-Basis ruimtestaat'!L:L,C86,'1.3-Basis ruimtestaat'!J:J)</f>
        <v>0</v>
      </c>
      <c r="M86" s="733">
        <f>SUMIF('1.3-Basis ruimtestaat'!L:L,C86,'1.3-Basis ruimtestaat'!K:K)</f>
        <v>0</v>
      </c>
      <c r="N86" s="734" t="str">
        <f t="shared" si="11"/>
        <v/>
      </c>
      <c r="O86" s="737"/>
      <c r="P86" s="736"/>
      <c r="U86" s="61"/>
      <c r="AC86" s="71"/>
    </row>
    <row r="87" spans="3:29" s="409" customFormat="1">
      <c r="C87" s="726">
        <v>14040</v>
      </c>
      <c r="D87" s="727">
        <v>108</v>
      </c>
      <c r="E87" s="727">
        <v>40</v>
      </c>
      <c r="F87" s="728" t="s">
        <v>1059</v>
      </c>
      <c r="G87" s="729" t="s">
        <v>336</v>
      </c>
      <c r="H87" s="730"/>
      <c r="I87" s="730"/>
      <c r="J87" s="731"/>
      <c r="K87" s="732">
        <f t="shared" si="12"/>
        <v>0</v>
      </c>
      <c r="L87" s="733">
        <f>SUMIF('1.3-Basis ruimtestaat'!L:L,C87,'1.3-Basis ruimtestaat'!J:J)</f>
        <v>64.59</v>
      </c>
      <c r="M87" s="733">
        <f>SUMIF('1.3-Basis ruimtestaat'!L:L,C87,'1.3-Basis ruimtestaat'!K:K)</f>
        <v>0</v>
      </c>
      <c r="N87" s="734">
        <f t="shared" si="11"/>
        <v>6.0776802626416023E-3</v>
      </c>
      <c r="O87" s="737"/>
      <c r="P87" s="736" t="s">
        <v>1058</v>
      </c>
      <c r="U87" s="61"/>
      <c r="AC87" s="71"/>
    </row>
    <row r="88" spans="3:29" s="409" customFormat="1">
      <c r="C88" s="726">
        <v>14153</v>
      </c>
      <c r="D88" s="727">
        <v>108</v>
      </c>
      <c r="E88" s="727">
        <v>153</v>
      </c>
      <c r="F88" s="728" t="s">
        <v>771</v>
      </c>
      <c r="G88" s="729" t="s">
        <v>1032</v>
      </c>
      <c r="H88" s="730"/>
      <c r="I88" s="730"/>
      <c r="J88" s="731"/>
      <c r="K88" s="732">
        <f t="shared" si="12"/>
        <v>0</v>
      </c>
      <c r="L88" s="733">
        <f>SUMIF('1.3-Basis ruimtestaat'!L:L,C88,'1.3-Basis ruimtestaat'!J:J)</f>
        <v>0</v>
      </c>
      <c r="M88" s="733">
        <f>SUMIF('1.3-Basis ruimtestaat'!L:L,C88,'1.3-Basis ruimtestaat'!K:K)</f>
        <v>0</v>
      </c>
      <c r="N88" s="734" t="str">
        <f t="shared" si="11"/>
        <v/>
      </c>
      <c r="O88" s="737"/>
      <c r="P88" s="736" t="s">
        <v>1058</v>
      </c>
      <c r="U88" s="61"/>
      <c r="AC88" s="71"/>
    </row>
    <row r="89" spans="3:29" s="409" customFormat="1">
      <c r="C89" s="726">
        <v>14200</v>
      </c>
      <c r="D89" s="727">
        <v>108</v>
      </c>
      <c r="E89" s="727">
        <v>200</v>
      </c>
      <c r="F89" s="728" t="s">
        <v>771</v>
      </c>
      <c r="G89" s="729" t="s">
        <v>335</v>
      </c>
      <c r="H89" s="730"/>
      <c r="I89" s="730"/>
      <c r="J89" s="731"/>
      <c r="K89" s="732">
        <f t="shared" si="12"/>
        <v>0</v>
      </c>
      <c r="L89" s="733">
        <f>SUMIF('1.3-Basis ruimtestaat'!L:L,C89,'1.3-Basis ruimtestaat'!J:J)</f>
        <v>855.8599999999999</v>
      </c>
      <c r="M89" s="733">
        <f>SUMIF('1.3-Basis ruimtestaat'!L:L,C89,'1.3-Basis ruimtestaat'!K:K)</f>
        <v>0</v>
      </c>
      <c r="N89" s="734">
        <f t="shared" si="11"/>
        <v>8.053326257291285E-2</v>
      </c>
      <c r="O89" s="737"/>
      <c r="P89" s="736" t="s">
        <v>1058</v>
      </c>
      <c r="U89" s="61"/>
      <c r="AC89" s="71"/>
    </row>
    <row r="90" spans="3:29" s="409" customFormat="1">
      <c r="C90" s="726">
        <v>14225</v>
      </c>
      <c r="D90" s="727">
        <v>108</v>
      </c>
      <c r="E90" s="727">
        <v>225</v>
      </c>
      <c r="F90" s="728" t="s">
        <v>771</v>
      </c>
      <c r="G90" s="729" t="s">
        <v>1063</v>
      </c>
      <c r="H90" s="730"/>
      <c r="I90" s="730"/>
      <c r="J90" s="731"/>
      <c r="K90" s="732">
        <f t="shared" si="12"/>
        <v>0</v>
      </c>
      <c r="L90" s="733">
        <f>SUMIF('1.3-Basis ruimtestaat'!L:L,C90,'1.3-Basis ruimtestaat'!J:J)</f>
        <v>0</v>
      </c>
      <c r="M90" s="733">
        <f>SUMIF('1.3-Basis ruimtestaat'!L:L,C90,'1.3-Basis ruimtestaat'!K:K)</f>
        <v>0</v>
      </c>
      <c r="N90" s="734" t="str">
        <f t="shared" si="11"/>
        <v/>
      </c>
      <c r="O90" s="737"/>
      <c r="P90" s="736" t="s">
        <v>1058</v>
      </c>
      <c r="U90" s="61"/>
      <c r="AC90" s="71"/>
    </row>
    <row r="91" spans="3:29" s="409" customFormat="1">
      <c r="C91" s="726">
        <v>15153</v>
      </c>
      <c r="D91" s="727">
        <v>108</v>
      </c>
      <c r="E91" s="727">
        <v>153</v>
      </c>
      <c r="F91" s="728" t="s">
        <v>1060</v>
      </c>
      <c r="G91" s="729" t="s">
        <v>1032</v>
      </c>
      <c r="H91" s="730"/>
      <c r="I91" s="730"/>
      <c r="J91" s="731"/>
      <c r="K91" s="732">
        <f t="shared" si="12"/>
        <v>0</v>
      </c>
      <c r="L91" s="733">
        <f>SUMIF('1.3-Basis ruimtestaat'!L:L,C91,'1.3-Basis ruimtestaat'!J:J)</f>
        <v>0</v>
      </c>
      <c r="M91" s="733">
        <f>SUMIF('1.3-Basis ruimtestaat'!L:L,C91,'1.3-Basis ruimtestaat'!K:K)</f>
        <v>0</v>
      </c>
      <c r="N91" s="734" t="str">
        <f t="shared" si="11"/>
        <v/>
      </c>
      <c r="O91" s="737"/>
      <c r="P91" s="736" t="s">
        <v>75</v>
      </c>
      <c r="U91" s="61"/>
      <c r="AC91" s="71"/>
    </row>
    <row r="92" spans="3:29" s="409" customFormat="1">
      <c r="C92" s="726">
        <v>15200</v>
      </c>
      <c r="D92" s="727">
        <v>108</v>
      </c>
      <c r="E92" s="727">
        <v>200</v>
      </c>
      <c r="F92" s="728" t="s">
        <v>1060</v>
      </c>
      <c r="G92" s="729" t="s">
        <v>335</v>
      </c>
      <c r="H92" s="730"/>
      <c r="I92" s="730"/>
      <c r="J92" s="731"/>
      <c r="K92" s="732">
        <f t="shared" si="12"/>
        <v>0</v>
      </c>
      <c r="L92" s="733">
        <f>SUMIF('1.3-Basis ruimtestaat'!L:L,C92,'1.3-Basis ruimtestaat'!J:J)</f>
        <v>50.83</v>
      </c>
      <c r="M92" s="733">
        <f>SUMIF('1.3-Basis ruimtestaat'!L:L,C92,'1.3-Basis ruimtestaat'!K:K)</f>
        <v>0</v>
      </c>
      <c r="N92" s="734">
        <f t="shared" si="11"/>
        <v>4.7829151223110792E-3</v>
      </c>
      <c r="O92" s="737"/>
      <c r="P92" s="736" t="s">
        <v>75</v>
      </c>
      <c r="U92" s="61"/>
      <c r="AC92" s="71"/>
    </row>
    <row r="93" spans="3:29" s="409" customFormat="1">
      <c r="C93" s="726">
        <v>16051</v>
      </c>
      <c r="D93" s="727">
        <v>106</v>
      </c>
      <c r="E93" s="727">
        <v>51</v>
      </c>
      <c r="F93" s="728" t="s">
        <v>1022</v>
      </c>
      <c r="G93" s="729" t="s">
        <v>1055</v>
      </c>
      <c r="H93" s="730"/>
      <c r="I93" s="730"/>
      <c r="J93" s="731"/>
      <c r="K93" s="732">
        <f t="shared" si="12"/>
        <v>0</v>
      </c>
      <c r="L93" s="733">
        <f>SUMIF('1.3-Basis ruimtestaat'!L:L,C93,'1.3-Basis ruimtestaat'!J:J)</f>
        <v>0</v>
      </c>
      <c r="M93" s="733">
        <f>SUMIF('1.3-Basis ruimtestaat'!L:L,C93,'1.3-Basis ruimtestaat'!K:K)</f>
        <v>0</v>
      </c>
      <c r="N93" s="734" t="str">
        <f t="shared" si="11"/>
        <v/>
      </c>
      <c r="O93" s="737"/>
      <c r="P93" s="736" t="s">
        <v>75</v>
      </c>
      <c r="U93" s="61"/>
      <c r="AC93" s="71"/>
    </row>
    <row r="94" spans="3:29" s="409" customFormat="1">
      <c r="C94" s="726">
        <v>17040</v>
      </c>
      <c r="D94" s="727" t="s">
        <v>27</v>
      </c>
      <c r="E94" s="727">
        <v>40</v>
      </c>
      <c r="F94" s="728" t="s">
        <v>1085</v>
      </c>
      <c r="G94" s="729" t="s">
        <v>336</v>
      </c>
      <c r="H94" s="730"/>
      <c r="I94" s="730"/>
      <c r="J94" s="731"/>
      <c r="K94" s="732">
        <f t="shared" si="12"/>
        <v>0</v>
      </c>
      <c r="L94" s="733">
        <f>SUMIF('1.3-Basis ruimtestaat'!L:L,C94,'1.3-Basis ruimtestaat'!J:J)</f>
        <v>28.82</v>
      </c>
      <c r="M94" s="733">
        <f>SUMIF('1.3-Basis ruimtestaat'!L:L,C94,'1.3-Basis ruimtestaat'!K:K)</f>
        <v>0</v>
      </c>
      <c r="N94" s="734">
        <f t="shared" si="11"/>
        <v>2.7118554756050623E-3</v>
      </c>
      <c r="O94" s="737"/>
      <c r="P94" s="736" t="s">
        <v>75</v>
      </c>
      <c r="U94" s="61"/>
      <c r="AC94" s="71"/>
    </row>
    <row r="95" spans="3:29" s="409" customFormat="1">
      <c r="C95" s="726">
        <v>18040</v>
      </c>
      <c r="D95" s="727" t="s">
        <v>27</v>
      </c>
      <c r="E95" s="727">
        <v>40</v>
      </c>
      <c r="F95" s="728" t="s">
        <v>1021</v>
      </c>
      <c r="G95" s="729" t="s">
        <v>336</v>
      </c>
      <c r="H95" s="730"/>
      <c r="I95" s="730"/>
      <c r="J95" s="731"/>
      <c r="K95" s="732">
        <f t="shared" si="12"/>
        <v>0</v>
      </c>
      <c r="L95" s="733">
        <f>SUMIF('1.3-Basis ruimtestaat'!L:L,C95,'1.3-Basis ruimtestaat'!J:J)</f>
        <v>173.95999999999998</v>
      </c>
      <c r="M95" s="733">
        <f>SUMIF('1.3-Basis ruimtestaat'!L:L,C95,'1.3-Basis ruimtestaat'!K:K)</f>
        <v>0</v>
      </c>
      <c r="N95" s="734">
        <f t="shared" si="11"/>
        <v>1.6368993009585588E-2</v>
      </c>
      <c r="O95" s="737"/>
      <c r="P95" s="736" t="s">
        <v>75</v>
      </c>
      <c r="U95" s="61"/>
      <c r="AC95" s="71"/>
    </row>
    <row r="96" spans="3:29" s="409" customFormat="1">
      <c r="C96" s="726">
        <v>18153</v>
      </c>
      <c r="D96" s="727" t="s">
        <v>27</v>
      </c>
      <c r="E96" s="727">
        <v>153</v>
      </c>
      <c r="F96" s="728" t="s">
        <v>1021</v>
      </c>
      <c r="G96" s="729" t="s">
        <v>1032</v>
      </c>
      <c r="H96" s="730"/>
      <c r="I96" s="740"/>
      <c r="J96" s="731"/>
      <c r="K96" s="732">
        <f>IF(H96=0,0,E96/(H96+I96))</f>
        <v>0</v>
      </c>
      <c r="L96" s="733">
        <f>SUMIF('1.3-Basis ruimtestaat'!L:L,C96,'1.3-Basis ruimtestaat'!J:J)</f>
        <v>0</v>
      </c>
      <c r="M96" s="733">
        <f>SUMIF('1.3-Basis ruimtestaat'!L:L,C96,'1.3-Basis ruimtestaat'!K:K)</f>
        <v>0</v>
      </c>
      <c r="N96" s="734" t="str">
        <f>IF(L96=0,"",L96/$L$103)</f>
        <v/>
      </c>
      <c r="O96" s="737" t="s">
        <v>1101</v>
      </c>
      <c r="P96" s="736" t="s">
        <v>75</v>
      </c>
      <c r="U96" s="61"/>
      <c r="AC96" s="71"/>
    </row>
    <row r="97" spans="3:29" s="409" customFormat="1">
      <c r="C97" s="726">
        <v>18255</v>
      </c>
      <c r="D97" s="727" t="s">
        <v>27</v>
      </c>
      <c r="E97" s="727">
        <v>255</v>
      </c>
      <c r="F97" s="728" t="s">
        <v>1021</v>
      </c>
      <c r="G97" s="729" t="s">
        <v>1033</v>
      </c>
      <c r="H97" s="730"/>
      <c r="I97" s="740"/>
      <c r="J97" s="731"/>
      <c r="K97" s="732">
        <f>IF(H97=0,0,E97/(H97+I97))</f>
        <v>0</v>
      </c>
      <c r="L97" s="733">
        <f>SUMIF('1.3-Basis ruimtestaat'!L:L,C97,'1.3-Basis ruimtestaat'!J:J)</f>
        <v>0</v>
      </c>
      <c r="M97" s="733">
        <f>SUMIF('1.3-Basis ruimtestaat'!L:L,C97,'1.3-Basis ruimtestaat'!K:K)</f>
        <v>0</v>
      </c>
      <c r="N97" s="734" t="str">
        <f>IF(L97=0,"",L97/$L$103)</f>
        <v/>
      </c>
      <c r="O97" s="737" t="s">
        <v>1101</v>
      </c>
      <c r="P97" s="736" t="s">
        <v>75</v>
      </c>
      <c r="U97" s="61"/>
      <c r="AC97" s="71"/>
    </row>
    <row r="98" spans="3:29" s="409" customFormat="1">
      <c r="C98" s="726" t="s">
        <v>1057</v>
      </c>
      <c r="D98" s="727"/>
      <c r="E98" s="727"/>
      <c r="F98" s="739" t="s">
        <v>1057</v>
      </c>
      <c r="G98" s="729"/>
      <c r="H98" s="740"/>
      <c r="I98" s="740"/>
      <c r="J98" s="731"/>
      <c r="K98" s="732">
        <f t="shared" si="10"/>
        <v>0</v>
      </c>
      <c r="L98" s="733">
        <f>SUMIF('1.3-Basis ruimtestaat'!L:L,C98,'1.3-Basis ruimtestaat'!J:J)</f>
        <v>77.67</v>
      </c>
      <c r="M98" s="733">
        <f>SUMIF('1.3-Basis ruimtestaat'!L:L,C98,'1.3-Basis ruimtestaat'!K:K)</f>
        <v>0</v>
      </c>
      <c r="N98" s="734">
        <f t="shared" ref="N98:N101" si="13">IF(L98=0,"",L98/$L$103)</f>
        <v>7.3084599163860233E-3</v>
      </c>
      <c r="O98" s="737"/>
      <c r="P98" s="736"/>
      <c r="U98" s="61"/>
      <c r="AC98" s="71"/>
    </row>
    <row r="99" spans="3:29" s="741" customFormat="1">
      <c r="C99" s="726" t="s">
        <v>27</v>
      </c>
      <c r="D99" s="727"/>
      <c r="E99" s="727"/>
      <c r="F99" s="728" t="s">
        <v>338</v>
      </c>
      <c r="G99" s="729"/>
      <c r="H99" s="740"/>
      <c r="I99" s="740"/>
      <c r="J99" s="731"/>
      <c r="K99" s="732">
        <f t="shared" si="10"/>
        <v>0</v>
      </c>
      <c r="L99" s="733">
        <f>SUMIF('1.3-Basis ruimtestaat'!L:L,C99,'1.3-Basis ruimtestaat'!J:J)</f>
        <v>0</v>
      </c>
      <c r="M99" s="733">
        <f>SUMIF('1.3-Basis ruimtestaat'!L:L,C99,'1.3-Basis ruimtestaat'!K:K)</f>
        <v>840.70400000000029</v>
      </c>
      <c r="N99" s="734" t="str">
        <f t="shared" si="13"/>
        <v/>
      </c>
      <c r="O99" s="737"/>
      <c r="P99" s="736"/>
      <c r="Q99" s="409"/>
      <c r="U99" s="131"/>
      <c r="AC99" s="71"/>
    </row>
    <row r="100" spans="3:29" s="741" customFormat="1">
      <c r="C100" s="742" t="s">
        <v>222</v>
      </c>
      <c r="D100" s="742"/>
      <c r="E100" s="743"/>
      <c r="F100" s="744" t="s">
        <v>339</v>
      </c>
      <c r="G100" s="745"/>
      <c r="H100" s="740"/>
      <c r="I100" s="740"/>
      <c r="J100" s="746">
        <v>0</v>
      </c>
      <c r="K100" s="732"/>
      <c r="L100" s="733">
        <f>SUMIF('1.3-Basis ruimtestaat'!L:L,C100,'1.3-Basis ruimtestaat'!J:J)</f>
        <v>0</v>
      </c>
      <c r="M100" s="733">
        <f>SUMIF('1.3-Basis ruimtestaat'!L:L,C100,'1.3-Basis ruimtestaat'!K:K)</f>
        <v>0</v>
      </c>
      <c r="N100" s="747" t="str">
        <f t="shared" si="13"/>
        <v/>
      </c>
      <c r="O100" s="737"/>
      <c r="P100" s="736"/>
      <c r="U100" s="131"/>
      <c r="AC100" s="71"/>
    </row>
    <row r="101" spans="3:29" s="741" customFormat="1">
      <c r="C101" s="742" t="s">
        <v>370</v>
      </c>
      <c r="D101" s="742"/>
      <c r="E101" s="743"/>
      <c r="F101" s="744" t="s">
        <v>371</v>
      </c>
      <c r="G101" s="745"/>
      <c r="H101" s="740"/>
      <c r="I101" s="740"/>
      <c r="J101" s="746">
        <v>0</v>
      </c>
      <c r="K101" s="732"/>
      <c r="L101" s="733">
        <f>SUMIF('1.3-Basis ruimtestaat'!L:L,C101,'1.3-Basis ruimtestaat'!J:J)</f>
        <v>0</v>
      </c>
      <c r="M101" s="733">
        <f>SUMIF('1.3-Basis ruimtestaat'!L:L,C101,'1.3-Basis ruimtestaat'!K:K)</f>
        <v>0</v>
      </c>
      <c r="N101" s="747" t="str">
        <f t="shared" si="13"/>
        <v/>
      </c>
      <c r="O101" s="735"/>
      <c r="P101" s="736"/>
      <c r="R101" s="748">
        <f>SUM(Meters)</f>
        <v>10627.409999999998</v>
      </c>
      <c r="U101" s="131"/>
      <c r="AC101" s="71"/>
    </row>
    <row r="102" spans="3:29">
      <c r="E102" s="63"/>
      <c r="F102" s="64"/>
      <c r="G102" s="708"/>
      <c r="H102" s="65"/>
      <c r="I102" s="65"/>
      <c r="J102" s="65"/>
      <c r="K102" s="65"/>
      <c r="O102" s="69"/>
      <c r="P102" s="70"/>
      <c r="Q102" s="88"/>
      <c r="R102" s="210">
        <f>R101-L103</f>
        <v>0</v>
      </c>
      <c r="S102" s="211" t="s">
        <v>242</v>
      </c>
      <c r="T102" s="88"/>
      <c r="U102" s="89"/>
      <c r="Z102" s="88"/>
      <c r="AC102" s="71"/>
    </row>
    <row r="103" spans="3:29">
      <c r="C103" s="322" t="s">
        <v>32</v>
      </c>
      <c r="D103" s="457"/>
      <c r="E103" s="63"/>
      <c r="F103" s="64"/>
      <c r="G103" s="708"/>
      <c r="H103" s="65"/>
      <c r="I103" s="65"/>
      <c r="J103" s="65"/>
      <c r="K103" s="400"/>
      <c r="L103" s="401">
        <f>SUM(L11:L101)</f>
        <v>10627.410000000002</v>
      </c>
      <c r="M103" s="401">
        <f>SUM(M11:M101)</f>
        <v>840.70400000000029</v>
      </c>
      <c r="N103" s="402">
        <f>SUM(N10:N101)</f>
        <v>0.99999999999999978</v>
      </c>
      <c r="O103" s="69"/>
      <c r="P103" s="70"/>
      <c r="Q103" s="88"/>
      <c r="R103" s="88"/>
      <c r="S103" s="88"/>
      <c r="T103" s="88"/>
      <c r="U103" s="89"/>
      <c r="Z103" s="88"/>
      <c r="AC103" s="71"/>
    </row>
    <row r="104" spans="3:29">
      <c r="E104" s="63"/>
      <c r="F104" s="64"/>
      <c r="G104" s="708"/>
      <c r="H104" s="65"/>
      <c r="I104" s="65"/>
      <c r="J104" s="65"/>
      <c r="K104" s="66"/>
      <c r="O104" s="69"/>
      <c r="P104" s="70"/>
      <c r="Q104" s="88"/>
      <c r="R104" s="88"/>
      <c r="S104" s="88"/>
      <c r="T104" s="88"/>
      <c r="U104" s="89"/>
      <c r="Z104" s="88"/>
      <c r="AC104" s="71"/>
    </row>
    <row r="105" spans="3:29">
      <c r="G105" s="709"/>
      <c r="O105" s="85"/>
      <c r="P105" s="78"/>
      <c r="Q105" s="88"/>
      <c r="AC105" s="71"/>
    </row>
    <row r="106" spans="3:29">
      <c r="C106" s="90" t="s">
        <v>220</v>
      </c>
      <c r="D106" s="90"/>
      <c r="E106" s="91"/>
      <c r="F106" s="91"/>
      <c r="G106" s="709"/>
      <c r="AC106" s="71"/>
    </row>
    <row r="107" spans="3:29">
      <c r="C107" s="91" t="s">
        <v>49</v>
      </c>
      <c r="D107" s="91"/>
      <c r="E107" s="91" t="s">
        <v>53</v>
      </c>
      <c r="G107" s="709"/>
      <c r="AC107" s="71"/>
    </row>
    <row r="108" spans="3:29">
      <c r="C108" s="91" t="s">
        <v>67</v>
      </c>
      <c r="D108" s="91"/>
      <c r="E108" s="91" t="s">
        <v>22</v>
      </c>
      <c r="G108" s="709"/>
      <c r="O108" s="82">
        <f>'1.1a-Jaarprijzen'!Q105</f>
        <v>0</v>
      </c>
    </row>
    <row r="109" spans="3:29">
      <c r="C109" s="91" t="s">
        <v>126</v>
      </c>
      <c r="D109" s="91"/>
      <c r="E109" s="91" t="s">
        <v>141</v>
      </c>
      <c r="G109" s="709"/>
    </row>
    <row r="110" spans="3:29">
      <c r="C110" s="91" t="s">
        <v>74</v>
      </c>
      <c r="D110" s="91"/>
      <c r="E110" s="91" t="s">
        <v>174</v>
      </c>
      <c r="G110" s="709"/>
    </row>
    <row r="111" spans="3:29">
      <c r="C111" s="91" t="s">
        <v>61</v>
      </c>
      <c r="D111" s="91"/>
      <c r="E111" s="91" t="s">
        <v>205</v>
      </c>
      <c r="G111" s="709"/>
    </row>
    <row r="112" spans="3:29">
      <c r="C112" s="91" t="s">
        <v>71</v>
      </c>
      <c r="D112" s="91"/>
      <c r="E112" s="91" t="s">
        <v>223</v>
      </c>
    </row>
    <row r="113" spans="3:8">
      <c r="C113" s="91" t="s">
        <v>276</v>
      </c>
      <c r="D113" s="91"/>
      <c r="E113" s="91" t="s">
        <v>278</v>
      </c>
      <c r="G113" s="709"/>
    </row>
    <row r="114" spans="3:8">
      <c r="C114" s="91" t="s">
        <v>277</v>
      </c>
      <c r="D114" s="91"/>
      <c r="E114" s="91" t="s">
        <v>279</v>
      </c>
      <c r="G114" s="709"/>
    </row>
    <row r="115" spans="3:8">
      <c r="C115" s="91" t="s">
        <v>280</v>
      </c>
      <c r="D115" s="91"/>
      <c r="E115" s="91" t="s">
        <v>305</v>
      </c>
    </row>
    <row r="116" spans="3:8">
      <c r="C116" s="91" t="s">
        <v>281</v>
      </c>
      <c r="D116" s="91"/>
      <c r="E116" s="91" t="s">
        <v>282</v>
      </c>
    </row>
    <row r="117" spans="3:8">
      <c r="C117" s="91" t="s">
        <v>169</v>
      </c>
      <c r="D117" s="91"/>
      <c r="E117" s="91" t="s">
        <v>388</v>
      </c>
    </row>
    <row r="119" spans="3:8">
      <c r="G119" s="711"/>
      <c r="H119"/>
    </row>
  </sheetData>
  <autoFilter ref="C9:P101"/>
  <sortState ref="C96:AC97">
    <sortCondition ref="C96"/>
  </sortState>
  <phoneticPr fontId="17" type="noConversion"/>
  <conditionalFormatting sqref="H11:I95 H96:H97">
    <cfRule type="cellIs" dxfId="100" priority="1" stopIfTrue="1" operator="lessThanOrEqual">
      <formula>0</formula>
    </cfRule>
  </conditionalFormatting>
  <printOptions horizontalCentered="1" gridLinesSet="0"/>
  <pageMargins left="0.2" right="0.2" top="0.59"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dimension ref="A2:AC454"/>
  <sheetViews>
    <sheetView showGridLines="0" showZeros="0" showOutlineSymbols="0" topLeftCell="C10" zoomScale="115" zoomScaleNormal="115" zoomScaleSheetLayoutView="65" zoomScalePageLayoutView="115" workbookViewId="0">
      <selection activeCell="D20" sqref="D20"/>
    </sheetView>
  </sheetViews>
  <sheetFormatPr baseColWidth="10" defaultColWidth="0" defaultRowHeight="13" x14ac:dyDescent="0"/>
  <cols>
    <col min="1" max="1" width="8" style="60" customWidth="1"/>
    <col min="2" max="2" width="13" style="60" bestFit="1" customWidth="1"/>
    <col min="3" max="3" width="6.28515625" style="60" customWidth="1"/>
    <col min="4" max="4" width="35.7109375" style="1" customWidth="1"/>
    <col min="5" max="5" width="6.140625" style="94" customWidth="1"/>
    <col min="6" max="6" width="12" style="95" customWidth="1"/>
    <col min="7" max="7" width="25.140625" style="60" bestFit="1" customWidth="1"/>
    <col min="8" max="8" width="38.5703125" style="96" customWidth="1"/>
    <col min="9" max="9" width="10.28515625" style="712" customWidth="1"/>
    <col min="10" max="10" width="8" style="618" customWidth="1"/>
    <col min="11" max="11" width="6.42578125" style="618" customWidth="1"/>
    <col min="12" max="12" width="8.85546875" style="98" customWidth="1"/>
    <col min="13" max="13" width="8.7109375" style="117" customWidth="1"/>
    <col min="14" max="14" width="6.5703125" style="117" hidden="1" customWidth="1"/>
    <col min="15" max="15" width="7.85546875" style="445" customWidth="1"/>
    <col min="16" max="16" width="8" style="117" customWidth="1"/>
    <col min="17" max="17" width="11.140625" style="774" customWidth="1"/>
    <col min="18" max="18" width="10.85546875" style="774" customWidth="1"/>
    <col min="19" max="19" width="7" style="60" hidden="1" customWidth="1"/>
    <col min="20" max="20" width="10.42578125" style="94" customWidth="1"/>
    <col min="21" max="21" width="10" style="94" customWidth="1"/>
    <col min="22" max="22" width="6.7109375" style="60" hidden="1" customWidth="1"/>
    <col min="23" max="23" width="6.28515625" style="445" customWidth="1"/>
    <col min="24" max="24" width="17.5703125" style="60" customWidth="1"/>
    <col min="25" max="25" width="11.5703125" style="94" customWidth="1"/>
    <col min="26" max="26" width="10.7109375" style="94" customWidth="1"/>
    <col min="27" max="16384" width="8.7109375" style="60" hidden="1"/>
  </cols>
  <sheetData>
    <row r="2" spans="1:29">
      <c r="A2" s="323"/>
      <c r="B2" s="323"/>
      <c r="C2" s="323"/>
      <c r="D2" s="204" t="s">
        <v>214</v>
      </c>
      <c r="M2" s="98"/>
      <c r="N2" s="98"/>
      <c r="P2" s="98"/>
      <c r="Q2" s="770"/>
      <c r="R2" s="770"/>
      <c r="S2" s="99"/>
      <c r="T2" s="69"/>
      <c r="U2" s="69"/>
      <c r="V2" s="99"/>
      <c r="W2" s="775"/>
      <c r="X2" s="101"/>
      <c r="Y2" s="624"/>
    </row>
    <row r="3" spans="1:29" ht="18" customHeight="1">
      <c r="A3" s="323"/>
      <c r="B3" s="323"/>
      <c r="C3" s="323"/>
      <c r="D3" s="206"/>
      <c r="E3" s="103"/>
      <c r="F3" s="104"/>
      <c r="G3" s="102"/>
      <c r="H3" s="105"/>
      <c r="I3" s="713"/>
      <c r="J3" s="619"/>
      <c r="K3" s="619"/>
      <c r="L3" s="107"/>
      <c r="M3" s="107"/>
      <c r="N3" s="617"/>
      <c r="O3" s="617"/>
      <c r="P3" s="617"/>
      <c r="Q3" s="771"/>
      <c r="R3" s="771"/>
      <c r="S3" s="108"/>
      <c r="T3" s="622"/>
      <c r="U3" s="622"/>
      <c r="V3" s="108"/>
      <c r="W3" s="776"/>
      <c r="X3" s="110"/>
      <c r="Y3" s="625"/>
    </row>
    <row r="4" spans="1:29" ht="18" customHeight="1">
      <c r="A4" s="323"/>
      <c r="B4" s="323"/>
      <c r="C4" s="323"/>
      <c r="D4" s="207" t="str">
        <f>'1.2-Kengetal'!C3</f>
        <v>Naam opdrachtgever</v>
      </c>
      <c r="E4" s="111"/>
      <c r="F4" s="208" t="str">
        <f>'1.2-Kengetal'!F3</f>
        <v>Stichting Altra - Horizon</v>
      </c>
      <c r="H4" s="105"/>
      <c r="I4" s="713"/>
      <c r="J4" s="619"/>
      <c r="K4" s="619"/>
      <c r="L4" s="107"/>
      <c r="M4" s="107"/>
      <c r="N4" s="617"/>
      <c r="O4" s="617"/>
      <c r="P4" s="617"/>
      <c r="Q4" s="771"/>
      <c r="R4" s="771"/>
      <c r="S4" s="108"/>
      <c r="T4" s="622"/>
      <c r="U4" s="622"/>
      <c r="V4" s="108"/>
      <c r="W4" s="776"/>
      <c r="X4" s="93"/>
      <c r="Y4" s="626"/>
    </row>
    <row r="5" spans="1:29" ht="18" customHeight="1">
      <c r="A5" s="323"/>
      <c r="B5" s="323"/>
      <c r="C5" s="323"/>
      <c r="D5" s="207" t="str">
        <f>'1.2-Kengetal'!C4</f>
        <v>Omschrijving blad</v>
      </c>
      <c r="E5" s="113"/>
      <c r="F5" s="503" t="s">
        <v>58</v>
      </c>
      <c r="H5" s="114"/>
      <c r="I5" s="713"/>
      <c r="J5" s="619"/>
      <c r="K5" s="619"/>
      <c r="L5" s="107"/>
      <c r="M5" s="107"/>
      <c r="N5" s="107"/>
      <c r="O5" s="446"/>
      <c r="P5" s="107"/>
      <c r="Q5" s="771"/>
      <c r="R5" s="771"/>
      <c r="S5" s="108"/>
      <c r="T5" s="622"/>
      <c r="U5" s="622"/>
      <c r="V5" s="108"/>
      <c r="W5" s="776"/>
      <c r="X5" s="93"/>
      <c r="Y5" s="626"/>
    </row>
    <row r="6" spans="1:29" ht="18" customHeight="1">
      <c r="A6" s="323"/>
      <c r="B6" s="323"/>
      <c r="C6" s="323"/>
      <c r="D6" s="207" t="str">
        <f>'1.2-Kengetal'!C5</f>
        <v>Adres/plaats</v>
      </c>
      <c r="E6" s="111"/>
      <c r="F6" s="208" t="str">
        <f>'1.2-Kengetal'!F5</f>
        <v>Regio Noord Holland</v>
      </c>
      <c r="G6" s="115"/>
      <c r="H6" s="115"/>
      <c r="I6" s="714"/>
      <c r="J6" s="620"/>
      <c r="K6" s="620"/>
      <c r="L6" s="107"/>
      <c r="M6" s="107"/>
      <c r="N6" s="107"/>
      <c r="O6" s="446"/>
      <c r="P6" s="107"/>
      <c r="Q6" s="771"/>
      <c r="R6" s="771"/>
      <c r="S6" s="108"/>
      <c r="T6" s="622"/>
      <c r="U6" s="622"/>
      <c r="V6" s="108"/>
      <c r="W6" s="776"/>
      <c r="X6" s="93"/>
      <c r="Y6" s="626"/>
    </row>
    <row r="7" spans="1:29" ht="18" customHeight="1">
      <c r="A7" s="323"/>
      <c r="B7" s="323"/>
      <c r="C7" s="323"/>
      <c r="D7" s="207" t="str">
        <f>'1.2-Kengetal'!C6</f>
        <v>Besteknummer</v>
      </c>
      <c r="E7" s="111"/>
      <c r="F7" s="208" t="str">
        <f>'1.2-Kengetal'!F6</f>
        <v>180417 V2</v>
      </c>
      <c r="I7" s="713"/>
      <c r="J7" s="619"/>
      <c r="K7" s="619"/>
      <c r="L7" s="107"/>
      <c r="M7" s="107"/>
      <c r="N7" s="107"/>
      <c r="O7" s="446"/>
      <c r="P7" s="107"/>
      <c r="Q7" s="771"/>
      <c r="R7" s="771"/>
      <c r="S7" s="108"/>
      <c r="T7" s="622"/>
      <c r="U7" s="622"/>
      <c r="V7" s="108"/>
      <c r="W7" s="776"/>
      <c r="X7" s="93"/>
      <c r="Y7" s="626"/>
    </row>
    <row r="8" spans="1:29" ht="18" customHeight="1">
      <c r="A8" s="323"/>
      <c r="B8" s="323"/>
      <c r="C8" s="323"/>
      <c r="D8" s="207" t="str">
        <f>'1.2-Kengetal'!C7</f>
        <v>Naam leverancier</v>
      </c>
      <c r="E8" s="111"/>
      <c r="F8" s="208" t="str">
        <f>'1.2-Kengetal'!F7</f>
        <v>[NAAM LEVERANCIER]</v>
      </c>
      <c r="H8" s="544">
        <f>Voorblad!$E$15</f>
        <v>42917</v>
      </c>
      <c r="I8" s="713"/>
      <c r="J8" s="619"/>
      <c r="K8" s="619"/>
      <c r="L8" s="107"/>
      <c r="M8" s="107"/>
      <c r="N8" s="107"/>
      <c r="O8" s="446"/>
      <c r="P8" s="107"/>
      <c r="Q8" s="771"/>
      <c r="R8" s="771"/>
      <c r="S8" s="108"/>
      <c r="T8" s="622"/>
      <c r="U8" s="622"/>
      <c r="V8" s="108"/>
      <c r="W8" s="776"/>
      <c r="X8" s="93"/>
      <c r="Y8" s="626"/>
    </row>
    <row r="9" spans="1:29">
      <c r="A9" s="323"/>
      <c r="B9" s="323"/>
      <c r="C9" s="323"/>
      <c r="D9" s="206"/>
      <c r="E9" s="103"/>
      <c r="F9" s="104"/>
      <c r="G9" s="102"/>
      <c r="H9" s="105"/>
      <c r="I9" s="713"/>
      <c r="J9" s="619"/>
      <c r="K9" s="619"/>
      <c r="L9" s="107"/>
      <c r="M9" s="107"/>
      <c r="N9" s="107"/>
      <c r="O9" s="446"/>
      <c r="P9" s="107"/>
      <c r="Q9" s="771"/>
      <c r="R9" s="771"/>
      <c r="S9" s="108"/>
      <c r="T9" s="622"/>
      <c r="U9" s="622"/>
      <c r="V9" s="108"/>
      <c r="W9" s="776"/>
      <c r="X9" s="110"/>
      <c r="Y9" s="625"/>
    </row>
    <row r="10" spans="1:29" s="333" customFormat="1" ht="43" customHeight="1">
      <c r="A10" s="267" t="s">
        <v>367</v>
      </c>
      <c r="B10" s="267" t="s">
        <v>368</v>
      </c>
      <c r="C10" s="267" t="s">
        <v>269</v>
      </c>
      <c r="D10" s="267" t="s">
        <v>432</v>
      </c>
      <c r="E10" s="271" t="s">
        <v>39</v>
      </c>
      <c r="F10" s="327" t="s">
        <v>50</v>
      </c>
      <c r="G10" s="267" t="s">
        <v>227</v>
      </c>
      <c r="H10" s="328" t="s">
        <v>91</v>
      </c>
      <c r="I10" s="715" t="s">
        <v>180</v>
      </c>
      <c r="J10" s="312" t="s">
        <v>142</v>
      </c>
      <c r="K10" s="312" t="s">
        <v>80</v>
      </c>
      <c r="L10" s="452" t="s">
        <v>1061</v>
      </c>
      <c r="M10" s="330" t="s">
        <v>1077</v>
      </c>
      <c r="N10" s="330" t="s">
        <v>325</v>
      </c>
      <c r="O10" s="331" t="s">
        <v>1084</v>
      </c>
      <c r="P10" s="330" t="s">
        <v>241</v>
      </c>
      <c r="Q10" s="772" t="s">
        <v>81</v>
      </c>
      <c r="R10" s="772" t="s">
        <v>314</v>
      </c>
      <c r="S10" s="331" t="s">
        <v>326</v>
      </c>
      <c r="T10" s="332" t="s">
        <v>313</v>
      </c>
      <c r="U10" s="331" t="s">
        <v>312</v>
      </c>
      <c r="V10" s="331" t="s">
        <v>327</v>
      </c>
      <c r="W10" s="271" t="s">
        <v>122</v>
      </c>
      <c r="X10" s="329" t="s">
        <v>0</v>
      </c>
      <c r="Y10" s="627" t="s">
        <v>430</v>
      </c>
      <c r="Z10" s="627" t="s">
        <v>431</v>
      </c>
    </row>
    <row r="11" spans="1:29">
      <c r="A11" s="557"/>
      <c r="B11" s="549"/>
      <c r="C11" s="656">
        <v>1</v>
      </c>
      <c r="D11" s="550" t="s">
        <v>1067</v>
      </c>
      <c r="E11" s="657" t="s">
        <v>1010</v>
      </c>
      <c r="F11" s="645" t="s">
        <v>579</v>
      </c>
      <c r="G11" s="646" t="s">
        <v>788</v>
      </c>
      <c r="H11" s="644" t="str">
        <f t="shared" ref="H11:H74" si="0">IF(L11="","",VLOOKUP(L11,Kengetal,4,FALSE))</f>
        <v>entree, gang, hal, repro, kopieer, was/droogruimte</v>
      </c>
      <c r="I11" s="716" t="s">
        <v>804</v>
      </c>
      <c r="J11" s="648">
        <v>5.4</v>
      </c>
      <c r="K11" s="648"/>
      <c r="L11" s="649">
        <v>3255</v>
      </c>
      <c r="M11" s="555">
        <f t="shared" ref="M11" si="1">VLOOKUP(L11,Kengetal,2,FALSE)</f>
        <v>103</v>
      </c>
      <c r="N11" s="453"/>
      <c r="O11" s="555">
        <f t="shared" ref="O11" si="2">VLOOKUP(L11,Kengetal,3,FALSE)</f>
        <v>255</v>
      </c>
      <c r="P11" s="630">
        <v>1</v>
      </c>
      <c r="Q11" s="773">
        <f t="shared" ref="Q11" si="3">T11*J11*P11</f>
        <v>0</v>
      </c>
      <c r="R11" s="773">
        <f t="shared" ref="R11" si="4">U11*J11*P11</f>
        <v>0</v>
      </c>
      <c r="S11" s="324">
        <f t="shared" ref="S11" si="5">V11*J11*P11</f>
        <v>0</v>
      </c>
      <c r="T11" s="623">
        <f t="shared" ref="T11:T75" si="6">VLOOKUP($L11,Kengetal,6,FALSE)</f>
        <v>0</v>
      </c>
      <c r="U11" s="623">
        <f t="shared" ref="U11:U75" si="7">VLOOKUP($L11,Kengetal,7,FALSE)</f>
        <v>0</v>
      </c>
      <c r="V11" s="441">
        <f t="shared" ref="V11:V75" si="8">VLOOKUP($N11,Kengetal,7,FALSE)</f>
        <v>0</v>
      </c>
      <c r="W11" s="553" t="str">
        <f t="shared" ref="W11" si="9">IF(L11="","",VLOOKUP(L11,Kengetal,14,FALSE))</f>
        <v>V</v>
      </c>
      <c r="X11" s="554"/>
      <c r="Y11" s="628">
        <f>IF(Q11=0,0,(Q11+R11)*'1.0-Contractblad'!$L$98)</f>
        <v>0</v>
      </c>
      <c r="Z11" s="629">
        <f ca="1">IF(J11=0,0,VLOOKUP(D11,'1.1a-Jaarprijzen'!$B$70:$P$124,14,FALSE)*(K11+J11))</f>
        <v>0</v>
      </c>
      <c r="AA11" s="60">
        <f t="shared" ref="AA11:AA21" si="10">IF(L11=8255,Q11+R11,0)</f>
        <v>0</v>
      </c>
      <c r="AC11" s="60" t="str">
        <f t="shared" ref="AC11:AC21" si="11">CONCATENATE(L11,"-",O11)</f>
        <v>3255-255</v>
      </c>
    </row>
    <row r="12" spans="1:29">
      <c r="A12" s="557"/>
      <c r="B12" s="549"/>
      <c r="C12" s="656">
        <v>1</v>
      </c>
      <c r="D12" s="550" t="s">
        <v>1067</v>
      </c>
      <c r="E12" s="657" t="s">
        <v>1010</v>
      </c>
      <c r="F12" s="645" t="s">
        <v>810</v>
      </c>
      <c r="G12" s="646" t="s">
        <v>885</v>
      </c>
      <c r="H12" s="644" t="str">
        <f t="shared" si="0"/>
        <v>niet van toepassing</v>
      </c>
      <c r="I12" s="716" t="s">
        <v>804</v>
      </c>
      <c r="J12" s="648"/>
      <c r="K12" s="648">
        <v>1.54</v>
      </c>
      <c r="L12" s="660" t="s">
        <v>27</v>
      </c>
      <c r="M12" s="555">
        <f t="shared" ref="M12:M76" si="12">VLOOKUP(L12,Kengetal,2,FALSE)</f>
        <v>0</v>
      </c>
      <c r="N12" s="453"/>
      <c r="O12" s="555">
        <f t="shared" ref="O12:O76" si="13">VLOOKUP(L12,Kengetal,3,FALSE)</f>
        <v>0</v>
      </c>
      <c r="P12" s="630">
        <v>1</v>
      </c>
      <c r="Q12" s="773">
        <f t="shared" ref="Q12:Q76" si="14">T12*J12*P12</f>
        <v>0</v>
      </c>
      <c r="R12" s="773">
        <f t="shared" ref="R12:R76" si="15">U12*J12*P12</f>
        <v>0</v>
      </c>
      <c r="S12" s="551">
        <f t="shared" ref="S12:S76" si="16">V12*J12*P12</f>
        <v>0</v>
      </c>
      <c r="T12" s="623">
        <f t="shared" si="6"/>
        <v>0</v>
      </c>
      <c r="U12" s="623">
        <f t="shared" si="7"/>
        <v>0</v>
      </c>
      <c r="V12" s="552">
        <f t="shared" si="8"/>
        <v>0</v>
      </c>
      <c r="W12" s="553">
        <f t="shared" ref="W12:W76" si="17">IF(L12="","",VLOOKUP(L12,Kengetal,14,FALSE))</f>
        <v>0</v>
      </c>
      <c r="X12" s="698"/>
      <c r="Y12" s="628">
        <f>IF(Q12=0,0,(Q12+R12)*'1.0-Contractblad'!$L$98)</f>
        <v>0</v>
      </c>
      <c r="Z12" s="629">
        <f>IF(J12=0,0,VLOOKUP(D12,'1.1a-Jaarprijzen'!$B$70:$P$124,14,FALSE)*(K12+J12))</f>
        <v>0</v>
      </c>
      <c r="AA12" s="60">
        <f t="shared" si="10"/>
        <v>0</v>
      </c>
      <c r="AC12" s="60" t="str">
        <f t="shared" si="11"/>
        <v>nvt-0</v>
      </c>
    </row>
    <row r="13" spans="1:29">
      <c r="A13" s="557"/>
      <c r="B13" s="549"/>
      <c r="C13" s="656">
        <v>1</v>
      </c>
      <c r="D13" s="550" t="s">
        <v>1067</v>
      </c>
      <c r="E13" s="657" t="s">
        <v>1010</v>
      </c>
      <c r="F13" s="645" t="s">
        <v>811</v>
      </c>
      <c r="G13" s="646" t="s">
        <v>737</v>
      </c>
      <c r="H13" s="644" t="str">
        <f t="shared" si="0"/>
        <v>niet van toepassing</v>
      </c>
      <c r="I13" s="716" t="s">
        <v>804</v>
      </c>
      <c r="J13" s="648"/>
      <c r="K13" s="648">
        <v>1.54</v>
      </c>
      <c r="L13" s="660" t="s">
        <v>27</v>
      </c>
      <c r="M13" s="555">
        <f t="shared" si="12"/>
        <v>0</v>
      </c>
      <c r="N13" s="453"/>
      <c r="O13" s="555">
        <f t="shared" si="13"/>
        <v>0</v>
      </c>
      <c r="P13" s="630">
        <v>1</v>
      </c>
      <c r="Q13" s="773">
        <f t="shared" si="14"/>
        <v>0</v>
      </c>
      <c r="R13" s="773">
        <f t="shared" si="15"/>
        <v>0</v>
      </c>
      <c r="S13" s="551">
        <f t="shared" si="16"/>
        <v>0</v>
      </c>
      <c r="T13" s="623">
        <f t="shared" si="6"/>
        <v>0</v>
      </c>
      <c r="U13" s="623">
        <f t="shared" si="7"/>
        <v>0</v>
      </c>
      <c r="V13" s="552">
        <f t="shared" si="8"/>
        <v>0</v>
      </c>
      <c r="W13" s="553">
        <f t="shared" si="17"/>
        <v>0</v>
      </c>
      <c r="X13" s="698"/>
      <c r="Y13" s="628">
        <f>IF(Q13=0,0,(Q13+R13)*'1.0-Contractblad'!$L$98)</f>
        <v>0</v>
      </c>
      <c r="Z13" s="629">
        <f>IF(J13=0,0,VLOOKUP(D13,'1.1a-Jaarprijzen'!$B$70:$P$124,14,FALSE)*(K13+J13))</f>
        <v>0</v>
      </c>
      <c r="AA13" s="60">
        <f t="shared" si="10"/>
        <v>0</v>
      </c>
      <c r="AC13" s="60" t="str">
        <f t="shared" si="11"/>
        <v>nvt-0</v>
      </c>
    </row>
    <row r="14" spans="1:29">
      <c r="A14" s="557"/>
      <c r="B14" s="549"/>
      <c r="C14" s="656">
        <v>1</v>
      </c>
      <c r="D14" s="550" t="s">
        <v>1067</v>
      </c>
      <c r="E14" s="657" t="s">
        <v>1010</v>
      </c>
      <c r="F14" s="645" t="s">
        <v>433</v>
      </c>
      <c r="G14" s="646" t="s">
        <v>677</v>
      </c>
      <c r="H14" s="644" t="str">
        <f t="shared" si="0"/>
        <v>entree, gang, hal, repro, kopieer, was/droogruimte</v>
      </c>
      <c r="I14" s="716" t="s">
        <v>785</v>
      </c>
      <c r="J14" s="648">
        <v>74.92</v>
      </c>
      <c r="K14" s="648"/>
      <c r="L14" s="649">
        <v>3255</v>
      </c>
      <c r="M14" s="555">
        <f t="shared" si="12"/>
        <v>103</v>
      </c>
      <c r="N14" s="453"/>
      <c r="O14" s="555">
        <f t="shared" si="13"/>
        <v>255</v>
      </c>
      <c r="P14" s="630">
        <v>1</v>
      </c>
      <c r="Q14" s="773">
        <f t="shared" si="14"/>
        <v>0</v>
      </c>
      <c r="R14" s="773">
        <f t="shared" si="15"/>
        <v>0</v>
      </c>
      <c r="S14" s="551">
        <f t="shared" si="16"/>
        <v>0</v>
      </c>
      <c r="T14" s="623">
        <f t="shared" si="6"/>
        <v>0</v>
      </c>
      <c r="U14" s="623">
        <f t="shared" si="7"/>
        <v>0</v>
      </c>
      <c r="V14" s="552">
        <f t="shared" si="8"/>
        <v>0</v>
      </c>
      <c r="W14" s="553" t="str">
        <f t="shared" si="17"/>
        <v>V</v>
      </c>
      <c r="X14" s="554"/>
      <c r="Y14" s="628">
        <f>IF(Q14=0,0,(Q14+R14)*'1.0-Contractblad'!$L$98)</f>
        <v>0</v>
      </c>
      <c r="Z14" s="629">
        <f ca="1">IF(J14=0,0,VLOOKUP(D14,'1.1a-Jaarprijzen'!$B$70:$P$124,14,FALSE)*(K14+J14))</f>
        <v>0</v>
      </c>
      <c r="AA14" s="60">
        <f t="shared" si="10"/>
        <v>0</v>
      </c>
      <c r="AC14" s="60" t="str">
        <f t="shared" si="11"/>
        <v>3255-255</v>
      </c>
    </row>
    <row r="15" spans="1:29">
      <c r="A15" s="557"/>
      <c r="B15" s="549"/>
      <c r="C15" s="656">
        <v>1</v>
      </c>
      <c r="D15" s="550" t="s">
        <v>1067</v>
      </c>
      <c r="E15" s="657" t="s">
        <v>1010</v>
      </c>
      <c r="F15" s="645" t="s">
        <v>603</v>
      </c>
      <c r="G15" s="646" t="s">
        <v>886</v>
      </c>
      <c r="H15" s="644" t="str">
        <f t="shared" si="0"/>
        <v>niet van toepassing</v>
      </c>
      <c r="I15" s="716" t="s">
        <v>804</v>
      </c>
      <c r="J15" s="648"/>
      <c r="K15" s="648">
        <v>12.48</v>
      </c>
      <c r="L15" s="660" t="s">
        <v>27</v>
      </c>
      <c r="M15" s="555">
        <f t="shared" si="12"/>
        <v>0</v>
      </c>
      <c r="N15" s="453"/>
      <c r="O15" s="555">
        <f t="shared" si="13"/>
        <v>0</v>
      </c>
      <c r="P15" s="630">
        <v>1</v>
      </c>
      <c r="Q15" s="773">
        <f t="shared" si="14"/>
        <v>0</v>
      </c>
      <c r="R15" s="773">
        <f t="shared" si="15"/>
        <v>0</v>
      </c>
      <c r="S15" s="551">
        <f t="shared" si="16"/>
        <v>0</v>
      </c>
      <c r="T15" s="623">
        <f t="shared" si="6"/>
        <v>0</v>
      </c>
      <c r="U15" s="623">
        <f t="shared" si="7"/>
        <v>0</v>
      </c>
      <c r="V15" s="552">
        <f t="shared" si="8"/>
        <v>0</v>
      </c>
      <c r="W15" s="553">
        <f t="shared" si="17"/>
        <v>0</v>
      </c>
      <c r="X15" s="698"/>
      <c r="Y15" s="628">
        <f>IF(Q15=0,0,(Q15+R15)*'1.0-Contractblad'!$L$98)</f>
        <v>0</v>
      </c>
      <c r="Z15" s="629">
        <f>IF(J15=0,0,VLOOKUP(D15,'1.1a-Jaarprijzen'!$B$70:$P$124,14,FALSE)*(K15+J15))</f>
        <v>0</v>
      </c>
      <c r="AA15" s="60">
        <f t="shared" si="10"/>
        <v>0</v>
      </c>
      <c r="AC15" s="60" t="str">
        <f t="shared" si="11"/>
        <v>nvt-0</v>
      </c>
    </row>
    <row r="16" spans="1:29">
      <c r="A16" s="557"/>
      <c r="B16" s="549"/>
      <c r="C16" s="656">
        <v>1</v>
      </c>
      <c r="D16" s="550" t="s">
        <v>1067</v>
      </c>
      <c r="E16" s="657" t="s">
        <v>1010</v>
      </c>
      <c r="F16" s="645" t="s">
        <v>434</v>
      </c>
      <c r="G16" s="646" t="s">
        <v>887</v>
      </c>
      <c r="H16" s="644" t="str">
        <f t="shared" si="0"/>
        <v>administratieve -, personeels- en vergaderruimte</v>
      </c>
      <c r="I16" s="716" t="s">
        <v>804</v>
      </c>
      <c r="J16" s="648">
        <v>11.87</v>
      </c>
      <c r="K16" s="648"/>
      <c r="L16" s="649">
        <v>1255</v>
      </c>
      <c r="M16" s="555">
        <f t="shared" si="12"/>
        <v>101</v>
      </c>
      <c r="N16" s="453"/>
      <c r="O16" s="555">
        <f t="shared" si="13"/>
        <v>255</v>
      </c>
      <c r="P16" s="630">
        <v>1</v>
      </c>
      <c r="Q16" s="773">
        <f t="shared" si="14"/>
        <v>0</v>
      </c>
      <c r="R16" s="773">
        <f t="shared" si="15"/>
        <v>0</v>
      </c>
      <c r="S16" s="551">
        <f t="shared" si="16"/>
        <v>0</v>
      </c>
      <c r="T16" s="623">
        <f t="shared" si="6"/>
        <v>0</v>
      </c>
      <c r="U16" s="623">
        <f t="shared" si="7"/>
        <v>0</v>
      </c>
      <c r="V16" s="552">
        <f t="shared" si="8"/>
        <v>0</v>
      </c>
      <c r="W16" s="553" t="str">
        <f t="shared" si="17"/>
        <v>B</v>
      </c>
      <c r="X16" s="554"/>
      <c r="Y16" s="628">
        <f>IF(Q16=0,0,(Q16+R16)*'1.0-Contractblad'!$L$98)</f>
        <v>0</v>
      </c>
      <c r="Z16" s="629">
        <f ca="1">IF(J16=0,0,VLOOKUP(D16,'1.1a-Jaarprijzen'!$B$70:$P$124,14,FALSE)*(K16+J16))</f>
        <v>0</v>
      </c>
      <c r="AA16" s="60">
        <f t="shared" si="10"/>
        <v>0</v>
      </c>
      <c r="AC16" s="60" t="str">
        <f t="shared" si="11"/>
        <v>1255-255</v>
      </c>
    </row>
    <row r="17" spans="1:29">
      <c r="A17" s="557"/>
      <c r="B17" s="549"/>
      <c r="C17" s="656">
        <v>1</v>
      </c>
      <c r="D17" s="550" t="s">
        <v>1067</v>
      </c>
      <c r="E17" s="657" t="s">
        <v>1010</v>
      </c>
      <c r="F17" s="645" t="s">
        <v>435</v>
      </c>
      <c r="G17" s="646" t="s">
        <v>888</v>
      </c>
      <c r="H17" s="644" t="str">
        <f t="shared" si="0"/>
        <v>niet van toepassing</v>
      </c>
      <c r="I17" s="716" t="s">
        <v>804</v>
      </c>
      <c r="J17" s="648"/>
      <c r="K17" s="648">
        <v>3.08</v>
      </c>
      <c r="L17" s="660" t="s">
        <v>27</v>
      </c>
      <c r="M17" s="555">
        <f t="shared" si="12"/>
        <v>0</v>
      </c>
      <c r="N17" s="453"/>
      <c r="O17" s="555">
        <f t="shared" si="13"/>
        <v>0</v>
      </c>
      <c r="P17" s="630">
        <v>1</v>
      </c>
      <c r="Q17" s="773">
        <f t="shared" si="14"/>
        <v>0</v>
      </c>
      <c r="R17" s="773">
        <f t="shared" si="15"/>
        <v>0</v>
      </c>
      <c r="S17" s="551">
        <f t="shared" si="16"/>
        <v>0</v>
      </c>
      <c r="T17" s="623">
        <f t="shared" si="6"/>
        <v>0</v>
      </c>
      <c r="U17" s="623">
        <f t="shared" si="7"/>
        <v>0</v>
      </c>
      <c r="V17" s="552">
        <f t="shared" si="8"/>
        <v>0</v>
      </c>
      <c r="W17" s="553">
        <f t="shared" si="17"/>
        <v>0</v>
      </c>
      <c r="X17" s="698"/>
      <c r="Y17" s="628">
        <f>IF(Q17=0,0,(Q17+R17)*'1.0-Contractblad'!$L$98)</f>
        <v>0</v>
      </c>
      <c r="Z17" s="629">
        <f>IF(J17=0,0,VLOOKUP(D17,'1.1a-Jaarprijzen'!$B$70:$P$124,14,FALSE)*(K17+J17))</f>
        <v>0</v>
      </c>
      <c r="AA17" s="60">
        <f t="shared" si="10"/>
        <v>0</v>
      </c>
      <c r="AC17" s="60" t="str">
        <f t="shared" si="11"/>
        <v>nvt-0</v>
      </c>
    </row>
    <row r="18" spans="1:29">
      <c r="A18" s="557"/>
      <c r="B18" s="549"/>
      <c r="C18" s="656">
        <v>1</v>
      </c>
      <c r="D18" s="550" t="s">
        <v>1067</v>
      </c>
      <c r="E18" s="657" t="s">
        <v>1010</v>
      </c>
      <c r="F18" s="645" t="s">
        <v>812</v>
      </c>
      <c r="G18" s="646" t="s">
        <v>889</v>
      </c>
      <c r="H18" s="644" t="str">
        <f t="shared" si="0"/>
        <v>niet van toepassing</v>
      </c>
      <c r="I18" s="716" t="s">
        <v>804</v>
      </c>
      <c r="J18" s="648"/>
      <c r="K18" s="648">
        <v>1.22</v>
      </c>
      <c r="L18" s="660" t="s">
        <v>27</v>
      </c>
      <c r="M18" s="555">
        <f t="shared" si="12"/>
        <v>0</v>
      </c>
      <c r="N18" s="453"/>
      <c r="O18" s="555">
        <f t="shared" si="13"/>
        <v>0</v>
      </c>
      <c r="P18" s="630">
        <v>1</v>
      </c>
      <c r="Q18" s="773">
        <f t="shared" si="14"/>
        <v>0</v>
      </c>
      <c r="R18" s="773">
        <f t="shared" si="15"/>
        <v>0</v>
      </c>
      <c r="S18" s="551">
        <f t="shared" si="16"/>
        <v>0</v>
      </c>
      <c r="T18" s="623">
        <f t="shared" si="6"/>
        <v>0</v>
      </c>
      <c r="U18" s="623">
        <f t="shared" si="7"/>
        <v>0</v>
      </c>
      <c r="V18" s="552">
        <f t="shared" si="8"/>
        <v>0</v>
      </c>
      <c r="W18" s="553">
        <f t="shared" si="17"/>
        <v>0</v>
      </c>
      <c r="X18" s="698"/>
      <c r="Y18" s="628">
        <f>IF(Q18=0,0,(Q18+R18)*'1.0-Contractblad'!$L$98)</f>
        <v>0</v>
      </c>
      <c r="Z18" s="629">
        <f>IF(J18=0,0,VLOOKUP(D18,'1.1a-Jaarprijzen'!$B$70:$P$124,14,FALSE)*(K18+J18))</f>
        <v>0</v>
      </c>
      <c r="AA18" s="60">
        <f t="shared" si="10"/>
        <v>0</v>
      </c>
      <c r="AC18" s="60" t="str">
        <f t="shared" si="11"/>
        <v>nvt-0</v>
      </c>
    </row>
    <row r="19" spans="1:29">
      <c r="A19" s="557"/>
      <c r="B19" s="549"/>
      <c r="C19" s="656">
        <v>1</v>
      </c>
      <c r="D19" s="550" t="s">
        <v>1067</v>
      </c>
      <c r="E19" s="657" t="s">
        <v>1010</v>
      </c>
      <c r="F19" s="645" t="s">
        <v>436</v>
      </c>
      <c r="G19" s="646" t="s">
        <v>1011</v>
      </c>
      <c r="H19" s="644" t="str">
        <f t="shared" si="0"/>
        <v>administratieve -, personeels- en vergaderruimte</v>
      </c>
      <c r="I19" s="716" t="s">
        <v>804</v>
      </c>
      <c r="J19" s="648">
        <v>37.99</v>
      </c>
      <c r="K19" s="648"/>
      <c r="L19" s="649">
        <v>1255</v>
      </c>
      <c r="M19" s="555">
        <f t="shared" si="12"/>
        <v>101</v>
      </c>
      <c r="N19" s="453"/>
      <c r="O19" s="555">
        <f t="shared" si="13"/>
        <v>255</v>
      </c>
      <c r="P19" s="630">
        <v>1</v>
      </c>
      <c r="Q19" s="773">
        <f t="shared" si="14"/>
        <v>0</v>
      </c>
      <c r="R19" s="773">
        <f t="shared" si="15"/>
        <v>0</v>
      </c>
      <c r="S19" s="551">
        <f t="shared" si="16"/>
        <v>0</v>
      </c>
      <c r="T19" s="623">
        <f t="shared" si="6"/>
        <v>0</v>
      </c>
      <c r="U19" s="623">
        <f t="shared" si="7"/>
        <v>0</v>
      </c>
      <c r="V19" s="552">
        <f t="shared" si="8"/>
        <v>0</v>
      </c>
      <c r="W19" s="553" t="str">
        <f t="shared" si="17"/>
        <v>B</v>
      </c>
      <c r="X19" s="554"/>
      <c r="Y19" s="628">
        <f>IF(Q19=0,0,(Q19+R19)*'1.0-Contractblad'!$L$98)</f>
        <v>0</v>
      </c>
      <c r="Z19" s="629">
        <f ca="1">IF(J19=0,0,VLOOKUP(D19,'1.1a-Jaarprijzen'!$B$70:$P$124,14,FALSE)*(K19+J19))</f>
        <v>0</v>
      </c>
      <c r="AA19" s="60">
        <f t="shared" si="10"/>
        <v>0</v>
      </c>
      <c r="AC19" s="60" t="str">
        <f t="shared" si="11"/>
        <v>1255-255</v>
      </c>
    </row>
    <row r="20" spans="1:29">
      <c r="A20" s="557"/>
      <c r="B20" s="549"/>
      <c r="C20" s="656">
        <v>1</v>
      </c>
      <c r="D20" s="550" t="s">
        <v>1067</v>
      </c>
      <c r="E20" s="657" t="s">
        <v>1010</v>
      </c>
      <c r="F20" s="645" t="s">
        <v>438</v>
      </c>
      <c r="G20" s="646" t="s">
        <v>889</v>
      </c>
      <c r="H20" s="644" t="str">
        <f t="shared" si="0"/>
        <v>niet van toepassing</v>
      </c>
      <c r="I20" s="716" t="s">
        <v>804</v>
      </c>
      <c r="J20" s="648"/>
      <c r="K20" s="648">
        <v>4.75</v>
      </c>
      <c r="L20" s="660" t="s">
        <v>27</v>
      </c>
      <c r="M20" s="555">
        <f t="shared" si="12"/>
        <v>0</v>
      </c>
      <c r="N20" s="453"/>
      <c r="O20" s="555">
        <f t="shared" si="13"/>
        <v>0</v>
      </c>
      <c r="P20" s="630">
        <v>1</v>
      </c>
      <c r="Q20" s="773">
        <f t="shared" si="14"/>
        <v>0</v>
      </c>
      <c r="R20" s="773">
        <f t="shared" si="15"/>
        <v>0</v>
      </c>
      <c r="S20" s="551">
        <f t="shared" si="16"/>
        <v>0</v>
      </c>
      <c r="T20" s="623">
        <f t="shared" si="6"/>
        <v>0</v>
      </c>
      <c r="U20" s="623">
        <f t="shared" si="7"/>
        <v>0</v>
      </c>
      <c r="V20" s="552">
        <f t="shared" si="8"/>
        <v>0</v>
      </c>
      <c r="W20" s="553">
        <f t="shared" si="17"/>
        <v>0</v>
      </c>
      <c r="X20" s="698"/>
      <c r="Y20" s="628">
        <f>IF(Q20=0,0,(Q20+R20)*'1.0-Contractblad'!$L$98)</f>
        <v>0</v>
      </c>
      <c r="Z20" s="629">
        <f>IF(J20=0,0,VLOOKUP(D20,'1.1a-Jaarprijzen'!$B$70:$P$124,14,FALSE)*(K20+J20))</f>
        <v>0</v>
      </c>
      <c r="AA20" s="60">
        <f t="shared" si="10"/>
        <v>0</v>
      </c>
      <c r="AC20" s="60" t="str">
        <f t="shared" si="11"/>
        <v>nvt-0</v>
      </c>
    </row>
    <row r="21" spans="1:29">
      <c r="A21" s="557"/>
      <c r="B21" s="549"/>
      <c r="C21" s="656">
        <v>1</v>
      </c>
      <c r="D21" s="550" t="s">
        <v>1067</v>
      </c>
      <c r="E21" s="657" t="s">
        <v>1010</v>
      </c>
      <c r="F21" s="645" t="s">
        <v>439</v>
      </c>
      <c r="G21" s="646" t="s">
        <v>709</v>
      </c>
      <c r="H21" s="644" t="str">
        <f t="shared" si="0"/>
        <v>administratieve -, personeels- en vergaderruimte</v>
      </c>
      <c r="I21" s="716" t="s">
        <v>804</v>
      </c>
      <c r="J21" s="648">
        <v>14.42</v>
      </c>
      <c r="K21" s="648"/>
      <c r="L21" s="649">
        <v>1255</v>
      </c>
      <c r="M21" s="555">
        <f t="shared" si="12"/>
        <v>101</v>
      </c>
      <c r="N21" s="453"/>
      <c r="O21" s="555">
        <f t="shared" si="13"/>
        <v>255</v>
      </c>
      <c r="P21" s="630">
        <v>1</v>
      </c>
      <c r="Q21" s="773">
        <f t="shared" si="14"/>
        <v>0</v>
      </c>
      <c r="R21" s="773">
        <f t="shared" si="15"/>
        <v>0</v>
      </c>
      <c r="S21" s="551">
        <f t="shared" si="16"/>
        <v>0</v>
      </c>
      <c r="T21" s="623">
        <f t="shared" si="6"/>
        <v>0</v>
      </c>
      <c r="U21" s="623">
        <f t="shared" si="7"/>
        <v>0</v>
      </c>
      <c r="V21" s="552">
        <f t="shared" si="8"/>
        <v>0</v>
      </c>
      <c r="W21" s="553" t="str">
        <f t="shared" si="17"/>
        <v>B</v>
      </c>
      <c r="X21" s="554"/>
      <c r="Y21" s="628">
        <f>IF(Q21=0,0,(Q21+R21)*'1.0-Contractblad'!$L$98)</f>
        <v>0</v>
      </c>
      <c r="Z21" s="629">
        <f ca="1">IF(J21=0,0,VLOOKUP(D21,'1.1a-Jaarprijzen'!$B$70:$P$124,14,FALSE)*(K21+J21))</f>
        <v>0</v>
      </c>
      <c r="AA21" s="60">
        <f t="shared" si="10"/>
        <v>0</v>
      </c>
      <c r="AC21" s="60" t="str">
        <f t="shared" si="11"/>
        <v>1255-255</v>
      </c>
    </row>
    <row r="22" spans="1:29">
      <c r="A22" s="557"/>
      <c r="B22" s="549"/>
      <c r="C22" s="656">
        <v>1</v>
      </c>
      <c r="D22" s="550" t="s">
        <v>1067</v>
      </c>
      <c r="E22" s="657" t="s">
        <v>1010</v>
      </c>
      <c r="F22" s="645" t="s">
        <v>440</v>
      </c>
      <c r="G22" s="646" t="s">
        <v>709</v>
      </c>
      <c r="H22" s="644" t="str">
        <f t="shared" si="0"/>
        <v>administratieve -, personeels- en vergaderruimte</v>
      </c>
      <c r="I22" s="716" t="s">
        <v>804</v>
      </c>
      <c r="J22" s="648">
        <v>11.41</v>
      </c>
      <c r="K22" s="648"/>
      <c r="L22" s="649">
        <v>1255</v>
      </c>
      <c r="M22" s="555">
        <f t="shared" si="12"/>
        <v>101</v>
      </c>
      <c r="N22" s="453"/>
      <c r="O22" s="555">
        <f t="shared" si="13"/>
        <v>255</v>
      </c>
      <c r="P22" s="630">
        <v>1</v>
      </c>
      <c r="Q22" s="773">
        <f t="shared" si="14"/>
        <v>0</v>
      </c>
      <c r="R22" s="773">
        <f t="shared" si="15"/>
        <v>0</v>
      </c>
      <c r="S22" s="551">
        <f t="shared" si="16"/>
        <v>0</v>
      </c>
      <c r="T22" s="623">
        <f t="shared" si="6"/>
        <v>0</v>
      </c>
      <c r="U22" s="623">
        <f t="shared" si="7"/>
        <v>0</v>
      </c>
      <c r="V22" s="552">
        <f t="shared" si="8"/>
        <v>0</v>
      </c>
      <c r="W22" s="553" t="str">
        <f t="shared" si="17"/>
        <v>B</v>
      </c>
      <c r="X22" s="554"/>
      <c r="Y22" s="628">
        <f>IF(Q22=0,0,(Q22+R22)*'1.0-Contractblad'!$L$98)</f>
        <v>0</v>
      </c>
      <c r="Z22" s="629">
        <f ca="1">IF(J22=0,0,VLOOKUP(D22,'1.1a-Jaarprijzen'!$B$70:$P$124,14,FALSE)*(K22+J22))</f>
        <v>0</v>
      </c>
    </row>
    <row r="23" spans="1:29">
      <c r="A23" s="557"/>
      <c r="B23" s="549"/>
      <c r="C23" s="656">
        <v>1</v>
      </c>
      <c r="D23" s="550" t="s">
        <v>1067</v>
      </c>
      <c r="E23" s="657" t="s">
        <v>1010</v>
      </c>
      <c r="F23" s="645" t="s">
        <v>604</v>
      </c>
      <c r="G23" s="646" t="s">
        <v>793</v>
      </c>
      <c r="H23" s="644" t="str">
        <f t="shared" si="0"/>
        <v>entree, gang, hal, repro, kopieer, was/droogruimte</v>
      </c>
      <c r="I23" s="716" t="s">
        <v>804</v>
      </c>
      <c r="J23" s="648">
        <v>14.74</v>
      </c>
      <c r="K23" s="648"/>
      <c r="L23" s="649">
        <v>3255</v>
      </c>
      <c r="M23" s="555">
        <f t="shared" si="12"/>
        <v>103</v>
      </c>
      <c r="N23" s="453"/>
      <c r="O23" s="555">
        <f t="shared" si="13"/>
        <v>255</v>
      </c>
      <c r="P23" s="630">
        <v>1</v>
      </c>
      <c r="Q23" s="773">
        <f t="shared" si="14"/>
        <v>0</v>
      </c>
      <c r="R23" s="773">
        <f t="shared" si="15"/>
        <v>0</v>
      </c>
      <c r="S23" s="551">
        <f t="shared" si="16"/>
        <v>0</v>
      </c>
      <c r="T23" s="623">
        <f t="shared" si="6"/>
        <v>0</v>
      </c>
      <c r="U23" s="623">
        <f t="shared" si="7"/>
        <v>0</v>
      </c>
      <c r="V23" s="552">
        <f t="shared" si="8"/>
        <v>0</v>
      </c>
      <c r="W23" s="553" t="str">
        <f t="shared" si="17"/>
        <v>V</v>
      </c>
      <c r="X23" s="554"/>
      <c r="Y23" s="628">
        <f>IF(Q23=0,0,(Q23+R23)*'1.0-Contractblad'!$L$98)</f>
        <v>0</v>
      </c>
      <c r="Z23" s="629">
        <f ca="1">IF(J23=0,0,VLOOKUP(D23,'1.1a-Jaarprijzen'!$B$70:$P$124,14,FALSE)*(K23+J23))</f>
        <v>0</v>
      </c>
      <c r="AA23" s="60">
        <f t="shared" ref="AA23:AA27" si="18">IF(L23=8255,Q23+R23,0)</f>
        <v>0</v>
      </c>
      <c r="AC23" s="60" t="str">
        <f t="shared" ref="AC23:AC27" si="19">CONCATENATE(L23,"-",O23)</f>
        <v>3255-255</v>
      </c>
    </row>
    <row r="24" spans="1:29">
      <c r="A24" s="557"/>
      <c r="B24" s="549"/>
      <c r="C24" s="656">
        <v>1</v>
      </c>
      <c r="D24" s="550" t="s">
        <v>1067</v>
      </c>
      <c r="E24" s="657" t="s">
        <v>1010</v>
      </c>
      <c r="F24" s="645" t="s">
        <v>441</v>
      </c>
      <c r="G24" s="646" t="s">
        <v>709</v>
      </c>
      <c r="H24" s="644" t="str">
        <f t="shared" si="0"/>
        <v>administratieve -, personeels- en vergaderruimte</v>
      </c>
      <c r="I24" s="716" t="s">
        <v>804</v>
      </c>
      <c r="J24" s="648">
        <v>11.39</v>
      </c>
      <c r="K24" s="648"/>
      <c r="L24" s="649">
        <v>1255</v>
      </c>
      <c r="M24" s="555">
        <f t="shared" si="12"/>
        <v>101</v>
      </c>
      <c r="N24" s="453"/>
      <c r="O24" s="555">
        <f t="shared" si="13"/>
        <v>255</v>
      </c>
      <c r="P24" s="630">
        <v>1</v>
      </c>
      <c r="Q24" s="773">
        <f t="shared" si="14"/>
        <v>0</v>
      </c>
      <c r="R24" s="773">
        <f t="shared" si="15"/>
        <v>0</v>
      </c>
      <c r="S24" s="551">
        <f t="shared" si="16"/>
        <v>0</v>
      </c>
      <c r="T24" s="623">
        <f t="shared" si="6"/>
        <v>0</v>
      </c>
      <c r="U24" s="623">
        <f t="shared" si="7"/>
        <v>0</v>
      </c>
      <c r="V24" s="552">
        <f t="shared" si="8"/>
        <v>0</v>
      </c>
      <c r="W24" s="553" t="str">
        <f t="shared" si="17"/>
        <v>B</v>
      </c>
      <c r="X24" s="554"/>
      <c r="Y24" s="628">
        <f>IF(Q24=0,0,(Q24+R24)*'1.0-Contractblad'!$L$98)</f>
        <v>0</v>
      </c>
      <c r="Z24" s="629">
        <f ca="1">IF(J24=0,0,VLOOKUP(D24,'1.1a-Jaarprijzen'!$B$70:$P$124,14,FALSE)*(K24+J24))</f>
        <v>0</v>
      </c>
      <c r="AA24" s="60">
        <f t="shared" si="18"/>
        <v>0</v>
      </c>
      <c r="AC24" s="60" t="str">
        <f t="shared" si="19"/>
        <v>1255-255</v>
      </c>
    </row>
    <row r="25" spans="1:29">
      <c r="A25" s="557"/>
      <c r="B25" s="549"/>
      <c r="C25" s="656">
        <v>1</v>
      </c>
      <c r="D25" s="550" t="s">
        <v>1067</v>
      </c>
      <c r="E25" s="657" t="s">
        <v>1010</v>
      </c>
      <c r="F25" s="645" t="s">
        <v>813</v>
      </c>
      <c r="G25" s="646" t="s">
        <v>793</v>
      </c>
      <c r="H25" s="644" t="str">
        <f t="shared" si="0"/>
        <v>entree, gang, hal, repro, kopieer, was/droogruimte</v>
      </c>
      <c r="I25" s="716" t="s">
        <v>804</v>
      </c>
      <c r="J25" s="648">
        <v>122.24</v>
      </c>
      <c r="K25" s="648"/>
      <c r="L25" s="649">
        <v>3255</v>
      </c>
      <c r="M25" s="555">
        <f t="shared" si="12"/>
        <v>103</v>
      </c>
      <c r="N25" s="453"/>
      <c r="O25" s="555">
        <f t="shared" si="13"/>
        <v>255</v>
      </c>
      <c r="P25" s="630">
        <v>1</v>
      </c>
      <c r="Q25" s="773">
        <f t="shared" si="14"/>
        <v>0</v>
      </c>
      <c r="R25" s="773">
        <f t="shared" si="15"/>
        <v>0</v>
      </c>
      <c r="S25" s="551">
        <f t="shared" si="16"/>
        <v>0</v>
      </c>
      <c r="T25" s="623">
        <f t="shared" si="6"/>
        <v>0</v>
      </c>
      <c r="U25" s="623">
        <f t="shared" si="7"/>
        <v>0</v>
      </c>
      <c r="V25" s="552">
        <f t="shared" si="8"/>
        <v>0</v>
      </c>
      <c r="W25" s="553" t="str">
        <f t="shared" si="17"/>
        <v>V</v>
      </c>
      <c r="X25" s="554"/>
      <c r="Y25" s="628">
        <f>IF(Q25=0,0,(Q25+R25)*'1.0-Contractblad'!$L$98)</f>
        <v>0</v>
      </c>
      <c r="Z25" s="629">
        <f ca="1">IF(J25=0,0,VLOOKUP(D25,'1.1a-Jaarprijzen'!$B$70:$P$124,14,FALSE)*(K25+J25))</f>
        <v>0</v>
      </c>
      <c r="AA25" s="60">
        <f t="shared" si="18"/>
        <v>0</v>
      </c>
      <c r="AC25" s="60" t="str">
        <f t="shared" si="19"/>
        <v>3255-255</v>
      </c>
    </row>
    <row r="26" spans="1:29">
      <c r="A26" s="557"/>
      <c r="B26" s="549"/>
      <c r="C26" s="656">
        <v>1</v>
      </c>
      <c r="D26" s="550" t="s">
        <v>1067</v>
      </c>
      <c r="E26" s="657" t="s">
        <v>1010</v>
      </c>
      <c r="F26" s="645" t="s">
        <v>442</v>
      </c>
      <c r="G26" s="646" t="s">
        <v>890</v>
      </c>
      <c r="H26" s="644" t="str">
        <f t="shared" si="0"/>
        <v>sanitaire ruimte (toilet-/doucheruimte)</v>
      </c>
      <c r="I26" s="716" t="s">
        <v>1009</v>
      </c>
      <c r="J26" s="648">
        <v>4.1900000000000004</v>
      </c>
      <c r="K26" s="648"/>
      <c r="L26" s="649">
        <v>4255</v>
      </c>
      <c r="M26" s="555">
        <f t="shared" si="12"/>
        <v>104</v>
      </c>
      <c r="N26" s="453"/>
      <c r="O26" s="555">
        <f t="shared" si="13"/>
        <v>255</v>
      </c>
      <c r="P26" s="630">
        <v>1</v>
      </c>
      <c r="Q26" s="773">
        <f t="shared" si="14"/>
        <v>0</v>
      </c>
      <c r="R26" s="773">
        <f t="shared" si="15"/>
        <v>0</v>
      </c>
      <c r="S26" s="551">
        <f t="shared" si="16"/>
        <v>0</v>
      </c>
      <c r="T26" s="623">
        <f t="shared" si="6"/>
        <v>0</v>
      </c>
      <c r="U26" s="623">
        <f t="shared" si="7"/>
        <v>0</v>
      </c>
      <c r="V26" s="552">
        <f t="shared" si="8"/>
        <v>0</v>
      </c>
      <c r="W26" s="553" t="str">
        <f t="shared" si="17"/>
        <v>S</v>
      </c>
      <c r="X26" s="554"/>
      <c r="Y26" s="628">
        <f>IF(Q26=0,0,(Q26+R26)*'1.0-Contractblad'!$L$98)</f>
        <v>0</v>
      </c>
      <c r="Z26" s="629">
        <f ca="1">IF(J26=0,0,VLOOKUP(D26,'1.1a-Jaarprijzen'!$B$70:$P$124,14,FALSE)*(K26+J26))</f>
        <v>0</v>
      </c>
      <c r="AA26" s="60">
        <f t="shared" si="18"/>
        <v>0</v>
      </c>
      <c r="AC26" s="60" t="str">
        <f t="shared" si="19"/>
        <v>4255-255</v>
      </c>
    </row>
    <row r="27" spans="1:29">
      <c r="A27" s="557"/>
      <c r="B27" s="549"/>
      <c r="C27" s="656">
        <v>1</v>
      </c>
      <c r="D27" s="550" t="s">
        <v>1067</v>
      </c>
      <c r="E27" s="657" t="s">
        <v>1010</v>
      </c>
      <c r="F27" s="645" t="s">
        <v>443</v>
      </c>
      <c r="G27" s="646" t="s">
        <v>891</v>
      </c>
      <c r="H27" s="644" t="str">
        <f t="shared" si="0"/>
        <v>sanitaire ruimte (toilet-/doucheruimte)</v>
      </c>
      <c r="I27" s="716" t="s">
        <v>1009</v>
      </c>
      <c r="J27" s="661">
        <v>5.25</v>
      </c>
      <c r="K27" s="661"/>
      <c r="L27" s="649">
        <v>4255</v>
      </c>
      <c r="M27" s="555">
        <f t="shared" si="12"/>
        <v>104</v>
      </c>
      <c r="N27" s="453"/>
      <c r="O27" s="555">
        <f t="shared" si="13"/>
        <v>255</v>
      </c>
      <c r="P27" s="630">
        <v>1</v>
      </c>
      <c r="Q27" s="773">
        <f t="shared" si="14"/>
        <v>0</v>
      </c>
      <c r="R27" s="773">
        <f t="shared" si="15"/>
        <v>0</v>
      </c>
      <c r="S27" s="551">
        <f t="shared" si="16"/>
        <v>0</v>
      </c>
      <c r="T27" s="623">
        <f t="shared" si="6"/>
        <v>0</v>
      </c>
      <c r="U27" s="623">
        <f t="shared" si="7"/>
        <v>0</v>
      </c>
      <c r="V27" s="552">
        <f t="shared" si="8"/>
        <v>0</v>
      </c>
      <c r="W27" s="553" t="str">
        <f t="shared" si="17"/>
        <v>S</v>
      </c>
      <c r="X27" s="554"/>
      <c r="Y27" s="628">
        <f>IF(Q27=0,0,(Q27+R27)*'1.0-Contractblad'!$L$98)</f>
        <v>0</v>
      </c>
      <c r="Z27" s="629">
        <f ca="1">IF(J27=0,0,VLOOKUP(D27,'1.1a-Jaarprijzen'!$B$70:$P$124,14,FALSE)*(K27+J27))</f>
        <v>0</v>
      </c>
      <c r="AA27" s="60">
        <f t="shared" si="18"/>
        <v>0</v>
      </c>
      <c r="AC27" s="60" t="str">
        <f t="shared" si="19"/>
        <v>4255-255</v>
      </c>
    </row>
    <row r="28" spans="1:29">
      <c r="A28" s="557"/>
      <c r="B28" s="549"/>
      <c r="C28" s="656">
        <v>1</v>
      </c>
      <c r="D28" s="550" t="s">
        <v>1067</v>
      </c>
      <c r="E28" s="657" t="s">
        <v>1010</v>
      </c>
      <c r="F28" s="645" t="s">
        <v>444</v>
      </c>
      <c r="G28" s="646" t="s">
        <v>310</v>
      </c>
      <c r="H28" s="644" t="str">
        <f t="shared" si="0"/>
        <v>pantry</v>
      </c>
      <c r="I28" s="716" t="s">
        <v>804</v>
      </c>
      <c r="J28" s="648">
        <v>14.61</v>
      </c>
      <c r="K28" s="648"/>
      <c r="L28" s="649">
        <v>5255</v>
      </c>
      <c r="M28" s="555">
        <f t="shared" ref="M28" si="20">VLOOKUP(L28,Kengetal,2,FALSE)</f>
        <v>105</v>
      </c>
      <c r="N28" s="453"/>
      <c r="O28" s="555">
        <f t="shared" ref="O28" si="21">VLOOKUP(L28,Kengetal,3,FALSE)</f>
        <v>255</v>
      </c>
      <c r="P28" s="630">
        <v>1</v>
      </c>
      <c r="Q28" s="773">
        <f t="shared" ref="Q28" si="22">T28*J28*P28</f>
        <v>0</v>
      </c>
      <c r="R28" s="773">
        <f t="shared" ref="R28" si="23">U28*J28*P28</f>
        <v>0</v>
      </c>
      <c r="S28" s="551">
        <f t="shared" ref="S28" si="24">V28*J28*P28</f>
        <v>0</v>
      </c>
      <c r="T28" s="623">
        <f t="shared" si="6"/>
        <v>0</v>
      </c>
      <c r="U28" s="623">
        <f t="shared" si="7"/>
        <v>0</v>
      </c>
      <c r="V28" s="552">
        <f t="shared" si="8"/>
        <v>0</v>
      </c>
      <c r="W28" s="553" t="str">
        <f t="shared" ref="W28" si="25">IF(L28="","",VLOOKUP(L28,Kengetal,14,FALSE))</f>
        <v>V</v>
      </c>
      <c r="X28" s="554"/>
      <c r="Y28" s="628">
        <f>IF(Q28=0,0,(Q28+R28)*'1.0-Contractblad'!$L$98)</f>
        <v>0</v>
      </c>
      <c r="Z28" s="629">
        <f ca="1">IF(J28=0,0,VLOOKUP(D28,'1.1a-Jaarprijzen'!$B$70:$P$124,14,FALSE)*(K28+J28))</f>
        <v>0</v>
      </c>
      <c r="AA28" s="60">
        <f t="shared" ref="AA28:AA60" si="26">IF(L29=8255,Q29+R29,0)</f>
        <v>0</v>
      </c>
      <c r="AC28" s="60" t="str">
        <f t="shared" ref="AC28:AC60" si="27">CONCATENATE(L29,"-",O29)</f>
        <v>1255-255</v>
      </c>
    </row>
    <row r="29" spans="1:29">
      <c r="A29" s="557"/>
      <c r="B29" s="549"/>
      <c r="C29" s="656">
        <v>1</v>
      </c>
      <c r="D29" s="550" t="s">
        <v>1067</v>
      </c>
      <c r="E29" s="657" t="s">
        <v>1010</v>
      </c>
      <c r="F29" s="645" t="s">
        <v>445</v>
      </c>
      <c r="G29" s="646" t="s">
        <v>892</v>
      </c>
      <c r="H29" s="644" t="str">
        <f t="shared" si="0"/>
        <v>administratieve -, personeels- en vergaderruimte</v>
      </c>
      <c r="I29" s="716" t="s">
        <v>804</v>
      </c>
      <c r="J29" s="648">
        <v>33.29</v>
      </c>
      <c r="K29" s="648"/>
      <c r="L29" s="649">
        <v>1255</v>
      </c>
      <c r="M29" s="555">
        <f t="shared" si="12"/>
        <v>101</v>
      </c>
      <c r="N29" s="453"/>
      <c r="O29" s="555">
        <f t="shared" si="13"/>
        <v>255</v>
      </c>
      <c r="P29" s="630">
        <v>1</v>
      </c>
      <c r="Q29" s="773">
        <f t="shared" si="14"/>
        <v>0</v>
      </c>
      <c r="R29" s="773">
        <f t="shared" si="15"/>
        <v>0</v>
      </c>
      <c r="S29" s="551">
        <f t="shared" si="16"/>
        <v>0</v>
      </c>
      <c r="T29" s="623">
        <f t="shared" si="6"/>
        <v>0</v>
      </c>
      <c r="U29" s="623">
        <f t="shared" si="7"/>
        <v>0</v>
      </c>
      <c r="V29" s="552">
        <f t="shared" si="8"/>
        <v>0</v>
      </c>
      <c r="W29" s="553" t="str">
        <f t="shared" si="17"/>
        <v>B</v>
      </c>
      <c r="X29" s="554"/>
      <c r="Y29" s="628">
        <f>IF(Q29=0,0,(Q29+R29)*'1.0-Contractblad'!$L$98)</f>
        <v>0</v>
      </c>
      <c r="Z29" s="629">
        <f ca="1">IF(J29=0,0,VLOOKUP(D29,'1.1a-Jaarprijzen'!$B$70:$P$124,14,FALSE)*(K29+J29))</f>
        <v>0</v>
      </c>
      <c r="AA29" s="60">
        <f t="shared" si="26"/>
        <v>0</v>
      </c>
      <c r="AC29" s="60" t="str">
        <f t="shared" si="27"/>
        <v>nvt-0</v>
      </c>
    </row>
    <row r="30" spans="1:29">
      <c r="A30" s="557"/>
      <c r="B30" s="549"/>
      <c r="C30" s="656">
        <v>1</v>
      </c>
      <c r="D30" s="550" t="s">
        <v>1067</v>
      </c>
      <c r="E30" s="657" t="s">
        <v>1010</v>
      </c>
      <c r="F30" s="645" t="s">
        <v>446</v>
      </c>
      <c r="G30" s="646" t="s">
        <v>889</v>
      </c>
      <c r="H30" s="644" t="str">
        <f t="shared" si="0"/>
        <v>niet van toepassing</v>
      </c>
      <c r="I30" s="716" t="s">
        <v>804</v>
      </c>
      <c r="J30" s="648"/>
      <c r="K30" s="648">
        <v>3.08</v>
      </c>
      <c r="L30" s="660" t="s">
        <v>27</v>
      </c>
      <c r="M30" s="555">
        <f t="shared" si="12"/>
        <v>0</v>
      </c>
      <c r="N30" s="453"/>
      <c r="O30" s="555">
        <f t="shared" si="13"/>
        <v>0</v>
      </c>
      <c r="P30" s="630">
        <v>1</v>
      </c>
      <c r="Q30" s="773">
        <f t="shared" si="14"/>
        <v>0</v>
      </c>
      <c r="R30" s="773">
        <f t="shared" si="15"/>
        <v>0</v>
      </c>
      <c r="S30" s="551">
        <f t="shared" si="16"/>
        <v>0</v>
      </c>
      <c r="T30" s="623">
        <f t="shared" si="6"/>
        <v>0</v>
      </c>
      <c r="U30" s="623">
        <f t="shared" si="7"/>
        <v>0</v>
      </c>
      <c r="V30" s="552">
        <f t="shared" si="8"/>
        <v>0</v>
      </c>
      <c r="W30" s="553">
        <f t="shared" si="17"/>
        <v>0</v>
      </c>
      <c r="X30" s="698"/>
      <c r="Y30" s="628">
        <f>IF(Q30=0,0,(Q30+R30)*'1.0-Contractblad'!$L$98)</f>
        <v>0</v>
      </c>
      <c r="Z30" s="629">
        <f>IF(J30=0,0,VLOOKUP(D30,'1.1a-Jaarprijzen'!$B$70:$P$124,14,FALSE)*(K30+J30))</f>
        <v>0</v>
      </c>
      <c r="AA30" s="60">
        <f t="shared" si="26"/>
        <v>0</v>
      </c>
      <c r="AC30" s="60" t="str">
        <f t="shared" si="27"/>
        <v>3255-255</v>
      </c>
    </row>
    <row r="31" spans="1:29">
      <c r="A31" s="557"/>
      <c r="B31" s="549"/>
      <c r="C31" s="656">
        <v>1</v>
      </c>
      <c r="D31" s="550" t="s">
        <v>1067</v>
      </c>
      <c r="E31" s="657" t="s">
        <v>1010</v>
      </c>
      <c r="F31" s="645" t="s">
        <v>447</v>
      </c>
      <c r="G31" s="646" t="s">
        <v>893</v>
      </c>
      <c r="H31" s="644" t="str">
        <f t="shared" si="0"/>
        <v>entree, gang, hal, repro, kopieer, was/droogruimte</v>
      </c>
      <c r="I31" s="716" t="s">
        <v>804</v>
      </c>
      <c r="J31" s="648">
        <v>32.29</v>
      </c>
      <c r="K31" s="648"/>
      <c r="L31" s="649">
        <v>3255</v>
      </c>
      <c r="M31" s="555">
        <f t="shared" si="12"/>
        <v>103</v>
      </c>
      <c r="N31" s="453"/>
      <c r="O31" s="555">
        <f t="shared" si="13"/>
        <v>255</v>
      </c>
      <c r="P31" s="630">
        <v>1</v>
      </c>
      <c r="Q31" s="773">
        <f t="shared" si="14"/>
        <v>0</v>
      </c>
      <c r="R31" s="773">
        <f t="shared" si="15"/>
        <v>0</v>
      </c>
      <c r="S31" s="551">
        <f t="shared" si="16"/>
        <v>0</v>
      </c>
      <c r="T31" s="623">
        <f t="shared" si="6"/>
        <v>0</v>
      </c>
      <c r="U31" s="623">
        <f t="shared" si="7"/>
        <v>0</v>
      </c>
      <c r="V31" s="552">
        <f t="shared" si="8"/>
        <v>0</v>
      </c>
      <c r="W31" s="553" t="str">
        <f t="shared" si="17"/>
        <v>V</v>
      </c>
      <c r="X31" s="554"/>
      <c r="Y31" s="628">
        <f>IF(Q31=0,0,(Q31+R31)*'1.0-Contractblad'!$L$98)</f>
        <v>0</v>
      </c>
      <c r="Z31" s="629">
        <f ca="1">IF(J31=0,0,VLOOKUP(D31,'1.1a-Jaarprijzen'!$B$70:$P$124,14,FALSE)*(K31+J31))</f>
        <v>0</v>
      </c>
      <c r="AA31" s="60">
        <f t="shared" si="26"/>
        <v>0</v>
      </c>
      <c r="AC31" s="60" t="str">
        <f t="shared" si="27"/>
        <v>1255-255</v>
      </c>
    </row>
    <row r="32" spans="1:29">
      <c r="A32" s="557"/>
      <c r="B32" s="549"/>
      <c r="C32" s="656">
        <v>1</v>
      </c>
      <c r="D32" s="550" t="s">
        <v>1067</v>
      </c>
      <c r="E32" s="657" t="s">
        <v>1010</v>
      </c>
      <c r="F32" s="645" t="s">
        <v>448</v>
      </c>
      <c r="G32" s="646" t="s">
        <v>894</v>
      </c>
      <c r="H32" s="644" t="str">
        <f t="shared" si="0"/>
        <v>administratieve -, personeels- en vergaderruimte</v>
      </c>
      <c r="I32" s="716" t="s">
        <v>804</v>
      </c>
      <c r="J32" s="648">
        <v>18.11</v>
      </c>
      <c r="K32" s="648"/>
      <c r="L32" s="649">
        <v>1255</v>
      </c>
      <c r="M32" s="555">
        <f t="shared" si="12"/>
        <v>101</v>
      </c>
      <c r="N32" s="453"/>
      <c r="O32" s="555">
        <f t="shared" si="13"/>
        <v>255</v>
      </c>
      <c r="P32" s="630">
        <v>1</v>
      </c>
      <c r="Q32" s="773">
        <f t="shared" si="14"/>
        <v>0</v>
      </c>
      <c r="R32" s="773">
        <f t="shared" si="15"/>
        <v>0</v>
      </c>
      <c r="S32" s="551">
        <f t="shared" si="16"/>
        <v>0</v>
      </c>
      <c r="T32" s="623">
        <f t="shared" si="6"/>
        <v>0</v>
      </c>
      <c r="U32" s="623">
        <f t="shared" si="7"/>
        <v>0</v>
      </c>
      <c r="V32" s="552">
        <f t="shared" si="8"/>
        <v>0</v>
      </c>
      <c r="W32" s="553" t="str">
        <f t="shared" si="17"/>
        <v>B</v>
      </c>
      <c r="X32" s="554"/>
      <c r="Y32" s="628">
        <f>IF(Q32=0,0,(Q32+R32)*'1.0-Contractblad'!$L$98)</f>
        <v>0</v>
      </c>
      <c r="Z32" s="629">
        <f ca="1">IF(J32=0,0,VLOOKUP(D32,'1.1a-Jaarprijzen'!$B$70:$P$124,14,FALSE)*(K32+J32))</f>
        <v>0</v>
      </c>
      <c r="AA32" s="60">
        <f t="shared" si="26"/>
        <v>0</v>
      </c>
      <c r="AC32" s="60" t="str">
        <f t="shared" si="27"/>
        <v>nvt-0</v>
      </c>
    </row>
    <row r="33" spans="1:29">
      <c r="A33" s="557"/>
      <c r="B33" s="549"/>
      <c r="C33" s="656">
        <v>1</v>
      </c>
      <c r="D33" s="550" t="s">
        <v>1067</v>
      </c>
      <c r="E33" s="657" t="s">
        <v>1010</v>
      </c>
      <c r="F33" s="645" t="s">
        <v>449</v>
      </c>
      <c r="G33" s="646" t="s">
        <v>889</v>
      </c>
      <c r="H33" s="644" t="str">
        <f t="shared" si="0"/>
        <v>niet van toepassing</v>
      </c>
      <c r="I33" s="716" t="s">
        <v>804</v>
      </c>
      <c r="J33" s="648"/>
      <c r="K33" s="648">
        <v>3.08</v>
      </c>
      <c r="L33" s="660" t="s">
        <v>27</v>
      </c>
      <c r="M33" s="555">
        <f t="shared" si="12"/>
        <v>0</v>
      </c>
      <c r="N33" s="453"/>
      <c r="O33" s="555">
        <f t="shared" si="13"/>
        <v>0</v>
      </c>
      <c r="P33" s="630">
        <v>1</v>
      </c>
      <c r="Q33" s="773">
        <f t="shared" si="14"/>
        <v>0</v>
      </c>
      <c r="R33" s="773">
        <f t="shared" si="15"/>
        <v>0</v>
      </c>
      <c r="S33" s="551">
        <f t="shared" si="16"/>
        <v>0</v>
      </c>
      <c r="T33" s="623">
        <f t="shared" si="6"/>
        <v>0</v>
      </c>
      <c r="U33" s="623">
        <f t="shared" si="7"/>
        <v>0</v>
      </c>
      <c r="V33" s="552">
        <f t="shared" si="8"/>
        <v>0</v>
      </c>
      <c r="W33" s="553">
        <f t="shared" si="17"/>
        <v>0</v>
      </c>
      <c r="X33" s="698"/>
      <c r="Y33" s="628">
        <f>IF(Q33=0,0,(Q33+R33)*'1.0-Contractblad'!$L$98)</f>
        <v>0</v>
      </c>
      <c r="Z33" s="629">
        <f>IF(J33=0,0,VLOOKUP(D33,'1.1a-Jaarprijzen'!$B$70:$P$124,14,FALSE)*(K33+J33))</f>
        <v>0</v>
      </c>
      <c r="AA33" s="60">
        <f t="shared" si="26"/>
        <v>0</v>
      </c>
      <c r="AC33" s="60" t="str">
        <f t="shared" si="27"/>
        <v>1255-255</v>
      </c>
    </row>
    <row r="34" spans="1:29">
      <c r="A34" s="557"/>
      <c r="B34" s="549"/>
      <c r="C34" s="656">
        <v>1</v>
      </c>
      <c r="D34" s="550" t="s">
        <v>1067</v>
      </c>
      <c r="E34" s="657" t="s">
        <v>1010</v>
      </c>
      <c r="F34" s="645" t="s">
        <v>450</v>
      </c>
      <c r="G34" s="646" t="s">
        <v>709</v>
      </c>
      <c r="H34" s="644" t="str">
        <f t="shared" si="0"/>
        <v>administratieve -, personeels- en vergaderruimte</v>
      </c>
      <c r="I34" s="716" t="s">
        <v>804</v>
      </c>
      <c r="J34" s="648">
        <v>17.05</v>
      </c>
      <c r="K34" s="648"/>
      <c r="L34" s="649">
        <v>1255</v>
      </c>
      <c r="M34" s="555">
        <f t="shared" si="12"/>
        <v>101</v>
      </c>
      <c r="N34" s="453"/>
      <c r="O34" s="555">
        <f t="shared" si="13"/>
        <v>255</v>
      </c>
      <c r="P34" s="630">
        <v>1</v>
      </c>
      <c r="Q34" s="773">
        <f t="shared" si="14"/>
        <v>0</v>
      </c>
      <c r="R34" s="773">
        <f t="shared" si="15"/>
        <v>0</v>
      </c>
      <c r="S34" s="551">
        <f t="shared" si="16"/>
        <v>0</v>
      </c>
      <c r="T34" s="623">
        <f t="shared" si="6"/>
        <v>0</v>
      </c>
      <c r="U34" s="623">
        <f t="shared" si="7"/>
        <v>0</v>
      </c>
      <c r="V34" s="552">
        <f t="shared" si="8"/>
        <v>0</v>
      </c>
      <c r="W34" s="553" t="str">
        <f t="shared" si="17"/>
        <v>B</v>
      </c>
      <c r="X34" s="554"/>
      <c r="Y34" s="628">
        <f>IF(Q34=0,0,(Q34+R34)*'1.0-Contractblad'!$L$98)</f>
        <v>0</v>
      </c>
      <c r="Z34" s="629">
        <f ca="1">IF(J34=0,0,VLOOKUP(D34,'1.1a-Jaarprijzen'!$B$70:$P$124,14,FALSE)*(K34+J34))</f>
        <v>0</v>
      </c>
      <c r="AA34" s="60">
        <f t="shared" si="26"/>
        <v>0</v>
      </c>
      <c r="AC34" s="60" t="str">
        <f t="shared" si="27"/>
        <v>1255-255</v>
      </c>
    </row>
    <row r="35" spans="1:29">
      <c r="A35" s="557"/>
      <c r="B35" s="549"/>
      <c r="C35" s="656">
        <v>1</v>
      </c>
      <c r="D35" s="550" t="s">
        <v>1067</v>
      </c>
      <c r="E35" s="657" t="s">
        <v>1010</v>
      </c>
      <c r="F35" s="645" t="s">
        <v>451</v>
      </c>
      <c r="G35" s="646" t="s">
        <v>709</v>
      </c>
      <c r="H35" s="644" t="str">
        <f t="shared" si="0"/>
        <v>administratieve -, personeels- en vergaderruimte</v>
      </c>
      <c r="I35" s="716" t="s">
        <v>804</v>
      </c>
      <c r="J35" s="648">
        <v>16.87</v>
      </c>
      <c r="K35" s="648"/>
      <c r="L35" s="649">
        <v>1255</v>
      </c>
      <c r="M35" s="555">
        <f t="shared" si="12"/>
        <v>101</v>
      </c>
      <c r="N35" s="453"/>
      <c r="O35" s="555">
        <f t="shared" si="13"/>
        <v>255</v>
      </c>
      <c r="P35" s="630">
        <v>1</v>
      </c>
      <c r="Q35" s="773">
        <f t="shared" si="14"/>
        <v>0</v>
      </c>
      <c r="R35" s="773">
        <f t="shared" si="15"/>
        <v>0</v>
      </c>
      <c r="S35" s="551">
        <f t="shared" si="16"/>
        <v>0</v>
      </c>
      <c r="T35" s="623">
        <f t="shared" si="6"/>
        <v>0</v>
      </c>
      <c r="U35" s="623">
        <f t="shared" si="7"/>
        <v>0</v>
      </c>
      <c r="V35" s="552">
        <f t="shared" si="8"/>
        <v>0</v>
      </c>
      <c r="W35" s="553" t="str">
        <f t="shared" si="17"/>
        <v>B</v>
      </c>
      <c r="X35" s="554"/>
      <c r="Y35" s="628">
        <f>IF(Q35=0,0,(Q35+R35)*'1.0-Contractblad'!$L$98)</f>
        <v>0</v>
      </c>
      <c r="Z35" s="629">
        <f ca="1">IF(J35=0,0,VLOOKUP(D35,'1.1a-Jaarprijzen'!$B$70:$P$124,14,FALSE)*(K35+J35))</f>
        <v>0</v>
      </c>
      <c r="AA35" s="60">
        <f t="shared" si="26"/>
        <v>0</v>
      </c>
      <c r="AC35" s="60" t="str">
        <f t="shared" si="27"/>
        <v>1255-255</v>
      </c>
    </row>
    <row r="36" spans="1:29">
      <c r="A36" s="501"/>
      <c r="B36" s="549"/>
      <c r="C36" s="656">
        <v>1</v>
      </c>
      <c r="D36" s="550" t="s">
        <v>1067</v>
      </c>
      <c r="E36" s="657" t="s">
        <v>1010</v>
      </c>
      <c r="F36" s="645" t="s">
        <v>452</v>
      </c>
      <c r="G36" s="646" t="s">
        <v>709</v>
      </c>
      <c r="H36" s="644" t="str">
        <f t="shared" si="0"/>
        <v>administratieve -, personeels- en vergaderruimte</v>
      </c>
      <c r="I36" s="716" t="s">
        <v>804</v>
      </c>
      <c r="J36" s="648">
        <v>17.3</v>
      </c>
      <c r="K36" s="648"/>
      <c r="L36" s="649">
        <v>1255</v>
      </c>
      <c r="M36" s="555">
        <f t="shared" si="12"/>
        <v>101</v>
      </c>
      <c r="N36" s="453"/>
      <c r="O36" s="555">
        <f t="shared" si="13"/>
        <v>255</v>
      </c>
      <c r="P36" s="630">
        <v>1</v>
      </c>
      <c r="Q36" s="773">
        <f t="shared" si="14"/>
        <v>0</v>
      </c>
      <c r="R36" s="773">
        <f t="shared" si="15"/>
        <v>0</v>
      </c>
      <c r="S36" s="551">
        <f t="shared" si="16"/>
        <v>0</v>
      </c>
      <c r="T36" s="623">
        <f t="shared" si="6"/>
        <v>0</v>
      </c>
      <c r="U36" s="623">
        <f t="shared" si="7"/>
        <v>0</v>
      </c>
      <c r="V36" s="552">
        <f t="shared" si="8"/>
        <v>0</v>
      </c>
      <c r="W36" s="553" t="str">
        <f t="shared" si="17"/>
        <v>B</v>
      </c>
      <c r="X36" s="443"/>
      <c r="Y36" s="628">
        <f>IF(Q36=0,0,(Q36+R36)*'1.0-Contractblad'!$L$98)</f>
        <v>0</v>
      </c>
      <c r="Z36" s="629">
        <f ca="1">IF(J36=0,0,VLOOKUP(D36,'1.1a-Jaarprijzen'!$B$70:$P$124,14,FALSE)*(K36+J36))</f>
        <v>0</v>
      </c>
      <c r="AA36" s="60">
        <f t="shared" si="26"/>
        <v>0</v>
      </c>
      <c r="AC36" s="60" t="str">
        <f t="shared" si="27"/>
        <v>1255-255</v>
      </c>
    </row>
    <row r="37" spans="1:29">
      <c r="A37" s="501"/>
      <c r="B37" s="549"/>
      <c r="C37" s="656">
        <v>1</v>
      </c>
      <c r="D37" s="550" t="s">
        <v>1067</v>
      </c>
      <c r="E37" s="657" t="s">
        <v>1010</v>
      </c>
      <c r="F37" s="645" t="s">
        <v>453</v>
      </c>
      <c r="G37" s="646" t="s">
        <v>709</v>
      </c>
      <c r="H37" s="644" t="str">
        <f t="shared" si="0"/>
        <v>administratieve -, personeels- en vergaderruimte</v>
      </c>
      <c r="I37" s="716" t="s">
        <v>804</v>
      </c>
      <c r="J37" s="648">
        <v>16.25</v>
      </c>
      <c r="K37" s="648"/>
      <c r="L37" s="649">
        <v>1255</v>
      </c>
      <c r="M37" s="555">
        <f t="shared" si="12"/>
        <v>101</v>
      </c>
      <c r="N37" s="453"/>
      <c r="O37" s="555">
        <f t="shared" si="13"/>
        <v>255</v>
      </c>
      <c r="P37" s="630">
        <v>1</v>
      </c>
      <c r="Q37" s="773">
        <f t="shared" si="14"/>
        <v>0</v>
      </c>
      <c r="R37" s="773">
        <f t="shared" si="15"/>
        <v>0</v>
      </c>
      <c r="S37" s="551">
        <f t="shared" si="16"/>
        <v>0</v>
      </c>
      <c r="T37" s="623">
        <f t="shared" si="6"/>
        <v>0</v>
      </c>
      <c r="U37" s="623">
        <f t="shared" si="7"/>
        <v>0</v>
      </c>
      <c r="V37" s="552">
        <f t="shared" si="8"/>
        <v>0</v>
      </c>
      <c r="W37" s="553" t="str">
        <f t="shared" si="17"/>
        <v>B</v>
      </c>
      <c r="X37" s="443"/>
      <c r="Y37" s="628">
        <f>IF(Q37=0,0,(Q37+R37)*'1.0-Contractblad'!$L$98)</f>
        <v>0</v>
      </c>
      <c r="Z37" s="629">
        <f ca="1">IF(J37=0,0,VLOOKUP(D37,'1.1a-Jaarprijzen'!$B$70:$P$124,14,FALSE)*(K37+J37))</f>
        <v>0</v>
      </c>
      <c r="AA37" s="60">
        <f t="shared" si="26"/>
        <v>0</v>
      </c>
      <c r="AC37" s="60" t="str">
        <f t="shared" si="27"/>
        <v>1255-255</v>
      </c>
    </row>
    <row r="38" spans="1:29">
      <c r="A38" s="501"/>
      <c r="B38" s="549"/>
      <c r="C38" s="656">
        <v>1</v>
      </c>
      <c r="D38" s="550" t="s">
        <v>1067</v>
      </c>
      <c r="E38" s="657" t="s">
        <v>1010</v>
      </c>
      <c r="F38" s="645" t="s">
        <v>454</v>
      </c>
      <c r="G38" s="646" t="s">
        <v>887</v>
      </c>
      <c r="H38" s="644" t="str">
        <f t="shared" si="0"/>
        <v>administratieve -, personeels- en vergaderruimte</v>
      </c>
      <c r="I38" s="716" t="s">
        <v>804</v>
      </c>
      <c r="J38" s="648">
        <v>8.57</v>
      </c>
      <c r="K38" s="648"/>
      <c r="L38" s="649">
        <v>1255</v>
      </c>
      <c r="M38" s="555">
        <f t="shared" si="12"/>
        <v>101</v>
      </c>
      <c r="N38" s="453"/>
      <c r="O38" s="555">
        <f t="shared" si="13"/>
        <v>255</v>
      </c>
      <c r="P38" s="630">
        <v>1</v>
      </c>
      <c r="Q38" s="773">
        <f t="shared" si="14"/>
        <v>0</v>
      </c>
      <c r="R38" s="773">
        <f t="shared" si="15"/>
        <v>0</v>
      </c>
      <c r="S38" s="551">
        <f t="shared" si="16"/>
        <v>0</v>
      </c>
      <c r="T38" s="623">
        <f t="shared" si="6"/>
        <v>0</v>
      </c>
      <c r="U38" s="623">
        <f t="shared" si="7"/>
        <v>0</v>
      </c>
      <c r="V38" s="552">
        <f t="shared" si="8"/>
        <v>0</v>
      </c>
      <c r="W38" s="553" t="str">
        <f t="shared" si="17"/>
        <v>B</v>
      </c>
      <c r="X38" s="443"/>
      <c r="Y38" s="628">
        <f>IF(Q38=0,0,(Q38+R38)*'1.0-Contractblad'!$L$98)</f>
        <v>0</v>
      </c>
      <c r="Z38" s="629">
        <f ca="1">IF(J38=0,0,VLOOKUP(D38,'1.1a-Jaarprijzen'!$B$70:$P$124,14,FALSE)*(K38+J38))</f>
        <v>0</v>
      </c>
      <c r="AA38" s="60">
        <f t="shared" si="26"/>
        <v>0</v>
      </c>
      <c r="AC38" s="60" t="str">
        <f t="shared" si="27"/>
        <v>4255-255</v>
      </c>
    </row>
    <row r="39" spans="1:29">
      <c r="A39" s="501"/>
      <c r="B39" s="549"/>
      <c r="C39" s="656">
        <v>1</v>
      </c>
      <c r="D39" s="550" t="s">
        <v>1067</v>
      </c>
      <c r="E39" s="657" t="s">
        <v>1010</v>
      </c>
      <c r="F39" s="645" t="s">
        <v>455</v>
      </c>
      <c r="G39" s="646" t="s">
        <v>791</v>
      </c>
      <c r="H39" s="644" t="str">
        <f t="shared" si="0"/>
        <v>sanitaire ruimte (toilet-/doucheruimte)</v>
      </c>
      <c r="I39" s="716" t="s">
        <v>1009</v>
      </c>
      <c r="J39" s="648">
        <v>8.49</v>
      </c>
      <c r="K39" s="648"/>
      <c r="L39" s="658">
        <v>4255</v>
      </c>
      <c r="M39" s="555">
        <f t="shared" si="12"/>
        <v>104</v>
      </c>
      <c r="N39" s="453"/>
      <c r="O39" s="555">
        <f t="shared" si="13"/>
        <v>255</v>
      </c>
      <c r="P39" s="630">
        <v>1</v>
      </c>
      <c r="Q39" s="773">
        <f t="shared" si="14"/>
        <v>0</v>
      </c>
      <c r="R39" s="773">
        <f t="shared" si="15"/>
        <v>0</v>
      </c>
      <c r="S39" s="551">
        <f t="shared" si="16"/>
        <v>0</v>
      </c>
      <c r="T39" s="623">
        <f t="shared" si="6"/>
        <v>0</v>
      </c>
      <c r="U39" s="623">
        <f t="shared" si="7"/>
        <v>0</v>
      </c>
      <c r="V39" s="552">
        <f t="shared" si="8"/>
        <v>0</v>
      </c>
      <c r="W39" s="553" t="str">
        <f t="shared" si="17"/>
        <v>S</v>
      </c>
      <c r="X39" s="554"/>
      <c r="Y39" s="628">
        <f>IF(Q39=0,0,(Q39+R39)*'1.0-Contractblad'!$L$98)</f>
        <v>0</v>
      </c>
      <c r="Z39" s="629">
        <f ca="1">IF(J39=0,0,VLOOKUP(D39,'1.1a-Jaarprijzen'!$B$70:$P$124,14,FALSE)*(K39+J39))</f>
        <v>0</v>
      </c>
      <c r="AA39" s="60">
        <f t="shared" si="26"/>
        <v>0</v>
      </c>
      <c r="AC39" s="60" t="str">
        <f t="shared" si="27"/>
        <v>4255-255</v>
      </c>
    </row>
    <row r="40" spans="1:29">
      <c r="A40" s="501"/>
      <c r="B40" s="549"/>
      <c r="C40" s="656">
        <v>1</v>
      </c>
      <c r="D40" s="550" t="s">
        <v>1067</v>
      </c>
      <c r="E40" s="657" t="s">
        <v>1010</v>
      </c>
      <c r="F40" s="645" t="s">
        <v>456</v>
      </c>
      <c r="G40" s="646" t="s">
        <v>783</v>
      </c>
      <c r="H40" s="644" t="str">
        <f t="shared" si="0"/>
        <v>sanitaire ruimte (toilet-/doucheruimte)</v>
      </c>
      <c r="I40" s="716" t="s">
        <v>1009</v>
      </c>
      <c r="J40" s="648">
        <v>7.37</v>
      </c>
      <c r="K40" s="648"/>
      <c r="L40" s="649">
        <v>4255</v>
      </c>
      <c r="M40" s="555">
        <f t="shared" si="12"/>
        <v>104</v>
      </c>
      <c r="N40" s="453"/>
      <c r="O40" s="555">
        <f t="shared" si="13"/>
        <v>255</v>
      </c>
      <c r="P40" s="630">
        <v>1</v>
      </c>
      <c r="Q40" s="773">
        <f t="shared" si="14"/>
        <v>0</v>
      </c>
      <c r="R40" s="773">
        <f t="shared" si="15"/>
        <v>0</v>
      </c>
      <c r="S40" s="551">
        <f t="shared" si="16"/>
        <v>0</v>
      </c>
      <c r="T40" s="623">
        <f t="shared" si="6"/>
        <v>0</v>
      </c>
      <c r="U40" s="623">
        <f t="shared" si="7"/>
        <v>0</v>
      </c>
      <c r="V40" s="552">
        <f t="shared" si="8"/>
        <v>0</v>
      </c>
      <c r="W40" s="553" t="str">
        <f t="shared" si="17"/>
        <v>S</v>
      </c>
      <c r="X40" s="554"/>
      <c r="Y40" s="628">
        <f>IF(Q40=0,0,(Q40+R40)*'1.0-Contractblad'!$L$98)</f>
        <v>0</v>
      </c>
      <c r="Z40" s="629">
        <f ca="1">IF(J40=0,0,VLOOKUP(D40,'1.1a-Jaarprijzen'!$B$70:$P$124,14,FALSE)*(K40+J40))</f>
        <v>0</v>
      </c>
      <c r="AA40" s="60">
        <f t="shared" si="26"/>
        <v>0</v>
      </c>
      <c r="AC40" s="60" t="str">
        <f t="shared" si="27"/>
        <v>nvt-0</v>
      </c>
    </row>
    <row r="41" spans="1:29">
      <c r="A41" s="501"/>
      <c r="B41" s="549"/>
      <c r="C41" s="656">
        <v>1</v>
      </c>
      <c r="D41" s="550" t="s">
        <v>1067</v>
      </c>
      <c r="E41" s="657" t="s">
        <v>1010</v>
      </c>
      <c r="F41" s="645" t="s">
        <v>457</v>
      </c>
      <c r="G41" s="646" t="s">
        <v>895</v>
      </c>
      <c r="H41" s="644" t="str">
        <f t="shared" si="0"/>
        <v>niet van toepassing</v>
      </c>
      <c r="I41" s="716" t="s">
        <v>1009</v>
      </c>
      <c r="J41" s="648"/>
      <c r="K41" s="648">
        <v>5.61</v>
      </c>
      <c r="L41" s="660" t="s">
        <v>27</v>
      </c>
      <c r="M41" s="555">
        <f t="shared" si="12"/>
        <v>0</v>
      </c>
      <c r="N41" s="453"/>
      <c r="O41" s="555">
        <f t="shared" si="13"/>
        <v>0</v>
      </c>
      <c r="P41" s="630">
        <v>1</v>
      </c>
      <c r="Q41" s="773">
        <f t="shared" si="14"/>
        <v>0</v>
      </c>
      <c r="R41" s="773">
        <f t="shared" si="15"/>
        <v>0</v>
      </c>
      <c r="S41" s="551">
        <f t="shared" si="16"/>
        <v>0</v>
      </c>
      <c r="T41" s="623">
        <f t="shared" si="6"/>
        <v>0</v>
      </c>
      <c r="U41" s="623">
        <f t="shared" si="7"/>
        <v>0</v>
      </c>
      <c r="V41" s="552">
        <f t="shared" si="8"/>
        <v>0</v>
      </c>
      <c r="W41" s="553">
        <f t="shared" si="17"/>
        <v>0</v>
      </c>
      <c r="X41" s="698"/>
      <c r="Y41" s="628">
        <f>IF(Q41=0,0,(Q41+R41)*'1.0-Contractblad'!$L$98)</f>
        <v>0</v>
      </c>
      <c r="Z41" s="629">
        <f>IF(J41=0,0,VLOOKUP(D41,'1.1a-Jaarprijzen'!$B$70:$P$124,14,FALSE)*(K41+J41))</f>
        <v>0</v>
      </c>
      <c r="AA41" s="60">
        <f t="shared" si="26"/>
        <v>0</v>
      </c>
      <c r="AC41" s="60" t="str">
        <f t="shared" si="27"/>
        <v>nvt-0</v>
      </c>
    </row>
    <row r="42" spans="1:29">
      <c r="A42" s="501"/>
      <c r="B42" s="549"/>
      <c r="C42" s="656">
        <v>1</v>
      </c>
      <c r="D42" s="550" t="s">
        <v>1067</v>
      </c>
      <c r="E42" s="657" t="s">
        <v>1010</v>
      </c>
      <c r="F42" s="645" t="s">
        <v>458</v>
      </c>
      <c r="G42" s="646" t="s">
        <v>710</v>
      </c>
      <c r="H42" s="644" t="str">
        <f t="shared" si="0"/>
        <v>niet van toepassing</v>
      </c>
      <c r="I42" s="716" t="s">
        <v>804</v>
      </c>
      <c r="J42" s="648"/>
      <c r="K42" s="648">
        <v>4.0599999999999996</v>
      </c>
      <c r="L42" s="660" t="s">
        <v>27</v>
      </c>
      <c r="M42" s="555">
        <f t="shared" si="12"/>
        <v>0</v>
      </c>
      <c r="N42" s="453"/>
      <c r="O42" s="555">
        <f t="shared" si="13"/>
        <v>0</v>
      </c>
      <c r="P42" s="630">
        <v>1</v>
      </c>
      <c r="Q42" s="773">
        <f t="shared" si="14"/>
        <v>0</v>
      </c>
      <c r="R42" s="773">
        <f t="shared" si="15"/>
        <v>0</v>
      </c>
      <c r="S42" s="551">
        <f t="shared" si="16"/>
        <v>0</v>
      </c>
      <c r="T42" s="623">
        <f t="shared" si="6"/>
        <v>0</v>
      </c>
      <c r="U42" s="623">
        <f t="shared" si="7"/>
        <v>0</v>
      </c>
      <c r="V42" s="552">
        <f t="shared" si="8"/>
        <v>0</v>
      </c>
      <c r="W42" s="553">
        <f t="shared" si="17"/>
        <v>0</v>
      </c>
      <c r="X42" s="698"/>
      <c r="Y42" s="628">
        <f>IF(Q42=0,0,(Q42+R42)*'1.0-Contractblad'!$L$98)</f>
        <v>0</v>
      </c>
      <c r="Z42" s="629">
        <f>IF(J42=0,0,VLOOKUP(D42,'1.1a-Jaarprijzen'!$B$70:$P$124,14,FALSE)*(K42+J42))</f>
        <v>0</v>
      </c>
      <c r="AA42" s="60">
        <f t="shared" si="26"/>
        <v>0</v>
      </c>
      <c r="AC42" s="60" t="str">
        <f t="shared" si="27"/>
        <v>5255-255</v>
      </c>
    </row>
    <row r="43" spans="1:29">
      <c r="A43" s="501"/>
      <c r="B43" s="549"/>
      <c r="C43" s="656">
        <v>1</v>
      </c>
      <c r="D43" s="550" t="s">
        <v>1067</v>
      </c>
      <c r="E43" s="657" t="s">
        <v>1010</v>
      </c>
      <c r="F43" s="645" t="s">
        <v>459</v>
      </c>
      <c r="G43" s="646" t="s">
        <v>306</v>
      </c>
      <c r="H43" s="644" t="str">
        <f t="shared" si="0"/>
        <v>pantry</v>
      </c>
      <c r="I43" s="716" t="s">
        <v>1009</v>
      </c>
      <c r="J43" s="648">
        <v>20.440000000000001</v>
      </c>
      <c r="K43" s="648"/>
      <c r="L43" s="649">
        <v>5255</v>
      </c>
      <c r="M43" s="555">
        <f t="shared" si="12"/>
        <v>105</v>
      </c>
      <c r="N43" s="453"/>
      <c r="O43" s="555">
        <f t="shared" si="13"/>
        <v>255</v>
      </c>
      <c r="P43" s="630">
        <v>1</v>
      </c>
      <c r="Q43" s="773">
        <f t="shared" si="14"/>
        <v>0</v>
      </c>
      <c r="R43" s="773">
        <f t="shared" si="15"/>
        <v>0</v>
      </c>
      <c r="S43" s="551">
        <f t="shared" si="16"/>
        <v>0</v>
      </c>
      <c r="T43" s="623">
        <f t="shared" si="6"/>
        <v>0</v>
      </c>
      <c r="U43" s="623">
        <f t="shared" si="7"/>
        <v>0</v>
      </c>
      <c r="V43" s="552">
        <f t="shared" si="8"/>
        <v>0</v>
      </c>
      <c r="W43" s="553" t="str">
        <f t="shared" si="17"/>
        <v>V</v>
      </c>
      <c r="X43" s="554"/>
      <c r="Y43" s="628">
        <f>IF(Q43=0,0,(Q43+R43)*'1.0-Contractblad'!$L$98)</f>
        <v>0</v>
      </c>
      <c r="Z43" s="629">
        <f ca="1">IF(J43=0,0,VLOOKUP(D43,'1.1a-Jaarprijzen'!$B$70:$P$124,14,FALSE)*(K43+J43))</f>
        <v>0</v>
      </c>
      <c r="AA43" s="60">
        <f t="shared" si="26"/>
        <v>0</v>
      </c>
      <c r="AC43" s="60" t="str">
        <f t="shared" si="27"/>
        <v>3255-255</v>
      </c>
    </row>
    <row r="44" spans="1:29">
      <c r="A44" s="501"/>
      <c r="B44" s="549"/>
      <c r="C44" s="656">
        <v>1</v>
      </c>
      <c r="D44" s="550" t="s">
        <v>1067</v>
      </c>
      <c r="E44" s="657" t="s">
        <v>1010</v>
      </c>
      <c r="F44" s="645" t="s">
        <v>697</v>
      </c>
      <c r="G44" s="646" t="s">
        <v>793</v>
      </c>
      <c r="H44" s="644" t="str">
        <f t="shared" si="0"/>
        <v>entree, gang, hal, repro, kopieer, was/droogruimte</v>
      </c>
      <c r="I44" s="716" t="s">
        <v>785</v>
      </c>
      <c r="J44" s="648">
        <v>64.34</v>
      </c>
      <c r="K44" s="648"/>
      <c r="L44" s="649">
        <v>3255</v>
      </c>
      <c r="M44" s="555">
        <f t="shared" si="12"/>
        <v>103</v>
      </c>
      <c r="N44" s="453"/>
      <c r="O44" s="555">
        <f t="shared" si="13"/>
        <v>255</v>
      </c>
      <c r="P44" s="630">
        <v>1</v>
      </c>
      <c r="Q44" s="773">
        <f t="shared" si="14"/>
        <v>0</v>
      </c>
      <c r="R44" s="773">
        <f t="shared" si="15"/>
        <v>0</v>
      </c>
      <c r="S44" s="551">
        <f t="shared" si="16"/>
        <v>0</v>
      </c>
      <c r="T44" s="623">
        <f t="shared" si="6"/>
        <v>0</v>
      </c>
      <c r="U44" s="623">
        <f t="shared" si="7"/>
        <v>0</v>
      </c>
      <c r="V44" s="552">
        <f t="shared" si="8"/>
        <v>0</v>
      </c>
      <c r="W44" s="553" t="str">
        <f t="shared" si="17"/>
        <v>V</v>
      </c>
      <c r="X44" s="443"/>
      <c r="Y44" s="628">
        <f>IF(Q44=0,0,(Q44+R44)*'1.0-Contractblad'!$L$98)</f>
        <v>0</v>
      </c>
      <c r="Z44" s="629">
        <f ca="1">IF(J44=0,0,VLOOKUP(D44,'1.1a-Jaarprijzen'!$B$70:$P$124,14,FALSE)*(K44+J44))</f>
        <v>0</v>
      </c>
      <c r="AA44" s="60">
        <f t="shared" si="26"/>
        <v>0</v>
      </c>
      <c r="AC44" s="60" t="str">
        <f t="shared" si="27"/>
        <v>3255-255</v>
      </c>
    </row>
    <row r="45" spans="1:29">
      <c r="A45" s="501"/>
      <c r="B45" s="549"/>
      <c r="C45" s="656">
        <v>1</v>
      </c>
      <c r="D45" s="550" t="s">
        <v>1067</v>
      </c>
      <c r="E45" s="657" t="s">
        <v>1010</v>
      </c>
      <c r="F45" s="645" t="s">
        <v>460</v>
      </c>
      <c r="G45" s="646" t="s">
        <v>788</v>
      </c>
      <c r="H45" s="644" t="str">
        <f t="shared" si="0"/>
        <v>entree, gang, hal, repro, kopieer, was/droogruimte</v>
      </c>
      <c r="I45" s="716" t="s">
        <v>804</v>
      </c>
      <c r="J45" s="648">
        <v>6.77</v>
      </c>
      <c r="K45" s="648"/>
      <c r="L45" s="649">
        <v>3255</v>
      </c>
      <c r="M45" s="555">
        <f t="shared" si="12"/>
        <v>103</v>
      </c>
      <c r="N45" s="453"/>
      <c r="O45" s="555">
        <f t="shared" si="13"/>
        <v>255</v>
      </c>
      <c r="P45" s="630">
        <v>1</v>
      </c>
      <c r="Q45" s="773">
        <f t="shared" si="14"/>
        <v>0</v>
      </c>
      <c r="R45" s="773">
        <f t="shared" si="15"/>
        <v>0</v>
      </c>
      <c r="S45" s="551">
        <f t="shared" si="16"/>
        <v>0</v>
      </c>
      <c r="T45" s="623">
        <f t="shared" si="6"/>
        <v>0</v>
      </c>
      <c r="U45" s="623">
        <f t="shared" si="7"/>
        <v>0</v>
      </c>
      <c r="V45" s="552">
        <f t="shared" si="8"/>
        <v>0</v>
      </c>
      <c r="W45" s="553" t="str">
        <f t="shared" si="17"/>
        <v>V</v>
      </c>
      <c r="X45" s="443"/>
      <c r="Y45" s="628">
        <f>IF(Q45=0,0,(Q45+R45)*'1.0-Contractblad'!$L$98)</f>
        <v>0</v>
      </c>
      <c r="Z45" s="629">
        <f ca="1">IF(J45=0,0,VLOOKUP(D45,'1.1a-Jaarprijzen'!$B$70:$P$124,14,FALSE)*(K45+J45))</f>
        <v>0</v>
      </c>
      <c r="AA45" s="60">
        <f t="shared" si="26"/>
        <v>0</v>
      </c>
      <c r="AC45" s="60" t="str">
        <f t="shared" si="27"/>
        <v>nvt-0</v>
      </c>
    </row>
    <row r="46" spans="1:29">
      <c r="A46" s="501"/>
      <c r="B46" s="549"/>
      <c r="C46" s="656">
        <v>1</v>
      </c>
      <c r="D46" s="550" t="s">
        <v>1067</v>
      </c>
      <c r="E46" s="657" t="s">
        <v>1010</v>
      </c>
      <c r="F46" s="645" t="s">
        <v>814</v>
      </c>
      <c r="G46" s="646" t="s">
        <v>896</v>
      </c>
      <c r="H46" s="644" t="str">
        <f t="shared" si="0"/>
        <v>niet van toepassing</v>
      </c>
      <c r="I46" s="716" t="s">
        <v>1009</v>
      </c>
      <c r="J46" s="648"/>
      <c r="K46" s="648">
        <v>6.78</v>
      </c>
      <c r="L46" s="660" t="s">
        <v>27</v>
      </c>
      <c r="M46" s="555">
        <f t="shared" si="12"/>
        <v>0</v>
      </c>
      <c r="N46" s="453"/>
      <c r="O46" s="555">
        <f t="shared" si="13"/>
        <v>0</v>
      </c>
      <c r="P46" s="630">
        <v>1</v>
      </c>
      <c r="Q46" s="773">
        <f t="shared" si="14"/>
        <v>0</v>
      </c>
      <c r="R46" s="773">
        <f t="shared" si="15"/>
        <v>0</v>
      </c>
      <c r="S46" s="551">
        <f t="shared" si="16"/>
        <v>0</v>
      </c>
      <c r="T46" s="623">
        <f t="shared" si="6"/>
        <v>0</v>
      </c>
      <c r="U46" s="623">
        <f t="shared" si="7"/>
        <v>0</v>
      </c>
      <c r="V46" s="552">
        <f t="shared" si="8"/>
        <v>0</v>
      </c>
      <c r="W46" s="553">
        <f t="shared" si="17"/>
        <v>0</v>
      </c>
      <c r="X46" s="698"/>
      <c r="Y46" s="628">
        <f>IF(Q46=0,0,(Q46+R46)*'1.0-Contractblad'!$L$98)</f>
        <v>0</v>
      </c>
      <c r="Z46" s="629">
        <f>IF(J46=0,0,VLOOKUP(D46,'1.1a-Jaarprijzen'!$B$70:$P$124,14,FALSE)*(K46+J46))</f>
        <v>0</v>
      </c>
      <c r="AA46" s="60">
        <f t="shared" si="26"/>
        <v>0</v>
      </c>
      <c r="AC46" s="60" t="str">
        <f t="shared" si="27"/>
        <v>nvt-0</v>
      </c>
    </row>
    <row r="47" spans="1:29">
      <c r="A47" s="501"/>
      <c r="B47" s="549"/>
      <c r="C47" s="656">
        <v>1</v>
      </c>
      <c r="D47" s="550" t="s">
        <v>1067</v>
      </c>
      <c r="E47" s="657" t="s">
        <v>1010</v>
      </c>
      <c r="F47" s="645" t="s">
        <v>815</v>
      </c>
      <c r="G47" s="646" t="s">
        <v>897</v>
      </c>
      <c r="H47" s="644" t="str">
        <f t="shared" si="0"/>
        <v>niet van toepassing</v>
      </c>
      <c r="I47" s="716" t="s">
        <v>1009</v>
      </c>
      <c r="J47" s="648"/>
      <c r="K47" s="648">
        <v>12.49</v>
      </c>
      <c r="L47" s="660" t="s">
        <v>27</v>
      </c>
      <c r="M47" s="555">
        <f t="shared" si="12"/>
        <v>0</v>
      </c>
      <c r="N47" s="453"/>
      <c r="O47" s="555">
        <f t="shared" si="13"/>
        <v>0</v>
      </c>
      <c r="P47" s="630">
        <v>1</v>
      </c>
      <c r="Q47" s="773">
        <f t="shared" si="14"/>
        <v>0</v>
      </c>
      <c r="R47" s="773">
        <f t="shared" si="15"/>
        <v>0</v>
      </c>
      <c r="S47" s="551">
        <f t="shared" si="16"/>
        <v>0</v>
      </c>
      <c r="T47" s="623">
        <f t="shared" si="6"/>
        <v>0</v>
      </c>
      <c r="U47" s="623">
        <f t="shared" si="7"/>
        <v>0</v>
      </c>
      <c r="V47" s="552">
        <f t="shared" si="8"/>
        <v>0</v>
      </c>
      <c r="W47" s="553">
        <f t="shared" si="17"/>
        <v>0</v>
      </c>
      <c r="X47" s="698"/>
      <c r="Y47" s="628">
        <f>IF(Q47=0,0,(Q47+R47)*'1.0-Contractblad'!$L$98)</f>
        <v>0</v>
      </c>
      <c r="Z47" s="629">
        <f>IF(J47=0,0,VLOOKUP(D47,'1.1a-Jaarprijzen'!$B$70:$P$124,14,FALSE)*(K47+J47))</f>
        <v>0</v>
      </c>
      <c r="AA47" s="60">
        <f t="shared" si="26"/>
        <v>0</v>
      </c>
      <c r="AC47" s="60" t="str">
        <f t="shared" si="27"/>
        <v>nvt-0</v>
      </c>
    </row>
    <row r="48" spans="1:29">
      <c r="A48" s="501"/>
      <c r="B48" s="549"/>
      <c r="C48" s="656">
        <v>1</v>
      </c>
      <c r="D48" s="550" t="s">
        <v>1067</v>
      </c>
      <c r="E48" s="657" t="s">
        <v>1010</v>
      </c>
      <c r="F48" s="645" t="s">
        <v>816</v>
      </c>
      <c r="G48" s="646" t="s">
        <v>898</v>
      </c>
      <c r="H48" s="644" t="str">
        <f t="shared" si="0"/>
        <v>niet van toepassing</v>
      </c>
      <c r="I48" s="716" t="s">
        <v>1009</v>
      </c>
      <c r="J48" s="648"/>
      <c r="K48" s="648">
        <v>15.98</v>
      </c>
      <c r="L48" s="660" t="s">
        <v>27</v>
      </c>
      <c r="M48" s="555">
        <f t="shared" si="12"/>
        <v>0</v>
      </c>
      <c r="N48" s="453"/>
      <c r="O48" s="555">
        <f t="shared" si="13"/>
        <v>0</v>
      </c>
      <c r="P48" s="630">
        <v>1</v>
      </c>
      <c r="Q48" s="773">
        <f t="shared" si="14"/>
        <v>0</v>
      </c>
      <c r="R48" s="773">
        <f t="shared" si="15"/>
        <v>0</v>
      </c>
      <c r="S48" s="551">
        <f t="shared" si="16"/>
        <v>0</v>
      </c>
      <c r="T48" s="623">
        <f t="shared" si="6"/>
        <v>0</v>
      </c>
      <c r="U48" s="623">
        <f t="shared" si="7"/>
        <v>0</v>
      </c>
      <c r="V48" s="552">
        <f t="shared" si="8"/>
        <v>0</v>
      </c>
      <c r="W48" s="553">
        <f t="shared" si="17"/>
        <v>0</v>
      </c>
      <c r="X48" s="698"/>
      <c r="Y48" s="628">
        <f>IF(Q48=0,0,(Q48+R48)*'1.0-Contractblad'!$L$98)</f>
        <v>0</v>
      </c>
      <c r="Z48" s="629">
        <f>IF(J48=0,0,VLOOKUP(D48,'1.1a-Jaarprijzen'!$B$70:$P$124,14,FALSE)*(K48+J48))</f>
        <v>0</v>
      </c>
      <c r="AA48" s="60">
        <f t="shared" si="26"/>
        <v>0</v>
      </c>
      <c r="AC48" s="60" t="str">
        <f t="shared" si="27"/>
        <v>1255-255</v>
      </c>
    </row>
    <row r="49" spans="1:29">
      <c r="A49" s="501"/>
      <c r="B49" s="549"/>
      <c r="C49" s="656">
        <v>1</v>
      </c>
      <c r="D49" s="550" t="s">
        <v>1067</v>
      </c>
      <c r="E49" s="657" t="s">
        <v>1010</v>
      </c>
      <c r="F49" s="645" t="s">
        <v>461</v>
      </c>
      <c r="G49" s="646" t="s">
        <v>887</v>
      </c>
      <c r="H49" s="644" t="str">
        <f t="shared" si="0"/>
        <v>administratieve -, personeels- en vergaderruimte</v>
      </c>
      <c r="I49" s="716" t="s">
        <v>804</v>
      </c>
      <c r="J49" s="648">
        <v>8.09</v>
      </c>
      <c r="K49" s="648"/>
      <c r="L49" s="649">
        <v>1255</v>
      </c>
      <c r="M49" s="555">
        <f t="shared" si="12"/>
        <v>101</v>
      </c>
      <c r="N49" s="453"/>
      <c r="O49" s="555">
        <f t="shared" si="13"/>
        <v>255</v>
      </c>
      <c r="P49" s="630">
        <v>1</v>
      </c>
      <c r="Q49" s="773">
        <f t="shared" si="14"/>
        <v>0</v>
      </c>
      <c r="R49" s="773">
        <f t="shared" si="15"/>
        <v>0</v>
      </c>
      <c r="S49" s="551">
        <f t="shared" si="16"/>
        <v>0</v>
      </c>
      <c r="T49" s="623">
        <f t="shared" si="6"/>
        <v>0</v>
      </c>
      <c r="U49" s="623">
        <f t="shared" si="7"/>
        <v>0</v>
      </c>
      <c r="V49" s="552">
        <f t="shared" si="8"/>
        <v>0</v>
      </c>
      <c r="W49" s="553" t="str">
        <f t="shared" si="17"/>
        <v>B</v>
      </c>
      <c r="X49" s="443"/>
      <c r="Y49" s="628">
        <f>IF(Q49=0,0,(Q49+R49)*'1.0-Contractblad'!$L$98)</f>
        <v>0</v>
      </c>
      <c r="Z49" s="629">
        <f ca="1">IF(J49=0,0,VLOOKUP(D49,'1.1a-Jaarprijzen'!$B$70:$P$124,14,FALSE)*(K49+J49))</f>
        <v>0</v>
      </c>
      <c r="AA49" s="60">
        <f t="shared" si="26"/>
        <v>0</v>
      </c>
      <c r="AC49" s="60" t="str">
        <f t="shared" si="27"/>
        <v>1255-255</v>
      </c>
    </row>
    <row r="50" spans="1:29">
      <c r="A50" s="501"/>
      <c r="B50" s="549"/>
      <c r="C50" s="656">
        <v>1</v>
      </c>
      <c r="D50" s="550" t="s">
        <v>1067</v>
      </c>
      <c r="E50" s="657" t="s">
        <v>1010</v>
      </c>
      <c r="F50" s="645" t="s">
        <v>462</v>
      </c>
      <c r="G50" s="646" t="s">
        <v>887</v>
      </c>
      <c r="H50" s="644" t="str">
        <f t="shared" si="0"/>
        <v>administratieve -, personeels- en vergaderruimte</v>
      </c>
      <c r="I50" s="716" t="s">
        <v>804</v>
      </c>
      <c r="J50" s="648">
        <v>45.92</v>
      </c>
      <c r="K50" s="648"/>
      <c r="L50" s="649">
        <v>1255</v>
      </c>
      <c r="M50" s="555">
        <f t="shared" si="12"/>
        <v>101</v>
      </c>
      <c r="N50" s="453"/>
      <c r="O50" s="555">
        <f t="shared" si="13"/>
        <v>255</v>
      </c>
      <c r="P50" s="630">
        <v>1</v>
      </c>
      <c r="Q50" s="773">
        <f t="shared" si="14"/>
        <v>0</v>
      </c>
      <c r="R50" s="773">
        <f t="shared" si="15"/>
        <v>0</v>
      </c>
      <c r="S50" s="551">
        <f t="shared" si="16"/>
        <v>0</v>
      </c>
      <c r="T50" s="623">
        <f t="shared" si="6"/>
        <v>0</v>
      </c>
      <c r="U50" s="623">
        <f t="shared" si="7"/>
        <v>0</v>
      </c>
      <c r="V50" s="552">
        <f t="shared" si="8"/>
        <v>0</v>
      </c>
      <c r="W50" s="553" t="str">
        <f t="shared" si="17"/>
        <v>B</v>
      </c>
      <c r="X50" s="443"/>
      <c r="Y50" s="628">
        <f>IF(Q50=0,0,(Q50+R50)*'1.0-Contractblad'!$L$98)</f>
        <v>0</v>
      </c>
      <c r="Z50" s="629">
        <f ca="1">IF(J50=0,0,VLOOKUP(D50,'1.1a-Jaarprijzen'!$B$70:$P$124,14,FALSE)*(K50+J50))</f>
        <v>0</v>
      </c>
      <c r="AA50" s="60">
        <f t="shared" si="26"/>
        <v>0</v>
      </c>
      <c r="AC50" s="60" t="str">
        <f t="shared" si="27"/>
        <v>nvt-0</v>
      </c>
    </row>
    <row r="51" spans="1:29">
      <c r="A51" s="501"/>
      <c r="B51" s="549"/>
      <c r="C51" s="656">
        <v>1</v>
      </c>
      <c r="D51" s="550" t="s">
        <v>1067</v>
      </c>
      <c r="E51" s="657" t="s">
        <v>1010</v>
      </c>
      <c r="F51" s="645" t="s">
        <v>463</v>
      </c>
      <c r="G51" s="646" t="s">
        <v>1066</v>
      </c>
      <c r="H51" s="644" t="str">
        <f t="shared" si="0"/>
        <v>niet van toepassing</v>
      </c>
      <c r="I51" s="716" t="s">
        <v>804</v>
      </c>
      <c r="J51" s="648"/>
      <c r="K51" s="648">
        <v>12</v>
      </c>
      <c r="L51" s="660" t="s">
        <v>27</v>
      </c>
      <c r="M51" s="555">
        <f t="shared" si="12"/>
        <v>0</v>
      </c>
      <c r="N51" s="453"/>
      <c r="O51" s="555">
        <f t="shared" si="13"/>
        <v>0</v>
      </c>
      <c r="P51" s="630">
        <v>1</v>
      </c>
      <c r="Q51" s="773">
        <f t="shared" si="14"/>
        <v>0</v>
      </c>
      <c r="R51" s="773">
        <f t="shared" si="15"/>
        <v>0</v>
      </c>
      <c r="S51" s="551">
        <f t="shared" si="16"/>
        <v>0</v>
      </c>
      <c r="T51" s="623">
        <f t="shared" si="6"/>
        <v>0</v>
      </c>
      <c r="U51" s="623">
        <f t="shared" si="7"/>
        <v>0</v>
      </c>
      <c r="V51" s="552">
        <f t="shared" si="8"/>
        <v>0</v>
      </c>
      <c r="W51" s="553">
        <f t="shared" si="17"/>
        <v>0</v>
      </c>
      <c r="X51" s="443"/>
      <c r="Y51" s="628">
        <f>IF(Q51=0,0,(Q51+R51)*'1.0-Contractblad'!$L$98)</f>
        <v>0</v>
      </c>
      <c r="Z51" s="629">
        <f>IF(J51=0,0,VLOOKUP(D51,'1.1a-Jaarprijzen'!$B$70:$P$124,14,FALSE)*(K51+J51))</f>
        <v>0</v>
      </c>
      <c r="AA51" s="60">
        <f t="shared" si="26"/>
        <v>0</v>
      </c>
      <c r="AC51" s="60" t="str">
        <f t="shared" si="27"/>
        <v>nvt-0</v>
      </c>
    </row>
    <row r="52" spans="1:29">
      <c r="A52" s="501"/>
      <c r="B52" s="549"/>
      <c r="C52" s="656">
        <v>1</v>
      </c>
      <c r="D52" s="550" t="s">
        <v>1067</v>
      </c>
      <c r="E52" s="657" t="s">
        <v>1010</v>
      </c>
      <c r="F52" s="645" t="s">
        <v>817</v>
      </c>
      <c r="G52" s="646" t="s">
        <v>710</v>
      </c>
      <c r="H52" s="644" t="str">
        <f t="shared" si="0"/>
        <v>niet van toepassing</v>
      </c>
      <c r="I52" s="716" t="s">
        <v>785</v>
      </c>
      <c r="J52" s="648"/>
      <c r="K52" s="648">
        <v>4.0599999999999996</v>
      </c>
      <c r="L52" s="660" t="s">
        <v>27</v>
      </c>
      <c r="M52" s="555">
        <f t="shared" si="12"/>
        <v>0</v>
      </c>
      <c r="N52" s="453"/>
      <c r="O52" s="555">
        <f t="shared" si="13"/>
        <v>0</v>
      </c>
      <c r="P52" s="630">
        <v>1</v>
      </c>
      <c r="Q52" s="773">
        <f t="shared" si="14"/>
        <v>0</v>
      </c>
      <c r="R52" s="773">
        <f t="shared" si="15"/>
        <v>0</v>
      </c>
      <c r="S52" s="551">
        <f t="shared" si="16"/>
        <v>0</v>
      </c>
      <c r="T52" s="623">
        <f t="shared" si="6"/>
        <v>0</v>
      </c>
      <c r="U52" s="623">
        <f t="shared" si="7"/>
        <v>0</v>
      </c>
      <c r="V52" s="552">
        <f t="shared" si="8"/>
        <v>0</v>
      </c>
      <c r="W52" s="553">
        <f t="shared" si="17"/>
        <v>0</v>
      </c>
      <c r="X52" s="698"/>
      <c r="Y52" s="628">
        <f>IF(Q52=0,0,(Q52+R52)*'1.0-Contractblad'!$L$98)</f>
        <v>0</v>
      </c>
      <c r="Z52" s="629">
        <f>IF(J52=0,0,VLOOKUP(D52,'1.1a-Jaarprijzen'!$B$70:$P$124,14,FALSE)*(K52+J52))</f>
        <v>0</v>
      </c>
      <c r="AA52" s="60">
        <f t="shared" si="26"/>
        <v>0</v>
      </c>
      <c r="AC52" s="60" t="str">
        <f t="shared" si="27"/>
        <v>nvt-0</v>
      </c>
    </row>
    <row r="53" spans="1:29">
      <c r="A53" s="501"/>
      <c r="B53" s="549"/>
      <c r="C53" s="656">
        <v>1</v>
      </c>
      <c r="D53" s="550" t="s">
        <v>1067</v>
      </c>
      <c r="E53" s="657" t="s">
        <v>1010</v>
      </c>
      <c r="F53" s="645" t="s">
        <v>818</v>
      </c>
      <c r="G53" s="646" t="s">
        <v>886</v>
      </c>
      <c r="H53" s="644" t="str">
        <f t="shared" si="0"/>
        <v>niet van toepassing</v>
      </c>
      <c r="I53" s="716" t="s">
        <v>785</v>
      </c>
      <c r="J53" s="648"/>
      <c r="K53" s="648">
        <v>24.88</v>
      </c>
      <c r="L53" s="660" t="s">
        <v>27</v>
      </c>
      <c r="M53" s="555">
        <f t="shared" si="12"/>
        <v>0</v>
      </c>
      <c r="N53" s="453"/>
      <c r="O53" s="555">
        <f t="shared" si="13"/>
        <v>0</v>
      </c>
      <c r="P53" s="630">
        <v>1</v>
      </c>
      <c r="Q53" s="773">
        <f t="shared" si="14"/>
        <v>0</v>
      </c>
      <c r="R53" s="773">
        <f t="shared" si="15"/>
        <v>0</v>
      </c>
      <c r="S53" s="551">
        <f t="shared" si="16"/>
        <v>0</v>
      </c>
      <c r="T53" s="623">
        <f t="shared" si="6"/>
        <v>0</v>
      </c>
      <c r="U53" s="623">
        <f t="shared" si="7"/>
        <v>0</v>
      </c>
      <c r="V53" s="552">
        <f t="shared" si="8"/>
        <v>0</v>
      </c>
      <c r="W53" s="553">
        <f t="shared" si="17"/>
        <v>0</v>
      </c>
      <c r="X53" s="698"/>
      <c r="Y53" s="628">
        <f>IF(Q53=0,0,(Q53+R53)*'1.0-Contractblad'!$L$98)</f>
        <v>0</v>
      </c>
      <c r="Z53" s="629">
        <f>IF(J53=0,0,VLOOKUP(D53,'1.1a-Jaarprijzen'!$B$70:$P$124,14,FALSE)*(K53+J53))</f>
        <v>0</v>
      </c>
      <c r="AA53" s="60">
        <f t="shared" si="26"/>
        <v>0</v>
      </c>
      <c r="AC53" s="60" t="str">
        <f t="shared" si="27"/>
        <v>1255-255</v>
      </c>
    </row>
    <row r="54" spans="1:29">
      <c r="A54" s="501"/>
      <c r="B54" s="549"/>
      <c r="C54" s="656">
        <v>1</v>
      </c>
      <c r="D54" s="550" t="s">
        <v>1067</v>
      </c>
      <c r="E54" s="657" t="s">
        <v>1010</v>
      </c>
      <c r="F54" s="645" t="s">
        <v>464</v>
      </c>
      <c r="G54" s="646" t="s">
        <v>887</v>
      </c>
      <c r="H54" s="644" t="str">
        <f t="shared" si="0"/>
        <v>administratieve -, personeels- en vergaderruimte</v>
      </c>
      <c r="I54" s="716" t="s">
        <v>804</v>
      </c>
      <c r="J54" s="648">
        <v>44.45</v>
      </c>
      <c r="K54" s="648"/>
      <c r="L54" s="649">
        <v>1255</v>
      </c>
      <c r="M54" s="555">
        <f t="shared" si="12"/>
        <v>101</v>
      </c>
      <c r="N54" s="453"/>
      <c r="O54" s="555">
        <f t="shared" si="13"/>
        <v>255</v>
      </c>
      <c r="P54" s="630">
        <v>1</v>
      </c>
      <c r="Q54" s="773">
        <f t="shared" si="14"/>
        <v>0</v>
      </c>
      <c r="R54" s="773">
        <f t="shared" si="15"/>
        <v>0</v>
      </c>
      <c r="S54" s="551">
        <f t="shared" si="16"/>
        <v>0</v>
      </c>
      <c r="T54" s="623">
        <f t="shared" si="6"/>
        <v>0</v>
      </c>
      <c r="U54" s="623">
        <f t="shared" si="7"/>
        <v>0</v>
      </c>
      <c r="V54" s="552">
        <f t="shared" si="8"/>
        <v>0</v>
      </c>
      <c r="W54" s="553" t="str">
        <f t="shared" si="17"/>
        <v>B</v>
      </c>
      <c r="X54" s="443"/>
      <c r="Y54" s="628">
        <f>IF(Q54=0,0,(Q54+R54)*'1.0-Contractblad'!$L$98)</f>
        <v>0</v>
      </c>
      <c r="Z54" s="629">
        <f ca="1">IF(J54=0,0,VLOOKUP(D54,'1.1a-Jaarprijzen'!$B$70:$P$124,14,FALSE)*(K54+J54))</f>
        <v>0</v>
      </c>
      <c r="AA54" s="60">
        <f t="shared" si="26"/>
        <v>0</v>
      </c>
      <c r="AC54" s="60" t="str">
        <f t="shared" si="27"/>
        <v>1255-255</v>
      </c>
    </row>
    <row r="55" spans="1:29">
      <c r="A55" s="501"/>
      <c r="B55" s="549"/>
      <c r="C55" s="656">
        <v>1</v>
      </c>
      <c r="D55" s="550" t="s">
        <v>1067</v>
      </c>
      <c r="E55" s="657" t="s">
        <v>1010</v>
      </c>
      <c r="F55" s="645" t="s">
        <v>465</v>
      </c>
      <c r="G55" s="646" t="s">
        <v>887</v>
      </c>
      <c r="H55" s="644" t="str">
        <f t="shared" si="0"/>
        <v>administratieve -, personeels- en vergaderruimte</v>
      </c>
      <c r="I55" s="716" t="s">
        <v>804</v>
      </c>
      <c r="J55" s="648">
        <v>12.14</v>
      </c>
      <c r="K55" s="648"/>
      <c r="L55" s="649">
        <v>1255</v>
      </c>
      <c r="M55" s="555">
        <f t="shared" si="12"/>
        <v>101</v>
      </c>
      <c r="N55" s="453"/>
      <c r="O55" s="555">
        <f t="shared" si="13"/>
        <v>255</v>
      </c>
      <c r="P55" s="630">
        <v>1</v>
      </c>
      <c r="Q55" s="773">
        <f t="shared" si="14"/>
        <v>0</v>
      </c>
      <c r="R55" s="773">
        <f t="shared" si="15"/>
        <v>0</v>
      </c>
      <c r="S55" s="551">
        <f t="shared" si="16"/>
        <v>0</v>
      </c>
      <c r="T55" s="623">
        <f t="shared" si="6"/>
        <v>0</v>
      </c>
      <c r="U55" s="623">
        <f t="shared" si="7"/>
        <v>0</v>
      </c>
      <c r="V55" s="552">
        <f t="shared" si="8"/>
        <v>0</v>
      </c>
      <c r="W55" s="553" t="str">
        <f t="shared" si="17"/>
        <v>B</v>
      </c>
      <c r="X55" s="443"/>
      <c r="Y55" s="628">
        <f>IF(Q55=0,0,(Q55+R55)*'1.0-Contractblad'!$L$98)</f>
        <v>0</v>
      </c>
      <c r="Z55" s="629">
        <f ca="1">IF(J55=0,0,VLOOKUP(D55,'1.1a-Jaarprijzen'!$B$70:$P$124,14,FALSE)*(K55+J55))</f>
        <v>0</v>
      </c>
      <c r="AA55" s="60">
        <f t="shared" si="26"/>
        <v>0</v>
      </c>
      <c r="AC55" s="60" t="str">
        <f t="shared" si="27"/>
        <v>4255-255</v>
      </c>
    </row>
    <row r="56" spans="1:29">
      <c r="A56" s="501"/>
      <c r="B56" s="549"/>
      <c r="C56" s="656">
        <v>1</v>
      </c>
      <c r="D56" s="550" t="s">
        <v>1067</v>
      </c>
      <c r="E56" s="657" t="s">
        <v>1010</v>
      </c>
      <c r="F56" s="645" t="s">
        <v>466</v>
      </c>
      <c r="G56" s="646" t="s">
        <v>782</v>
      </c>
      <c r="H56" s="644" t="str">
        <f t="shared" si="0"/>
        <v>sanitaire ruimte (toilet-/doucheruimte)</v>
      </c>
      <c r="I56" s="716" t="s">
        <v>1009</v>
      </c>
      <c r="J56" s="648">
        <v>5.33</v>
      </c>
      <c r="K56" s="648"/>
      <c r="L56" s="649">
        <v>4255</v>
      </c>
      <c r="M56" s="555">
        <f t="shared" si="12"/>
        <v>104</v>
      </c>
      <c r="N56" s="453"/>
      <c r="O56" s="555">
        <f t="shared" si="13"/>
        <v>255</v>
      </c>
      <c r="P56" s="630">
        <v>1</v>
      </c>
      <c r="Q56" s="773">
        <f t="shared" si="14"/>
        <v>0</v>
      </c>
      <c r="R56" s="773">
        <f t="shared" si="15"/>
        <v>0</v>
      </c>
      <c r="S56" s="551">
        <f t="shared" si="16"/>
        <v>0</v>
      </c>
      <c r="T56" s="623">
        <f t="shared" si="6"/>
        <v>0</v>
      </c>
      <c r="U56" s="623">
        <f t="shared" si="7"/>
        <v>0</v>
      </c>
      <c r="V56" s="552">
        <f t="shared" si="8"/>
        <v>0</v>
      </c>
      <c r="W56" s="553" t="str">
        <f t="shared" si="17"/>
        <v>S</v>
      </c>
      <c r="X56" s="554"/>
      <c r="Y56" s="628">
        <f>IF(Q56=0,0,(Q56+R56)*'1.0-Contractblad'!$L$98)</f>
        <v>0</v>
      </c>
      <c r="Z56" s="629">
        <f ca="1">IF(J56=0,0,VLOOKUP(D56,'1.1a-Jaarprijzen'!$B$70:$P$124,14,FALSE)*(K56+J56))</f>
        <v>0</v>
      </c>
      <c r="AA56" s="60">
        <f t="shared" si="26"/>
        <v>0</v>
      </c>
      <c r="AC56" s="60" t="str">
        <f t="shared" si="27"/>
        <v>nvt-0</v>
      </c>
    </row>
    <row r="57" spans="1:29">
      <c r="A57" s="501"/>
      <c r="B57" s="549"/>
      <c r="C57" s="656">
        <v>1</v>
      </c>
      <c r="D57" s="550" t="s">
        <v>1067</v>
      </c>
      <c r="E57" s="657" t="s">
        <v>1010</v>
      </c>
      <c r="F57" s="645" t="s">
        <v>467</v>
      </c>
      <c r="G57" s="646" t="s">
        <v>889</v>
      </c>
      <c r="H57" s="644" t="str">
        <f t="shared" si="0"/>
        <v>niet van toepassing</v>
      </c>
      <c r="I57" s="716" t="s">
        <v>804</v>
      </c>
      <c r="J57" s="648"/>
      <c r="K57" s="648">
        <v>9.58</v>
      </c>
      <c r="L57" s="660" t="s">
        <v>27</v>
      </c>
      <c r="M57" s="555">
        <f t="shared" si="12"/>
        <v>0</v>
      </c>
      <c r="N57" s="453"/>
      <c r="O57" s="555">
        <f t="shared" si="13"/>
        <v>0</v>
      </c>
      <c r="P57" s="630">
        <v>1</v>
      </c>
      <c r="Q57" s="773">
        <f t="shared" si="14"/>
        <v>0</v>
      </c>
      <c r="R57" s="773">
        <f t="shared" si="15"/>
        <v>0</v>
      </c>
      <c r="S57" s="551">
        <f t="shared" si="16"/>
        <v>0</v>
      </c>
      <c r="T57" s="623">
        <f t="shared" si="6"/>
        <v>0</v>
      </c>
      <c r="U57" s="623">
        <f t="shared" si="7"/>
        <v>0</v>
      </c>
      <c r="V57" s="552">
        <f t="shared" si="8"/>
        <v>0</v>
      </c>
      <c r="W57" s="553">
        <f t="shared" si="17"/>
        <v>0</v>
      </c>
      <c r="X57" s="698"/>
      <c r="Y57" s="628">
        <f>IF(Q57=0,0,(Q57+R57)*'1.0-Contractblad'!$L$98)</f>
        <v>0</v>
      </c>
      <c r="Z57" s="629">
        <f>IF(J57=0,0,VLOOKUP(D57,'1.1a-Jaarprijzen'!$B$70:$P$124,14,FALSE)*(K57+J57))</f>
        <v>0</v>
      </c>
      <c r="AA57" s="60">
        <f t="shared" si="26"/>
        <v>0</v>
      </c>
      <c r="AC57" s="60" t="str">
        <f t="shared" si="27"/>
        <v>1255-255</v>
      </c>
    </row>
    <row r="58" spans="1:29">
      <c r="A58" s="501"/>
      <c r="B58" s="549"/>
      <c r="C58" s="656">
        <v>1</v>
      </c>
      <c r="D58" s="550" t="s">
        <v>1067</v>
      </c>
      <c r="E58" s="657" t="s">
        <v>1010</v>
      </c>
      <c r="F58" s="645" t="s">
        <v>468</v>
      </c>
      <c r="G58" s="646" t="s">
        <v>962</v>
      </c>
      <c r="H58" s="644" t="str">
        <f t="shared" si="0"/>
        <v>administratieve -, personeels- en vergaderruimte</v>
      </c>
      <c r="I58" s="716" t="s">
        <v>804</v>
      </c>
      <c r="J58" s="648">
        <v>44.35</v>
      </c>
      <c r="K58" s="648"/>
      <c r="L58" s="649">
        <v>1255</v>
      </c>
      <c r="M58" s="555">
        <f t="shared" si="12"/>
        <v>101</v>
      </c>
      <c r="N58" s="453"/>
      <c r="O58" s="555">
        <f t="shared" si="13"/>
        <v>255</v>
      </c>
      <c r="P58" s="630">
        <v>1</v>
      </c>
      <c r="Q58" s="773">
        <f t="shared" si="14"/>
        <v>0</v>
      </c>
      <c r="R58" s="773">
        <f t="shared" si="15"/>
        <v>0</v>
      </c>
      <c r="S58" s="551">
        <f t="shared" si="16"/>
        <v>0</v>
      </c>
      <c r="T58" s="623">
        <f t="shared" si="6"/>
        <v>0</v>
      </c>
      <c r="U58" s="623">
        <f t="shared" si="7"/>
        <v>0</v>
      </c>
      <c r="V58" s="552">
        <f t="shared" si="8"/>
        <v>0</v>
      </c>
      <c r="W58" s="553" t="str">
        <f t="shared" si="17"/>
        <v>B</v>
      </c>
      <c r="X58" s="443"/>
      <c r="Y58" s="628">
        <f>IF(Q58=0,0,(Q58+R58)*'1.0-Contractblad'!$L$98)</f>
        <v>0</v>
      </c>
      <c r="Z58" s="629">
        <f ca="1">IF(J58=0,0,VLOOKUP(D58,'1.1a-Jaarprijzen'!$B$70:$P$124,14,FALSE)*(K58+J58))</f>
        <v>0</v>
      </c>
      <c r="AA58" s="60">
        <f t="shared" si="26"/>
        <v>0</v>
      </c>
      <c r="AC58" s="60" t="str">
        <f t="shared" si="27"/>
        <v>4255-255</v>
      </c>
    </row>
    <row r="59" spans="1:29">
      <c r="A59" s="501"/>
      <c r="B59" s="549"/>
      <c r="C59" s="656">
        <v>1</v>
      </c>
      <c r="D59" s="550" t="s">
        <v>1067</v>
      </c>
      <c r="E59" s="657" t="s">
        <v>1010</v>
      </c>
      <c r="F59" s="645" t="s">
        <v>469</v>
      </c>
      <c r="G59" s="646" t="s">
        <v>792</v>
      </c>
      <c r="H59" s="644" t="str">
        <f t="shared" si="0"/>
        <v>sanitaire ruimte (toilet-/doucheruimte)</v>
      </c>
      <c r="I59" s="716" t="s">
        <v>1009</v>
      </c>
      <c r="J59" s="648">
        <v>8.81</v>
      </c>
      <c r="K59" s="648"/>
      <c r="L59" s="658">
        <v>4255</v>
      </c>
      <c r="M59" s="555">
        <f t="shared" si="12"/>
        <v>104</v>
      </c>
      <c r="N59" s="453"/>
      <c r="O59" s="555">
        <f t="shared" si="13"/>
        <v>255</v>
      </c>
      <c r="P59" s="630">
        <v>1</v>
      </c>
      <c r="Q59" s="773">
        <f t="shared" si="14"/>
        <v>0</v>
      </c>
      <c r="R59" s="773">
        <f t="shared" si="15"/>
        <v>0</v>
      </c>
      <c r="S59" s="551">
        <f t="shared" si="16"/>
        <v>0</v>
      </c>
      <c r="T59" s="623">
        <f t="shared" si="6"/>
        <v>0</v>
      </c>
      <c r="U59" s="623">
        <f t="shared" si="7"/>
        <v>0</v>
      </c>
      <c r="V59" s="552">
        <f t="shared" si="8"/>
        <v>0</v>
      </c>
      <c r="W59" s="553" t="str">
        <f t="shared" si="17"/>
        <v>S</v>
      </c>
      <c r="X59" s="554"/>
      <c r="Y59" s="628">
        <f>IF(Q59=0,0,(Q59+R59)*'1.0-Contractblad'!$L$98)</f>
        <v>0</v>
      </c>
      <c r="Z59" s="629">
        <f ca="1">IF(J59=0,0,VLOOKUP(D59,'1.1a-Jaarprijzen'!$B$70:$P$124,14,FALSE)*(K59+J59))</f>
        <v>0</v>
      </c>
      <c r="AA59" s="60">
        <f t="shared" si="26"/>
        <v>0</v>
      </c>
      <c r="AC59" s="60" t="str">
        <f t="shared" si="27"/>
        <v>nvt-0</v>
      </c>
    </row>
    <row r="60" spans="1:29">
      <c r="A60" s="501"/>
      <c r="B60" s="549"/>
      <c r="C60" s="656">
        <v>1</v>
      </c>
      <c r="D60" s="550" t="s">
        <v>1067</v>
      </c>
      <c r="E60" s="657" t="s">
        <v>1010</v>
      </c>
      <c r="F60" s="645" t="s">
        <v>819</v>
      </c>
      <c r="G60" s="646" t="s">
        <v>710</v>
      </c>
      <c r="H60" s="644" t="str">
        <f t="shared" si="0"/>
        <v>niet van toepassing</v>
      </c>
      <c r="I60" s="716" t="s">
        <v>785</v>
      </c>
      <c r="J60" s="648"/>
      <c r="K60" s="648">
        <v>11.32</v>
      </c>
      <c r="L60" s="660" t="s">
        <v>27</v>
      </c>
      <c r="M60" s="555">
        <f t="shared" si="12"/>
        <v>0</v>
      </c>
      <c r="N60" s="453"/>
      <c r="O60" s="555">
        <f t="shared" si="13"/>
        <v>0</v>
      </c>
      <c r="P60" s="630">
        <v>1</v>
      </c>
      <c r="Q60" s="773">
        <f t="shared" si="14"/>
        <v>0</v>
      </c>
      <c r="R60" s="773">
        <f t="shared" si="15"/>
        <v>0</v>
      </c>
      <c r="S60" s="551">
        <f t="shared" si="16"/>
        <v>0</v>
      </c>
      <c r="T60" s="623">
        <f t="shared" si="6"/>
        <v>0</v>
      </c>
      <c r="U60" s="623">
        <f t="shared" si="7"/>
        <v>0</v>
      </c>
      <c r="V60" s="552">
        <f t="shared" si="8"/>
        <v>0</v>
      </c>
      <c r="W60" s="553">
        <f t="shared" si="17"/>
        <v>0</v>
      </c>
      <c r="X60" s="698"/>
      <c r="Y60" s="628">
        <f>IF(Q60=0,0,(Q60+R60)*'1.0-Contractblad'!$L$98)</f>
        <v>0</v>
      </c>
      <c r="Z60" s="629">
        <f>IF(J60=0,0,VLOOKUP(D60,'1.1a-Jaarprijzen'!$B$70:$P$124,14,FALSE)*(K60+J60))</f>
        <v>0</v>
      </c>
      <c r="AA60" s="60">
        <f t="shared" si="26"/>
        <v>0</v>
      </c>
      <c r="AC60" s="60" t="str">
        <f t="shared" si="27"/>
        <v>1255-255</v>
      </c>
    </row>
    <row r="61" spans="1:29">
      <c r="A61" s="501"/>
      <c r="B61" s="549"/>
      <c r="C61" s="656">
        <v>1</v>
      </c>
      <c r="D61" s="550" t="s">
        <v>1067</v>
      </c>
      <c r="E61" s="657" t="s">
        <v>1010</v>
      </c>
      <c r="F61" s="645" t="s">
        <v>470</v>
      </c>
      <c r="G61" s="646" t="s">
        <v>962</v>
      </c>
      <c r="H61" s="644" t="str">
        <f t="shared" si="0"/>
        <v>administratieve -, personeels- en vergaderruimte</v>
      </c>
      <c r="I61" s="716" t="s">
        <v>804</v>
      </c>
      <c r="J61" s="647">
        <v>13.22</v>
      </c>
      <c r="K61" s="648"/>
      <c r="L61" s="649">
        <v>1255</v>
      </c>
      <c r="M61" s="555">
        <f t="shared" si="12"/>
        <v>101</v>
      </c>
      <c r="N61" s="453"/>
      <c r="O61" s="555">
        <f t="shared" si="13"/>
        <v>255</v>
      </c>
      <c r="P61" s="630">
        <v>1</v>
      </c>
      <c r="Q61" s="773">
        <f t="shared" si="14"/>
        <v>0</v>
      </c>
      <c r="R61" s="773">
        <f t="shared" si="15"/>
        <v>0</v>
      </c>
      <c r="S61" s="551">
        <f t="shared" si="16"/>
        <v>0</v>
      </c>
      <c r="T61" s="623">
        <f t="shared" si="6"/>
        <v>0</v>
      </c>
      <c r="U61" s="623">
        <f t="shared" si="7"/>
        <v>0</v>
      </c>
      <c r="V61" s="552">
        <f t="shared" si="8"/>
        <v>0</v>
      </c>
      <c r="W61" s="553" t="str">
        <f t="shared" si="17"/>
        <v>B</v>
      </c>
      <c r="X61" s="443"/>
      <c r="Y61" s="628">
        <f>IF(Q61=0,0,(Q61+R61)*'1.0-Contractblad'!$L$98)</f>
        <v>0</v>
      </c>
      <c r="Z61" s="629">
        <f ca="1">IF(J61=0,0,VLOOKUP(D61,'1.1a-Jaarprijzen'!$B$70:$P$124,14,FALSE)*(K61+J61))</f>
        <v>0</v>
      </c>
      <c r="AA61" s="60">
        <f t="shared" ref="AA61:AA177" si="28">IF(L62=8255,Q62+R62,0)</f>
        <v>0</v>
      </c>
      <c r="AC61" s="60" t="str">
        <f t="shared" ref="AC61:AC177" si="29">CONCATENATE(L62,"-",O62)</f>
        <v>1255-255</v>
      </c>
    </row>
    <row r="62" spans="1:29">
      <c r="A62" s="548"/>
      <c r="B62" s="549"/>
      <c r="C62" s="656">
        <v>1</v>
      </c>
      <c r="D62" s="550" t="s">
        <v>1067</v>
      </c>
      <c r="E62" s="657" t="s">
        <v>1010</v>
      </c>
      <c r="F62" s="645" t="s">
        <v>471</v>
      </c>
      <c r="G62" s="646" t="s">
        <v>899</v>
      </c>
      <c r="H62" s="644" t="str">
        <f t="shared" si="0"/>
        <v>administratieve -, personeels- en vergaderruimte</v>
      </c>
      <c r="I62" s="716" t="s">
        <v>1009</v>
      </c>
      <c r="J62" s="648">
        <v>49.32</v>
      </c>
      <c r="K62" s="648"/>
      <c r="L62" s="649">
        <v>1255</v>
      </c>
      <c r="M62" s="555">
        <f t="shared" si="12"/>
        <v>101</v>
      </c>
      <c r="N62" s="453"/>
      <c r="O62" s="555">
        <f t="shared" si="13"/>
        <v>255</v>
      </c>
      <c r="P62" s="630">
        <v>1</v>
      </c>
      <c r="Q62" s="773">
        <f t="shared" si="14"/>
        <v>0</v>
      </c>
      <c r="R62" s="773">
        <f t="shared" si="15"/>
        <v>0</v>
      </c>
      <c r="S62" s="551">
        <f t="shared" si="16"/>
        <v>0</v>
      </c>
      <c r="T62" s="623">
        <f t="shared" si="6"/>
        <v>0</v>
      </c>
      <c r="U62" s="623">
        <f t="shared" si="7"/>
        <v>0</v>
      </c>
      <c r="V62" s="552">
        <f t="shared" si="8"/>
        <v>0</v>
      </c>
      <c r="W62" s="553" t="str">
        <f t="shared" si="17"/>
        <v>B</v>
      </c>
      <c r="X62" s="554"/>
      <c r="Y62" s="628">
        <f>IF(Q62=0,0,(Q62+R62)*'1.0-Contractblad'!$L$98)</f>
        <v>0</v>
      </c>
      <c r="Z62" s="629">
        <f ca="1">IF(J62=0,0,VLOOKUP(D62,'1.1a-Jaarprijzen'!$B$70:$P$124,14,FALSE)*(K62+J62))</f>
        <v>0</v>
      </c>
      <c r="AA62" s="60">
        <f t="shared" si="28"/>
        <v>0</v>
      </c>
      <c r="AC62" s="60" t="str">
        <f t="shared" si="29"/>
        <v>4255-255</v>
      </c>
    </row>
    <row r="63" spans="1:29">
      <c r="A63" s="548"/>
      <c r="B63" s="549"/>
      <c r="C63" s="656">
        <v>1</v>
      </c>
      <c r="D63" s="550" t="s">
        <v>1067</v>
      </c>
      <c r="E63" s="657" t="s">
        <v>1010</v>
      </c>
      <c r="F63" s="645" t="s">
        <v>472</v>
      </c>
      <c r="G63" s="646" t="s">
        <v>792</v>
      </c>
      <c r="H63" s="644" t="str">
        <f t="shared" si="0"/>
        <v>sanitaire ruimte (toilet-/doucheruimte)</v>
      </c>
      <c r="I63" s="716" t="s">
        <v>1009</v>
      </c>
      <c r="J63" s="648">
        <v>9.19</v>
      </c>
      <c r="K63" s="648"/>
      <c r="L63" s="658">
        <v>4255</v>
      </c>
      <c r="M63" s="555">
        <f t="shared" si="12"/>
        <v>104</v>
      </c>
      <c r="N63" s="453"/>
      <c r="O63" s="555">
        <f t="shared" si="13"/>
        <v>255</v>
      </c>
      <c r="P63" s="630">
        <v>1</v>
      </c>
      <c r="Q63" s="773">
        <f t="shared" si="14"/>
        <v>0</v>
      </c>
      <c r="R63" s="773">
        <f t="shared" si="15"/>
        <v>0</v>
      </c>
      <c r="S63" s="551">
        <f t="shared" si="16"/>
        <v>0</v>
      </c>
      <c r="T63" s="623">
        <f t="shared" si="6"/>
        <v>0</v>
      </c>
      <c r="U63" s="623">
        <f t="shared" si="7"/>
        <v>0</v>
      </c>
      <c r="V63" s="552">
        <f t="shared" si="8"/>
        <v>0</v>
      </c>
      <c r="W63" s="553" t="str">
        <f t="shared" si="17"/>
        <v>S</v>
      </c>
      <c r="X63" s="554"/>
      <c r="Y63" s="628">
        <f>IF(Q63=0,0,(Q63+R63)*'1.0-Contractblad'!$L$98)</f>
        <v>0</v>
      </c>
      <c r="Z63" s="629">
        <f ca="1">IF(J63=0,0,VLOOKUP(D63,'1.1a-Jaarprijzen'!$B$70:$P$124,14,FALSE)*(K63+J63))</f>
        <v>0</v>
      </c>
      <c r="AA63" s="60">
        <f t="shared" si="28"/>
        <v>0</v>
      </c>
      <c r="AC63" s="60" t="str">
        <f t="shared" si="29"/>
        <v>nvt-0</v>
      </c>
    </row>
    <row r="64" spans="1:29">
      <c r="A64" s="548"/>
      <c r="B64" s="700"/>
      <c r="C64" s="656">
        <v>1</v>
      </c>
      <c r="D64" s="550" t="s">
        <v>1067</v>
      </c>
      <c r="E64" s="657" t="s">
        <v>1010</v>
      </c>
      <c r="F64" s="645" t="s">
        <v>473</v>
      </c>
      <c r="G64" s="646" t="s">
        <v>1065</v>
      </c>
      <c r="H64" s="644" t="str">
        <f t="shared" si="0"/>
        <v>niet van toepassing</v>
      </c>
      <c r="I64" s="716" t="s">
        <v>785</v>
      </c>
      <c r="J64" s="648"/>
      <c r="K64" s="648">
        <v>9.3699999999999992</v>
      </c>
      <c r="L64" s="660" t="s">
        <v>27</v>
      </c>
      <c r="M64" s="555">
        <f t="shared" si="12"/>
        <v>0</v>
      </c>
      <c r="N64" s="453"/>
      <c r="O64" s="555">
        <f t="shared" si="13"/>
        <v>0</v>
      </c>
      <c r="P64" s="630">
        <v>1</v>
      </c>
      <c r="Q64" s="773">
        <f t="shared" si="14"/>
        <v>0</v>
      </c>
      <c r="R64" s="773">
        <f t="shared" si="15"/>
        <v>0</v>
      </c>
      <c r="S64" s="551">
        <f t="shared" si="16"/>
        <v>0</v>
      </c>
      <c r="T64" s="623">
        <f t="shared" si="6"/>
        <v>0</v>
      </c>
      <c r="U64" s="623">
        <f t="shared" si="7"/>
        <v>0</v>
      </c>
      <c r="V64" s="552">
        <f t="shared" si="8"/>
        <v>0</v>
      </c>
      <c r="W64" s="553">
        <f t="shared" si="17"/>
        <v>0</v>
      </c>
      <c r="X64" s="554"/>
      <c r="Y64" s="628">
        <f>IF(Q64=0,0,(Q64+R64)*'1.0-Contractblad'!$L$98)</f>
        <v>0</v>
      </c>
      <c r="Z64" s="629">
        <f>IF(J64=0,0,VLOOKUP(D64,'1.1a-Jaarprijzen'!$B$70:$P$124,14,FALSE)*(K64+J64))</f>
        <v>0</v>
      </c>
      <c r="AA64" s="60">
        <f t="shared" si="28"/>
        <v>0</v>
      </c>
      <c r="AC64" s="60" t="str">
        <f t="shared" si="29"/>
        <v>nvt-0</v>
      </c>
    </row>
    <row r="65" spans="1:29">
      <c r="A65" s="548"/>
      <c r="B65" s="700"/>
      <c r="C65" s="656">
        <v>1</v>
      </c>
      <c r="D65" s="550" t="s">
        <v>1067</v>
      </c>
      <c r="E65" s="657" t="s">
        <v>1010</v>
      </c>
      <c r="F65" s="645" t="s">
        <v>474</v>
      </c>
      <c r="G65" s="646" t="s">
        <v>1065</v>
      </c>
      <c r="H65" s="644" t="str">
        <f t="shared" si="0"/>
        <v>niet van toepassing</v>
      </c>
      <c r="I65" s="716" t="s">
        <v>785</v>
      </c>
      <c r="J65" s="648"/>
      <c r="K65" s="648">
        <v>8.84</v>
      </c>
      <c r="L65" s="660" t="s">
        <v>27</v>
      </c>
      <c r="M65" s="555">
        <f t="shared" si="12"/>
        <v>0</v>
      </c>
      <c r="N65" s="453"/>
      <c r="O65" s="555">
        <f t="shared" si="13"/>
        <v>0</v>
      </c>
      <c r="P65" s="630">
        <v>1</v>
      </c>
      <c r="Q65" s="773">
        <f t="shared" si="14"/>
        <v>0</v>
      </c>
      <c r="R65" s="773">
        <f t="shared" si="15"/>
        <v>0</v>
      </c>
      <c r="S65" s="551">
        <f t="shared" si="16"/>
        <v>0</v>
      </c>
      <c r="T65" s="623">
        <f t="shared" si="6"/>
        <v>0</v>
      </c>
      <c r="U65" s="623">
        <f t="shared" si="7"/>
        <v>0</v>
      </c>
      <c r="V65" s="552">
        <f t="shared" si="8"/>
        <v>0</v>
      </c>
      <c r="W65" s="553">
        <f t="shared" si="17"/>
        <v>0</v>
      </c>
      <c r="X65" s="554"/>
      <c r="Y65" s="628">
        <f>IF(Q65=0,0,(Q65+R65)*'1.0-Contractblad'!$L$98)</f>
        <v>0</v>
      </c>
      <c r="Z65" s="629">
        <f>IF(J65=0,0,VLOOKUP(D65,'1.1a-Jaarprijzen'!$B$70:$P$124,14,FALSE)*(K65+J65))</f>
        <v>0</v>
      </c>
      <c r="AA65" s="60">
        <f t="shared" si="28"/>
        <v>0</v>
      </c>
      <c r="AC65" s="60" t="str">
        <f t="shared" si="29"/>
        <v>nvt-0</v>
      </c>
    </row>
    <row r="66" spans="1:29">
      <c r="A66" s="548"/>
      <c r="B66" s="549"/>
      <c r="C66" s="656">
        <v>1</v>
      </c>
      <c r="D66" s="550" t="s">
        <v>1067</v>
      </c>
      <c r="E66" s="657" t="s">
        <v>1010</v>
      </c>
      <c r="F66" s="645" t="s">
        <v>475</v>
      </c>
      <c r="G66" s="646" t="s">
        <v>710</v>
      </c>
      <c r="H66" s="644" t="str">
        <f t="shared" si="0"/>
        <v>niet van toepassing</v>
      </c>
      <c r="I66" s="716" t="s">
        <v>804</v>
      </c>
      <c r="J66" s="648"/>
      <c r="K66" s="648">
        <v>6.3</v>
      </c>
      <c r="L66" s="660" t="s">
        <v>27</v>
      </c>
      <c r="M66" s="555">
        <f t="shared" si="12"/>
        <v>0</v>
      </c>
      <c r="N66" s="453"/>
      <c r="O66" s="555">
        <f t="shared" si="13"/>
        <v>0</v>
      </c>
      <c r="P66" s="630">
        <v>1</v>
      </c>
      <c r="Q66" s="773">
        <f t="shared" si="14"/>
        <v>0</v>
      </c>
      <c r="R66" s="773">
        <f t="shared" si="15"/>
        <v>0</v>
      </c>
      <c r="S66" s="551">
        <f t="shared" si="16"/>
        <v>0</v>
      </c>
      <c r="T66" s="623">
        <f t="shared" si="6"/>
        <v>0</v>
      </c>
      <c r="U66" s="623">
        <f t="shared" si="7"/>
        <v>0</v>
      </c>
      <c r="V66" s="552">
        <f t="shared" si="8"/>
        <v>0</v>
      </c>
      <c r="W66" s="553">
        <f t="shared" si="17"/>
        <v>0</v>
      </c>
      <c r="X66" s="698"/>
      <c r="Y66" s="628">
        <f>IF(Q66=0,0,(Q66+R66)*'1.0-Contractblad'!$L$98)</f>
        <v>0</v>
      </c>
      <c r="Z66" s="629">
        <f>IF(J66=0,0,VLOOKUP(D66,'1.1a-Jaarprijzen'!$B$70:$P$124,14,FALSE)*(K66+J66))</f>
        <v>0</v>
      </c>
      <c r="AA66" s="60">
        <f t="shared" si="28"/>
        <v>0</v>
      </c>
      <c r="AC66" s="60" t="str">
        <f t="shared" si="29"/>
        <v>nvt-0</v>
      </c>
    </row>
    <row r="67" spans="1:29">
      <c r="A67" s="548"/>
      <c r="B67" s="549"/>
      <c r="C67" s="656">
        <v>1</v>
      </c>
      <c r="D67" s="550" t="s">
        <v>1067</v>
      </c>
      <c r="E67" s="657" t="s">
        <v>1010</v>
      </c>
      <c r="F67" s="645" t="s">
        <v>476</v>
      </c>
      <c r="G67" s="646" t="s">
        <v>710</v>
      </c>
      <c r="H67" s="644" t="str">
        <f t="shared" si="0"/>
        <v>niet van toepassing</v>
      </c>
      <c r="I67" s="716" t="s">
        <v>804</v>
      </c>
      <c r="J67" s="648"/>
      <c r="K67" s="648">
        <v>5.31</v>
      </c>
      <c r="L67" s="660" t="s">
        <v>27</v>
      </c>
      <c r="M67" s="555">
        <f t="shared" si="12"/>
        <v>0</v>
      </c>
      <c r="N67" s="453"/>
      <c r="O67" s="555">
        <f t="shared" si="13"/>
        <v>0</v>
      </c>
      <c r="P67" s="630">
        <v>1</v>
      </c>
      <c r="Q67" s="773">
        <f t="shared" si="14"/>
        <v>0</v>
      </c>
      <c r="R67" s="773">
        <f t="shared" si="15"/>
        <v>0</v>
      </c>
      <c r="S67" s="551">
        <f t="shared" si="16"/>
        <v>0</v>
      </c>
      <c r="T67" s="623">
        <f t="shared" si="6"/>
        <v>0</v>
      </c>
      <c r="U67" s="623">
        <f t="shared" si="7"/>
        <v>0</v>
      </c>
      <c r="V67" s="552">
        <f t="shared" si="8"/>
        <v>0</v>
      </c>
      <c r="W67" s="553">
        <f t="shared" si="17"/>
        <v>0</v>
      </c>
      <c r="X67" s="698"/>
      <c r="Y67" s="628">
        <f>IF(Q67=0,0,(Q67+R67)*'1.0-Contractblad'!$L$98)</f>
        <v>0</v>
      </c>
      <c r="Z67" s="629">
        <f>IF(J67=0,0,VLOOKUP(D67,'1.1a-Jaarprijzen'!$B$70:$P$124,14,FALSE)*(K67+J67))</f>
        <v>0</v>
      </c>
      <c r="AA67" s="60">
        <f t="shared" si="28"/>
        <v>0</v>
      </c>
      <c r="AC67" s="60" t="str">
        <f t="shared" si="29"/>
        <v>nvt-0</v>
      </c>
    </row>
    <row r="68" spans="1:29">
      <c r="A68" s="548"/>
      <c r="B68" s="549"/>
      <c r="C68" s="656">
        <v>1</v>
      </c>
      <c r="D68" s="550" t="s">
        <v>1067</v>
      </c>
      <c r="E68" s="657" t="s">
        <v>1010</v>
      </c>
      <c r="F68" s="645" t="s">
        <v>477</v>
      </c>
      <c r="G68" s="646" t="s">
        <v>710</v>
      </c>
      <c r="H68" s="644" t="str">
        <f t="shared" si="0"/>
        <v>niet van toepassing</v>
      </c>
      <c r="I68" s="716" t="s">
        <v>804</v>
      </c>
      <c r="J68" s="648"/>
      <c r="K68" s="648">
        <v>5.28</v>
      </c>
      <c r="L68" s="660" t="s">
        <v>27</v>
      </c>
      <c r="M68" s="555">
        <f t="shared" si="12"/>
        <v>0</v>
      </c>
      <c r="N68" s="453"/>
      <c r="O68" s="555">
        <f t="shared" si="13"/>
        <v>0</v>
      </c>
      <c r="P68" s="630">
        <v>1</v>
      </c>
      <c r="Q68" s="773">
        <f t="shared" si="14"/>
        <v>0</v>
      </c>
      <c r="R68" s="773">
        <f t="shared" si="15"/>
        <v>0</v>
      </c>
      <c r="S68" s="551">
        <f t="shared" si="16"/>
        <v>0</v>
      </c>
      <c r="T68" s="623">
        <f t="shared" si="6"/>
        <v>0</v>
      </c>
      <c r="U68" s="623">
        <f t="shared" si="7"/>
        <v>0</v>
      </c>
      <c r="V68" s="552">
        <f t="shared" si="8"/>
        <v>0</v>
      </c>
      <c r="W68" s="553">
        <f t="shared" si="17"/>
        <v>0</v>
      </c>
      <c r="X68" s="698"/>
      <c r="Y68" s="628">
        <f>IF(Q68=0,0,(Q68+R68)*'1.0-Contractblad'!$L$98)</f>
        <v>0</v>
      </c>
      <c r="Z68" s="629">
        <f>IF(J68=0,0,VLOOKUP(D68,'1.1a-Jaarprijzen'!$B$70:$P$124,14,FALSE)*(K68+J68))</f>
        <v>0</v>
      </c>
      <c r="AA68" s="60">
        <f t="shared" si="28"/>
        <v>0</v>
      </c>
      <c r="AC68" s="60" t="str">
        <f t="shared" si="29"/>
        <v>3255-255</v>
      </c>
    </row>
    <row r="69" spans="1:29">
      <c r="A69" s="548"/>
      <c r="B69" s="549"/>
      <c r="C69" s="656">
        <v>1</v>
      </c>
      <c r="D69" s="550" t="s">
        <v>1067</v>
      </c>
      <c r="E69" s="657" t="s">
        <v>694</v>
      </c>
      <c r="F69" s="645" t="s">
        <v>580</v>
      </c>
      <c r="G69" s="646" t="s">
        <v>900</v>
      </c>
      <c r="H69" s="644" t="str">
        <f t="shared" si="0"/>
        <v>entree, gang, hal, repro, kopieer, was/droogruimte</v>
      </c>
      <c r="I69" s="716" t="s">
        <v>804</v>
      </c>
      <c r="J69" s="648">
        <v>12.77</v>
      </c>
      <c r="K69" s="648"/>
      <c r="L69" s="649">
        <v>3255</v>
      </c>
      <c r="M69" s="555">
        <f t="shared" si="12"/>
        <v>103</v>
      </c>
      <c r="N69" s="453"/>
      <c r="O69" s="555">
        <f t="shared" si="13"/>
        <v>255</v>
      </c>
      <c r="P69" s="630">
        <v>1</v>
      </c>
      <c r="Q69" s="773">
        <f t="shared" si="14"/>
        <v>0</v>
      </c>
      <c r="R69" s="773">
        <f t="shared" si="15"/>
        <v>0</v>
      </c>
      <c r="S69" s="551">
        <f t="shared" si="16"/>
        <v>0</v>
      </c>
      <c r="T69" s="623">
        <f t="shared" si="6"/>
        <v>0</v>
      </c>
      <c r="U69" s="623">
        <f t="shared" si="7"/>
        <v>0</v>
      </c>
      <c r="V69" s="552">
        <f t="shared" si="8"/>
        <v>0</v>
      </c>
      <c r="W69" s="553" t="str">
        <f t="shared" si="17"/>
        <v>V</v>
      </c>
      <c r="X69" s="554"/>
      <c r="Y69" s="628">
        <f>IF(Q69=0,0,(Q69+R69)*'1.0-Contractblad'!$L$98)</f>
        <v>0</v>
      </c>
      <c r="Z69" s="629">
        <f ca="1">IF(J69=0,0,VLOOKUP(D69,'1.1a-Jaarprijzen'!$B$70:$P$124,14,FALSE)*(K69+J69))</f>
        <v>0</v>
      </c>
      <c r="AA69" s="60">
        <f t="shared" si="28"/>
        <v>0</v>
      </c>
      <c r="AC69" s="60" t="str">
        <f t="shared" si="29"/>
        <v>1255-255</v>
      </c>
    </row>
    <row r="70" spans="1:29">
      <c r="A70" s="548"/>
      <c r="B70" s="549"/>
      <c r="C70" s="656">
        <v>1</v>
      </c>
      <c r="D70" s="550" t="s">
        <v>1067</v>
      </c>
      <c r="E70" s="657" t="s">
        <v>694</v>
      </c>
      <c r="F70" s="645" t="s">
        <v>581</v>
      </c>
      <c r="G70" s="646" t="s">
        <v>901</v>
      </c>
      <c r="H70" s="644" t="str">
        <f t="shared" si="0"/>
        <v>administratieve -, personeels- en vergaderruimte</v>
      </c>
      <c r="I70" s="716" t="s">
        <v>804</v>
      </c>
      <c r="J70" s="648">
        <v>11.12</v>
      </c>
      <c r="K70" s="648"/>
      <c r="L70" s="649">
        <v>1255</v>
      </c>
      <c r="M70" s="555">
        <f t="shared" si="12"/>
        <v>101</v>
      </c>
      <c r="N70" s="453"/>
      <c r="O70" s="555">
        <f t="shared" si="13"/>
        <v>255</v>
      </c>
      <c r="P70" s="630">
        <v>1</v>
      </c>
      <c r="Q70" s="773">
        <f t="shared" si="14"/>
        <v>0</v>
      </c>
      <c r="R70" s="773">
        <f t="shared" si="15"/>
        <v>0</v>
      </c>
      <c r="S70" s="551">
        <f t="shared" si="16"/>
        <v>0</v>
      </c>
      <c r="T70" s="623">
        <f t="shared" si="6"/>
        <v>0</v>
      </c>
      <c r="U70" s="623">
        <f t="shared" si="7"/>
        <v>0</v>
      </c>
      <c r="V70" s="552">
        <f t="shared" si="8"/>
        <v>0</v>
      </c>
      <c r="W70" s="553" t="str">
        <f t="shared" si="17"/>
        <v>B</v>
      </c>
      <c r="X70" s="554"/>
      <c r="Y70" s="628">
        <f>IF(Q70=0,0,(Q70+R70)*'1.0-Contractblad'!$L$98)</f>
        <v>0</v>
      </c>
      <c r="Z70" s="629">
        <f ca="1">IF(J70=0,0,VLOOKUP(D70,'1.1a-Jaarprijzen'!$B$70:$P$124,14,FALSE)*(K70+J70))</f>
        <v>0</v>
      </c>
      <c r="AA70" s="60">
        <f t="shared" si="28"/>
        <v>0</v>
      </c>
      <c r="AC70" s="60" t="str">
        <f t="shared" si="29"/>
        <v>3255-255</v>
      </c>
    </row>
    <row r="71" spans="1:29">
      <c r="A71" s="548"/>
      <c r="B71" s="549"/>
      <c r="C71" s="656">
        <v>1</v>
      </c>
      <c r="D71" s="550" t="s">
        <v>1067</v>
      </c>
      <c r="E71" s="657" t="s">
        <v>694</v>
      </c>
      <c r="F71" s="645" t="s">
        <v>560</v>
      </c>
      <c r="G71" s="646" t="s">
        <v>902</v>
      </c>
      <c r="H71" s="644" t="str">
        <f t="shared" si="0"/>
        <v>entree, gang, hal, repro, kopieer, was/droogruimte</v>
      </c>
      <c r="I71" s="716" t="s">
        <v>804</v>
      </c>
      <c r="J71" s="648">
        <v>5.21</v>
      </c>
      <c r="K71" s="648"/>
      <c r="L71" s="649">
        <v>3255</v>
      </c>
      <c r="M71" s="555">
        <f t="shared" si="12"/>
        <v>103</v>
      </c>
      <c r="N71" s="453"/>
      <c r="O71" s="555">
        <f t="shared" si="13"/>
        <v>255</v>
      </c>
      <c r="P71" s="630">
        <v>1</v>
      </c>
      <c r="Q71" s="773">
        <f t="shared" si="14"/>
        <v>0</v>
      </c>
      <c r="R71" s="773">
        <f t="shared" si="15"/>
        <v>0</v>
      </c>
      <c r="S71" s="551">
        <f t="shared" si="16"/>
        <v>0</v>
      </c>
      <c r="T71" s="623">
        <f t="shared" si="6"/>
        <v>0</v>
      </c>
      <c r="U71" s="623">
        <f t="shared" si="7"/>
        <v>0</v>
      </c>
      <c r="V71" s="552">
        <f t="shared" si="8"/>
        <v>0</v>
      </c>
      <c r="W71" s="553" t="str">
        <f t="shared" si="17"/>
        <v>V</v>
      </c>
      <c r="X71" s="554"/>
      <c r="Y71" s="628">
        <f>IF(Q71=0,0,(Q71+R71)*'1.0-Contractblad'!$L$98)</f>
        <v>0</v>
      </c>
      <c r="Z71" s="629">
        <f ca="1">IF(J71=0,0,VLOOKUP(D71,'1.1a-Jaarprijzen'!$B$70:$P$124,14,FALSE)*(K71+J71))</f>
        <v>0</v>
      </c>
      <c r="AA71" s="60">
        <f t="shared" si="28"/>
        <v>0</v>
      </c>
      <c r="AC71" s="60" t="str">
        <f t="shared" si="29"/>
        <v>3255-255</v>
      </c>
    </row>
    <row r="72" spans="1:29">
      <c r="A72" s="548"/>
      <c r="B72" s="549"/>
      <c r="C72" s="656">
        <v>1</v>
      </c>
      <c r="D72" s="550" t="s">
        <v>1067</v>
      </c>
      <c r="E72" s="657" t="s">
        <v>694</v>
      </c>
      <c r="F72" s="645" t="s">
        <v>820</v>
      </c>
      <c r="G72" s="646" t="s">
        <v>793</v>
      </c>
      <c r="H72" s="644" t="str">
        <f t="shared" si="0"/>
        <v>entree, gang, hal, repro, kopieer, was/droogruimte</v>
      </c>
      <c r="I72" s="716" t="s">
        <v>804</v>
      </c>
      <c r="J72" s="648">
        <v>12.33</v>
      </c>
      <c r="K72" s="648"/>
      <c r="L72" s="649">
        <v>3255</v>
      </c>
      <c r="M72" s="555">
        <f t="shared" si="12"/>
        <v>103</v>
      </c>
      <c r="N72" s="453"/>
      <c r="O72" s="555">
        <f t="shared" si="13"/>
        <v>255</v>
      </c>
      <c r="P72" s="630">
        <v>1</v>
      </c>
      <c r="Q72" s="773">
        <f t="shared" si="14"/>
        <v>0</v>
      </c>
      <c r="R72" s="773">
        <f t="shared" si="15"/>
        <v>0</v>
      </c>
      <c r="S72" s="551">
        <f t="shared" si="16"/>
        <v>0</v>
      </c>
      <c r="T72" s="623">
        <f t="shared" si="6"/>
        <v>0</v>
      </c>
      <c r="U72" s="623">
        <f t="shared" si="7"/>
        <v>0</v>
      </c>
      <c r="V72" s="552">
        <f t="shared" si="8"/>
        <v>0</v>
      </c>
      <c r="W72" s="553" t="str">
        <f t="shared" si="17"/>
        <v>V</v>
      </c>
      <c r="X72" s="554"/>
      <c r="Y72" s="628">
        <f>IF(Q72=0,0,(Q72+R72)*'1.0-Contractblad'!$L$98)</f>
        <v>0</v>
      </c>
      <c r="Z72" s="629">
        <f ca="1">IF(J72=0,0,VLOOKUP(D72,'1.1a-Jaarprijzen'!$B$70:$P$124,14,FALSE)*(K72+J72))</f>
        <v>0</v>
      </c>
      <c r="AA72" s="60">
        <f t="shared" si="28"/>
        <v>0</v>
      </c>
      <c r="AC72" s="60" t="str">
        <f t="shared" si="29"/>
        <v>1255-255</v>
      </c>
    </row>
    <row r="73" spans="1:29">
      <c r="A73" s="548"/>
      <c r="B73" s="549"/>
      <c r="C73" s="656">
        <v>1</v>
      </c>
      <c r="D73" s="550" t="s">
        <v>1067</v>
      </c>
      <c r="E73" s="657" t="s">
        <v>694</v>
      </c>
      <c r="F73" s="645" t="s">
        <v>582</v>
      </c>
      <c r="G73" s="646" t="s">
        <v>802</v>
      </c>
      <c r="H73" s="644" t="str">
        <f t="shared" si="0"/>
        <v>administratieve -, personeels- en vergaderruimte</v>
      </c>
      <c r="I73" s="716" t="s">
        <v>804</v>
      </c>
      <c r="J73" s="648">
        <v>31.32</v>
      </c>
      <c r="K73" s="648"/>
      <c r="L73" s="649">
        <v>1255</v>
      </c>
      <c r="M73" s="555">
        <f t="shared" si="12"/>
        <v>101</v>
      </c>
      <c r="N73" s="453"/>
      <c r="O73" s="555">
        <f t="shared" si="13"/>
        <v>255</v>
      </c>
      <c r="P73" s="630">
        <v>1</v>
      </c>
      <c r="Q73" s="773">
        <f t="shared" si="14"/>
        <v>0</v>
      </c>
      <c r="R73" s="773">
        <f t="shared" si="15"/>
        <v>0</v>
      </c>
      <c r="S73" s="551">
        <f t="shared" si="16"/>
        <v>0</v>
      </c>
      <c r="T73" s="623">
        <f t="shared" si="6"/>
        <v>0</v>
      </c>
      <c r="U73" s="623">
        <f t="shared" si="7"/>
        <v>0</v>
      </c>
      <c r="V73" s="552">
        <f t="shared" si="8"/>
        <v>0</v>
      </c>
      <c r="W73" s="553" t="str">
        <f t="shared" si="17"/>
        <v>B</v>
      </c>
      <c r="X73" s="554"/>
      <c r="Y73" s="628">
        <f>IF(Q73=0,0,(Q73+R73)*'1.0-Contractblad'!$L$98)</f>
        <v>0</v>
      </c>
      <c r="Z73" s="629">
        <f ca="1">IF(J73=0,0,VLOOKUP(D73,'1.1a-Jaarprijzen'!$B$70:$P$124,14,FALSE)*(K73+J73))</f>
        <v>0</v>
      </c>
      <c r="AA73" s="60">
        <f t="shared" si="28"/>
        <v>0</v>
      </c>
      <c r="AC73" s="60" t="str">
        <f t="shared" si="29"/>
        <v>3255-255</v>
      </c>
    </row>
    <row r="74" spans="1:29">
      <c r="A74" s="548"/>
      <c r="B74" s="549"/>
      <c r="C74" s="656">
        <v>1</v>
      </c>
      <c r="D74" s="550" t="s">
        <v>1067</v>
      </c>
      <c r="E74" s="657" t="s">
        <v>694</v>
      </c>
      <c r="F74" s="645" t="s">
        <v>583</v>
      </c>
      <c r="G74" s="646" t="s">
        <v>707</v>
      </c>
      <c r="H74" s="644" t="str">
        <f t="shared" si="0"/>
        <v>entree, gang, hal, repro, kopieer, was/droogruimte</v>
      </c>
      <c r="I74" s="716" t="s">
        <v>804</v>
      </c>
      <c r="J74" s="648">
        <v>5.53</v>
      </c>
      <c r="K74" s="648"/>
      <c r="L74" s="649">
        <v>3255</v>
      </c>
      <c r="M74" s="555">
        <f t="shared" si="12"/>
        <v>103</v>
      </c>
      <c r="N74" s="453"/>
      <c r="O74" s="555">
        <f t="shared" si="13"/>
        <v>255</v>
      </c>
      <c r="P74" s="630">
        <v>1</v>
      </c>
      <c r="Q74" s="773">
        <f t="shared" si="14"/>
        <v>0</v>
      </c>
      <c r="R74" s="773">
        <f t="shared" si="15"/>
        <v>0</v>
      </c>
      <c r="S74" s="551">
        <f t="shared" si="16"/>
        <v>0</v>
      </c>
      <c r="T74" s="623">
        <f t="shared" si="6"/>
        <v>0</v>
      </c>
      <c r="U74" s="623">
        <f t="shared" si="7"/>
        <v>0</v>
      </c>
      <c r="V74" s="552">
        <f t="shared" si="8"/>
        <v>0</v>
      </c>
      <c r="W74" s="553" t="str">
        <f t="shared" si="17"/>
        <v>V</v>
      </c>
      <c r="X74" s="554"/>
      <c r="Y74" s="628">
        <f>IF(Q74=0,0,(Q74+R74)*'1.0-Contractblad'!$L$98)</f>
        <v>0</v>
      </c>
      <c r="Z74" s="629">
        <f ca="1">IF(J74=0,0,VLOOKUP(D74,'1.1a-Jaarprijzen'!$B$70:$P$124,14,FALSE)*(K74+J74))</f>
        <v>0</v>
      </c>
      <c r="AA74" s="60">
        <f t="shared" si="28"/>
        <v>0</v>
      </c>
      <c r="AC74" s="60" t="str">
        <f t="shared" si="29"/>
        <v>9255-255</v>
      </c>
    </row>
    <row r="75" spans="1:29">
      <c r="A75" s="548"/>
      <c r="B75" s="549"/>
      <c r="C75" s="656">
        <v>1</v>
      </c>
      <c r="D75" s="550" t="s">
        <v>1067</v>
      </c>
      <c r="E75" s="657" t="s">
        <v>694</v>
      </c>
      <c r="F75" s="645" t="s">
        <v>584</v>
      </c>
      <c r="G75" s="646" t="s">
        <v>333</v>
      </c>
      <c r="H75" s="644" t="str">
        <f t="shared" ref="H75:H138" si="30">IF(L75="","",VLOOKUP(L75,Kengetal,4,FALSE))</f>
        <v>trappenhuis</v>
      </c>
      <c r="I75" s="716" t="s">
        <v>804</v>
      </c>
      <c r="J75" s="648">
        <v>12.77</v>
      </c>
      <c r="K75" s="648"/>
      <c r="L75" s="660">
        <v>9255</v>
      </c>
      <c r="M75" s="555">
        <f t="shared" si="12"/>
        <v>109</v>
      </c>
      <c r="N75" s="453"/>
      <c r="O75" s="555">
        <f t="shared" si="13"/>
        <v>255</v>
      </c>
      <c r="P75" s="630">
        <v>1</v>
      </c>
      <c r="Q75" s="773">
        <f t="shared" si="14"/>
        <v>0</v>
      </c>
      <c r="R75" s="773">
        <f t="shared" si="15"/>
        <v>0</v>
      </c>
      <c r="S75" s="551">
        <f t="shared" si="16"/>
        <v>0</v>
      </c>
      <c r="T75" s="623">
        <f t="shared" si="6"/>
        <v>0</v>
      </c>
      <c r="U75" s="623">
        <f t="shared" si="7"/>
        <v>0</v>
      </c>
      <c r="V75" s="552">
        <f t="shared" si="8"/>
        <v>0</v>
      </c>
      <c r="W75" s="553" t="str">
        <f t="shared" si="17"/>
        <v>V</v>
      </c>
      <c r="X75" s="698"/>
      <c r="Y75" s="628">
        <f>IF(Q75=0,0,(Q75+R75)*'1.0-Contractblad'!$L$98)</f>
        <v>0</v>
      </c>
      <c r="Z75" s="629">
        <f ca="1">IF(J75=0,0,VLOOKUP(D75,'1.1a-Jaarprijzen'!$B$70:$P$124,14,FALSE)*(K75+J75))</f>
        <v>0</v>
      </c>
      <c r="AA75" s="60">
        <f t="shared" si="28"/>
        <v>0</v>
      </c>
      <c r="AC75" s="60" t="str">
        <f t="shared" si="29"/>
        <v>1255-255</v>
      </c>
    </row>
    <row r="76" spans="1:29">
      <c r="A76" s="548"/>
      <c r="B76" s="549"/>
      <c r="C76" s="656">
        <v>1</v>
      </c>
      <c r="D76" s="550" t="s">
        <v>1067</v>
      </c>
      <c r="E76" s="657" t="s">
        <v>694</v>
      </c>
      <c r="F76" s="645" t="s">
        <v>678</v>
      </c>
      <c r="G76" s="646" t="s">
        <v>904</v>
      </c>
      <c r="H76" s="644" t="str">
        <f t="shared" si="30"/>
        <v>administratieve -, personeels- en vergaderruimte</v>
      </c>
      <c r="I76" s="716" t="s">
        <v>804</v>
      </c>
      <c r="J76" s="648">
        <v>36.64</v>
      </c>
      <c r="K76" s="648"/>
      <c r="L76" s="649">
        <v>1255</v>
      </c>
      <c r="M76" s="555">
        <f t="shared" si="12"/>
        <v>101</v>
      </c>
      <c r="N76" s="453"/>
      <c r="O76" s="555">
        <f t="shared" si="13"/>
        <v>255</v>
      </c>
      <c r="P76" s="630">
        <v>1</v>
      </c>
      <c r="Q76" s="773">
        <f t="shared" si="14"/>
        <v>0</v>
      </c>
      <c r="R76" s="773">
        <f t="shared" si="15"/>
        <v>0</v>
      </c>
      <c r="S76" s="551">
        <f t="shared" si="16"/>
        <v>0</v>
      </c>
      <c r="T76" s="623">
        <f t="shared" ref="T76:T139" si="31">VLOOKUP($L76,Kengetal,6,FALSE)</f>
        <v>0</v>
      </c>
      <c r="U76" s="623">
        <f t="shared" ref="U76:U139" si="32">VLOOKUP($L76,Kengetal,7,FALSE)</f>
        <v>0</v>
      </c>
      <c r="V76" s="552">
        <f t="shared" ref="V76:V139" si="33">VLOOKUP($N76,Kengetal,7,FALSE)</f>
        <v>0</v>
      </c>
      <c r="W76" s="553" t="str">
        <f t="shared" si="17"/>
        <v>B</v>
      </c>
      <c r="X76" s="554"/>
      <c r="Y76" s="628">
        <f>IF(Q76=0,0,(Q76+R76)*'1.0-Contractblad'!$L$98)</f>
        <v>0</v>
      </c>
      <c r="Z76" s="629">
        <f ca="1">IF(J76=0,0,VLOOKUP(D76,'1.1a-Jaarprijzen'!$B$70:$P$124,14,FALSE)*(K76+J76))</f>
        <v>0</v>
      </c>
      <c r="AA76" s="60">
        <f t="shared" si="28"/>
        <v>0</v>
      </c>
      <c r="AC76" s="60" t="str">
        <f t="shared" si="29"/>
        <v>1255-255</v>
      </c>
    </row>
    <row r="77" spans="1:29">
      <c r="A77" s="548"/>
      <c r="B77" s="549"/>
      <c r="C77" s="656">
        <v>1</v>
      </c>
      <c r="D77" s="550" t="s">
        <v>1067</v>
      </c>
      <c r="E77" s="657" t="s">
        <v>694</v>
      </c>
      <c r="F77" s="645" t="s">
        <v>585</v>
      </c>
      <c r="G77" s="646" t="s">
        <v>901</v>
      </c>
      <c r="H77" s="644" t="str">
        <f t="shared" si="30"/>
        <v>administratieve -, personeels- en vergaderruimte</v>
      </c>
      <c r="I77" s="716" t="s">
        <v>804</v>
      </c>
      <c r="J77" s="648">
        <v>35.450000000000003</v>
      </c>
      <c r="K77" s="648"/>
      <c r="L77" s="649">
        <v>1255</v>
      </c>
      <c r="M77" s="555">
        <f t="shared" ref="M77:M140" si="34">VLOOKUP(L77,Kengetal,2,FALSE)</f>
        <v>101</v>
      </c>
      <c r="N77" s="453"/>
      <c r="O77" s="555">
        <f t="shared" ref="O77:O140" si="35">VLOOKUP(L77,Kengetal,3,FALSE)</f>
        <v>255</v>
      </c>
      <c r="P77" s="630">
        <v>1</v>
      </c>
      <c r="Q77" s="773">
        <f t="shared" ref="Q77:Q140" si="36">T77*J77*P77</f>
        <v>0</v>
      </c>
      <c r="R77" s="773">
        <f t="shared" ref="R77:R140" si="37">U77*J77*P77</f>
        <v>0</v>
      </c>
      <c r="S77" s="551">
        <f t="shared" ref="S77:S140" si="38">V77*J77*P77</f>
        <v>0</v>
      </c>
      <c r="T77" s="623">
        <f t="shared" si="31"/>
        <v>0</v>
      </c>
      <c r="U77" s="623">
        <f t="shared" si="32"/>
        <v>0</v>
      </c>
      <c r="V77" s="552">
        <f t="shared" si="33"/>
        <v>0</v>
      </c>
      <c r="W77" s="553" t="str">
        <f t="shared" ref="W77:W140" si="39">IF(L77="","",VLOOKUP(L77,Kengetal,14,FALSE))</f>
        <v>B</v>
      </c>
      <c r="X77" s="554"/>
      <c r="Y77" s="628">
        <f>IF(Q77=0,0,(Q77+R77)*'1.0-Contractblad'!$L$98)</f>
        <v>0</v>
      </c>
      <c r="Z77" s="629">
        <f ca="1">IF(J77=0,0,VLOOKUP(D77,'1.1a-Jaarprijzen'!$B$70:$P$124,14,FALSE)*(K77+J77))</f>
        <v>0</v>
      </c>
      <c r="AA77" s="60">
        <f t="shared" si="28"/>
        <v>0</v>
      </c>
      <c r="AC77" s="60" t="str">
        <f t="shared" si="29"/>
        <v>1255-255</v>
      </c>
    </row>
    <row r="78" spans="1:29">
      <c r="A78" s="548"/>
      <c r="B78" s="549"/>
      <c r="C78" s="656">
        <v>1</v>
      </c>
      <c r="D78" s="550" t="s">
        <v>1067</v>
      </c>
      <c r="E78" s="657" t="s">
        <v>694</v>
      </c>
      <c r="F78" s="645" t="s">
        <v>561</v>
      </c>
      <c r="G78" s="646" t="s">
        <v>901</v>
      </c>
      <c r="H78" s="644" t="str">
        <f t="shared" si="30"/>
        <v>administratieve -, personeels- en vergaderruimte</v>
      </c>
      <c r="I78" s="716" t="s">
        <v>804</v>
      </c>
      <c r="J78" s="648">
        <v>15.44</v>
      </c>
      <c r="K78" s="648"/>
      <c r="L78" s="649">
        <v>1255</v>
      </c>
      <c r="M78" s="555">
        <f t="shared" si="34"/>
        <v>101</v>
      </c>
      <c r="N78" s="453"/>
      <c r="O78" s="555">
        <f t="shared" si="35"/>
        <v>255</v>
      </c>
      <c r="P78" s="630">
        <v>1</v>
      </c>
      <c r="Q78" s="773">
        <f t="shared" si="36"/>
        <v>0</v>
      </c>
      <c r="R78" s="773">
        <f t="shared" si="37"/>
        <v>0</v>
      </c>
      <c r="S78" s="551">
        <f t="shared" si="38"/>
        <v>0</v>
      </c>
      <c r="T78" s="623">
        <f t="shared" si="31"/>
        <v>0</v>
      </c>
      <c r="U78" s="623">
        <f t="shared" si="32"/>
        <v>0</v>
      </c>
      <c r="V78" s="552">
        <f t="shared" si="33"/>
        <v>0</v>
      </c>
      <c r="W78" s="553" t="str">
        <f t="shared" si="39"/>
        <v>B</v>
      </c>
      <c r="X78" s="554"/>
      <c r="Y78" s="628">
        <f>IF(Q78=0,0,(Q78+R78)*'1.0-Contractblad'!$L$98)</f>
        <v>0</v>
      </c>
      <c r="Z78" s="629">
        <f ca="1">IF(J78=0,0,VLOOKUP(D78,'1.1a-Jaarprijzen'!$B$70:$P$124,14,FALSE)*(K78+J78))</f>
        <v>0</v>
      </c>
      <c r="AA78" s="60">
        <f t="shared" si="28"/>
        <v>0</v>
      </c>
      <c r="AC78" s="60" t="str">
        <f t="shared" si="29"/>
        <v>1255-255</v>
      </c>
    </row>
    <row r="79" spans="1:29">
      <c r="A79" s="548"/>
      <c r="B79" s="549"/>
      <c r="C79" s="656">
        <v>1</v>
      </c>
      <c r="D79" s="550" t="s">
        <v>1067</v>
      </c>
      <c r="E79" s="657" t="s">
        <v>694</v>
      </c>
      <c r="F79" s="645" t="s">
        <v>563</v>
      </c>
      <c r="G79" s="646" t="s">
        <v>901</v>
      </c>
      <c r="H79" s="644" t="str">
        <f t="shared" si="30"/>
        <v>administratieve -, personeels- en vergaderruimte</v>
      </c>
      <c r="I79" s="716" t="s">
        <v>804</v>
      </c>
      <c r="J79" s="648">
        <v>33.83</v>
      </c>
      <c r="K79" s="648"/>
      <c r="L79" s="649">
        <v>1255</v>
      </c>
      <c r="M79" s="555">
        <f t="shared" si="34"/>
        <v>101</v>
      </c>
      <c r="N79" s="453"/>
      <c r="O79" s="555">
        <f t="shared" si="35"/>
        <v>255</v>
      </c>
      <c r="P79" s="630">
        <v>1</v>
      </c>
      <c r="Q79" s="773">
        <f t="shared" si="36"/>
        <v>0</v>
      </c>
      <c r="R79" s="773">
        <f t="shared" si="37"/>
        <v>0</v>
      </c>
      <c r="S79" s="551">
        <f t="shared" si="38"/>
        <v>0</v>
      </c>
      <c r="T79" s="623">
        <f t="shared" si="31"/>
        <v>0</v>
      </c>
      <c r="U79" s="623">
        <f t="shared" si="32"/>
        <v>0</v>
      </c>
      <c r="V79" s="552">
        <f t="shared" si="33"/>
        <v>0</v>
      </c>
      <c r="W79" s="553" t="str">
        <f t="shared" si="39"/>
        <v>B</v>
      </c>
      <c r="X79" s="554"/>
      <c r="Y79" s="628">
        <f>IF(Q79=0,0,(Q79+R79)*'1.0-Contractblad'!$L$98)</f>
        <v>0</v>
      </c>
      <c r="Z79" s="629">
        <f ca="1">IF(J79=0,0,VLOOKUP(D79,'1.1a-Jaarprijzen'!$B$70:$P$124,14,FALSE)*(K79+J79))</f>
        <v>0</v>
      </c>
      <c r="AA79" s="60">
        <f t="shared" si="28"/>
        <v>0</v>
      </c>
      <c r="AC79" s="60" t="str">
        <f t="shared" si="29"/>
        <v>11255-255</v>
      </c>
    </row>
    <row r="80" spans="1:29">
      <c r="A80" s="548"/>
      <c r="B80" s="549"/>
      <c r="C80" s="656">
        <v>1</v>
      </c>
      <c r="D80" s="550" t="s">
        <v>1067</v>
      </c>
      <c r="E80" s="657" t="s">
        <v>694</v>
      </c>
      <c r="F80" s="645" t="s">
        <v>564</v>
      </c>
      <c r="G80" s="646" t="s">
        <v>905</v>
      </c>
      <c r="H80" s="644" t="str">
        <f t="shared" si="30"/>
        <v>kantine, restaurant</v>
      </c>
      <c r="I80" s="716" t="s">
        <v>804</v>
      </c>
      <c r="J80" s="648">
        <v>75.02</v>
      </c>
      <c r="K80" s="648"/>
      <c r="L80" s="649">
        <v>11255</v>
      </c>
      <c r="M80" s="555">
        <f t="shared" si="34"/>
        <v>105</v>
      </c>
      <c r="N80" s="453"/>
      <c r="O80" s="555">
        <f t="shared" si="35"/>
        <v>255</v>
      </c>
      <c r="P80" s="630">
        <v>1</v>
      </c>
      <c r="Q80" s="773">
        <f t="shared" si="36"/>
        <v>0</v>
      </c>
      <c r="R80" s="773">
        <f t="shared" si="37"/>
        <v>0</v>
      </c>
      <c r="S80" s="551">
        <f t="shared" si="38"/>
        <v>0</v>
      </c>
      <c r="T80" s="623">
        <f t="shared" si="31"/>
        <v>0</v>
      </c>
      <c r="U80" s="623">
        <f t="shared" si="32"/>
        <v>0</v>
      </c>
      <c r="V80" s="552">
        <f t="shared" si="33"/>
        <v>0</v>
      </c>
      <c r="W80" s="553" t="str">
        <f t="shared" si="39"/>
        <v>V</v>
      </c>
      <c r="X80" s="554"/>
      <c r="Y80" s="628">
        <f>IF(Q80=0,0,(Q80+R80)*'1.0-Contractblad'!$L$98)</f>
        <v>0</v>
      </c>
      <c r="Z80" s="629">
        <f ca="1">IF(J80=0,0,VLOOKUP(D80,'1.1a-Jaarprijzen'!$B$70:$P$124,14,FALSE)*(K80+J80))</f>
        <v>0</v>
      </c>
      <c r="AA80" s="60">
        <f t="shared" si="28"/>
        <v>0</v>
      </c>
      <c r="AC80" s="60" t="str">
        <f t="shared" si="29"/>
        <v>3255-255</v>
      </c>
    </row>
    <row r="81" spans="1:29">
      <c r="A81" s="548"/>
      <c r="B81" s="549"/>
      <c r="C81" s="656">
        <v>1</v>
      </c>
      <c r="D81" s="550" t="s">
        <v>1067</v>
      </c>
      <c r="E81" s="657" t="s">
        <v>694</v>
      </c>
      <c r="F81" s="645" t="s">
        <v>566</v>
      </c>
      <c r="G81" s="646" t="s">
        <v>906</v>
      </c>
      <c r="H81" s="644" t="str">
        <f t="shared" si="30"/>
        <v>entree, gang, hal, repro, kopieer, was/droogruimte</v>
      </c>
      <c r="I81" s="716" t="s">
        <v>804</v>
      </c>
      <c r="J81" s="648">
        <v>7.68</v>
      </c>
      <c r="K81" s="648"/>
      <c r="L81" s="649">
        <v>3255</v>
      </c>
      <c r="M81" s="555">
        <f t="shared" si="34"/>
        <v>103</v>
      </c>
      <c r="N81" s="453"/>
      <c r="O81" s="555">
        <f t="shared" si="35"/>
        <v>255</v>
      </c>
      <c r="P81" s="630">
        <v>1</v>
      </c>
      <c r="Q81" s="773">
        <f t="shared" si="36"/>
        <v>0</v>
      </c>
      <c r="R81" s="773">
        <f t="shared" si="37"/>
        <v>0</v>
      </c>
      <c r="S81" s="551">
        <f t="shared" si="38"/>
        <v>0</v>
      </c>
      <c r="T81" s="623">
        <f t="shared" si="31"/>
        <v>0</v>
      </c>
      <c r="U81" s="623">
        <f t="shared" si="32"/>
        <v>0</v>
      </c>
      <c r="V81" s="552">
        <f t="shared" si="33"/>
        <v>0</v>
      </c>
      <c r="W81" s="553" t="str">
        <f t="shared" si="39"/>
        <v>V</v>
      </c>
      <c r="X81" s="554"/>
      <c r="Y81" s="628">
        <f>IF(Q81=0,0,(Q81+R81)*'1.0-Contractblad'!$L$98)</f>
        <v>0</v>
      </c>
      <c r="Z81" s="629">
        <f ca="1">IF(J81=0,0,VLOOKUP(D81,'1.1a-Jaarprijzen'!$B$70:$P$124,14,FALSE)*(K81+J81))</f>
        <v>0</v>
      </c>
      <c r="AA81" s="60">
        <f t="shared" si="28"/>
        <v>0</v>
      </c>
      <c r="AC81" s="60" t="str">
        <f t="shared" si="29"/>
        <v>3255-255</v>
      </c>
    </row>
    <row r="82" spans="1:29">
      <c r="A82" s="548"/>
      <c r="B82" s="549"/>
      <c r="C82" s="656">
        <v>1</v>
      </c>
      <c r="D82" s="550" t="s">
        <v>1067</v>
      </c>
      <c r="E82" s="657" t="s">
        <v>694</v>
      </c>
      <c r="F82" s="645" t="s">
        <v>562</v>
      </c>
      <c r="G82" s="646" t="s">
        <v>793</v>
      </c>
      <c r="H82" s="644" t="str">
        <f t="shared" si="30"/>
        <v>entree, gang, hal, repro, kopieer, was/droogruimte</v>
      </c>
      <c r="I82" s="716" t="s">
        <v>804</v>
      </c>
      <c r="J82" s="648">
        <v>43.18</v>
      </c>
      <c r="K82" s="648"/>
      <c r="L82" s="649">
        <v>3255</v>
      </c>
      <c r="M82" s="555">
        <f t="shared" si="34"/>
        <v>103</v>
      </c>
      <c r="N82" s="453"/>
      <c r="O82" s="555">
        <f t="shared" si="35"/>
        <v>255</v>
      </c>
      <c r="P82" s="630">
        <v>1</v>
      </c>
      <c r="Q82" s="773">
        <f t="shared" si="36"/>
        <v>0</v>
      </c>
      <c r="R82" s="773">
        <f t="shared" si="37"/>
        <v>0</v>
      </c>
      <c r="S82" s="551">
        <f t="shared" si="38"/>
        <v>0</v>
      </c>
      <c r="T82" s="623">
        <f t="shared" si="31"/>
        <v>0</v>
      </c>
      <c r="U82" s="623">
        <f t="shared" si="32"/>
        <v>0</v>
      </c>
      <c r="V82" s="552">
        <f t="shared" si="33"/>
        <v>0</v>
      </c>
      <c r="W82" s="553" t="str">
        <f t="shared" si="39"/>
        <v>V</v>
      </c>
      <c r="X82" s="554"/>
      <c r="Y82" s="628">
        <f>IF(Q82=0,0,(Q82+R82)*'1.0-Contractblad'!$L$98)</f>
        <v>0</v>
      </c>
      <c r="Z82" s="629">
        <f ca="1">IF(J82=0,0,VLOOKUP(D82,'1.1a-Jaarprijzen'!$B$70:$P$124,14,FALSE)*(K82+J82))</f>
        <v>0</v>
      </c>
      <c r="AA82" s="60">
        <f t="shared" si="28"/>
        <v>0</v>
      </c>
      <c r="AC82" s="60" t="str">
        <f t="shared" si="29"/>
        <v>4255-255</v>
      </c>
    </row>
    <row r="83" spans="1:29">
      <c r="A83" s="548"/>
      <c r="B83" s="549"/>
      <c r="C83" s="656">
        <v>1</v>
      </c>
      <c r="D83" s="550" t="s">
        <v>1067</v>
      </c>
      <c r="E83" s="657" t="s">
        <v>694</v>
      </c>
      <c r="F83" s="645" t="s">
        <v>567</v>
      </c>
      <c r="G83" s="646" t="s">
        <v>679</v>
      </c>
      <c r="H83" s="644" t="str">
        <f t="shared" si="30"/>
        <v>sanitaire ruimte (toilet-/doucheruimte)</v>
      </c>
      <c r="I83" s="716" t="s">
        <v>1009</v>
      </c>
      <c r="J83" s="648">
        <v>6.01</v>
      </c>
      <c r="K83" s="648"/>
      <c r="L83" s="649">
        <v>4255</v>
      </c>
      <c r="M83" s="555">
        <f t="shared" si="34"/>
        <v>104</v>
      </c>
      <c r="N83" s="453"/>
      <c r="O83" s="555">
        <f t="shared" si="35"/>
        <v>255</v>
      </c>
      <c r="P83" s="630">
        <v>1</v>
      </c>
      <c r="Q83" s="773">
        <f t="shared" si="36"/>
        <v>0</v>
      </c>
      <c r="R83" s="773">
        <f t="shared" si="37"/>
        <v>0</v>
      </c>
      <c r="S83" s="551">
        <f t="shared" si="38"/>
        <v>0</v>
      </c>
      <c r="T83" s="623">
        <f t="shared" si="31"/>
        <v>0</v>
      </c>
      <c r="U83" s="623">
        <f t="shared" si="32"/>
        <v>0</v>
      </c>
      <c r="V83" s="552">
        <f t="shared" si="33"/>
        <v>0</v>
      </c>
      <c r="W83" s="553" t="str">
        <f t="shared" si="39"/>
        <v>S</v>
      </c>
      <c r="X83" s="554"/>
      <c r="Y83" s="628">
        <f>IF(Q83=0,0,(Q83+R83)*'1.0-Contractblad'!$L$98)</f>
        <v>0</v>
      </c>
      <c r="Z83" s="629">
        <f ca="1">IF(J83=0,0,VLOOKUP(D83,'1.1a-Jaarprijzen'!$B$70:$P$124,14,FALSE)*(K83+J83))</f>
        <v>0</v>
      </c>
      <c r="AA83" s="60">
        <f t="shared" si="28"/>
        <v>0</v>
      </c>
      <c r="AC83" s="60" t="str">
        <f t="shared" si="29"/>
        <v>4255-255</v>
      </c>
    </row>
    <row r="84" spans="1:29">
      <c r="A84" s="548"/>
      <c r="B84" s="549"/>
      <c r="C84" s="656">
        <v>1</v>
      </c>
      <c r="D84" s="550" t="s">
        <v>1067</v>
      </c>
      <c r="E84" s="657" t="s">
        <v>694</v>
      </c>
      <c r="F84" s="645" t="s">
        <v>569</v>
      </c>
      <c r="G84" s="646" t="s">
        <v>907</v>
      </c>
      <c r="H84" s="644" t="str">
        <f t="shared" si="30"/>
        <v>sanitaire ruimte (toilet-/doucheruimte)</v>
      </c>
      <c r="I84" s="716" t="s">
        <v>1009</v>
      </c>
      <c r="J84" s="648">
        <v>4.96</v>
      </c>
      <c r="K84" s="648"/>
      <c r="L84" s="649">
        <v>4255</v>
      </c>
      <c r="M84" s="555">
        <f t="shared" si="34"/>
        <v>104</v>
      </c>
      <c r="N84" s="453"/>
      <c r="O84" s="555">
        <f t="shared" si="35"/>
        <v>255</v>
      </c>
      <c r="P84" s="630">
        <v>1</v>
      </c>
      <c r="Q84" s="773">
        <f t="shared" si="36"/>
        <v>0</v>
      </c>
      <c r="R84" s="773">
        <f t="shared" si="37"/>
        <v>0</v>
      </c>
      <c r="S84" s="551">
        <f t="shared" si="38"/>
        <v>0</v>
      </c>
      <c r="T84" s="623">
        <f t="shared" si="31"/>
        <v>0</v>
      </c>
      <c r="U84" s="623">
        <f t="shared" si="32"/>
        <v>0</v>
      </c>
      <c r="V84" s="552">
        <f t="shared" si="33"/>
        <v>0</v>
      </c>
      <c r="W84" s="553" t="str">
        <f t="shared" si="39"/>
        <v>S</v>
      </c>
      <c r="X84" s="554"/>
      <c r="Y84" s="628">
        <f>IF(Q84=0,0,(Q84+R84)*'1.0-Contractblad'!$L$98)</f>
        <v>0</v>
      </c>
      <c r="Z84" s="629">
        <f ca="1">IF(J84=0,0,VLOOKUP(D84,'1.1a-Jaarprijzen'!$B$70:$P$124,14,FALSE)*(K84+J84))</f>
        <v>0</v>
      </c>
      <c r="AA84" s="60">
        <f t="shared" si="28"/>
        <v>0</v>
      </c>
      <c r="AC84" s="60" t="str">
        <f t="shared" si="29"/>
        <v>4255-255</v>
      </c>
    </row>
    <row r="85" spans="1:29">
      <c r="A85" s="548"/>
      <c r="B85" s="549"/>
      <c r="C85" s="656">
        <v>1</v>
      </c>
      <c r="D85" s="550" t="s">
        <v>1067</v>
      </c>
      <c r="E85" s="657" t="s">
        <v>694</v>
      </c>
      <c r="F85" s="645" t="s">
        <v>570</v>
      </c>
      <c r="G85" s="646" t="s">
        <v>908</v>
      </c>
      <c r="H85" s="644" t="str">
        <f t="shared" si="30"/>
        <v>sanitaire ruimte (toilet-/doucheruimte)</v>
      </c>
      <c r="I85" s="716" t="s">
        <v>1009</v>
      </c>
      <c r="J85" s="648">
        <v>6.01</v>
      </c>
      <c r="K85" s="648"/>
      <c r="L85" s="649">
        <v>4255</v>
      </c>
      <c r="M85" s="555">
        <f t="shared" si="34"/>
        <v>104</v>
      </c>
      <c r="N85" s="453"/>
      <c r="O85" s="555">
        <f t="shared" si="35"/>
        <v>255</v>
      </c>
      <c r="P85" s="630">
        <v>1</v>
      </c>
      <c r="Q85" s="773">
        <f t="shared" si="36"/>
        <v>0</v>
      </c>
      <c r="R85" s="773">
        <f t="shared" si="37"/>
        <v>0</v>
      </c>
      <c r="S85" s="551">
        <f t="shared" si="38"/>
        <v>0</v>
      </c>
      <c r="T85" s="623">
        <f t="shared" si="31"/>
        <v>0</v>
      </c>
      <c r="U85" s="623">
        <f t="shared" si="32"/>
        <v>0</v>
      </c>
      <c r="V85" s="552">
        <f t="shared" si="33"/>
        <v>0</v>
      </c>
      <c r="W85" s="553" t="str">
        <f t="shared" si="39"/>
        <v>S</v>
      </c>
      <c r="X85" s="554"/>
      <c r="Y85" s="628">
        <f>IF(Q85=0,0,(Q85+R85)*'1.0-Contractblad'!$L$98)</f>
        <v>0</v>
      </c>
      <c r="Z85" s="629">
        <f ca="1">IF(J85=0,0,VLOOKUP(D85,'1.1a-Jaarprijzen'!$B$70:$P$124,14,FALSE)*(K85+J85))</f>
        <v>0</v>
      </c>
      <c r="AA85" s="60">
        <f t="shared" si="28"/>
        <v>0</v>
      </c>
      <c r="AC85" s="60" t="str">
        <f t="shared" si="29"/>
        <v>1255-255</v>
      </c>
    </row>
    <row r="86" spans="1:29">
      <c r="A86" s="556"/>
      <c r="B86" s="549"/>
      <c r="C86" s="656">
        <v>1</v>
      </c>
      <c r="D86" s="550" t="s">
        <v>1067</v>
      </c>
      <c r="E86" s="657" t="s">
        <v>694</v>
      </c>
      <c r="F86" s="645" t="s">
        <v>571</v>
      </c>
      <c r="G86" s="646" t="s">
        <v>909</v>
      </c>
      <c r="H86" s="644" t="str">
        <f t="shared" si="30"/>
        <v>administratieve -, personeels- en vergaderruimte</v>
      </c>
      <c r="I86" s="716" t="s">
        <v>804</v>
      </c>
      <c r="J86" s="648">
        <v>37.979999999999997</v>
      </c>
      <c r="K86" s="648"/>
      <c r="L86" s="649">
        <v>1255</v>
      </c>
      <c r="M86" s="555">
        <f t="shared" si="34"/>
        <v>101</v>
      </c>
      <c r="N86" s="453"/>
      <c r="O86" s="555">
        <f t="shared" si="35"/>
        <v>255</v>
      </c>
      <c r="P86" s="630">
        <v>1</v>
      </c>
      <c r="Q86" s="773">
        <f t="shared" si="36"/>
        <v>0</v>
      </c>
      <c r="R86" s="773">
        <f t="shared" si="37"/>
        <v>0</v>
      </c>
      <c r="S86" s="551">
        <f t="shared" si="38"/>
        <v>0</v>
      </c>
      <c r="T86" s="623">
        <f t="shared" si="31"/>
        <v>0</v>
      </c>
      <c r="U86" s="623">
        <f t="shared" si="32"/>
        <v>0</v>
      </c>
      <c r="V86" s="552">
        <f t="shared" si="33"/>
        <v>0</v>
      </c>
      <c r="W86" s="553" t="str">
        <f t="shared" si="39"/>
        <v>B</v>
      </c>
      <c r="X86" s="554"/>
      <c r="Y86" s="628">
        <f>IF(Q86=0,0,(Q86+R86)*'1.0-Contractblad'!$L$98)</f>
        <v>0</v>
      </c>
      <c r="Z86" s="629">
        <f ca="1">IF(J86=0,0,VLOOKUP(D86,'1.1a-Jaarprijzen'!$B$70:$P$124,14,FALSE)*(K86+J86))</f>
        <v>0</v>
      </c>
      <c r="AA86" s="60">
        <f t="shared" si="28"/>
        <v>0</v>
      </c>
      <c r="AC86" s="60" t="str">
        <f t="shared" si="29"/>
        <v>9255-255</v>
      </c>
    </row>
    <row r="87" spans="1:29">
      <c r="A87" s="556"/>
      <c r="B87" s="549"/>
      <c r="C87" s="656">
        <v>1</v>
      </c>
      <c r="D87" s="550" t="s">
        <v>1067</v>
      </c>
      <c r="E87" s="657" t="s">
        <v>694</v>
      </c>
      <c r="F87" s="645" t="s">
        <v>572</v>
      </c>
      <c r="G87" s="646" t="s">
        <v>910</v>
      </c>
      <c r="H87" s="644" t="str">
        <f t="shared" si="30"/>
        <v>trappenhuis</v>
      </c>
      <c r="I87" s="716" t="s">
        <v>1009</v>
      </c>
      <c r="J87" s="648">
        <v>16.48</v>
      </c>
      <c r="K87" s="648"/>
      <c r="L87" s="660">
        <v>9255</v>
      </c>
      <c r="M87" s="555">
        <f t="shared" si="34"/>
        <v>109</v>
      </c>
      <c r="N87" s="453"/>
      <c r="O87" s="555">
        <f t="shared" si="35"/>
        <v>255</v>
      </c>
      <c r="P87" s="630">
        <v>1</v>
      </c>
      <c r="Q87" s="773">
        <f t="shared" si="36"/>
        <v>0</v>
      </c>
      <c r="R87" s="773">
        <f t="shared" si="37"/>
        <v>0</v>
      </c>
      <c r="S87" s="551">
        <f t="shared" si="38"/>
        <v>0</v>
      </c>
      <c r="T87" s="623">
        <f t="shared" si="31"/>
        <v>0</v>
      </c>
      <c r="U87" s="623">
        <f t="shared" si="32"/>
        <v>0</v>
      </c>
      <c r="V87" s="552">
        <f t="shared" si="33"/>
        <v>0</v>
      </c>
      <c r="W87" s="553" t="str">
        <f t="shared" si="39"/>
        <v>V</v>
      </c>
      <c r="X87" s="554"/>
      <c r="Y87" s="628">
        <f>IF(Q87=0,0,(Q87+R87)*'1.0-Contractblad'!$L$98)</f>
        <v>0</v>
      </c>
      <c r="Z87" s="629">
        <f ca="1">IF(J87=0,0,VLOOKUP(D87,'1.1a-Jaarprijzen'!$B$70:$P$124,14,FALSE)*(K87+J87))</f>
        <v>0</v>
      </c>
      <c r="AA87" s="60">
        <f t="shared" si="28"/>
        <v>0</v>
      </c>
      <c r="AC87" s="60" t="str">
        <f t="shared" si="29"/>
        <v>3255-255</v>
      </c>
    </row>
    <row r="88" spans="1:29">
      <c r="A88" s="556"/>
      <c r="B88" s="549"/>
      <c r="C88" s="656">
        <v>1</v>
      </c>
      <c r="D88" s="550" t="s">
        <v>1067</v>
      </c>
      <c r="E88" s="657" t="s">
        <v>694</v>
      </c>
      <c r="F88" s="645" t="s">
        <v>573</v>
      </c>
      <c r="G88" s="646" t="s">
        <v>793</v>
      </c>
      <c r="H88" s="644" t="str">
        <f t="shared" si="30"/>
        <v>entree, gang, hal, repro, kopieer, was/droogruimte</v>
      </c>
      <c r="I88" s="716" t="s">
        <v>804</v>
      </c>
      <c r="J88" s="648">
        <v>49.5</v>
      </c>
      <c r="K88" s="648"/>
      <c r="L88" s="649">
        <v>3255</v>
      </c>
      <c r="M88" s="555">
        <f t="shared" si="34"/>
        <v>103</v>
      </c>
      <c r="N88" s="453"/>
      <c r="O88" s="555">
        <f t="shared" si="35"/>
        <v>255</v>
      </c>
      <c r="P88" s="630">
        <v>1</v>
      </c>
      <c r="Q88" s="773">
        <f t="shared" si="36"/>
        <v>0</v>
      </c>
      <c r="R88" s="773">
        <f t="shared" si="37"/>
        <v>0</v>
      </c>
      <c r="S88" s="551">
        <f t="shared" si="38"/>
        <v>0</v>
      </c>
      <c r="T88" s="623">
        <f t="shared" si="31"/>
        <v>0</v>
      </c>
      <c r="U88" s="623">
        <f t="shared" si="32"/>
        <v>0</v>
      </c>
      <c r="V88" s="552">
        <f t="shared" si="33"/>
        <v>0</v>
      </c>
      <c r="W88" s="553" t="str">
        <f t="shared" si="39"/>
        <v>V</v>
      </c>
      <c r="X88" s="554"/>
      <c r="Y88" s="628">
        <f>IF(Q88=0,0,(Q88+R88)*'1.0-Contractblad'!$L$98)</f>
        <v>0</v>
      </c>
      <c r="Z88" s="629">
        <f ca="1">IF(J88=0,0,VLOOKUP(D88,'1.1a-Jaarprijzen'!$B$70:$P$124,14,FALSE)*(K88+J88))</f>
        <v>0</v>
      </c>
      <c r="AA88" s="60">
        <f t="shared" si="28"/>
        <v>0</v>
      </c>
      <c r="AC88" s="60" t="str">
        <f t="shared" si="29"/>
        <v>1255-255</v>
      </c>
    </row>
    <row r="89" spans="1:29">
      <c r="A89" s="556"/>
      <c r="B89" s="549"/>
      <c r="C89" s="656">
        <v>1</v>
      </c>
      <c r="D89" s="550" t="s">
        <v>1067</v>
      </c>
      <c r="E89" s="657" t="s">
        <v>694</v>
      </c>
      <c r="F89" s="645" t="s">
        <v>587</v>
      </c>
      <c r="G89" s="646" t="s">
        <v>901</v>
      </c>
      <c r="H89" s="644" t="str">
        <f t="shared" si="30"/>
        <v>administratieve -, personeels- en vergaderruimte</v>
      </c>
      <c r="I89" s="716" t="s">
        <v>804</v>
      </c>
      <c r="J89" s="648">
        <v>21.28</v>
      </c>
      <c r="K89" s="648"/>
      <c r="L89" s="649">
        <v>1255</v>
      </c>
      <c r="M89" s="555">
        <f t="shared" si="34"/>
        <v>101</v>
      </c>
      <c r="N89" s="453"/>
      <c r="O89" s="555">
        <f t="shared" si="35"/>
        <v>255</v>
      </c>
      <c r="P89" s="630">
        <v>1</v>
      </c>
      <c r="Q89" s="773">
        <f t="shared" si="36"/>
        <v>0</v>
      </c>
      <c r="R89" s="773">
        <f t="shared" si="37"/>
        <v>0</v>
      </c>
      <c r="S89" s="551">
        <f t="shared" si="38"/>
        <v>0</v>
      </c>
      <c r="T89" s="623">
        <f t="shared" si="31"/>
        <v>0</v>
      </c>
      <c r="U89" s="623">
        <f t="shared" si="32"/>
        <v>0</v>
      </c>
      <c r="V89" s="552">
        <f t="shared" si="33"/>
        <v>0</v>
      </c>
      <c r="W89" s="553" t="str">
        <f t="shared" si="39"/>
        <v>B</v>
      </c>
      <c r="X89" s="554"/>
      <c r="Y89" s="628">
        <f>IF(Q89=0,0,(Q89+R89)*'1.0-Contractblad'!$L$98)</f>
        <v>0</v>
      </c>
      <c r="Z89" s="629">
        <f ca="1">IF(J89=0,0,VLOOKUP(D89,'1.1a-Jaarprijzen'!$B$70:$P$124,14,FALSE)*(K89+J89))</f>
        <v>0</v>
      </c>
      <c r="AA89" s="60">
        <f t="shared" si="28"/>
        <v>0</v>
      </c>
      <c r="AC89" s="60" t="str">
        <f t="shared" si="29"/>
        <v>1255-255</v>
      </c>
    </row>
    <row r="90" spans="1:29">
      <c r="A90" s="556"/>
      <c r="B90" s="549"/>
      <c r="C90" s="656">
        <v>1</v>
      </c>
      <c r="D90" s="550" t="s">
        <v>1067</v>
      </c>
      <c r="E90" s="657" t="s">
        <v>694</v>
      </c>
      <c r="F90" s="645" t="s">
        <v>680</v>
      </c>
      <c r="G90" s="646" t="s">
        <v>684</v>
      </c>
      <c r="H90" s="644" t="str">
        <f t="shared" si="30"/>
        <v>administratieve -, personeels- en vergaderruimte</v>
      </c>
      <c r="I90" s="716" t="s">
        <v>804</v>
      </c>
      <c r="J90" s="648">
        <v>24.08</v>
      </c>
      <c r="K90" s="648"/>
      <c r="L90" s="649">
        <v>1255</v>
      </c>
      <c r="M90" s="555">
        <f t="shared" si="34"/>
        <v>101</v>
      </c>
      <c r="N90" s="453"/>
      <c r="O90" s="555">
        <f t="shared" si="35"/>
        <v>255</v>
      </c>
      <c r="P90" s="630">
        <v>1</v>
      </c>
      <c r="Q90" s="773">
        <f t="shared" si="36"/>
        <v>0</v>
      </c>
      <c r="R90" s="773">
        <f t="shared" si="37"/>
        <v>0</v>
      </c>
      <c r="S90" s="551">
        <f t="shared" si="38"/>
        <v>0</v>
      </c>
      <c r="T90" s="623">
        <f t="shared" si="31"/>
        <v>0</v>
      </c>
      <c r="U90" s="623">
        <f t="shared" si="32"/>
        <v>0</v>
      </c>
      <c r="V90" s="552">
        <f t="shared" si="33"/>
        <v>0</v>
      </c>
      <c r="W90" s="553" t="str">
        <f t="shared" si="39"/>
        <v>B</v>
      </c>
      <c r="X90" s="554"/>
      <c r="Y90" s="628">
        <f>IF(Q90=0,0,(Q90+R90)*'1.0-Contractblad'!$L$98)</f>
        <v>0</v>
      </c>
      <c r="Z90" s="629">
        <f ca="1">IF(J90=0,0,VLOOKUP(D90,'1.1a-Jaarprijzen'!$B$70:$P$124,14,FALSE)*(K90+J90))</f>
        <v>0</v>
      </c>
      <c r="AA90" s="60">
        <f t="shared" si="28"/>
        <v>0</v>
      </c>
      <c r="AC90" s="60" t="str">
        <f t="shared" si="29"/>
        <v>1255-255</v>
      </c>
    </row>
    <row r="91" spans="1:29">
      <c r="A91" s="556"/>
      <c r="B91" s="549"/>
      <c r="C91" s="656">
        <v>1</v>
      </c>
      <c r="D91" s="550" t="s">
        <v>1067</v>
      </c>
      <c r="E91" s="657" t="s">
        <v>694</v>
      </c>
      <c r="F91" s="645" t="s">
        <v>681</v>
      </c>
      <c r="G91" s="646" t="s">
        <v>684</v>
      </c>
      <c r="H91" s="644" t="str">
        <f t="shared" si="30"/>
        <v>administratieve -, personeels- en vergaderruimte</v>
      </c>
      <c r="I91" s="716" t="s">
        <v>804</v>
      </c>
      <c r="J91" s="648">
        <v>11.4</v>
      </c>
      <c r="K91" s="648"/>
      <c r="L91" s="649">
        <v>1255</v>
      </c>
      <c r="M91" s="555">
        <f t="shared" si="34"/>
        <v>101</v>
      </c>
      <c r="N91" s="453"/>
      <c r="O91" s="555">
        <f t="shared" si="35"/>
        <v>255</v>
      </c>
      <c r="P91" s="630">
        <v>1</v>
      </c>
      <c r="Q91" s="773">
        <f t="shared" si="36"/>
        <v>0</v>
      </c>
      <c r="R91" s="773">
        <f t="shared" si="37"/>
        <v>0</v>
      </c>
      <c r="S91" s="551">
        <f t="shared" si="38"/>
        <v>0</v>
      </c>
      <c r="T91" s="623">
        <f t="shared" si="31"/>
        <v>0</v>
      </c>
      <c r="U91" s="623">
        <f t="shared" si="32"/>
        <v>0</v>
      </c>
      <c r="V91" s="552">
        <f t="shared" si="33"/>
        <v>0</v>
      </c>
      <c r="W91" s="553" t="str">
        <f t="shared" si="39"/>
        <v>B</v>
      </c>
      <c r="X91" s="554"/>
      <c r="Y91" s="628">
        <f>IF(Q91=0,0,(Q91+R91)*'1.0-Contractblad'!$L$98)</f>
        <v>0</v>
      </c>
      <c r="Z91" s="629">
        <f ca="1">IF(J91=0,0,VLOOKUP(D91,'1.1a-Jaarprijzen'!$B$70:$P$124,14,FALSE)*(K91+J91))</f>
        <v>0</v>
      </c>
      <c r="AA91" s="60">
        <f t="shared" si="28"/>
        <v>0</v>
      </c>
      <c r="AC91" s="60" t="str">
        <f t="shared" si="29"/>
        <v>nvt-0</v>
      </c>
    </row>
    <row r="92" spans="1:29">
      <c r="A92" s="556"/>
      <c r="B92" s="549"/>
      <c r="C92" s="656">
        <v>1</v>
      </c>
      <c r="D92" s="550" t="s">
        <v>1067</v>
      </c>
      <c r="E92" s="657" t="s">
        <v>694</v>
      </c>
      <c r="F92" s="645" t="s">
        <v>682</v>
      </c>
      <c r="G92" s="646" t="s">
        <v>911</v>
      </c>
      <c r="H92" s="644" t="str">
        <f t="shared" si="30"/>
        <v>niet van toepassing</v>
      </c>
      <c r="I92" s="716" t="s">
        <v>785</v>
      </c>
      <c r="J92" s="648"/>
      <c r="K92" s="648">
        <v>4.78</v>
      </c>
      <c r="L92" s="660" t="s">
        <v>27</v>
      </c>
      <c r="M92" s="555">
        <f t="shared" si="34"/>
        <v>0</v>
      </c>
      <c r="N92" s="453"/>
      <c r="O92" s="555">
        <f t="shared" si="35"/>
        <v>0</v>
      </c>
      <c r="P92" s="630">
        <v>1</v>
      </c>
      <c r="Q92" s="773">
        <f t="shared" si="36"/>
        <v>0</v>
      </c>
      <c r="R92" s="773">
        <f t="shared" si="37"/>
        <v>0</v>
      </c>
      <c r="S92" s="551">
        <f t="shared" si="38"/>
        <v>0</v>
      </c>
      <c r="T92" s="623">
        <f t="shared" si="31"/>
        <v>0</v>
      </c>
      <c r="U92" s="623">
        <f t="shared" si="32"/>
        <v>0</v>
      </c>
      <c r="V92" s="552">
        <f t="shared" si="33"/>
        <v>0</v>
      </c>
      <c r="W92" s="553">
        <f t="shared" si="39"/>
        <v>0</v>
      </c>
      <c r="X92" s="698"/>
      <c r="Y92" s="628">
        <f>IF(Q92=0,0,(Q92+R92)*'1.0-Contractblad'!$L$98)</f>
        <v>0</v>
      </c>
      <c r="Z92" s="629">
        <f>IF(J92=0,0,VLOOKUP(D92,'1.1a-Jaarprijzen'!$B$70:$P$124,14,FALSE)*(K92+J92))</f>
        <v>0</v>
      </c>
      <c r="AA92" s="60">
        <f t="shared" si="28"/>
        <v>0</v>
      </c>
      <c r="AC92" s="60" t="str">
        <f t="shared" si="29"/>
        <v>1255-255</v>
      </c>
    </row>
    <row r="93" spans="1:29">
      <c r="A93" s="556"/>
      <c r="B93" s="549"/>
      <c r="C93" s="656">
        <v>1</v>
      </c>
      <c r="D93" s="550" t="s">
        <v>1067</v>
      </c>
      <c r="E93" s="657" t="s">
        <v>694</v>
      </c>
      <c r="F93" s="645" t="s">
        <v>683</v>
      </c>
      <c r="G93" s="646" t="s">
        <v>684</v>
      </c>
      <c r="H93" s="644" t="str">
        <f t="shared" si="30"/>
        <v>administratieve -, personeels- en vergaderruimte</v>
      </c>
      <c r="I93" s="716" t="s">
        <v>804</v>
      </c>
      <c r="J93" s="648">
        <v>39.47</v>
      </c>
      <c r="K93" s="648"/>
      <c r="L93" s="649">
        <v>1255</v>
      </c>
      <c r="M93" s="555">
        <f t="shared" si="34"/>
        <v>101</v>
      </c>
      <c r="N93" s="453"/>
      <c r="O93" s="555">
        <f t="shared" si="35"/>
        <v>255</v>
      </c>
      <c r="P93" s="630">
        <v>1</v>
      </c>
      <c r="Q93" s="773">
        <f t="shared" si="36"/>
        <v>0</v>
      </c>
      <c r="R93" s="773">
        <f t="shared" si="37"/>
        <v>0</v>
      </c>
      <c r="S93" s="551">
        <f t="shared" si="38"/>
        <v>0</v>
      </c>
      <c r="T93" s="623">
        <f t="shared" si="31"/>
        <v>0</v>
      </c>
      <c r="U93" s="623">
        <f t="shared" si="32"/>
        <v>0</v>
      </c>
      <c r="V93" s="552">
        <f t="shared" si="33"/>
        <v>0</v>
      </c>
      <c r="W93" s="553" t="str">
        <f t="shared" si="39"/>
        <v>B</v>
      </c>
      <c r="X93" s="554"/>
      <c r="Y93" s="628">
        <f>IF(Q93=0,0,(Q93+R93)*'1.0-Contractblad'!$L$98)</f>
        <v>0</v>
      </c>
      <c r="Z93" s="629">
        <f ca="1">IF(J93=0,0,VLOOKUP(D93,'1.1a-Jaarprijzen'!$B$70:$P$124,14,FALSE)*(K93+J93))</f>
        <v>0</v>
      </c>
      <c r="AA93" s="60">
        <f t="shared" si="28"/>
        <v>0</v>
      </c>
      <c r="AC93" s="60" t="str">
        <f t="shared" si="29"/>
        <v>1255-255</v>
      </c>
    </row>
    <row r="94" spans="1:29">
      <c r="A94" s="556"/>
      <c r="B94" s="549"/>
      <c r="C94" s="656">
        <v>1</v>
      </c>
      <c r="D94" s="550" t="s">
        <v>1067</v>
      </c>
      <c r="E94" s="657" t="s">
        <v>694</v>
      </c>
      <c r="F94" s="645" t="s">
        <v>685</v>
      </c>
      <c r="G94" s="646" t="s">
        <v>684</v>
      </c>
      <c r="H94" s="644" t="str">
        <f t="shared" si="30"/>
        <v>administratieve -, personeels- en vergaderruimte</v>
      </c>
      <c r="I94" s="716" t="s">
        <v>804</v>
      </c>
      <c r="J94" s="648">
        <v>44.75</v>
      </c>
      <c r="K94" s="648"/>
      <c r="L94" s="649">
        <v>1255</v>
      </c>
      <c r="M94" s="555">
        <f t="shared" si="34"/>
        <v>101</v>
      </c>
      <c r="N94" s="453"/>
      <c r="O94" s="555">
        <f t="shared" si="35"/>
        <v>255</v>
      </c>
      <c r="P94" s="630">
        <v>1</v>
      </c>
      <c r="Q94" s="773">
        <f t="shared" si="36"/>
        <v>0</v>
      </c>
      <c r="R94" s="773">
        <f t="shared" si="37"/>
        <v>0</v>
      </c>
      <c r="S94" s="551">
        <f t="shared" si="38"/>
        <v>0</v>
      </c>
      <c r="T94" s="623">
        <f t="shared" si="31"/>
        <v>0</v>
      </c>
      <c r="U94" s="623">
        <f t="shared" si="32"/>
        <v>0</v>
      </c>
      <c r="V94" s="552">
        <f t="shared" si="33"/>
        <v>0</v>
      </c>
      <c r="W94" s="553" t="str">
        <f t="shared" si="39"/>
        <v>B</v>
      </c>
      <c r="X94" s="554"/>
      <c r="Y94" s="628">
        <f>IF(Q94=0,0,(Q94+R94)*'1.0-Contractblad'!$L$98)</f>
        <v>0</v>
      </c>
      <c r="Z94" s="629">
        <f ca="1">IF(J94=0,0,VLOOKUP(D94,'1.1a-Jaarprijzen'!$B$70:$P$124,14,FALSE)*(K94+J94))</f>
        <v>0</v>
      </c>
      <c r="AA94" s="60">
        <f t="shared" si="28"/>
        <v>0</v>
      </c>
      <c r="AC94" s="60" t="str">
        <f t="shared" si="29"/>
        <v>nvt-0</v>
      </c>
    </row>
    <row r="95" spans="1:29">
      <c r="A95" s="556"/>
      <c r="B95" s="549"/>
      <c r="C95" s="656">
        <v>1</v>
      </c>
      <c r="D95" s="550" t="s">
        <v>1067</v>
      </c>
      <c r="E95" s="657" t="s">
        <v>694</v>
      </c>
      <c r="F95" s="645" t="s">
        <v>821</v>
      </c>
      <c r="G95" s="646" t="s">
        <v>912</v>
      </c>
      <c r="H95" s="644" t="str">
        <f t="shared" si="30"/>
        <v>niet van toepassing</v>
      </c>
      <c r="I95" s="716" t="s">
        <v>804</v>
      </c>
      <c r="J95" s="648"/>
      <c r="K95" s="648">
        <v>5.92</v>
      </c>
      <c r="L95" s="660" t="s">
        <v>27</v>
      </c>
      <c r="M95" s="555">
        <f t="shared" si="34"/>
        <v>0</v>
      </c>
      <c r="N95" s="453"/>
      <c r="O95" s="555">
        <f t="shared" si="35"/>
        <v>0</v>
      </c>
      <c r="P95" s="630">
        <v>1</v>
      </c>
      <c r="Q95" s="773">
        <f t="shared" si="36"/>
        <v>0</v>
      </c>
      <c r="R95" s="773">
        <f t="shared" si="37"/>
        <v>0</v>
      </c>
      <c r="S95" s="551">
        <f t="shared" si="38"/>
        <v>0</v>
      </c>
      <c r="T95" s="623">
        <f t="shared" si="31"/>
        <v>0</v>
      </c>
      <c r="U95" s="623">
        <f t="shared" si="32"/>
        <v>0</v>
      </c>
      <c r="V95" s="552">
        <f t="shared" si="33"/>
        <v>0</v>
      </c>
      <c r="W95" s="553">
        <f t="shared" si="39"/>
        <v>0</v>
      </c>
      <c r="X95" s="698"/>
      <c r="Y95" s="628">
        <f>IF(Q95=0,0,(Q95+R95)*'1.0-Contractblad'!$L$98)</f>
        <v>0</v>
      </c>
      <c r="Z95" s="629">
        <f>IF(J95=0,0,VLOOKUP(D95,'1.1a-Jaarprijzen'!$B$70:$P$124,14,FALSE)*(K95+J95))</f>
        <v>0</v>
      </c>
      <c r="AA95" s="60">
        <f t="shared" si="28"/>
        <v>0</v>
      </c>
      <c r="AC95" s="60" t="str">
        <f t="shared" si="29"/>
        <v>1255-255</v>
      </c>
    </row>
    <row r="96" spans="1:29">
      <c r="A96" s="556"/>
      <c r="B96" s="549"/>
      <c r="C96" s="656">
        <v>1</v>
      </c>
      <c r="D96" s="550" t="s">
        <v>1067</v>
      </c>
      <c r="E96" s="657" t="s">
        <v>694</v>
      </c>
      <c r="F96" s="645" t="s">
        <v>574</v>
      </c>
      <c r="G96" s="646" t="s">
        <v>802</v>
      </c>
      <c r="H96" s="644" t="str">
        <f t="shared" si="30"/>
        <v>administratieve -, personeels- en vergaderruimte</v>
      </c>
      <c r="I96" s="716" t="s">
        <v>804</v>
      </c>
      <c r="J96" s="648">
        <v>33.29</v>
      </c>
      <c r="K96" s="648"/>
      <c r="L96" s="649">
        <v>1255</v>
      </c>
      <c r="M96" s="555">
        <f t="shared" si="34"/>
        <v>101</v>
      </c>
      <c r="N96" s="453"/>
      <c r="O96" s="555">
        <f t="shared" si="35"/>
        <v>255</v>
      </c>
      <c r="P96" s="630">
        <v>1</v>
      </c>
      <c r="Q96" s="773">
        <f t="shared" si="36"/>
        <v>0</v>
      </c>
      <c r="R96" s="773">
        <f t="shared" si="37"/>
        <v>0</v>
      </c>
      <c r="S96" s="551">
        <f t="shared" si="38"/>
        <v>0</v>
      </c>
      <c r="T96" s="623">
        <f t="shared" si="31"/>
        <v>0</v>
      </c>
      <c r="U96" s="623">
        <f t="shared" si="32"/>
        <v>0</v>
      </c>
      <c r="V96" s="552">
        <f t="shared" si="33"/>
        <v>0</v>
      </c>
      <c r="W96" s="553" t="str">
        <f t="shared" si="39"/>
        <v>B</v>
      </c>
      <c r="X96" s="554"/>
      <c r="Y96" s="628">
        <f>IF(Q96=0,0,(Q96+R96)*'1.0-Contractblad'!$L$98)</f>
        <v>0</v>
      </c>
      <c r="Z96" s="629">
        <f ca="1">IF(J96=0,0,VLOOKUP(D96,'1.1a-Jaarprijzen'!$B$70:$P$124,14,FALSE)*(K96+J96))</f>
        <v>0</v>
      </c>
      <c r="AA96" s="60">
        <f t="shared" si="28"/>
        <v>0</v>
      </c>
      <c r="AC96" s="60" t="str">
        <f t="shared" si="29"/>
        <v>3255-255</v>
      </c>
    </row>
    <row r="97" spans="1:29">
      <c r="A97" s="556"/>
      <c r="B97" s="549"/>
      <c r="C97" s="656">
        <v>1</v>
      </c>
      <c r="D97" s="550" t="s">
        <v>1067</v>
      </c>
      <c r="E97" s="657" t="s">
        <v>694</v>
      </c>
      <c r="F97" s="645" t="s">
        <v>822</v>
      </c>
      <c r="G97" s="646" t="s">
        <v>793</v>
      </c>
      <c r="H97" s="644" t="str">
        <f t="shared" si="30"/>
        <v>entree, gang, hal, repro, kopieer, was/droogruimte</v>
      </c>
      <c r="I97" s="716" t="s">
        <v>804</v>
      </c>
      <c r="J97" s="648">
        <v>23.56</v>
      </c>
      <c r="K97" s="648"/>
      <c r="L97" s="649">
        <v>3255</v>
      </c>
      <c r="M97" s="555">
        <f t="shared" si="34"/>
        <v>103</v>
      </c>
      <c r="N97" s="453"/>
      <c r="O97" s="555">
        <f t="shared" si="35"/>
        <v>255</v>
      </c>
      <c r="P97" s="630">
        <v>1</v>
      </c>
      <c r="Q97" s="773">
        <f t="shared" si="36"/>
        <v>0</v>
      </c>
      <c r="R97" s="773">
        <f t="shared" si="37"/>
        <v>0</v>
      </c>
      <c r="S97" s="551">
        <f t="shared" si="38"/>
        <v>0</v>
      </c>
      <c r="T97" s="623">
        <f t="shared" si="31"/>
        <v>0</v>
      </c>
      <c r="U97" s="623">
        <f t="shared" si="32"/>
        <v>0</v>
      </c>
      <c r="V97" s="552">
        <f t="shared" si="33"/>
        <v>0</v>
      </c>
      <c r="W97" s="553" t="str">
        <f t="shared" si="39"/>
        <v>V</v>
      </c>
      <c r="X97" s="554"/>
      <c r="Y97" s="628">
        <f>IF(Q97=0,0,(Q97+R97)*'1.0-Contractblad'!$L$98)</f>
        <v>0</v>
      </c>
      <c r="Z97" s="629">
        <f ca="1">IF(J97=0,0,VLOOKUP(D97,'1.1a-Jaarprijzen'!$B$70:$P$124,14,FALSE)*(K97+J97))</f>
        <v>0</v>
      </c>
      <c r="AA97" s="60">
        <f t="shared" si="28"/>
        <v>0</v>
      </c>
      <c r="AC97" s="60" t="str">
        <f t="shared" si="29"/>
        <v>nvt-0</v>
      </c>
    </row>
    <row r="98" spans="1:29">
      <c r="A98" s="556"/>
      <c r="B98" s="549"/>
      <c r="C98" s="656">
        <v>1</v>
      </c>
      <c r="D98" s="550" t="s">
        <v>1067</v>
      </c>
      <c r="E98" s="657" t="s">
        <v>694</v>
      </c>
      <c r="F98" s="645" t="s">
        <v>686</v>
      </c>
      <c r="G98" s="646" t="s">
        <v>710</v>
      </c>
      <c r="H98" s="644" t="str">
        <f t="shared" si="30"/>
        <v>niet van toepassing</v>
      </c>
      <c r="I98" s="716" t="s">
        <v>804</v>
      </c>
      <c r="J98" s="648"/>
      <c r="K98" s="648">
        <v>3.49</v>
      </c>
      <c r="L98" s="660" t="s">
        <v>27</v>
      </c>
      <c r="M98" s="555">
        <f t="shared" si="34"/>
        <v>0</v>
      </c>
      <c r="N98" s="453"/>
      <c r="O98" s="555">
        <f t="shared" si="35"/>
        <v>0</v>
      </c>
      <c r="P98" s="630">
        <v>1</v>
      </c>
      <c r="Q98" s="773">
        <f t="shared" si="36"/>
        <v>0</v>
      </c>
      <c r="R98" s="773">
        <f t="shared" si="37"/>
        <v>0</v>
      </c>
      <c r="S98" s="551">
        <f t="shared" si="38"/>
        <v>0</v>
      </c>
      <c r="T98" s="623">
        <f t="shared" si="31"/>
        <v>0</v>
      </c>
      <c r="U98" s="623">
        <f t="shared" si="32"/>
        <v>0</v>
      </c>
      <c r="V98" s="552">
        <f t="shared" si="33"/>
        <v>0</v>
      </c>
      <c r="W98" s="553">
        <f t="shared" si="39"/>
        <v>0</v>
      </c>
      <c r="X98" s="698"/>
      <c r="Y98" s="628">
        <f>IF(Q98=0,0,(Q98+R98)*'1.0-Contractblad'!$L$98)</f>
        <v>0</v>
      </c>
      <c r="Z98" s="629">
        <f>IF(J98=0,0,VLOOKUP(D98,'1.1a-Jaarprijzen'!$B$70:$P$124,14,FALSE)*(K98+J98))</f>
        <v>0</v>
      </c>
      <c r="AA98" s="60">
        <f t="shared" si="28"/>
        <v>0</v>
      </c>
      <c r="AC98" s="60" t="str">
        <f t="shared" si="29"/>
        <v>nvt-0</v>
      </c>
    </row>
    <row r="99" spans="1:29">
      <c r="A99" s="556"/>
      <c r="B99" s="549"/>
      <c r="C99" s="656">
        <v>1</v>
      </c>
      <c r="D99" s="550" t="s">
        <v>1067</v>
      </c>
      <c r="E99" s="657" t="s">
        <v>694</v>
      </c>
      <c r="F99" s="645" t="s">
        <v>687</v>
      </c>
      <c r="G99" s="646" t="s">
        <v>710</v>
      </c>
      <c r="H99" s="644" t="str">
        <f t="shared" si="30"/>
        <v>niet van toepassing</v>
      </c>
      <c r="I99" s="716" t="s">
        <v>804</v>
      </c>
      <c r="J99" s="648"/>
      <c r="K99" s="648">
        <v>5.07</v>
      </c>
      <c r="L99" s="660" t="s">
        <v>27</v>
      </c>
      <c r="M99" s="555">
        <f t="shared" si="34"/>
        <v>0</v>
      </c>
      <c r="N99" s="453"/>
      <c r="O99" s="555">
        <f t="shared" si="35"/>
        <v>0</v>
      </c>
      <c r="P99" s="630">
        <v>1</v>
      </c>
      <c r="Q99" s="773">
        <f t="shared" si="36"/>
        <v>0</v>
      </c>
      <c r="R99" s="773">
        <f t="shared" si="37"/>
        <v>0</v>
      </c>
      <c r="S99" s="551">
        <f t="shared" si="38"/>
        <v>0</v>
      </c>
      <c r="T99" s="623">
        <f t="shared" si="31"/>
        <v>0</v>
      </c>
      <c r="U99" s="623">
        <f t="shared" si="32"/>
        <v>0</v>
      </c>
      <c r="V99" s="552">
        <f t="shared" si="33"/>
        <v>0</v>
      </c>
      <c r="W99" s="553">
        <f t="shared" si="39"/>
        <v>0</v>
      </c>
      <c r="X99" s="698"/>
      <c r="Y99" s="628">
        <f>IF(Q99=0,0,(Q99+R99)*'1.0-Contractblad'!$L$98)</f>
        <v>0</v>
      </c>
      <c r="Z99" s="629">
        <f>IF(J99=0,0,VLOOKUP(D99,'1.1a-Jaarprijzen'!$B$70:$P$124,14,FALSE)*(K99+J99))</f>
        <v>0</v>
      </c>
      <c r="AA99" s="60">
        <f t="shared" si="28"/>
        <v>0</v>
      </c>
      <c r="AC99" s="60" t="str">
        <f t="shared" si="29"/>
        <v>nvt-0</v>
      </c>
    </row>
    <row r="100" spans="1:29">
      <c r="A100" s="557"/>
      <c r="B100" s="549"/>
      <c r="C100" s="656">
        <v>1</v>
      </c>
      <c r="D100" s="550" t="s">
        <v>1067</v>
      </c>
      <c r="E100" s="657" t="s">
        <v>694</v>
      </c>
      <c r="F100" s="645" t="s">
        <v>688</v>
      </c>
      <c r="G100" s="646" t="s">
        <v>889</v>
      </c>
      <c r="H100" s="644" t="str">
        <f t="shared" si="30"/>
        <v>niet van toepassing</v>
      </c>
      <c r="I100" s="716" t="s">
        <v>804</v>
      </c>
      <c r="J100" s="648"/>
      <c r="K100" s="648">
        <v>3.08</v>
      </c>
      <c r="L100" s="660" t="s">
        <v>27</v>
      </c>
      <c r="M100" s="555">
        <f t="shared" si="34"/>
        <v>0</v>
      </c>
      <c r="N100" s="453"/>
      <c r="O100" s="555">
        <f t="shared" si="35"/>
        <v>0</v>
      </c>
      <c r="P100" s="630">
        <v>1</v>
      </c>
      <c r="Q100" s="773">
        <f t="shared" si="36"/>
        <v>0</v>
      </c>
      <c r="R100" s="773">
        <f t="shared" si="37"/>
        <v>0</v>
      </c>
      <c r="S100" s="551">
        <f t="shared" si="38"/>
        <v>0</v>
      </c>
      <c r="T100" s="623">
        <f t="shared" si="31"/>
        <v>0</v>
      </c>
      <c r="U100" s="623">
        <f t="shared" si="32"/>
        <v>0</v>
      </c>
      <c r="V100" s="552">
        <f t="shared" si="33"/>
        <v>0</v>
      </c>
      <c r="W100" s="553">
        <f t="shared" si="39"/>
        <v>0</v>
      </c>
      <c r="X100" s="698"/>
      <c r="Y100" s="628">
        <f>IF(Q100=0,0,(Q100+R100)*'1.0-Contractblad'!$L$98)</f>
        <v>0</v>
      </c>
      <c r="Z100" s="629">
        <f>IF(J100=0,0,VLOOKUP(D100,'1.1a-Jaarprijzen'!$B$70:$P$124,14,FALSE)*(K100+J100))</f>
        <v>0</v>
      </c>
      <c r="AA100" s="60">
        <f t="shared" si="28"/>
        <v>0</v>
      </c>
      <c r="AC100" s="60" t="str">
        <f t="shared" si="29"/>
        <v>1255-255</v>
      </c>
    </row>
    <row r="101" spans="1:29">
      <c r="A101" s="557"/>
      <c r="B101" s="549"/>
      <c r="C101" s="656">
        <v>1</v>
      </c>
      <c r="D101" s="550" t="s">
        <v>1067</v>
      </c>
      <c r="E101" s="657" t="s">
        <v>694</v>
      </c>
      <c r="F101" s="645" t="s">
        <v>689</v>
      </c>
      <c r="G101" s="646" t="s">
        <v>802</v>
      </c>
      <c r="H101" s="644" t="str">
        <f t="shared" si="30"/>
        <v>administratieve -, personeels- en vergaderruimte</v>
      </c>
      <c r="I101" s="716" t="s">
        <v>804</v>
      </c>
      <c r="J101" s="648">
        <v>68.59</v>
      </c>
      <c r="K101" s="648"/>
      <c r="L101" s="649">
        <v>1255</v>
      </c>
      <c r="M101" s="555">
        <f t="shared" si="34"/>
        <v>101</v>
      </c>
      <c r="N101" s="453"/>
      <c r="O101" s="555">
        <f t="shared" si="35"/>
        <v>255</v>
      </c>
      <c r="P101" s="630">
        <v>1</v>
      </c>
      <c r="Q101" s="773">
        <f t="shared" si="36"/>
        <v>0</v>
      </c>
      <c r="R101" s="773">
        <f t="shared" si="37"/>
        <v>0</v>
      </c>
      <c r="S101" s="551">
        <f t="shared" si="38"/>
        <v>0</v>
      </c>
      <c r="T101" s="623">
        <f t="shared" si="31"/>
        <v>0</v>
      </c>
      <c r="U101" s="623">
        <f t="shared" si="32"/>
        <v>0</v>
      </c>
      <c r="V101" s="552">
        <f t="shared" si="33"/>
        <v>0</v>
      </c>
      <c r="W101" s="553" t="str">
        <f t="shared" si="39"/>
        <v>B</v>
      </c>
      <c r="X101" s="554"/>
      <c r="Y101" s="628">
        <f>IF(Q101=0,0,(Q101+R101)*'1.0-Contractblad'!$L$98)</f>
        <v>0</v>
      </c>
      <c r="Z101" s="629">
        <f ca="1">IF(J101=0,0,VLOOKUP(D101,'1.1a-Jaarprijzen'!$B$70:$P$124,14,FALSE)*(K101+J101))</f>
        <v>0</v>
      </c>
      <c r="AA101" s="60">
        <f t="shared" si="28"/>
        <v>0</v>
      </c>
      <c r="AC101" s="60" t="str">
        <f t="shared" si="29"/>
        <v>nvt-0</v>
      </c>
    </row>
    <row r="102" spans="1:29">
      <c r="A102" s="557"/>
      <c r="B102" s="549"/>
      <c r="C102" s="656">
        <v>1</v>
      </c>
      <c r="D102" s="550" t="s">
        <v>1067</v>
      </c>
      <c r="E102" s="657" t="s">
        <v>694</v>
      </c>
      <c r="F102" s="645" t="s">
        <v>823</v>
      </c>
      <c r="G102" s="646" t="s">
        <v>710</v>
      </c>
      <c r="H102" s="644" t="str">
        <f t="shared" si="30"/>
        <v>niet van toepassing</v>
      </c>
      <c r="I102" s="716" t="s">
        <v>804</v>
      </c>
      <c r="J102" s="648"/>
      <c r="K102" s="648">
        <v>1.62</v>
      </c>
      <c r="L102" s="660" t="s">
        <v>27</v>
      </c>
      <c r="M102" s="555">
        <f t="shared" si="34"/>
        <v>0</v>
      </c>
      <c r="N102" s="453"/>
      <c r="O102" s="555">
        <f t="shared" si="35"/>
        <v>0</v>
      </c>
      <c r="P102" s="630">
        <v>1</v>
      </c>
      <c r="Q102" s="773">
        <f t="shared" si="36"/>
        <v>0</v>
      </c>
      <c r="R102" s="773">
        <f t="shared" si="37"/>
        <v>0</v>
      </c>
      <c r="S102" s="551">
        <f t="shared" si="38"/>
        <v>0</v>
      </c>
      <c r="T102" s="623">
        <f t="shared" si="31"/>
        <v>0</v>
      </c>
      <c r="U102" s="623">
        <f t="shared" si="32"/>
        <v>0</v>
      </c>
      <c r="V102" s="552">
        <f t="shared" si="33"/>
        <v>0</v>
      </c>
      <c r="W102" s="553">
        <f t="shared" si="39"/>
        <v>0</v>
      </c>
      <c r="X102" s="698"/>
      <c r="Y102" s="628">
        <f>IF(Q102=0,0,(Q102+R102)*'1.0-Contractblad'!$L$98)</f>
        <v>0</v>
      </c>
      <c r="Z102" s="629">
        <f>IF(J102=0,0,VLOOKUP(D102,'1.1a-Jaarprijzen'!$B$70:$P$124,14,FALSE)*(K102+J102))</f>
        <v>0</v>
      </c>
      <c r="AA102" s="60">
        <f t="shared" si="28"/>
        <v>0</v>
      </c>
      <c r="AC102" s="60" t="str">
        <f t="shared" si="29"/>
        <v>1255-255</v>
      </c>
    </row>
    <row r="103" spans="1:29">
      <c r="A103" s="557"/>
      <c r="B103" s="549"/>
      <c r="C103" s="656">
        <v>1</v>
      </c>
      <c r="D103" s="550" t="s">
        <v>1067</v>
      </c>
      <c r="E103" s="657" t="s">
        <v>694</v>
      </c>
      <c r="F103" s="645" t="s">
        <v>690</v>
      </c>
      <c r="G103" s="646" t="s">
        <v>684</v>
      </c>
      <c r="H103" s="644" t="str">
        <f t="shared" si="30"/>
        <v>administratieve -, personeels- en vergaderruimte</v>
      </c>
      <c r="I103" s="716" t="s">
        <v>804</v>
      </c>
      <c r="J103" s="648">
        <v>34.19</v>
      </c>
      <c r="K103" s="648"/>
      <c r="L103" s="649">
        <v>1255</v>
      </c>
      <c r="M103" s="555">
        <f t="shared" si="34"/>
        <v>101</v>
      </c>
      <c r="N103" s="453"/>
      <c r="O103" s="555">
        <f t="shared" si="35"/>
        <v>255</v>
      </c>
      <c r="P103" s="630">
        <v>1</v>
      </c>
      <c r="Q103" s="773">
        <f t="shared" si="36"/>
        <v>0</v>
      </c>
      <c r="R103" s="773">
        <f t="shared" si="37"/>
        <v>0</v>
      </c>
      <c r="S103" s="551">
        <f t="shared" si="38"/>
        <v>0</v>
      </c>
      <c r="T103" s="623">
        <f t="shared" si="31"/>
        <v>0</v>
      </c>
      <c r="U103" s="623">
        <f t="shared" si="32"/>
        <v>0</v>
      </c>
      <c r="V103" s="552">
        <f t="shared" si="33"/>
        <v>0</v>
      </c>
      <c r="W103" s="553" t="str">
        <f t="shared" si="39"/>
        <v>B</v>
      </c>
      <c r="X103" s="554"/>
      <c r="Y103" s="628">
        <f>IF(Q103=0,0,(Q103+R103)*'1.0-Contractblad'!$L$98)</f>
        <v>0</v>
      </c>
      <c r="Z103" s="629">
        <f ca="1">IF(J103=0,0,VLOOKUP(D103,'1.1a-Jaarprijzen'!$B$70:$P$124,14,FALSE)*(K103+J103))</f>
        <v>0</v>
      </c>
      <c r="AA103" s="60">
        <f t="shared" si="28"/>
        <v>0</v>
      </c>
      <c r="AC103" s="60" t="str">
        <f t="shared" si="29"/>
        <v>1255-255</v>
      </c>
    </row>
    <row r="104" spans="1:29">
      <c r="A104" s="557"/>
      <c r="B104" s="549"/>
      <c r="C104" s="656">
        <v>1</v>
      </c>
      <c r="D104" s="550" t="s">
        <v>1067</v>
      </c>
      <c r="E104" s="657" t="s">
        <v>694</v>
      </c>
      <c r="F104" s="645" t="s">
        <v>691</v>
      </c>
      <c r="G104" s="646" t="s">
        <v>684</v>
      </c>
      <c r="H104" s="644" t="str">
        <f t="shared" si="30"/>
        <v>administratieve -, personeels- en vergaderruimte</v>
      </c>
      <c r="I104" s="716" t="s">
        <v>804</v>
      </c>
      <c r="J104" s="648">
        <v>18.68</v>
      </c>
      <c r="K104" s="648"/>
      <c r="L104" s="649">
        <v>1255</v>
      </c>
      <c r="M104" s="555">
        <f t="shared" si="34"/>
        <v>101</v>
      </c>
      <c r="N104" s="453"/>
      <c r="O104" s="555">
        <f t="shared" si="35"/>
        <v>255</v>
      </c>
      <c r="P104" s="630">
        <v>1</v>
      </c>
      <c r="Q104" s="773">
        <f t="shared" si="36"/>
        <v>0</v>
      </c>
      <c r="R104" s="773">
        <f t="shared" si="37"/>
        <v>0</v>
      </c>
      <c r="S104" s="551">
        <f t="shared" si="38"/>
        <v>0</v>
      </c>
      <c r="T104" s="623">
        <f t="shared" si="31"/>
        <v>0</v>
      </c>
      <c r="U104" s="623">
        <f t="shared" si="32"/>
        <v>0</v>
      </c>
      <c r="V104" s="552">
        <f t="shared" si="33"/>
        <v>0</v>
      </c>
      <c r="W104" s="553" t="str">
        <f t="shared" si="39"/>
        <v>B</v>
      </c>
      <c r="X104" s="554"/>
      <c r="Y104" s="628">
        <f>IF(Q104=0,0,(Q104+R104)*'1.0-Contractblad'!$L$98)</f>
        <v>0</v>
      </c>
      <c r="Z104" s="629">
        <f ca="1">IF(J104=0,0,VLOOKUP(D104,'1.1a-Jaarprijzen'!$B$70:$P$124,14,FALSE)*(K104+J104))</f>
        <v>0</v>
      </c>
      <c r="AA104" s="60">
        <f t="shared" si="28"/>
        <v>0</v>
      </c>
      <c r="AC104" s="60" t="str">
        <f t="shared" si="29"/>
        <v>1255-255</v>
      </c>
    </row>
    <row r="105" spans="1:29">
      <c r="A105" s="557"/>
      <c r="B105" s="549"/>
      <c r="C105" s="656">
        <v>1</v>
      </c>
      <c r="D105" s="550" t="s">
        <v>1067</v>
      </c>
      <c r="E105" s="657" t="s">
        <v>694</v>
      </c>
      <c r="F105" s="645" t="s">
        <v>692</v>
      </c>
      <c r="G105" s="646" t="s">
        <v>684</v>
      </c>
      <c r="H105" s="644" t="str">
        <f t="shared" si="30"/>
        <v>administratieve -, personeels- en vergaderruimte</v>
      </c>
      <c r="I105" s="716" t="s">
        <v>804</v>
      </c>
      <c r="J105" s="648">
        <v>16.32</v>
      </c>
      <c r="K105" s="648"/>
      <c r="L105" s="649">
        <v>1255</v>
      </c>
      <c r="M105" s="555">
        <f t="shared" si="34"/>
        <v>101</v>
      </c>
      <c r="N105" s="453"/>
      <c r="O105" s="555">
        <f t="shared" si="35"/>
        <v>255</v>
      </c>
      <c r="P105" s="630">
        <v>1</v>
      </c>
      <c r="Q105" s="773">
        <f t="shared" si="36"/>
        <v>0</v>
      </c>
      <c r="R105" s="773">
        <f t="shared" si="37"/>
        <v>0</v>
      </c>
      <c r="S105" s="551">
        <f t="shared" si="38"/>
        <v>0</v>
      </c>
      <c r="T105" s="623">
        <f t="shared" si="31"/>
        <v>0</v>
      </c>
      <c r="U105" s="623">
        <f t="shared" si="32"/>
        <v>0</v>
      </c>
      <c r="V105" s="552">
        <f t="shared" si="33"/>
        <v>0</v>
      </c>
      <c r="W105" s="553" t="str">
        <f t="shared" si="39"/>
        <v>B</v>
      </c>
      <c r="X105" s="554"/>
      <c r="Y105" s="628">
        <f>IF(Q105=0,0,(Q105+R105)*'1.0-Contractblad'!$L$98)</f>
        <v>0</v>
      </c>
      <c r="Z105" s="629">
        <f ca="1">IF(J105=0,0,VLOOKUP(D105,'1.1a-Jaarprijzen'!$B$70:$P$124,14,FALSE)*(K105+J105))</f>
        <v>0</v>
      </c>
      <c r="AA105" s="60">
        <f t="shared" si="28"/>
        <v>0</v>
      </c>
      <c r="AC105" s="60" t="str">
        <f t="shared" si="29"/>
        <v>4255-255</v>
      </c>
    </row>
    <row r="106" spans="1:29">
      <c r="A106" s="557"/>
      <c r="B106" s="549"/>
      <c r="C106" s="656">
        <v>1</v>
      </c>
      <c r="D106" s="550" t="s">
        <v>1067</v>
      </c>
      <c r="E106" s="657" t="s">
        <v>694</v>
      </c>
      <c r="F106" s="645" t="s">
        <v>824</v>
      </c>
      <c r="G106" s="646" t="s">
        <v>782</v>
      </c>
      <c r="H106" s="644" t="str">
        <f t="shared" si="30"/>
        <v>sanitaire ruimte (toilet-/doucheruimte)</v>
      </c>
      <c r="I106" s="716" t="s">
        <v>1009</v>
      </c>
      <c r="J106" s="648">
        <v>2.2999999999999998</v>
      </c>
      <c r="K106" s="648"/>
      <c r="L106" s="649">
        <v>4255</v>
      </c>
      <c r="M106" s="555">
        <f t="shared" si="34"/>
        <v>104</v>
      </c>
      <c r="N106" s="453"/>
      <c r="O106" s="555">
        <f t="shared" si="35"/>
        <v>255</v>
      </c>
      <c r="P106" s="630">
        <v>1</v>
      </c>
      <c r="Q106" s="773">
        <f t="shared" si="36"/>
        <v>0</v>
      </c>
      <c r="R106" s="773">
        <f t="shared" si="37"/>
        <v>0</v>
      </c>
      <c r="S106" s="551">
        <f t="shared" si="38"/>
        <v>0</v>
      </c>
      <c r="T106" s="623">
        <f t="shared" si="31"/>
        <v>0</v>
      </c>
      <c r="U106" s="623">
        <f t="shared" si="32"/>
        <v>0</v>
      </c>
      <c r="V106" s="552">
        <f t="shared" si="33"/>
        <v>0</v>
      </c>
      <c r="W106" s="553" t="str">
        <f t="shared" si="39"/>
        <v>S</v>
      </c>
      <c r="X106" s="554"/>
      <c r="Y106" s="628">
        <f>IF(Q106=0,0,(Q106+R106)*'1.0-Contractblad'!$L$98)</f>
        <v>0</v>
      </c>
      <c r="Z106" s="629">
        <f ca="1">IF(J106=0,0,VLOOKUP(D106,'1.1a-Jaarprijzen'!$B$70:$P$124,14,FALSE)*(K106+J106))</f>
        <v>0</v>
      </c>
      <c r="AA106" s="60">
        <f t="shared" si="28"/>
        <v>0</v>
      </c>
      <c r="AC106" s="60" t="str">
        <f t="shared" si="29"/>
        <v>1255-255</v>
      </c>
    </row>
    <row r="107" spans="1:29">
      <c r="A107" s="557"/>
      <c r="B107" s="549"/>
      <c r="C107" s="656">
        <v>1</v>
      </c>
      <c r="D107" s="550" t="s">
        <v>1067</v>
      </c>
      <c r="E107" s="657" t="s">
        <v>694</v>
      </c>
      <c r="F107" s="645" t="s">
        <v>693</v>
      </c>
      <c r="G107" s="646" t="s">
        <v>684</v>
      </c>
      <c r="H107" s="644" t="str">
        <f t="shared" si="30"/>
        <v>administratieve -, personeels- en vergaderruimte</v>
      </c>
      <c r="I107" s="716" t="s">
        <v>804</v>
      </c>
      <c r="J107" s="648">
        <v>23.38</v>
      </c>
      <c r="K107" s="648"/>
      <c r="L107" s="649">
        <v>1255</v>
      </c>
      <c r="M107" s="555">
        <f t="shared" si="34"/>
        <v>101</v>
      </c>
      <c r="N107" s="453"/>
      <c r="O107" s="555">
        <f t="shared" si="35"/>
        <v>255</v>
      </c>
      <c r="P107" s="630">
        <v>1</v>
      </c>
      <c r="Q107" s="773">
        <f t="shared" si="36"/>
        <v>0</v>
      </c>
      <c r="R107" s="773">
        <f t="shared" si="37"/>
        <v>0</v>
      </c>
      <c r="S107" s="551">
        <f t="shared" si="38"/>
        <v>0</v>
      </c>
      <c r="T107" s="623">
        <f t="shared" si="31"/>
        <v>0</v>
      </c>
      <c r="U107" s="623">
        <f t="shared" si="32"/>
        <v>0</v>
      </c>
      <c r="V107" s="552">
        <f t="shared" si="33"/>
        <v>0</v>
      </c>
      <c r="W107" s="553" t="str">
        <f t="shared" si="39"/>
        <v>B</v>
      </c>
      <c r="X107" s="554"/>
      <c r="Y107" s="628">
        <f>IF(Q107=0,0,(Q107+R107)*'1.0-Contractblad'!$L$98)</f>
        <v>0</v>
      </c>
      <c r="Z107" s="629">
        <f ca="1">IF(J107=0,0,VLOOKUP(D107,'1.1a-Jaarprijzen'!$B$70:$P$124,14,FALSE)*(K107+J107))</f>
        <v>0</v>
      </c>
      <c r="AA107" s="60">
        <f t="shared" si="28"/>
        <v>0</v>
      </c>
      <c r="AC107" s="60" t="str">
        <f t="shared" si="29"/>
        <v>7200-200</v>
      </c>
    </row>
    <row r="108" spans="1:29">
      <c r="A108" s="548"/>
      <c r="B108" s="549"/>
      <c r="C108" s="656">
        <v>1</v>
      </c>
      <c r="D108" s="550" t="s">
        <v>1071</v>
      </c>
      <c r="E108" s="657" t="s">
        <v>1010</v>
      </c>
      <c r="F108" s="645" t="s">
        <v>606</v>
      </c>
      <c r="G108" s="646" t="s">
        <v>913</v>
      </c>
      <c r="H108" s="644" t="str">
        <f t="shared" si="30"/>
        <v>leslokaal</v>
      </c>
      <c r="I108" s="716" t="s">
        <v>785</v>
      </c>
      <c r="J108" s="648">
        <v>60.14</v>
      </c>
      <c r="K108" s="648"/>
      <c r="L108" s="649">
        <v>7200</v>
      </c>
      <c r="M108" s="555">
        <f t="shared" si="34"/>
        <v>107</v>
      </c>
      <c r="N108" s="453"/>
      <c r="O108" s="555">
        <f t="shared" si="35"/>
        <v>200</v>
      </c>
      <c r="P108" s="630">
        <v>1</v>
      </c>
      <c r="Q108" s="773">
        <f t="shared" si="36"/>
        <v>0</v>
      </c>
      <c r="R108" s="773">
        <f t="shared" si="37"/>
        <v>0</v>
      </c>
      <c r="S108" s="551">
        <f t="shared" si="38"/>
        <v>0</v>
      </c>
      <c r="T108" s="623">
        <f t="shared" si="31"/>
        <v>0</v>
      </c>
      <c r="U108" s="623">
        <f t="shared" si="32"/>
        <v>0</v>
      </c>
      <c r="V108" s="552">
        <f t="shared" si="33"/>
        <v>0</v>
      </c>
      <c r="W108" s="553" t="str">
        <f t="shared" si="39"/>
        <v>L</v>
      </c>
      <c r="X108" s="554"/>
      <c r="Y108" s="628">
        <f>IF(Q108=0,0,(Q108+R108)*'1.0-Contractblad'!$L$98)</f>
        <v>0</v>
      </c>
      <c r="Z108" s="629">
        <f ca="1">IF(J108=0,0,VLOOKUP(D108,'1.1a-Jaarprijzen'!$B$70:$P$124,14,FALSE)*(K108+J108))</f>
        <v>0</v>
      </c>
      <c r="AA108" s="60">
        <f t="shared" si="28"/>
        <v>0</v>
      </c>
      <c r="AC108" s="60" t="str">
        <f t="shared" si="29"/>
        <v>4236-236</v>
      </c>
    </row>
    <row r="109" spans="1:29">
      <c r="A109" s="548"/>
      <c r="B109" s="549"/>
      <c r="C109" s="656">
        <v>1</v>
      </c>
      <c r="D109" s="550" t="s">
        <v>1071</v>
      </c>
      <c r="E109" s="657" t="s">
        <v>1010</v>
      </c>
      <c r="F109" s="645" t="s">
        <v>607</v>
      </c>
      <c r="G109" s="646" t="s">
        <v>914</v>
      </c>
      <c r="H109" s="644" t="str">
        <f t="shared" si="30"/>
        <v>sanitaire ruimte (toilet-/doucheruimte)</v>
      </c>
      <c r="I109" s="716" t="s">
        <v>1009</v>
      </c>
      <c r="J109" s="648">
        <v>5.27</v>
      </c>
      <c r="K109" s="648"/>
      <c r="L109" s="649">
        <v>4236</v>
      </c>
      <c r="M109" s="555">
        <f t="shared" si="34"/>
        <v>104</v>
      </c>
      <c r="N109" s="453"/>
      <c r="O109" s="555">
        <f t="shared" si="35"/>
        <v>236</v>
      </c>
      <c r="P109" s="630">
        <v>1.05</v>
      </c>
      <c r="Q109" s="773">
        <f t="shared" si="36"/>
        <v>0</v>
      </c>
      <c r="R109" s="773">
        <f t="shared" si="37"/>
        <v>0</v>
      </c>
      <c r="S109" s="551">
        <f t="shared" si="38"/>
        <v>0</v>
      </c>
      <c r="T109" s="623">
        <f t="shared" si="31"/>
        <v>0</v>
      </c>
      <c r="U109" s="623">
        <f t="shared" si="32"/>
        <v>0</v>
      </c>
      <c r="V109" s="552">
        <f t="shared" si="33"/>
        <v>0</v>
      </c>
      <c r="W109" s="553" t="str">
        <f t="shared" si="39"/>
        <v>S</v>
      </c>
      <c r="X109" s="554"/>
      <c r="Y109" s="628">
        <f>IF(Q109=0,0,(Q109+R109)*'1.0-Contractblad'!$L$98)</f>
        <v>0</v>
      </c>
      <c r="Z109" s="629">
        <f ca="1">IF(J109=0,0,VLOOKUP(D109,'1.1a-Jaarprijzen'!$B$70:$P$124,14,FALSE)*(K109+J109))</f>
        <v>0</v>
      </c>
      <c r="AA109" s="60">
        <f t="shared" si="28"/>
        <v>0</v>
      </c>
      <c r="AC109" s="60" t="str">
        <f t="shared" si="29"/>
        <v>2236-236</v>
      </c>
    </row>
    <row r="110" spans="1:29">
      <c r="A110" s="548"/>
      <c r="B110" s="700"/>
      <c r="C110" s="656">
        <v>1</v>
      </c>
      <c r="D110" s="550" t="s">
        <v>1071</v>
      </c>
      <c r="E110" s="657" t="s">
        <v>1010</v>
      </c>
      <c r="F110" s="645" t="s">
        <v>608</v>
      </c>
      <c r="G110" s="646" t="s">
        <v>915</v>
      </c>
      <c r="H110" s="644" t="str">
        <f t="shared" si="30"/>
        <v>aula, gemeenschappelijke ruimte, bibliotheek</v>
      </c>
      <c r="I110" s="716" t="s">
        <v>785</v>
      </c>
      <c r="J110" s="648">
        <v>60.79</v>
      </c>
      <c r="K110" s="648"/>
      <c r="L110" s="660">
        <v>2236</v>
      </c>
      <c r="M110" s="555">
        <f t="shared" si="34"/>
        <v>102</v>
      </c>
      <c r="N110" s="453"/>
      <c r="O110" s="555">
        <f t="shared" si="35"/>
        <v>236</v>
      </c>
      <c r="P110" s="630">
        <v>1</v>
      </c>
      <c r="Q110" s="773">
        <f t="shared" si="36"/>
        <v>0</v>
      </c>
      <c r="R110" s="773">
        <f t="shared" si="37"/>
        <v>0</v>
      </c>
      <c r="S110" s="551">
        <f t="shared" si="38"/>
        <v>0</v>
      </c>
      <c r="T110" s="623">
        <f t="shared" si="31"/>
        <v>0</v>
      </c>
      <c r="U110" s="623">
        <f t="shared" si="32"/>
        <v>0</v>
      </c>
      <c r="V110" s="552">
        <f t="shared" si="33"/>
        <v>0</v>
      </c>
      <c r="W110" s="553" t="str">
        <f t="shared" si="39"/>
        <v>V</v>
      </c>
      <c r="X110" s="554"/>
      <c r="Y110" s="628">
        <f>IF(Q110=0,0,(Q110+R110)*'1.0-Contractblad'!$L$98)</f>
        <v>0</v>
      </c>
      <c r="Z110" s="629">
        <f ca="1">IF(J110=0,0,VLOOKUP(D110,'1.1a-Jaarprijzen'!$B$70:$P$124,14,FALSE)*(K110+J110))</f>
        <v>0</v>
      </c>
      <c r="AA110" s="60">
        <f t="shared" si="28"/>
        <v>0</v>
      </c>
      <c r="AC110" s="60" t="str">
        <f t="shared" si="29"/>
        <v>4236-236</v>
      </c>
    </row>
    <row r="111" spans="1:29">
      <c r="A111" s="548"/>
      <c r="B111" s="549"/>
      <c r="C111" s="656">
        <v>1</v>
      </c>
      <c r="D111" s="550" t="s">
        <v>1071</v>
      </c>
      <c r="E111" s="657" t="s">
        <v>1010</v>
      </c>
      <c r="F111" s="645" t="s">
        <v>609</v>
      </c>
      <c r="G111" s="646" t="s">
        <v>916</v>
      </c>
      <c r="H111" s="644" t="str">
        <f t="shared" si="30"/>
        <v>sanitaire ruimte (toilet-/doucheruimte)</v>
      </c>
      <c r="I111" s="716" t="s">
        <v>1009</v>
      </c>
      <c r="J111" s="648">
        <v>5.28</v>
      </c>
      <c r="K111" s="648"/>
      <c r="L111" s="649">
        <v>4236</v>
      </c>
      <c r="M111" s="555">
        <f t="shared" si="34"/>
        <v>104</v>
      </c>
      <c r="N111" s="453"/>
      <c r="O111" s="555">
        <f t="shared" si="35"/>
        <v>236</v>
      </c>
      <c r="P111" s="630">
        <v>1.05</v>
      </c>
      <c r="Q111" s="773">
        <f t="shared" si="36"/>
        <v>0</v>
      </c>
      <c r="R111" s="773">
        <f t="shared" si="37"/>
        <v>0</v>
      </c>
      <c r="S111" s="551">
        <f t="shared" si="38"/>
        <v>0</v>
      </c>
      <c r="T111" s="623">
        <f t="shared" si="31"/>
        <v>0</v>
      </c>
      <c r="U111" s="623">
        <f t="shared" si="32"/>
        <v>0</v>
      </c>
      <c r="V111" s="552">
        <f t="shared" si="33"/>
        <v>0</v>
      </c>
      <c r="W111" s="553" t="str">
        <f t="shared" si="39"/>
        <v>S</v>
      </c>
      <c r="X111" s="554"/>
      <c r="Y111" s="628">
        <f>IF(Q111=0,0,(Q111+R111)*'1.0-Contractblad'!$L$98)</f>
        <v>0</v>
      </c>
      <c r="Z111" s="629">
        <f ca="1">IF(J111=0,0,VLOOKUP(D111,'1.1a-Jaarprijzen'!$B$70:$P$124,14,FALSE)*(K111+J111))</f>
        <v>0</v>
      </c>
      <c r="AA111" s="60">
        <f t="shared" si="28"/>
        <v>0</v>
      </c>
      <c r="AC111" s="60" t="str">
        <f t="shared" si="29"/>
        <v>3236-236</v>
      </c>
    </row>
    <row r="112" spans="1:29">
      <c r="A112" s="548"/>
      <c r="B112" s="549"/>
      <c r="C112" s="656">
        <v>1</v>
      </c>
      <c r="D112" s="550" t="s">
        <v>1071</v>
      </c>
      <c r="E112" s="657" t="s">
        <v>1010</v>
      </c>
      <c r="F112" s="645" t="s">
        <v>610</v>
      </c>
      <c r="G112" s="646" t="s">
        <v>788</v>
      </c>
      <c r="H112" s="644" t="str">
        <f t="shared" si="30"/>
        <v>entree, gang, hal, repro, kopieer, was/droogruimte</v>
      </c>
      <c r="I112" s="716" t="s">
        <v>804</v>
      </c>
      <c r="J112" s="648">
        <v>3.77</v>
      </c>
      <c r="K112" s="648"/>
      <c r="L112" s="649">
        <v>3236</v>
      </c>
      <c r="M112" s="555">
        <f t="shared" si="34"/>
        <v>103</v>
      </c>
      <c r="N112" s="453"/>
      <c r="O112" s="555">
        <f t="shared" si="35"/>
        <v>236</v>
      </c>
      <c r="P112" s="630">
        <v>1</v>
      </c>
      <c r="Q112" s="773">
        <f t="shared" si="36"/>
        <v>0</v>
      </c>
      <c r="R112" s="773">
        <f t="shared" si="37"/>
        <v>0</v>
      </c>
      <c r="S112" s="551">
        <f t="shared" si="38"/>
        <v>0</v>
      </c>
      <c r="T112" s="623">
        <f t="shared" si="31"/>
        <v>0</v>
      </c>
      <c r="U112" s="623">
        <f t="shared" si="32"/>
        <v>0</v>
      </c>
      <c r="V112" s="552">
        <f t="shared" si="33"/>
        <v>0</v>
      </c>
      <c r="W112" s="553" t="str">
        <f t="shared" si="39"/>
        <v>V</v>
      </c>
      <c r="X112" s="554"/>
      <c r="Y112" s="628">
        <f>IF(Q112=0,0,(Q112+R112)*'1.0-Contractblad'!$L$98)</f>
        <v>0</v>
      </c>
      <c r="Z112" s="629">
        <f ca="1">IF(J112=0,0,VLOOKUP(D112,'1.1a-Jaarprijzen'!$B$70:$P$124,14,FALSE)*(K112+J112))</f>
        <v>0</v>
      </c>
      <c r="AA112" s="60">
        <f t="shared" si="28"/>
        <v>0</v>
      </c>
      <c r="AC112" s="60" t="str">
        <f t="shared" si="29"/>
        <v>nvt-0</v>
      </c>
    </row>
    <row r="113" spans="1:29">
      <c r="A113" s="548"/>
      <c r="B113" s="549"/>
      <c r="C113" s="656">
        <v>1</v>
      </c>
      <c r="D113" s="550" t="s">
        <v>1071</v>
      </c>
      <c r="E113" s="657" t="s">
        <v>1010</v>
      </c>
      <c r="F113" s="645" t="s">
        <v>611</v>
      </c>
      <c r="G113" s="646" t="s">
        <v>710</v>
      </c>
      <c r="H113" s="644" t="str">
        <f t="shared" si="30"/>
        <v>niet van toepassing</v>
      </c>
      <c r="I113" s="716" t="s">
        <v>785</v>
      </c>
      <c r="J113" s="648"/>
      <c r="K113" s="648">
        <v>10.18</v>
      </c>
      <c r="L113" s="660" t="s">
        <v>27</v>
      </c>
      <c r="M113" s="555">
        <f t="shared" si="34"/>
        <v>0</v>
      </c>
      <c r="N113" s="453"/>
      <c r="O113" s="555">
        <f t="shared" si="35"/>
        <v>0</v>
      </c>
      <c r="P113" s="630">
        <v>1</v>
      </c>
      <c r="Q113" s="773">
        <f t="shared" si="36"/>
        <v>0</v>
      </c>
      <c r="R113" s="773">
        <f t="shared" si="37"/>
        <v>0</v>
      </c>
      <c r="S113" s="551">
        <f t="shared" si="38"/>
        <v>0</v>
      </c>
      <c r="T113" s="623">
        <f t="shared" si="31"/>
        <v>0</v>
      </c>
      <c r="U113" s="623">
        <f t="shared" si="32"/>
        <v>0</v>
      </c>
      <c r="V113" s="552">
        <f t="shared" si="33"/>
        <v>0</v>
      </c>
      <c r="W113" s="553">
        <f t="shared" si="39"/>
        <v>0</v>
      </c>
      <c r="X113" s="698"/>
      <c r="Y113" s="628">
        <f>IF(Q113=0,0,(Q113+R113)*'1.0-Contractblad'!$L$98)</f>
        <v>0</v>
      </c>
      <c r="Z113" s="629">
        <f>IF(J113=0,0,VLOOKUP(D113,'1.1a-Jaarprijzen'!$B$70:$P$124,14,FALSE)*(K113+J113))</f>
        <v>0</v>
      </c>
      <c r="AA113" s="60">
        <f t="shared" si="28"/>
        <v>0</v>
      </c>
      <c r="AC113" s="60" t="str">
        <f t="shared" si="29"/>
        <v>3236-236</v>
      </c>
    </row>
    <row r="114" spans="1:29">
      <c r="A114" s="548"/>
      <c r="B114" s="549"/>
      <c r="C114" s="656">
        <v>1</v>
      </c>
      <c r="D114" s="550" t="s">
        <v>1071</v>
      </c>
      <c r="E114" s="657" t="s">
        <v>1010</v>
      </c>
      <c r="F114" s="645" t="s">
        <v>612</v>
      </c>
      <c r="G114" s="646" t="s">
        <v>781</v>
      </c>
      <c r="H114" s="644" t="str">
        <f t="shared" si="30"/>
        <v>entree, gang, hal, repro, kopieer, was/droogruimte</v>
      </c>
      <c r="I114" s="716" t="s">
        <v>785</v>
      </c>
      <c r="J114" s="648">
        <v>117</v>
      </c>
      <c r="K114" s="648"/>
      <c r="L114" s="649">
        <v>3236</v>
      </c>
      <c r="M114" s="555">
        <f t="shared" si="34"/>
        <v>103</v>
      </c>
      <c r="N114" s="453"/>
      <c r="O114" s="555">
        <f t="shared" si="35"/>
        <v>236</v>
      </c>
      <c r="P114" s="630">
        <v>1</v>
      </c>
      <c r="Q114" s="773">
        <f t="shared" si="36"/>
        <v>0</v>
      </c>
      <c r="R114" s="773">
        <f t="shared" si="37"/>
        <v>0</v>
      </c>
      <c r="S114" s="551">
        <f t="shared" si="38"/>
        <v>0</v>
      </c>
      <c r="T114" s="623">
        <f t="shared" si="31"/>
        <v>0</v>
      </c>
      <c r="U114" s="623">
        <f t="shared" si="32"/>
        <v>0</v>
      </c>
      <c r="V114" s="552">
        <f t="shared" si="33"/>
        <v>0</v>
      </c>
      <c r="W114" s="553" t="str">
        <f t="shared" si="39"/>
        <v>V</v>
      </c>
      <c r="X114" s="554"/>
      <c r="Y114" s="628">
        <f>IF(Q114=0,0,(Q114+R114)*'1.0-Contractblad'!$L$98)</f>
        <v>0</v>
      </c>
      <c r="Z114" s="629">
        <f ca="1">IF(J114=0,0,VLOOKUP(D114,'1.1a-Jaarprijzen'!$B$70:$P$124,14,FALSE)*(K114+J114))</f>
        <v>0</v>
      </c>
      <c r="AA114" s="60">
        <f t="shared" si="28"/>
        <v>0</v>
      </c>
      <c r="AC114" s="60" t="str">
        <f t="shared" si="29"/>
        <v>nvt-0</v>
      </c>
    </row>
    <row r="115" spans="1:29">
      <c r="A115" s="548"/>
      <c r="B115" s="549"/>
      <c r="C115" s="656">
        <v>1</v>
      </c>
      <c r="D115" s="550" t="s">
        <v>1071</v>
      </c>
      <c r="E115" s="657" t="s">
        <v>1010</v>
      </c>
      <c r="F115" s="645" t="s">
        <v>613</v>
      </c>
      <c r="G115" s="646" t="s">
        <v>710</v>
      </c>
      <c r="H115" s="644" t="str">
        <f t="shared" si="30"/>
        <v>niet van toepassing</v>
      </c>
      <c r="I115" s="716" t="s">
        <v>785</v>
      </c>
      <c r="J115" s="648"/>
      <c r="K115" s="648">
        <v>17.3</v>
      </c>
      <c r="L115" s="660" t="s">
        <v>27</v>
      </c>
      <c r="M115" s="555">
        <f t="shared" si="34"/>
        <v>0</v>
      </c>
      <c r="N115" s="453"/>
      <c r="O115" s="555">
        <f t="shared" si="35"/>
        <v>0</v>
      </c>
      <c r="P115" s="630">
        <v>1</v>
      </c>
      <c r="Q115" s="773">
        <f t="shared" si="36"/>
        <v>0</v>
      </c>
      <c r="R115" s="773">
        <f t="shared" si="37"/>
        <v>0</v>
      </c>
      <c r="S115" s="551">
        <f t="shared" si="38"/>
        <v>0</v>
      </c>
      <c r="T115" s="623">
        <f t="shared" si="31"/>
        <v>0</v>
      </c>
      <c r="U115" s="623">
        <f t="shared" si="32"/>
        <v>0</v>
      </c>
      <c r="V115" s="552">
        <f t="shared" si="33"/>
        <v>0</v>
      </c>
      <c r="W115" s="553">
        <f t="shared" si="39"/>
        <v>0</v>
      </c>
      <c r="X115" s="698"/>
      <c r="Y115" s="628">
        <f>IF(Q115=0,0,(Q115+R115)*'1.0-Contractblad'!$L$98)</f>
        <v>0</v>
      </c>
      <c r="Z115" s="629">
        <f>IF(J115=0,0,VLOOKUP(D115,'1.1a-Jaarprijzen'!$B$70:$P$124,14,FALSE)*(K115+J115))</f>
        <v>0</v>
      </c>
      <c r="AA115" s="60">
        <f t="shared" si="28"/>
        <v>0</v>
      </c>
      <c r="AC115" s="60" t="str">
        <f t="shared" si="29"/>
        <v>7200-200</v>
      </c>
    </row>
    <row r="116" spans="1:29">
      <c r="A116" s="548"/>
      <c r="B116" s="549"/>
      <c r="C116" s="656">
        <v>1</v>
      </c>
      <c r="D116" s="550" t="s">
        <v>1071</v>
      </c>
      <c r="E116" s="657" t="s">
        <v>1010</v>
      </c>
      <c r="F116" s="645" t="s">
        <v>614</v>
      </c>
      <c r="G116" s="646" t="s">
        <v>917</v>
      </c>
      <c r="H116" s="644" t="str">
        <f t="shared" si="30"/>
        <v>leslokaal</v>
      </c>
      <c r="I116" s="716" t="s">
        <v>785</v>
      </c>
      <c r="J116" s="648">
        <v>60.14</v>
      </c>
      <c r="K116" s="648"/>
      <c r="L116" s="649">
        <v>7200</v>
      </c>
      <c r="M116" s="555">
        <f t="shared" si="34"/>
        <v>107</v>
      </c>
      <c r="N116" s="453"/>
      <c r="O116" s="555">
        <f t="shared" si="35"/>
        <v>200</v>
      </c>
      <c r="P116" s="630">
        <v>1</v>
      </c>
      <c r="Q116" s="773">
        <f t="shared" si="36"/>
        <v>0</v>
      </c>
      <c r="R116" s="773">
        <f t="shared" si="37"/>
        <v>0</v>
      </c>
      <c r="S116" s="551">
        <f t="shared" si="38"/>
        <v>0</v>
      </c>
      <c r="T116" s="623">
        <f t="shared" si="31"/>
        <v>0</v>
      </c>
      <c r="U116" s="623">
        <f t="shared" si="32"/>
        <v>0</v>
      </c>
      <c r="V116" s="552">
        <f t="shared" si="33"/>
        <v>0</v>
      </c>
      <c r="W116" s="553" t="str">
        <f t="shared" si="39"/>
        <v>L</v>
      </c>
      <c r="X116" s="554"/>
      <c r="Y116" s="628">
        <f>IF(Q116=0,0,(Q116+R116)*'1.0-Contractblad'!$L$98)</f>
        <v>0</v>
      </c>
      <c r="Z116" s="629">
        <f ca="1">IF(J116=0,0,VLOOKUP(D116,'1.1a-Jaarprijzen'!$B$70:$P$124,14,FALSE)*(K116+J116))</f>
        <v>0</v>
      </c>
      <c r="AA116" s="60">
        <f t="shared" si="28"/>
        <v>0</v>
      </c>
      <c r="AC116" s="60" t="str">
        <f t="shared" si="29"/>
        <v>4236-236</v>
      </c>
    </row>
    <row r="117" spans="1:29">
      <c r="A117" s="548"/>
      <c r="B117" s="549"/>
      <c r="C117" s="656">
        <v>1</v>
      </c>
      <c r="D117" s="550" t="s">
        <v>1071</v>
      </c>
      <c r="E117" s="657" t="s">
        <v>1010</v>
      </c>
      <c r="F117" s="645" t="s">
        <v>615</v>
      </c>
      <c r="G117" s="646" t="s">
        <v>918</v>
      </c>
      <c r="H117" s="644" t="str">
        <f t="shared" si="30"/>
        <v>sanitaire ruimte (toilet-/doucheruimte)</v>
      </c>
      <c r="I117" s="716" t="s">
        <v>1009</v>
      </c>
      <c r="J117" s="648">
        <v>5.27</v>
      </c>
      <c r="K117" s="648"/>
      <c r="L117" s="649">
        <v>4236</v>
      </c>
      <c r="M117" s="555">
        <f t="shared" si="34"/>
        <v>104</v>
      </c>
      <c r="N117" s="453"/>
      <c r="O117" s="555">
        <f t="shared" si="35"/>
        <v>236</v>
      </c>
      <c r="P117" s="630">
        <v>1.05</v>
      </c>
      <c r="Q117" s="773">
        <f t="shared" si="36"/>
        <v>0</v>
      </c>
      <c r="R117" s="773">
        <f t="shared" si="37"/>
        <v>0</v>
      </c>
      <c r="S117" s="551">
        <f t="shared" si="38"/>
        <v>0</v>
      </c>
      <c r="T117" s="623">
        <f t="shared" si="31"/>
        <v>0</v>
      </c>
      <c r="U117" s="623">
        <f t="shared" si="32"/>
        <v>0</v>
      </c>
      <c r="V117" s="552">
        <f t="shared" si="33"/>
        <v>0</v>
      </c>
      <c r="W117" s="553" t="str">
        <f t="shared" si="39"/>
        <v>S</v>
      </c>
      <c r="X117" s="554"/>
      <c r="Y117" s="628">
        <f>IF(Q117=0,0,(Q117+R117)*'1.0-Contractblad'!$L$98)</f>
        <v>0</v>
      </c>
      <c r="Z117" s="629">
        <f ca="1">IF(J117=0,0,VLOOKUP(D117,'1.1a-Jaarprijzen'!$B$70:$P$124,14,FALSE)*(K117+J117))</f>
        <v>0</v>
      </c>
      <c r="AA117" s="60">
        <f t="shared" si="28"/>
        <v>0</v>
      </c>
      <c r="AC117" s="60" t="str">
        <f t="shared" si="29"/>
        <v>4236-236</v>
      </c>
    </row>
    <row r="118" spans="1:29">
      <c r="A118" s="548"/>
      <c r="B118" s="549"/>
      <c r="C118" s="656">
        <v>1</v>
      </c>
      <c r="D118" s="550" t="s">
        <v>1071</v>
      </c>
      <c r="E118" s="657" t="s">
        <v>1010</v>
      </c>
      <c r="F118" s="645" t="s">
        <v>616</v>
      </c>
      <c r="G118" s="646" t="s">
        <v>919</v>
      </c>
      <c r="H118" s="644" t="str">
        <f t="shared" si="30"/>
        <v>sanitaire ruimte (toilet-/doucheruimte)</v>
      </c>
      <c r="I118" s="716" t="s">
        <v>1009</v>
      </c>
      <c r="J118" s="648">
        <v>5.27</v>
      </c>
      <c r="K118" s="648"/>
      <c r="L118" s="649">
        <v>4236</v>
      </c>
      <c r="M118" s="555">
        <f t="shared" si="34"/>
        <v>104</v>
      </c>
      <c r="N118" s="453"/>
      <c r="O118" s="555">
        <f t="shared" si="35"/>
        <v>236</v>
      </c>
      <c r="P118" s="630">
        <v>1.05</v>
      </c>
      <c r="Q118" s="773">
        <f t="shared" si="36"/>
        <v>0</v>
      </c>
      <c r="R118" s="773">
        <f t="shared" si="37"/>
        <v>0</v>
      </c>
      <c r="S118" s="551">
        <f t="shared" si="38"/>
        <v>0</v>
      </c>
      <c r="T118" s="623">
        <f t="shared" si="31"/>
        <v>0</v>
      </c>
      <c r="U118" s="623">
        <f t="shared" si="32"/>
        <v>0</v>
      </c>
      <c r="V118" s="552">
        <f t="shared" si="33"/>
        <v>0</v>
      </c>
      <c r="W118" s="553" t="str">
        <f t="shared" si="39"/>
        <v>S</v>
      </c>
      <c r="X118" s="554"/>
      <c r="Y118" s="628">
        <f>IF(Q118=0,0,(Q118+R118)*'1.0-Contractblad'!$L$98)</f>
        <v>0</v>
      </c>
      <c r="Z118" s="629">
        <f ca="1">IF(J118=0,0,VLOOKUP(D118,'1.1a-Jaarprijzen'!$B$70:$P$124,14,FALSE)*(K118+J118))</f>
        <v>0</v>
      </c>
      <c r="AA118" s="60">
        <f t="shared" si="28"/>
        <v>0</v>
      </c>
      <c r="AC118" s="60" t="str">
        <f t="shared" si="29"/>
        <v>1236-236</v>
      </c>
    </row>
    <row r="119" spans="1:29">
      <c r="A119" s="548"/>
      <c r="B119" s="549"/>
      <c r="C119" s="656">
        <v>1</v>
      </c>
      <c r="D119" s="550" t="s">
        <v>1071</v>
      </c>
      <c r="E119" s="657" t="s">
        <v>1010</v>
      </c>
      <c r="F119" s="645" t="s">
        <v>617</v>
      </c>
      <c r="G119" s="646" t="s">
        <v>920</v>
      </c>
      <c r="H119" s="644" t="str">
        <f t="shared" si="30"/>
        <v>administratieve -, personeels- en vergaderruimte</v>
      </c>
      <c r="I119" s="716" t="s">
        <v>1009</v>
      </c>
      <c r="J119" s="648">
        <v>61.02</v>
      </c>
      <c r="K119" s="648"/>
      <c r="L119" s="649">
        <v>1236</v>
      </c>
      <c r="M119" s="555">
        <f t="shared" si="34"/>
        <v>101</v>
      </c>
      <c r="N119" s="453"/>
      <c r="O119" s="555">
        <f t="shared" si="35"/>
        <v>236</v>
      </c>
      <c r="P119" s="630">
        <v>1</v>
      </c>
      <c r="Q119" s="773">
        <f t="shared" si="36"/>
        <v>0</v>
      </c>
      <c r="R119" s="773">
        <f t="shared" si="37"/>
        <v>0</v>
      </c>
      <c r="S119" s="551">
        <f t="shared" si="38"/>
        <v>0</v>
      </c>
      <c r="T119" s="623">
        <f t="shared" si="31"/>
        <v>0</v>
      </c>
      <c r="U119" s="623">
        <f t="shared" si="32"/>
        <v>0</v>
      </c>
      <c r="V119" s="552">
        <f t="shared" si="33"/>
        <v>0</v>
      </c>
      <c r="W119" s="553" t="str">
        <f t="shared" si="39"/>
        <v>B</v>
      </c>
      <c r="X119" s="554"/>
      <c r="Y119" s="628">
        <f>IF(Q119=0,0,(Q119+R119)*'1.0-Contractblad'!$L$98)</f>
        <v>0</v>
      </c>
      <c r="Z119" s="629">
        <f ca="1">IF(J119=0,0,VLOOKUP(D119,'1.1a-Jaarprijzen'!$B$70:$P$124,14,FALSE)*(K119+J119))</f>
        <v>0</v>
      </c>
      <c r="AA119" s="60">
        <f t="shared" si="28"/>
        <v>0</v>
      </c>
      <c r="AC119" s="60" t="str">
        <f t="shared" si="29"/>
        <v>nvt-0</v>
      </c>
    </row>
    <row r="120" spans="1:29">
      <c r="A120" s="548"/>
      <c r="B120" s="549"/>
      <c r="C120" s="656">
        <v>1</v>
      </c>
      <c r="D120" s="550" t="s">
        <v>1071</v>
      </c>
      <c r="E120" s="657" t="s">
        <v>1010</v>
      </c>
      <c r="F120" s="645" t="s">
        <v>618</v>
      </c>
      <c r="G120" s="646" t="s">
        <v>710</v>
      </c>
      <c r="H120" s="644" t="str">
        <f t="shared" si="30"/>
        <v>niet van toepassing</v>
      </c>
      <c r="I120" s="716" t="s">
        <v>785</v>
      </c>
      <c r="J120" s="648"/>
      <c r="K120" s="648">
        <v>25.92</v>
      </c>
      <c r="L120" s="660" t="s">
        <v>27</v>
      </c>
      <c r="M120" s="555">
        <f t="shared" si="34"/>
        <v>0</v>
      </c>
      <c r="N120" s="453"/>
      <c r="O120" s="555">
        <f t="shared" si="35"/>
        <v>0</v>
      </c>
      <c r="P120" s="630">
        <v>1</v>
      </c>
      <c r="Q120" s="773">
        <f t="shared" si="36"/>
        <v>0</v>
      </c>
      <c r="R120" s="773">
        <f t="shared" si="37"/>
        <v>0</v>
      </c>
      <c r="S120" s="551">
        <f t="shared" si="38"/>
        <v>0</v>
      </c>
      <c r="T120" s="623">
        <f t="shared" si="31"/>
        <v>0</v>
      </c>
      <c r="U120" s="623">
        <f t="shared" si="32"/>
        <v>0</v>
      </c>
      <c r="V120" s="552">
        <f t="shared" si="33"/>
        <v>0</v>
      </c>
      <c r="W120" s="553">
        <f t="shared" si="39"/>
        <v>0</v>
      </c>
      <c r="X120" s="698"/>
      <c r="Y120" s="628">
        <f>IF(Q120=0,0,(Q120+R120)*'1.0-Contractblad'!$L$98)</f>
        <v>0</v>
      </c>
      <c r="Z120" s="629">
        <f>IF(J120=0,0,VLOOKUP(D120,'1.1a-Jaarprijzen'!$B$70:$P$124,14,FALSE)*(K120+J120))</f>
        <v>0</v>
      </c>
      <c r="AA120" s="60">
        <f t="shared" si="28"/>
        <v>0</v>
      </c>
      <c r="AC120" s="60" t="str">
        <f t="shared" si="29"/>
        <v>nvt-0</v>
      </c>
    </row>
    <row r="121" spans="1:29">
      <c r="A121" s="548"/>
      <c r="B121" s="549"/>
      <c r="C121" s="656">
        <v>1</v>
      </c>
      <c r="D121" s="550" t="s">
        <v>1071</v>
      </c>
      <c r="E121" s="657" t="s">
        <v>1010</v>
      </c>
      <c r="F121" s="645" t="s">
        <v>619</v>
      </c>
      <c r="G121" s="646" t="s">
        <v>885</v>
      </c>
      <c r="H121" s="644" t="str">
        <f t="shared" si="30"/>
        <v>niet van toepassing</v>
      </c>
      <c r="I121" s="716" t="s">
        <v>785</v>
      </c>
      <c r="J121" s="648"/>
      <c r="K121" s="648">
        <v>0.63</v>
      </c>
      <c r="L121" s="660" t="s">
        <v>27</v>
      </c>
      <c r="M121" s="555">
        <f t="shared" si="34"/>
        <v>0</v>
      </c>
      <c r="N121" s="453"/>
      <c r="O121" s="555">
        <f t="shared" si="35"/>
        <v>0</v>
      </c>
      <c r="P121" s="630">
        <v>1</v>
      </c>
      <c r="Q121" s="773">
        <f t="shared" si="36"/>
        <v>0</v>
      </c>
      <c r="R121" s="773">
        <f t="shared" si="37"/>
        <v>0</v>
      </c>
      <c r="S121" s="551">
        <f t="shared" si="38"/>
        <v>0</v>
      </c>
      <c r="T121" s="623">
        <f t="shared" si="31"/>
        <v>0</v>
      </c>
      <c r="U121" s="623">
        <f t="shared" si="32"/>
        <v>0</v>
      </c>
      <c r="V121" s="552">
        <f t="shared" si="33"/>
        <v>0</v>
      </c>
      <c r="W121" s="553">
        <f t="shared" si="39"/>
        <v>0</v>
      </c>
      <c r="X121" s="698"/>
      <c r="Y121" s="628">
        <f>IF(Q121=0,0,(Q121+R121)*'1.0-Contractblad'!$L$98)</f>
        <v>0</v>
      </c>
      <c r="Z121" s="629">
        <f>IF(J121=0,0,VLOOKUP(D121,'1.1a-Jaarprijzen'!$B$70:$P$124,14,FALSE)*(K121+J121))</f>
        <v>0</v>
      </c>
      <c r="AA121" s="60">
        <f t="shared" si="28"/>
        <v>0</v>
      </c>
      <c r="AC121" s="60" t="str">
        <f t="shared" si="29"/>
        <v>3236-236</v>
      </c>
    </row>
    <row r="122" spans="1:29">
      <c r="A122" s="548"/>
      <c r="B122" s="549"/>
      <c r="C122" s="656">
        <v>1</v>
      </c>
      <c r="D122" s="550" t="s">
        <v>1071</v>
      </c>
      <c r="E122" s="657" t="s">
        <v>1010</v>
      </c>
      <c r="F122" s="645" t="s">
        <v>620</v>
      </c>
      <c r="G122" s="646" t="s">
        <v>788</v>
      </c>
      <c r="H122" s="644" t="str">
        <f t="shared" si="30"/>
        <v>entree, gang, hal, repro, kopieer, was/droogruimte</v>
      </c>
      <c r="I122" s="716" t="s">
        <v>804</v>
      </c>
      <c r="J122" s="648">
        <v>3.4</v>
      </c>
      <c r="K122" s="648"/>
      <c r="L122" s="649">
        <v>3236</v>
      </c>
      <c r="M122" s="555">
        <f t="shared" si="34"/>
        <v>103</v>
      </c>
      <c r="N122" s="453"/>
      <c r="O122" s="555">
        <f t="shared" si="35"/>
        <v>236</v>
      </c>
      <c r="P122" s="630">
        <v>1</v>
      </c>
      <c r="Q122" s="773">
        <f t="shared" si="36"/>
        <v>0</v>
      </c>
      <c r="R122" s="773">
        <f t="shared" si="37"/>
        <v>0</v>
      </c>
      <c r="S122" s="551">
        <f t="shared" si="38"/>
        <v>0</v>
      </c>
      <c r="T122" s="623">
        <f t="shared" si="31"/>
        <v>0</v>
      </c>
      <c r="U122" s="623">
        <f t="shared" si="32"/>
        <v>0</v>
      </c>
      <c r="V122" s="552">
        <f t="shared" si="33"/>
        <v>0</v>
      </c>
      <c r="W122" s="553" t="str">
        <f t="shared" si="39"/>
        <v>V</v>
      </c>
      <c r="X122" s="554"/>
      <c r="Y122" s="628">
        <f>IF(Q122=0,0,(Q122+R122)*'1.0-Contractblad'!$L$98)</f>
        <v>0</v>
      </c>
      <c r="Z122" s="629">
        <f ca="1">IF(J122=0,0,VLOOKUP(D122,'1.1a-Jaarprijzen'!$B$70:$P$124,14,FALSE)*(K122+J122))</f>
        <v>0</v>
      </c>
      <c r="AA122" s="60">
        <f t="shared" si="28"/>
        <v>0</v>
      </c>
      <c r="AC122" s="60" t="str">
        <f t="shared" si="29"/>
        <v>4236-236</v>
      </c>
    </row>
    <row r="123" spans="1:29">
      <c r="A123" s="548"/>
      <c r="B123" s="549"/>
      <c r="C123" s="656">
        <v>1</v>
      </c>
      <c r="D123" s="550" t="s">
        <v>1071</v>
      </c>
      <c r="E123" s="657" t="s">
        <v>1010</v>
      </c>
      <c r="F123" s="645" t="s">
        <v>621</v>
      </c>
      <c r="G123" s="646" t="s">
        <v>916</v>
      </c>
      <c r="H123" s="644" t="str">
        <f t="shared" si="30"/>
        <v>sanitaire ruimte (toilet-/doucheruimte)</v>
      </c>
      <c r="I123" s="716" t="s">
        <v>1009</v>
      </c>
      <c r="J123" s="648">
        <v>5.27</v>
      </c>
      <c r="K123" s="648"/>
      <c r="L123" s="649">
        <v>4236</v>
      </c>
      <c r="M123" s="555">
        <f t="shared" si="34"/>
        <v>104</v>
      </c>
      <c r="N123" s="453"/>
      <c r="O123" s="555">
        <f t="shared" si="35"/>
        <v>236</v>
      </c>
      <c r="P123" s="630">
        <v>1.05</v>
      </c>
      <c r="Q123" s="773">
        <f t="shared" si="36"/>
        <v>0</v>
      </c>
      <c r="R123" s="773">
        <f t="shared" si="37"/>
        <v>0</v>
      </c>
      <c r="S123" s="551">
        <f t="shared" si="38"/>
        <v>0</v>
      </c>
      <c r="T123" s="623">
        <f t="shared" si="31"/>
        <v>0</v>
      </c>
      <c r="U123" s="623">
        <f t="shared" si="32"/>
        <v>0</v>
      </c>
      <c r="V123" s="552">
        <f t="shared" si="33"/>
        <v>0</v>
      </c>
      <c r="W123" s="553" t="str">
        <f t="shared" si="39"/>
        <v>S</v>
      </c>
      <c r="X123" s="554"/>
      <c r="Y123" s="628">
        <f>IF(Q123=0,0,(Q123+R123)*'1.0-Contractblad'!$L$98)</f>
        <v>0</v>
      </c>
      <c r="Z123" s="629">
        <f ca="1">IF(J123=0,0,VLOOKUP(D123,'1.1a-Jaarprijzen'!$B$70:$P$124,14,FALSE)*(K123+J123))</f>
        <v>0</v>
      </c>
      <c r="AA123" s="60">
        <f t="shared" si="28"/>
        <v>0</v>
      </c>
      <c r="AC123" s="60" t="str">
        <f t="shared" si="29"/>
        <v>nvt-0</v>
      </c>
    </row>
    <row r="124" spans="1:29">
      <c r="A124" s="556"/>
      <c r="B124" s="549"/>
      <c r="C124" s="656">
        <v>1</v>
      </c>
      <c r="D124" s="550" t="s">
        <v>1071</v>
      </c>
      <c r="E124" s="657" t="s">
        <v>1010</v>
      </c>
      <c r="F124" s="645" t="s">
        <v>622</v>
      </c>
      <c r="G124" s="646" t="s">
        <v>710</v>
      </c>
      <c r="H124" s="644" t="str">
        <f t="shared" si="30"/>
        <v>niet van toepassing</v>
      </c>
      <c r="I124" s="716" t="s">
        <v>785</v>
      </c>
      <c r="J124" s="648"/>
      <c r="K124" s="648">
        <v>20.22</v>
      </c>
      <c r="L124" s="660" t="s">
        <v>27</v>
      </c>
      <c r="M124" s="555">
        <f t="shared" si="34"/>
        <v>0</v>
      </c>
      <c r="N124" s="453"/>
      <c r="O124" s="555">
        <f t="shared" si="35"/>
        <v>0</v>
      </c>
      <c r="P124" s="630">
        <v>1</v>
      </c>
      <c r="Q124" s="773">
        <f t="shared" si="36"/>
        <v>0</v>
      </c>
      <c r="R124" s="773">
        <f t="shared" si="37"/>
        <v>0</v>
      </c>
      <c r="S124" s="551">
        <f t="shared" si="38"/>
        <v>0</v>
      </c>
      <c r="T124" s="623">
        <f t="shared" si="31"/>
        <v>0</v>
      </c>
      <c r="U124" s="623">
        <f t="shared" si="32"/>
        <v>0</v>
      </c>
      <c r="V124" s="552">
        <f t="shared" si="33"/>
        <v>0</v>
      </c>
      <c r="W124" s="553">
        <f t="shared" si="39"/>
        <v>0</v>
      </c>
      <c r="X124" s="698"/>
      <c r="Y124" s="628">
        <f>IF(Q124=0,0,(Q124+R124)*'1.0-Contractblad'!$L$98)</f>
        <v>0</v>
      </c>
      <c r="Z124" s="629">
        <f>IF(J124=0,0,VLOOKUP(D124,'1.1a-Jaarprijzen'!$B$70:$P$124,14,FALSE)*(K124+J124))</f>
        <v>0</v>
      </c>
      <c r="AA124" s="60">
        <f t="shared" si="28"/>
        <v>0</v>
      </c>
      <c r="AC124" s="60" t="str">
        <f t="shared" si="29"/>
        <v>3236-236</v>
      </c>
    </row>
    <row r="125" spans="1:29">
      <c r="A125" s="556"/>
      <c r="B125" s="549"/>
      <c r="C125" s="656">
        <v>1</v>
      </c>
      <c r="D125" s="550" t="s">
        <v>1071</v>
      </c>
      <c r="E125" s="657" t="s">
        <v>1010</v>
      </c>
      <c r="F125" s="645" t="s">
        <v>623</v>
      </c>
      <c r="G125" s="646" t="s">
        <v>781</v>
      </c>
      <c r="H125" s="644" t="str">
        <f t="shared" si="30"/>
        <v>entree, gang, hal, repro, kopieer, was/droogruimte</v>
      </c>
      <c r="I125" s="716" t="s">
        <v>785</v>
      </c>
      <c r="J125" s="648">
        <v>6.38</v>
      </c>
      <c r="K125" s="648"/>
      <c r="L125" s="649">
        <v>3236</v>
      </c>
      <c r="M125" s="555">
        <f t="shared" si="34"/>
        <v>103</v>
      </c>
      <c r="N125" s="453"/>
      <c r="O125" s="555">
        <f t="shared" si="35"/>
        <v>236</v>
      </c>
      <c r="P125" s="630">
        <v>1</v>
      </c>
      <c r="Q125" s="773">
        <f t="shared" si="36"/>
        <v>0</v>
      </c>
      <c r="R125" s="773">
        <f t="shared" si="37"/>
        <v>0</v>
      </c>
      <c r="S125" s="551">
        <f t="shared" si="38"/>
        <v>0</v>
      </c>
      <c r="T125" s="623">
        <f t="shared" si="31"/>
        <v>0</v>
      </c>
      <c r="U125" s="623">
        <f t="shared" si="32"/>
        <v>0</v>
      </c>
      <c r="V125" s="552">
        <f t="shared" si="33"/>
        <v>0</v>
      </c>
      <c r="W125" s="553" t="str">
        <f t="shared" si="39"/>
        <v>V</v>
      </c>
      <c r="X125" s="554"/>
      <c r="Y125" s="628">
        <f>IF(Q125=0,0,(Q125+R125)*'1.0-Contractblad'!$L$98)</f>
        <v>0</v>
      </c>
      <c r="Z125" s="629">
        <f ca="1">IF(J125=0,0,VLOOKUP(D125,'1.1a-Jaarprijzen'!$B$70:$P$124,14,FALSE)*(K125+J125))</f>
        <v>0</v>
      </c>
      <c r="AA125" s="60">
        <f t="shared" si="28"/>
        <v>0</v>
      </c>
      <c r="AC125" s="60" t="str">
        <f t="shared" si="29"/>
        <v>nvt-0</v>
      </c>
    </row>
    <row r="126" spans="1:29">
      <c r="A126" s="556"/>
      <c r="B126" s="549"/>
      <c r="C126" s="656">
        <v>1</v>
      </c>
      <c r="D126" s="550" t="s">
        <v>1071</v>
      </c>
      <c r="E126" s="657" t="s">
        <v>1010</v>
      </c>
      <c r="F126" s="645" t="s">
        <v>624</v>
      </c>
      <c r="G126" s="646" t="s">
        <v>921</v>
      </c>
      <c r="H126" s="644" t="str">
        <f t="shared" si="30"/>
        <v>niet van toepassing</v>
      </c>
      <c r="I126" s="716" t="s">
        <v>785</v>
      </c>
      <c r="J126" s="648"/>
      <c r="K126" s="648">
        <v>22.19</v>
      </c>
      <c r="L126" s="660" t="s">
        <v>27</v>
      </c>
      <c r="M126" s="555">
        <f t="shared" si="34"/>
        <v>0</v>
      </c>
      <c r="N126" s="453"/>
      <c r="O126" s="555">
        <f t="shared" si="35"/>
        <v>0</v>
      </c>
      <c r="P126" s="630">
        <v>1</v>
      </c>
      <c r="Q126" s="773">
        <f t="shared" si="36"/>
        <v>0</v>
      </c>
      <c r="R126" s="773">
        <f t="shared" si="37"/>
        <v>0</v>
      </c>
      <c r="S126" s="551">
        <f t="shared" si="38"/>
        <v>0</v>
      </c>
      <c r="T126" s="623">
        <f t="shared" si="31"/>
        <v>0</v>
      </c>
      <c r="U126" s="623">
        <f t="shared" si="32"/>
        <v>0</v>
      </c>
      <c r="V126" s="552">
        <f t="shared" si="33"/>
        <v>0</v>
      </c>
      <c r="W126" s="553">
        <f t="shared" si="39"/>
        <v>0</v>
      </c>
      <c r="X126" s="698"/>
      <c r="Y126" s="628">
        <f>IF(Q126=0,0,(Q126+R126)*'1.0-Contractblad'!$L$98)</f>
        <v>0</v>
      </c>
      <c r="Z126" s="629">
        <f>IF(J126=0,0,VLOOKUP(D126,'1.1a-Jaarprijzen'!$B$70:$P$124,14,FALSE)*(K126+J126))</f>
        <v>0</v>
      </c>
      <c r="AA126" s="60">
        <f t="shared" si="28"/>
        <v>0</v>
      </c>
      <c r="AC126" s="60" t="str">
        <f t="shared" si="29"/>
        <v>14200-200</v>
      </c>
    </row>
    <row r="127" spans="1:29">
      <c r="A127" s="556"/>
      <c r="B127" s="549"/>
      <c r="C127" s="656">
        <v>1</v>
      </c>
      <c r="D127" s="550" t="s">
        <v>1071</v>
      </c>
      <c r="E127" s="657" t="s">
        <v>1010</v>
      </c>
      <c r="F127" s="645" t="s">
        <v>625</v>
      </c>
      <c r="G127" s="646" t="s">
        <v>771</v>
      </c>
      <c r="H127" s="644" t="str">
        <f t="shared" si="30"/>
        <v>gymzaal</v>
      </c>
      <c r="I127" s="716" t="s">
        <v>785</v>
      </c>
      <c r="J127" s="648">
        <v>248.51</v>
      </c>
      <c r="K127" s="648"/>
      <c r="L127" s="659">
        <v>14200</v>
      </c>
      <c r="M127" s="555">
        <f t="shared" si="34"/>
        <v>108</v>
      </c>
      <c r="N127" s="453"/>
      <c r="O127" s="555">
        <f t="shared" si="35"/>
        <v>200</v>
      </c>
      <c r="P127" s="630">
        <v>1</v>
      </c>
      <c r="Q127" s="773">
        <f t="shared" si="36"/>
        <v>0</v>
      </c>
      <c r="R127" s="773">
        <f t="shared" si="37"/>
        <v>0</v>
      </c>
      <c r="S127" s="551">
        <f t="shared" si="38"/>
        <v>0</v>
      </c>
      <c r="T127" s="623">
        <f t="shared" si="31"/>
        <v>0</v>
      </c>
      <c r="U127" s="623">
        <f t="shared" si="32"/>
        <v>0</v>
      </c>
      <c r="V127" s="552">
        <f t="shared" si="33"/>
        <v>0</v>
      </c>
      <c r="W127" s="553" t="str">
        <f t="shared" si="39"/>
        <v>Sp</v>
      </c>
      <c r="X127" s="554"/>
      <c r="Y127" s="628">
        <f>IF(Q127=0,0,(Q127+R127)*'1.0-Contractblad'!$L$98)</f>
        <v>0</v>
      </c>
      <c r="Z127" s="629">
        <f ca="1">IF(J127=0,0,VLOOKUP(D127,'1.1a-Jaarprijzen'!$B$70:$P$124,14,FALSE)*(K127+J127))</f>
        <v>0</v>
      </c>
      <c r="AA127" s="60">
        <f t="shared" si="28"/>
        <v>0</v>
      </c>
      <c r="AC127" s="60" t="str">
        <f t="shared" si="29"/>
        <v>nvt-0</v>
      </c>
    </row>
    <row r="128" spans="1:29">
      <c r="A128" s="556"/>
      <c r="B128" s="549"/>
      <c r="C128" s="656">
        <v>1</v>
      </c>
      <c r="D128" s="550" t="s">
        <v>1071</v>
      </c>
      <c r="E128" s="657" t="s">
        <v>1010</v>
      </c>
      <c r="F128" s="645" t="s">
        <v>626</v>
      </c>
      <c r="G128" s="646" t="s">
        <v>710</v>
      </c>
      <c r="H128" s="644" t="str">
        <f t="shared" si="30"/>
        <v>niet van toepassing</v>
      </c>
      <c r="I128" s="716" t="s">
        <v>785</v>
      </c>
      <c r="J128" s="648"/>
      <c r="K128" s="648">
        <v>17.420000000000002</v>
      </c>
      <c r="L128" s="660" t="s">
        <v>27</v>
      </c>
      <c r="M128" s="555">
        <f t="shared" si="34"/>
        <v>0</v>
      </c>
      <c r="N128" s="453"/>
      <c r="O128" s="555">
        <f t="shared" si="35"/>
        <v>0</v>
      </c>
      <c r="P128" s="630">
        <v>1</v>
      </c>
      <c r="Q128" s="773">
        <f t="shared" si="36"/>
        <v>0</v>
      </c>
      <c r="R128" s="773">
        <f t="shared" si="37"/>
        <v>0</v>
      </c>
      <c r="S128" s="551">
        <f t="shared" si="38"/>
        <v>0</v>
      </c>
      <c r="T128" s="623">
        <f t="shared" si="31"/>
        <v>0</v>
      </c>
      <c r="U128" s="623">
        <f t="shared" si="32"/>
        <v>0</v>
      </c>
      <c r="V128" s="552">
        <f t="shared" si="33"/>
        <v>0</v>
      </c>
      <c r="W128" s="553">
        <f t="shared" si="39"/>
        <v>0</v>
      </c>
      <c r="X128" s="698"/>
      <c r="Y128" s="628">
        <f>IF(Q128=0,0,(Q128+R128)*'1.0-Contractblad'!$L$98)</f>
        <v>0</v>
      </c>
      <c r="Z128" s="629">
        <f>IF(J128=0,0,VLOOKUP(D128,'1.1a-Jaarprijzen'!$B$70:$P$124,14,FALSE)*(K128+J128))</f>
        <v>0</v>
      </c>
      <c r="AA128" s="60">
        <f t="shared" si="28"/>
        <v>0</v>
      </c>
      <c r="AC128" s="60" t="str">
        <f t="shared" si="29"/>
        <v>nvt-0</v>
      </c>
    </row>
    <row r="129" spans="1:29">
      <c r="A129" s="556"/>
      <c r="B129" s="549"/>
      <c r="C129" s="656">
        <v>1</v>
      </c>
      <c r="D129" s="550" t="s">
        <v>1071</v>
      </c>
      <c r="E129" s="657" t="s">
        <v>1010</v>
      </c>
      <c r="F129" s="645" t="s">
        <v>627</v>
      </c>
      <c r="G129" s="646" t="s">
        <v>710</v>
      </c>
      <c r="H129" s="644" t="str">
        <f t="shared" si="30"/>
        <v>niet van toepassing</v>
      </c>
      <c r="I129" s="716" t="s">
        <v>785</v>
      </c>
      <c r="J129" s="648"/>
      <c r="K129" s="648">
        <v>3.01</v>
      </c>
      <c r="L129" s="660" t="s">
        <v>27</v>
      </c>
      <c r="M129" s="555">
        <f t="shared" si="34"/>
        <v>0</v>
      </c>
      <c r="N129" s="453"/>
      <c r="O129" s="555">
        <f t="shared" si="35"/>
        <v>0</v>
      </c>
      <c r="P129" s="630">
        <v>1</v>
      </c>
      <c r="Q129" s="773">
        <f t="shared" si="36"/>
        <v>0</v>
      </c>
      <c r="R129" s="773">
        <f t="shared" si="37"/>
        <v>0</v>
      </c>
      <c r="S129" s="551">
        <f t="shared" si="38"/>
        <v>0</v>
      </c>
      <c r="T129" s="623">
        <f t="shared" si="31"/>
        <v>0</v>
      </c>
      <c r="U129" s="623">
        <f t="shared" si="32"/>
        <v>0</v>
      </c>
      <c r="V129" s="552">
        <f t="shared" si="33"/>
        <v>0</v>
      </c>
      <c r="W129" s="553">
        <f t="shared" si="39"/>
        <v>0</v>
      </c>
      <c r="X129" s="698"/>
      <c r="Y129" s="628">
        <f>IF(Q129=0,0,(Q129+R129)*'1.0-Contractblad'!$L$98)</f>
        <v>0</v>
      </c>
      <c r="Z129" s="629">
        <f>IF(J129=0,0,VLOOKUP(D129,'1.1a-Jaarprijzen'!$B$70:$P$124,14,FALSE)*(K129+J129))</f>
        <v>0</v>
      </c>
      <c r="AA129" s="60">
        <f t="shared" si="28"/>
        <v>0</v>
      </c>
      <c r="AC129" s="60" t="str">
        <f t="shared" si="29"/>
        <v>4236-236</v>
      </c>
    </row>
    <row r="130" spans="1:29">
      <c r="A130" s="556"/>
      <c r="B130" s="549"/>
      <c r="C130" s="656">
        <v>1</v>
      </c>
      <c r="D130" s="550" t="s">
        <v>1071</v>
      </c>
      <c r="E130" s="657" t="s">
        <v>1010</v>
      </c>
      <c r="F130" s="645" t="s">
        <v>628</v>
      </c>
      <c r="G130" s="646" t="s">
        <v>922</v>
      </c>
      <c r="H130" s="644" t="str">
        <f t="shared" si="30"/>
        <v>sanitaire ruimte (toilet-/doucheruimte)</v>
      </c>
      <c r="I130" s="716" t="s">
        <v>1009</v>
      </c>
      <c r="J130" s="648">
        <v>6.4</v>
      </c>
      <c r="K130" s="648"/>
      <c r="L130" s="649">
        <v>4236</v>
      </c>
      <c r="M130" s="555">
        <f t="shared" si="34"/>
        <v>104</v>
      </c>
      <c r="N130" s="453"/>
      <c r="O130" s="555">
        <f t="shared" si="35"/>
        <v>236</v>
      </c>
      <c r="P130" s="630">
        <v>1.05</v>
      </c>
      <c r="Q130" s="773">
        <f t="shared" si="36"/>
        <v>0</v>
      </c>
      <c r="R130" s="773">
        <f t="shared" si="37"/>
        <v>0</v>
      </c>
      <c r="S130" s="551">
        <f t="shared" si="38"/>
        <v>0</v>
      </c>
      <c r="T130" s="623">
        <f t="shared" si="31"/>
        <v>0</v>
      </c>
      <c r="U130" s="623">
        <f t="shared" si="32"/>
        <v>0</v>
      </c>
      <c r="V130" s="552">
        <f t="shared" si="33"/>
        <v>0</v>
      </c>
      <c r="W130" s="553" t="str">
        <f t="shared" si="39"/>
        <v>S</v>
      </c>
      <c r="X130" s="554"/>
      <c r="Y130" s="628">
        <f>IF(Q130=0,0,(Q130+R130)*'1.0-Contractblad'!$L$98)</f>
        <v>0</v>
      </c>
      <c r="Z130" s="629">
        <f ca="1">IF(J130=0,0,VLOOKUP(D130,'1.1a-Jaarprijzen'!$B$70:$P$124,14,FALSE)*(K130+J130))</f>
        <v>0</v>
      </c>
      <c r="AA130" s="60">
        <f t="shared" si="28"/>
        <v>0</v>
      </c>
      <c r="AC130" s="60" t="str">
        <f t="shared" si="29"/>
        <v>4236-236</v>
      </c>
    </row>
    <row r="131" spans="1:29">
      <c r="A131" s="556"/>
      <c r="B131" s="549"/>
      <c r="C131" s="656">
        <v>1</v>
      </c>
      <c r="D131" s="550" t="s">
        <v>1071</v>
      </c>
      <c r="E131" s="657" t="s">
        <v>1010</v>
      </c>
      <c r="F131" s="645" t="s">
        <v>629</v>
      </c>
      <c r="G131" s="646" t="s">
        <v>782</v>
      </c>
      <c r="H131" s="644" t="str">
        <f t="shared" si="30"/>
        <v>sanitaire ruimte (toilet-/doucheruimte)</v>
      </c>
      <c r="I131" s="716" t="s">
        <v>1009</v>
      </c>
      <c r="J131" s="648">
        <v>1.33</v>
      </c>
      <c r="K131" s="648"/>
      <c r="L131" s="649">
        <v>4236</v>
      </c>
      <c r="M131" s="555">
        <f t="shared" si="34"/>
        <v>104</v>
      </c>
      <c r="N131" s="453"/>
      <c r="O131" s="555">
        <f t="shared" si="35"/>
        <v>236</v>
      </c>
      <c r="P131" s="630">
        <v>1.05</v>
      </c>
      <c r="Q131" s="773">
        <f t="shared" si="36"/>
        <v>0</v>
      </c>
      <c r="R131" s="773">
        <f t="shared" si="37"/>
        <v>0</v>
      </c>
      <c r="S131" s="551">
        <f t="shared" si="38"/>
        <v>0</v>
      </c>
      <c r="T131" s="623">
        <f t="shared" si="31"/>
        <v>0</v>
      </c>
      <c r="U131" s="623">
        <f t="shared" si="32"/>
        <v>0</v>
      </c>
      <c r="V131" s="552">
        <f t="shared" si="33"/>
        <v>0</v>
      </c>
      <c r="W131" s="553" t="str">
        <f t="shared" si="39"/>
        <v>S</v>
      </c>
      <c r="X131" s="554"/>
      <c r="Y131" s="628">
        <f>IF(Q131=0,0,(Q131+R131)*'1.0-Contractblad'!$L$98)</f>
        <v>0</v>
      </c>
      <c r="Z131" s="629">
        <f ca="1">IF(J131=0,0,VLOOKUP(D131,'1.1a-Jaarprijzen'!$B$70:$P$124,14,FALSE)*(K131+J131))</f>
        <v>0</v>
      </c>
      <c r="AA131" s="60">
        <f t="shared" si="28"/>
        <v>0</v>
      </c>
      <c r="AC131" s="60" t="str">
        <f t="shared" si="29"/>
        <v>13200-200</v>
      </c>
    </row>
    <row r="132" spans="1:29">
      <c r="A132" s="556"/>
      <c r="B132" s="549"/>
      <c r="C132" s="656">
        <v>1</v>
      </c>
      <c r="D132" s="550" t="s">
        <v>1071</v>
      </c>
      <c r="E132" s="657" t="s">
        <v>1010</v>
      </c>
      <c r="F132" s="645" t="s">
        <v>630</v>
      </c>
      <c r="G132" s="646" t="s">
        <v>799</v>
      </c>
      <c r="H132" s="644" t="str">
        <f t="shared" si="30"/>
        <v>kleedruimten</v>
      </c>
      <c r="I132" s="716" t="s">
        <v>1009</v>
      </c>
      <c r="J132" s="648">
        <v>21.99</v>
      </c>
      <c r="K132" s="648"/>
      <c r="L132" s="649">
        <v>13200</v>
      </c>
      <c r="M132" s="555">
        <f t="shared" si="34"/>
        <v>103</v>
      </c>
      <c r="N132" s="453"/>
      <c r="O132" s="555">
        <f t="shared" si="35"/>
        <v>200</v>
      </c>
      <c r="P132" s="630">
        <v>1</v>
      </c>
      <c r="Q132" s="773">
        <f t="shared" si="36"/>
        <v>0</v>
      </c>
      <c r="R132" s="773">
        <f t="shared" si="37"/>
        <v>0</v>
      </c>
      <c r="S132" s="551">
        <f t="shared" si="38"/>
        <v>0</v>
      </c>
      <c r="T132" s="623">
        <f t="shared" si="31"/>
        <v>0</v>
      </c>
      <c r="U132" s="623">
        <f t="shared" si="32"/>
        <v>0</v>
      </c>
      <c r="V132" s="552">
        <f t="shared" si="33"/>
        <v>0</v>
      </c>
      <c r="W132" s="553" t="str">
        <f t="shared" si="39"/>
        <v>V</v>
      </c>
      <c r="X132" s="554"/>
      <c r="Y132" s="628">
        <f>IF(Q132=0,0,(Q132+R132)*'1.0-Contractblad'!$L$98)</f>
        <v>0</v>
      </c>
      <c r="Z132" s="629">
        <f ca="1">IF(J132=0,0,VLOOKUP(D132,'1.1a-Jaarprijzen'!$B$70:$P$124,14,FALSE)*(K132+J132))</f>
        <v>0</v>
      </c>
      <c r="AA132" s="60">
        <f t="shared" si="28"/>
        <v>0</v>
      </c>
      <c r="AC132" s="60" t="str">
        <f t="shared" si="29"/>
        <v>13200-200</v>
      </c>
    </row>
    <row r="133" spans="1:29">
      <c r="A133" s="556"/>
      <c r="B133" s="549"/>
      <c r="C133" s="656">
        <v>1</v>
      </c>
      <c r="D133" s="550" t="s">
        <v>1071</v>
      </c>
      <c r="E133" s="657" t="s">
        <v>1010</v>
      </c>
      <c r="F133" s="645" t="s">
        <v>631</v>
      </c>
      <c r="G133" s="646" t="s">
        <v>799</v>
      </c>
      <c r="H133" s="644" t="str">
        <f t="shared" si="30"/>
        <v>kleedruimten</v>
      </c>
      <c r="I133" s="716" t="s">
        <v>1009</v>
      </c>
      <c r="J133" s="648">
        <v>6.78</v>
      </c>
      <c r="K133" s="648"/>
      <c r="L133" s="649">
        <v>13200</v>
      </c>
      <c r="M133" s="555">
        <f t="shared" si="34"/>
        <v>103</v>
      </c>
      <c r="N133" s="453"/>
      <c r="O133" s="555">
        <f t="shared" si="35"/>
        <v>200</v>
      </c>
      <c r="P133" s="630">
        <v>1</v>
      </c>
      <c r="Q133" s="773">
        <f t="shared" si="36"/>
        <v>0</v>
      </c>
      <c r="R133" s="773">
        <f t="shared" si="37"/>
        <v>0</v>
      </c>
      <c r="S133" s="551">
        <f t="shared" si="38"/>
        <v>0</v>
      </c>
      <c r="T133" s="623">
        <f t="shared" si="31"/>
        <v>0</v>
      </c>
      <c r="U133" s="623">
        <f t="shared" si="32"/>
        <v>0</v>
      </c>
      <c r="V133" s="552">
        <f t="shared" si="33"/>
        <v>0</v>
      </c>
      <c r="W133" s="553" t="str">
        <f t="shared" si="39"/>
        <v>V</v>
      </c>
      <c r="X133" s="554"/>
      <c r="Y133" s="628">
        <f>IF(Q133=0,0,(Q133+R133)*'1.0-Contractblad'!$L$98)</f>
        <v>0</v>
      </c>
      <c r="Z133" s="629">
        <f ca="1">IF(J133=0,0,VLOOKUP(D133,'1.1a-Jaarprijzen'!$B$70:$P$124,14,FALSE)*(K133+J133))</f>
        <v>0</v>
      </c>
      <c r="AA133" s="60">
        <f t="shared" si="28"/>
        <v>0</v>
      </c>
      <c r="AC133" s="60" t="str">
        <f t="shared" si="29"/>
        <v>13200-200</v>
      </c>
    </row>
    <row r="134" spans="1:29">
      <c r="A134" s="557"/>
      <c r="B134" s="549"/>
      <c r="C134" s="656">
        <v>1</v>
      </c>
      <c r="D134" s="550" t="s">
        <v>1071</v>
      </c>
      <c r="E134" s="657" t="s">
        <v>1010</v>
      </c>
      <c r="F134" s="645" t="s">
        <v>632</v>
      </c>
      <c r="G134" s="646" t="s">
        <v>799</v>
      </c>
      <c r="H134" s="644" t="str">
        <f t="shared" si="30"/>
        <v>kleedruimten</v>
      </c>
      <c r="I134" s="716" t="s">
        <v>1009</v>
      </c>
      <c r="J134" s="648">
        <v>37.47</v>
      </c>
      <c r="K134" s="648"/>
      <c r="L134" s="649">
        <v>13200</v>
      </c>
      <c r="M134" s="555">
        <f t="shared" si="34"/>
        <v>103</v>
      </c>
      <c r="N134" s="453"/>
      <c r="O134" s="555">
        <f t="shared" si="35"/>
        <v>200</v>
      </c>
      <c r="P134" s="630">
        <v>1</v>
      </c>
      <c r="Q134" s="773">
        <f t="shared" si="36"/>
        <v>0</v>
      </c>
      <c r="R134" s="773">
        <f t="shared" si="37"/>
        <v>0</v>
      </c>
      <c r="S134" s="551">
        <f t="shared" si="38"/>
        <v>0</v>
      </c>
      <c r="T134" s="623">
        <f t="shared" si="31"/>
        <v>0</v>
      </c>
      <c r="U134" s="623">
        <f t="shared" si="32"/>
        <v>0</v>
      </c>
      <c r="V134" s="552">
        <f t="shared" si="33"/>
        <v>0</v>
      </c>
      <c r="W134" s="553" t="str">
        <f t="shared" si="39"/>
        <v>V</v>
      </c>
      <c r="X134" s="554"/>
      <c r="Y134" s="628">
        <f>IF(Q134=0,0,(Q134+R134)*'1.0-Contractblad'!$L$98)</f>
        <v>0</v>
      </c>
      <c r="Z134" s="629">
        <f ca="1">IF(J134=0,0,VLOOKUP(D134,'1.1a-Jaarprijzen'!$B$70:$P$124,14,FALSE)*(K134+J134))</f>
        <v>0</v>
      </c>
      <c r="AA134" s="60">
        <f t="shared" si="28"/>
        <v>0</v>
      </c>
      <c r="AC134" s="60" t="str">
        <f t="shared" si="29"/>
        <v>4236-236</v>
      </c>
    </row>
    <row r="135" spans="1:29">
      <c r="A135" s="557"/>
      <c r="B135" s="549"/>
      <c r="C135" s="656">
        <v>1</v>
      </c>
      <c r="D135" s="550" t="s">
        <v>1071</v>
      </c>
      <c r="E135" s="657" t="s">
        <v>1010</v>
      </c>
      <c r="F135" s="645" t="s">
        <v>633</v>
      </c>
      <c r="G135" s="646" t="s">
        <v>922</v>
      </c>
      <c r="H135" s="644" t="str">
        <f t="shared" si="30"/>
        <v>sanitaire ruimte (toilet-/doucheruimte)</v>
      </c>
      <c r="I135" s="716" t="s">
        <v>1009</v>
      </c>
      <c r="J135" s="648">
        <v>6.76</v>
      </c>
      <c r="K135" s="648"/>
      <c r="L135" s="649">
        <v>4236</v>
      </c>
      <c r="M135" s="555">
        <f t="shared" si="34"/>
        <v>104</v>
      </c>
      <c r="N135" s="453"/>
      <c r="O135" s="555">
        <f t="shared" si="35"/>
        <v>236</v>
      </c>
      <c r="P135" s="630">
        <v>1.05</v>
      </c>
      <c r="Q135" s="773">
        <f t="shared" si="36"/>
        <v>0</v>
      </c>
      <c r="R135" s="773">
        <f t="shared" si="37"/>
        <v>0</v>
      </c>
      <c r="S135" s="551">
        <f t="shared" si="38"/>
        <v>0</v>
      </c>
      <c r="T135" s="623">
        <f t="shared" si="31"/>
        <v>0</v>
      </c>
      <c r="U135" s="623">
        <f t="shared" si="32"/>
        <v>0</v>
      </c>
      <c r="V135" s="552">
        <f t="shared" si="33"/>
        <v>0</v>
      </c>
      <c r="W135" s="553" t="str">
        <f t="shared" si="39"/>
        <v>S</v>
      </c>
      <c r="X135" s="554"/>
      <c r="Y135" s="628">
        <f>IF(Q135=0,0,(Q135+R135)*'1.0-Contractblad'!$L$98)</f>
        <v>0</v>
      </c>
      <c r="Z135" s="629">
        <f ca="1">IF(J135=0,0,VLOOKUP(D135,'1.1a-Jaarprijzen'!$B$70:$P$124,14,FALSE)*(K135+J135))</f>
        <v>0</v>
      </c>
      <c r="AA135" s="60">
        <f t="shared" si="28"/>
        <v>0</v>
      </c>
      <c r="AC135" s="60" t="str">
        <f t="shared" si="29"/>
        <v>3236-236</v>
      </c>
    </row>
    <row r="136" spans="1:29">
      <c r="A136" s="557"/>
      <c r="B136" s="549"/>
      <c r="C136" s="656">
        <v>1</v>
      </c>
      <c r="D136" s="550" t="s">
        <v>1071</v>
      </c>
      <c r="E136" s="657" t="s">
        <v>1010</v>
      </c>
      <c r="F136" s="645" t="s">
        <v>634</v>
      </c>
      <c r="G136" s="646" t="s">
        <v>781</v>
      </c>
      <c r="H136" s="644" t="str">
        <f t="shared" si="30"/>
        <v>entree, gang, hal, repro, kopieer, was/droogruimte</v>
      </c>
      <c r="I136" s="716" t="s">
        <v>785</v>
      </c>
      <c r="J136" s="648">
        <v>20.96</v>
      </c>
      <c r="K136" s="648"/>
      <c r="L136" s="649">
        <v>3236</v>
      </c>
      <c r="M136" s="555">
        <f t="shared" si="34"/>
        <v>103</v>
      </c>
      <c r="N136" s="453"/>
      <c r="O136" s="555">
        <f t="shared" si="35"/>
        <v>236</v>
      </c>
      <c r="P136" s="630">
        <v>1</v>
      </c>
      <c r="Q136" s="773">
        <f t="shared" si="36"/>
        <v>0</v>
      </c>
      <c r="R136" s="773">
        <f t="shared" si="37"/>
        <v>0</v>
      </c>
      <c r="S136" s="551">
        <f t="shared" si="38"/>
        <v>0</v>
      </c>
      <c r="T136" s="623">
        <f t="shared" si="31"/>
        <v>0</v>
      </c>
      <c r="U136" s="623">
        <f t="shared" si="32"/>
        <v>0</v>
      </c>
      <c r="V136" s="552">
        <f t="shared" si="33"/>
        <v>0</v>
      </c>
      <c r="W136" s="553" t="str">
        <f t="shared" si="39"/>
        <v>V</v>
      </c>
      <c r="X136" s="554"/>
      <c r="Y136" s="628">
        <f>IF(Q136=0,0,(Q136+R136)*'1.0-Contractblad'!$L$98)</f>
        <v>0</v>
      </c>
      <c r="Z136" s="629">
        <f ca="1">IF(J136=0,0,VLOOKUP(D136,'1.1a-Jaarprijzen'!$B$70:$P$124,14,FALSE)*(K136+J136))</f>
        <v>0</v>
      </c>
      <c r="AA136" s="60">
        <f t="shared" si="28"/>
        <v>0</v>
      </c>
      <c r="AC136" s="60" t="str">
        <f t="shared" si="29"/>
        <v>nvt-0</v>
      </c>
    </row>
    <row r="137" spans="1:29">
      <c r="A137" s="557"/>
      <c r="B137" s="549"/>
      <c r="C137" s="656">
        <v>1</v>
      </c>
      <c r="D137" s="550" t="s">
        <v>1071</v>
      </c>
      <c r="E137" s="657" t="s">
        <v>1010</v>
      </c>
      <c r="F137" s="645" t="s">
        <v>635</v>
      </c>
      <c r="G137" s="646" t="s">
        <v>559</v>
      </c>
      <c r="H137" s="644" t="str">
        <f t="shared" si="30"/>
        <v>niet van toepassing</v>
      </c>
      <c r="I137" s="716" t="s">
        <v>785</v>
      </c>
      <c r="J137" s="648"/>
      <c r="K137" s="648">
        <v>2.25</v>
      </c>
      <c r="L137" s="660" t="s">
        <v>27</v>
      </c>
      <c r="M137" s="555">
        <f t="shared" si="34"/>
        <v>0</v>
      </c>
      <c r="N137" s="453"/>
      <c r="O137" s="555">
        <f t="shared" si="35"/>
        <v>0</v>
      </c>
      <c r="P137" s="630">
        <v>1</v>
      </c>
      <c r="Q137" s="773">
        <f t="shared" si="36"/>
        <v>0</v>
      </c>
      <c r="R137" s="773">
        <f t="shared" si="37"/>
        <v>0</v>
      </c>
      <c r="S137" s="551">
        <f t="shared" si="38"/>
        <v>0</v>
      </c>
      <c r="T137" s="623">
        <f t="shared" si="31"/>
        <v>0</v>
      </c>
      <c r="U137" s="623">
        <f t="shared" si="32"/>
        <v>0</v>
      </c>
      <c r="V137" s="552">
        <f t="shared" si="33"/>
        <v>0</v>
      </c>
      <c r="W137" s="553">
        <f t="shared" si="39"/>
        <v>0</v>
      </c>
      <c r="X137" s="698"/>
      <c r="Y137" s="628">
        <f>IF(Q137=0,0,(Q137+R137)*'1.0-Contractblad'!$L$98)</f>
        <v>0</v>
      </c>
      <c r="Z137" s="629">
        <f>IF(J137=0,0,VLOOKUP(D137,'1.1a-Jaarprijzen'!$B$70:$P$124,14,FALSE)*(K137+J137))</f>
        <v>0</v>
      </c>
      <c r="AA137" s="60">
        <f t="shared" si="28"/>
        <v>0</v>
      </c>
      <c r="AC137" s="60" t="str">
        <f t="shared" si="29"/>
        <v>nvt-0</v>
      </c>
    </row>
    <row r="138" spans="1:29">
      <c r="A138" s="557"/>
      <c r="B138" s="549"/>
      <c r="C138" s="656">
        <v>1</v>
      </c>
      <c r="D138" s="550" t="s">
        <v>1071</v>
      </c>
      <c r="E138" s="657" t="s">
        <v>1010</v>
      </c>
      <c r="F138" s="645" t="s">
        <v>636</v>
      </c>
      <c r="G138" s="646" t="s">
        <v>710</v>
      </c>
      <c r="H138" s="644" t="str">
        <f t="shared" si="30"/>
        <v>niet van toepassing</v>
      </c>
      <c r="I138" s="716" t="s">
        <v>785</v>
      </c>
      <c r="J138" s="648"/>
      <c r="K138" s="648">
        <v>2.58</v>
      </c>
      <c r="L138" s="660" t="s">
        <v>27</v>
      </c>
      <c r="M138" s="555">
        <f t="shared" si="34"/>
        <v>0</v>
      </c>
      <c r="N138" s="453"/>
      <c r="O138" s="555">
        <f t="shared" si="35"/>
        <v>0</v>
      </c>
      <c r="P138" s="630">
        <v>1</v>
      </c>
      <c r="Q138" s="773">
        <f t="shared" si="36"/>
        <v>0</v>
      </c>
      <c r="R138" s="773">
        <f t="shared" si="37"/>
        <v>0</v>
      </c>
      <c r="S138" s="551">
        <f t="shared" si="38"/>
        <v>0</v>
      </c>
      <c r="T138" s="623">
        <f t="shared" si="31"/>
        <v>0</v>
      </c>
      <c r="U138" s="623">
        <f t="shared" si="32"/>
        <v>0</v>
      </c>
      <c r="V138" s="552">
        <f t="shared" si="33"/>
        <v>0</v>
      </c>
      <c r="W138" s="553">
        <f t="shared" si="39"/>
        <v>0</v>
      </c>
      <c r="X138" s="698"/>
      <c r="Y138" s="628">
        <f>IF(Q138=0,0,(Q138+R138)*'1.0-Contractblad'!$L$98)</f>
        <v>0</v>
      </c>
      <c r="Z138" s="629">
        <f>IF(J138=0,0,VLOOKUP(D138,'1.1a-Jaarprijzen'!$B$70:$P$124,14,FALSE)*(K138+J138))</f>
        <v>0</v>
      </c>
      <c r="AA138" s="60">
        <f t="shared" si="28"/>
        <v>0</v>
      </c>
      <c r="AC138" s="60" t="str">
        <f t="shared" si="29"/>
        <v>nvt-0</v>
      </c>
    </row>
    <row r="139" spans="1:29">
      <c r="A139" s="557"/>
      <c r="B139" s="549"/>
      <c r="C139" s="656">
        <v>1</v>
      </c>
      <c r="D139" s="550" t="s">
        <v>1071</v>
      </c>
      <c r="E139" s="657" t="s">
        <v>1010</v>
      </c>
      <c r="F139" s="645" t="s">
        <v>637</v>
      </c>
      <c r="G139" s="646" t="s">
        <v>710</v>
      </c>
      <c r="H139" s="644" t="str">
        <f t="shared" ref="H139:H178" si="40">IF(L139="","",VLOOKUP(L139,Kengetal,4,FALSE))</f>
        <v>niet van toepassing</v>
      </c>
      <c r="I139" s="716" t="s">
        <v>785</v>
      </c>
      <c r="J139" s="648"/>
      <c r="K139" s="648">
        <v>2.2799999999999998</v>
      </c>
      <c r="L139" s="660" t="s">
        <v>27</v>
      </c>
      <c r="M139" s="555">
        <f t="shared" si="34"/>
        <v>0</v>
      </c>
      <c r="N139" s="453"/>
      <c r="O139" s="555">
        <f t="shared" si="35"/>
        <v>0</v>
      </c>
      <c r="P139" s="630">
        <v>1</v>
      </c>
      <c r="Q139" s="773">
        <f t="shared" si="36"/>
        <v>0</v>
      </c>
      <c r="R139" s="773">
        <f t="shared" si="37"/>
        <v>0</v>
      </c>
      <c r="S139" s="551">
        <f t="shared" si="38"/>
        <v>0</v>
      </c>
      <c r="T139" s="623">
        <f t="shared" si="31"/>
        <v>0</v>
      </c>
      <c r="U139" s="623">
        <f t="shared" si="32"/>
        <v>0</v>
      </c>
      <c r="V139" s="552">
        <f t="shared" si="33"/>
        <v>0</v>
      </c>
      <c r="W139" s="553">
        <f t="shared" si="39"/>
        <v>0</v>
      </c>
      <c r="X139" s="698"/>
      <c r="Y139" s="628">
        <f>IF(Q139=0,0,(Q139+R139)*'1.0-Contractblad'!$L$98)</f>
        <v>0</v>
      </c>
      <c r="Z139" s="629">
        <f>IF(J139=0,0,VLOOKUP(D139,'1.1a-Jaarprijzen'!$B$70:$P$124,14,FALSE)*(K139+J139))</f>
        <v>0</v>
      </c>
      <c r="AA139" s="60">
        <f t="shared" si="28"/>
        <v>0</v>
      </c>
      <c r="AC139" s="60" t="str">
        <f t="shared" si="29"/>
        <v>7200-200</v>
      </c>
    </row>
    <row r="140" spans="1:29">
      <c r="A140" s="557"/>
      <c r="B140" s="549"/>
      <c r="C140" s="656">
        <v>1</v>
      </c>
      <c r="D140" s="550" t="s">
        <v>1071</v>
      </c>
      <c r="E140" s="657" t="s">
        <v>1010</v>
      </c>
      <c r="F140" s="645" t="s">
        <v>638</v>
      </c>
      <c r="G140" s="646" t="s">
        <v>309</v>
      </c>
      <c r="H140" s="644" t="str">
        <f t="shared" si="40"/>
        <v>leslokaal</v>
      </c>
      <c r="I140" s="716" t="s">
        <v>785</v>
      </c>
      <c r="J140" s="648">
        <v>42.85</v>
      </c>
      <c r="K140" s="648"/>
      <c r="L140" s="649">
        <v>7200</v>
      </c>
      <c r="M140" s="555">
        <f t="shared" si="34"/>
        <v>107</v>
      </c>
      <c r="N140" s="453"/>
      <c r="O140" s="555">
        <f t="shared" si="35"/>
        <v>200</v>
      </c>
      <c r="P140" s="630">
        <v>1</v>
      </c>
      <c r="Q140" s="773">
        <f t="shared" si="36"/>
        <v>0</v>
      </c>
      <c r="R140" s="773">
        <f t="shared" si="37"/>
        <v>0</v>
      </c>
      <c r="S140" s="551">
        <f t="shared" si="38"/>
        <v>0</v>
      </c>
      <c r="T140" s="623">
        <f t="shared" ref="T140:T178" si="41">VLOOKUP($L140,Kengetal,6,FALSE)</f>
        <v>0</v>
      </c>
      <c r="U140" s="623">
        <f t="shared" ref="U140:U178" si="42">VLOOKUP($L140,Kengetal,7,FALSE)</f>
        <v>0</v>
      </c>
      <c r="V140" s="552">
        <f t="shared" ref="V140:V178" si="43">VLOOKUP($N140,Kengetal,7,FALSE)</f>
        <v>0</v>
      </c>
      <c r="W140" s="553" t="str">
        <f t="shared" si="39"/>
        <v>L</v>
      </c>
      <c r="X140" s="554"/>
      <c r="Y140" s="628">
        <f>IF(Q140=0,0,(Q140+R140)*'1.0-Contractblad'!$L$98)</f>
        <v>0</v>
      </c>
      <c r="Z140" s="629">
        <f ca="1">IF(J140=0,0,VLOOKUP(D140,'1.1a-Jaarprijzen'!$B$70:$P$124,14,FALSE)*(K140+J140))</f>
        <v>0</v>
      </c>
      <c r="AA140" s="60">
        <f t="shared" si="28"/>
        <v>0</v>
      </c>
      <c r="AC140" s="60" t="str">
        <f t="shared" si="29"/>
        <v>2236-236</v>
      </c>
    </row>
    <row r="141" spans="1:29">
      <c r="A141" s="557"/>
      <c r="B141" s="549"/>
      <c r="C141" s="656">
        <v>1</v>
      </c>
      <c r="D141" s="550" t="s">
        <v>1071</v>
      </c>
      <c r="E141" s="657" t="s">
        <v>1010</v>
      </c>
      <c r="F141" s="645" t="s">
        <v>639</v>
      </c>
      <c r="G141" s="646" t="s">
        <v>923</v>
      </c>
      <c r="H141" s="644" t="str">
        <f t="shared" si="40"/>
        <v>aula, gemeenschappelijke ruimte, bibliotheek</v>
      </c>
      <c r="I141" s="716" t="s">
        <v>785</v>
      </c>
      <c r="J141" s="648">
        <v>113.9</v>
      </c>
      <c r="K141" s="648"/>
      <c r="L141" s="649">
        <v>2236</v>
      </c>
      <c r="M141" s="555">
        <f t="shared" ref="M141:M178" si="44">VLOOKUP(L141,Kengetal,2,FALSE)</f>
        <v>102</v>
      </c>
      <c r="N141" s="453"/>
      <c r="O141" s="555">
        <f t="shared" ref="O141:O178" si="45">VLOOKUP(L141,Kengetal,3,FALSE)</f>
        <v>236</v>
      </c>
      <c r="P141" s="630">
        <v>1</v>
      </c>
      <c r="Q141" s="773">
        <f t="shared" ref="Q141:Q178" si="46">T141*J141*P141</f>
        <v>0</v>
      </c>
      <c r="R141" s="773">
        <f t="shared" ref="R141:R178" si="47">U141*J141*P141</f>
        <v>0</v>
      </c>
      <c r="S141" s="551">
        <f t="shared" ref="S141:S178" si="48">V141*J141*P141</f>
        <v>0</v>
      </c>
      <c r="T141" s="623">
        <f t="shared" si="41"/>
        <v>0</v>
      </c>
      <c r="U141" s="623">
        <f t="shared" si="42"/>
        <v>0</v>
      </c>
      <c r="V141" s="552">
        <f t="shared" si="43"/>
        <v>0</v>
      </c>
      <c r="W141" s="553" t="str">
        <f t="shared" ref="W141:W178" si="49">IF(L141="","",VLOOKUP(L141,Kengetal,14,FALSE))</f>
        <v>V</v>
      </c>
      <c r="X141" s="554"/>
      <c r="Y141" s="628">
        <f>IF(Q141=0,0,(Q141+R141)*'1.0-Contractblad'!$L$98)</f>
        <v>0</v>
      </c>
      <c r="Z141" s="629">
        <f ca="1">IF(J141=0,0,VLOOKUP(D141,'1.1a-Jaarprijzen'!$B$70:$P$124,14,FALSE)*(K141+J141))</f>
        <v>0</v>
      </c>
      <c r="AA141" s="60">
        <f t="shared" si="28"/>
        <v>0</v>
      </c>
      <c r="AC141" s="60" t="str">
        <f t="shared" si="29"/>
        <v>17040-40</v>
      </c>
    </row>
    <row r="142" spans="1:29">
      <c r="A142" s="557"/>
      <c r="B142" s="549"/>
      <c r="C142" s="656">
        <v>1</v>
      </c>
      <c r="D142" s="550" t="s">
        <v>1071</v>
      </c>
      <c r="E142" s="657" t="s">
        <v>1010</v>
      </c>
      <c r="F142" s="645" t="s">
        <v>640</v>
      </c>
      <c r="G142" s="646" t="s">
        <v>306</v>
      </c>
      <c r="H142" s="644" t="str">
        <f t="shared" si="40"/>
        <v>keuken (School2Care)</v>
      </c>
      <c r="I142" s="716" t="s">
        <v>1009</v>
      </c>
      <c r="J142" s="648">
        <v>28.82</v>
      </c>
      <c r="K142" s="648"/>
      <c r="L142" s="777">
        <v>17040</v>
      </c>
      <c r="M142" s="555" t="str">
        <f t="shared" si="44"/>
        <v>nvt</v>
      </c>
      <c r="N142" s="453"/>
      <c r="O142" s="555">
        <f t="shared" si="45"/>
        <v>40</v>
      </c>
      <c r="P142" s="630">
        <v>1</v>
      </c>
      <c r="Q142" s="773">
        <f t="shared" si="46"/>
        <v>0</v>
      </c>
      <c r="R142" s="773">
        <f t="shared" si="47"/>
        <v>0</v>
      </c>
      <c r="S142" s="551">
        <f t="shared" si="48"/>
        <v>0</v>
      </c>
      <c r="T142" s="623">
        <f t="shared" si="41"/>
        <v>0</v>
      </c>
      <c r="U142" s="623">
        <f t="shared" si="42"/>
        <v>0</v>
      </c>
      <c r="V142" s="552">
        <f t="shared" si="43"/>
        <v>0</v>
      </c>
      <c r="W142" s="553" t="str">
        <f t="shared" si="49"/>
        <v>V</v>
      </c>
      <c r="X142" s="554"/>
      <c r="Y142" s="628">
        <f>IF(Q142=0,0,(Q142+R142)*'1.0-Contractblad'!$L$98)</f>
        <v>0</v>
      </c>
      <c r="Z142" s="629">
        <f ca="1">IF(J142=0,0,VLOOKUP(D142,'1.1a-Jaarprijzen'!$B$70:$P$124,14,FALSE)*(K142+J142))</f>
        <v>0</v>
      </c>
      <c r="AA142" s="60">
        <f t="shared" si="28"/>
        <v>0</v>
      </c>
      <c r="AC142" s="60" t="str">
        <f t="shared" si="29"/>
        <v>nvt-0</v>
      </c>
    </row>
    <row r="143" spans="1:29">
      <c r="A143" s="557"/>
      <c r="B143" s="549"/>
      <c r="C143" s="656">
        <v>1</v>
      </c>
      <c r="D143" s="550" t="s">
        <v>1071</v>
      </c>
      <c r="E143" s="657" t="s">
        <v>1010</v>
      </c>
      <c r="F143" s="645" t="s">
        <v>641</v>
      </c>
      <c r="G143" s="646" t="s">
        <v>737</v>
      </c>
      <c r="H143" s="644" t="str">
        <f t="shared" si="40"/>
        <v>niet van toepassing</v>
      </c>
      <c r="I143" s="716" t="s">
        <v>785</v>
      </c>
      <c r="J143" s="648"/>
      <c r="K143" s="648">
        <v>7.66</v>
      </c>
      <c r="L143" s="660" t="s">
        <v>27</v>
      </c>
      <c r="M143" s="555">
        <f t="shared" si="44"/>
        <v>0</v>
      </c>
      <c r="N143" s="453"/>
      <c r="O143" s="555">
        <f t="shared" si="45"/>
        <v>0</v>
      </c>
      <c r="P143" s="630">
        <v>1</v>
      </c>
      <c r="Q143" s="773">
        <f t="shared" si="46"/>
        <v>0</v>
      </c>
      <c r="R143" s="773">
        <f t="shared" si="47"/>
        <v>0</v>
      </c>
      <c r="S143" s="551">
        <f t="shared" si="48"/>
        <v>0</v>
      </c>
      <c r="T143" s="623">
        <f t="shared" si="41"/>
        <v>0</v>
      </c>
      <c r="U143" s="623">
        <f t="shared" si="42"/>
        <v>0</v>
      </c>
      <c r="V143" s="552">
        <f t="shared" si="43"/>
        <v>0</v>
      </c>
      <c r="W143" s="553">
        <f t="shared" si="49"/>
        <v>0</v>
      </c>
      <c r="X143" s="698"/>
      <c r="Y143" s="628">
        <f>IF(Q143=0,0,(Q143+R143)*'1.0-Contractblad'!$L$98)</f>
        <v>0</v>
      </c>
      <c r="Z143" s="629">
        <f>IF(J143=0,0,VLOOKUP(D143,'1.1a-Jaarprijzen'!$B$70:$P$124,14,FALSE)*(K143+J143))</f>
        <v>0</v>
      </c>
      <c r="AA143" s="60">
        <f t="shared" si="28"/>
        <v>0</v>
      </c>
      <c r="AC143" s="60" t="str">
        <f t="shared" si="29"/>
        <v>nvt-0</v>
      </c>
    </row>
    <row r="144" spans="1:29">
      <c r="A144" s="557"/>
      <c r="B144" s="549"/>
      <c r="C144" s="656">
        <v>1</v>
      </c>
      <c r="D144" s="550" t="s">
        <v>1071</v>
      </c>
      <c r="E144" s="657" t="s">
        <v>1010</v>
      </c>
      <c r="F144" s="645" t="s">
        <v>642</v>
      </c>
      <c r="G144" s="646" t="s">
        <v>924</v>
      </c>
      <c r="H144" s="644" t="str">
        <f t="shared" si="40"/>
        <v>niet van toepassing</v>
      </c>
      <c r="I144" s="716" t="s">
        <v>785</v>
      </c>
      <c r="J144" s="648"/>
      <c r="K144" s="648">
        <v>3.89</v>
      </c>
      <c r="L144" s="660" t="s">
        <v>27</v>
      </c>
      <c r="M144" s="555">
        <f t="shared" si="44"/>
        <v>0</v>
      </c>
      <c r="N144" s="453"/>
      <c r="O144" s="555">
        <f t="shared" si="45"/>
        <v>0</v>
      </c>
      <c r="P144" s="630">
        <v>1</v>
      </c>
      <c r="Q144" s="773">
        <f t="shared" si="46"/>
        <v>0</v>
      </c>
      <c r="R144" s="773">
        <f t="shared" si="47"/>
        <v>0</v>
      </c>
      <c r="S144" s="551">
        <f t="shared" si="48"/>
        <v>0</v>
      </c>
      <c r="T144" s="623">
        <f t="shared" si="41"/>
        <v>0</v>
      </c>
      <c r="U144" s="623">
        <f t="shared" si="42"/>
        <v>0</v>
      </c>
      <c r="V144" s="552">
        <f t="shared" si="43"/>
        <v>0</v>
      </c>
      <c r="W144" s="553">
        <f t="shared" si="49"/>
        <v>0</v>
      </c>
      <c r="X144" s="698"/>
      <c r="Y144" s="628">
        <f>IF(Q144=0,0,(Q144+R144)*'1.0-Contractblad'!$L$98)</f>
        <v>0</v>
      </c>
      <c r="Z144" s="629">
        <f>IF(J144=0,0,VLOOKUP(D144,'1.1a-Jaarprijzen'!$B$70:$P$124,14,FALSE)*(K144+J144))</f>
        <v>0</v>
      </c>
      <c r="AA144" s="60">
        <f t="shared" si="28"/>
        <v>0</v>
      </c>
      <c r="AC144" s="60" t="str">
        <f t="shared" si="29"/>
        <v>1236-236</v>
      </c>
    </row>
    <row r="145" spans="1:29">
      <c r="A145" s="557"/>
      <c r="B145" s="549"/>
      <c r="C145" s="656">
        <v>1</v>
      </c>
      <c r="D145" s="550" t="s">
        <v>1071</v>
      </c>
      <c r="E145" s="657" t="s">
        <v>1010</v>
      </c>
      <c r="F145" s="645" t="s">
        <v>643</v>
      </c>
      <c r="G145" s="646" t="s">
        <v>796</v>
      </c>
      <c r="H145" s="644" t="str">
        <f t="shared" si="40"/>
        <v>administratieve -, personeels- en vergaderruimte</v>
      </c>
      <c r="I145" s="716" t="s">
        <v>804</v>
      </c>
      <c r="J145" s="648">
        <v>28.86</v>
      </c>
      <c r="K145" s="648"/>
      <c r="L145" s="649">
        <v>1236</v>
      </c>
      <c r="M145" s="555">
        <f t="shared" si="44"/>
        <v>101</v>
      </c>
      <c r="N145" s="453"/>
      <c r="O145" s="555">
        <f t="shared" si="45"/>
        <v>236</v>
      </c>
      <c r="P145" s="630">
        <v>1</v>
      </c>
      <c r="Q145" s="773">
        <f t="shared" si="46"/>
        <v>0</v>
      </c>
      <c r="R145" s="773">
        <f t="shared" si="47"/>
        <v>0</v>
      </c>
      <c r="S145" s="551">
        <f t="shared" si="48"/>
        <v>0</v>
      </c>
      <c r="T145" s="623">
        <f t="shared" si="41"/>
        <v>0</v>
      </c>
      <c r="U145" s="623">
        <f t="shared" si="42"/>
        <v>0</v>
      </c>
      <c r="V145" s="552">
        <f t="shared" si="43"/>
        <v>0</v>
      </c>
      <c r="W145" s="553" t="str">
        <f t="shared" si="49"/>
        <v>B</v>
      </c>
      <c r="X145" s="554"/>
      <c r="Y145" s="628">
        <f>IF(Q145=0,0,(Q145+R145)*'1.0-Contractblad'!$L$98)</f>
        <v>0</v>
      </c>
      <c r="Z145" s="629">
        <f ca="1">IF(J145=0,0,VLOOKUP(D145,'1.1a-Jaarprijzen'!$B$70:$P$124,14,FALSE)*(K145+J145))</f>
        <v>0</v>
      </c>
      <c r="AA145" s="60">
        <f t="shared" si="28"/>
        <v>0</v>
      </c>
      <c r="AC145" s="60" t="str">
        <f t="shared" si="29"/>
        <v>nvt-0</v>
      </c>
    </row>
    <row r="146" spans="1:29">
      <c r="A146" s="557"/>
      <c r="B146" s="549"/>
      <c r="C146" s="656">
        <v>1</v>
      </c>
      <c r="D146" s="550" t="s">
        <v>1071</v>
      </c>
      <c r="E146" s="657" t="s">
        <v>1010</v>
      </c>
      <c r="F146" s="645" t="s">
        <v>644</v>
      </c>
      <c r="G146" s="646" t="s">
        <v>710</v>
      </c>
      <c r="H146" s="644" t="str">
        <f t="shared" si="40"/>
        <v>niet van toepassing</v>
      </c>
      <c r="I146" s="716" t="s">
        <v>785</v>
      </c>
      <c r="J146" s="648"/>
      <c r="K146" s="648">
        <v>0.79</v>
      </c>
      <c r="L146" s="660" t="s">
        <v>27</v>
      </c>
      <c r="M146" s="555">
        <f t="shared" si="44"/>
        <v>0</v>
      </c>
      <c r="N146" s="453"/>
      <c r="O146" s="555">
        <f t="shared" si="45"/>
        <v>0</v>
      </c>
      <c r="P146" s="630">
        <v>1</v>
      </c>
      <c r="Q146" s="773">
        <f t="shared" si="46"/>
        <v>0</v>
      </c>
      <c r="R146" s="773">
        <f t="shared" si="47"/>
        <v>0</v>
      </c>
      <c r="S146" s="551">
        <f t="shared" si="48"/>
        <v>0</v>
      </c>
      <c r="T146" s="623">
        <f t="shared" si="41"/>
        <v>0</v>
      </c>
      <c r="U146" s="623">
        <f t="shared" si="42"/>
        <v>0</v>
      </c>
      <c r="V146" s="552">
        <f t="shared" si="43"/>
        <v>0</v>
      </c>
      <c r="W146" s="553">
        <f t="shared" si="49"/>
        <v>0</v>
      </c>
      <c r="X146" s="698"/>
      <c r="Y146" s="628">
        <f>IF(Q146=0,0,(Q146+R146)*'1.0-Contractblad'!$L$98)</f>
        <v>0</v>
      </c>
      <c r="Z146" s="629">
        <f>IF(J146=0,0,VLOOKUP(D146,'1.1a-Jaarprijzen'!$B$70:$P$124,14,FALSE)*(K146+J146))</f>
        <v>0</v>
      </c>
      <c r="AA146" s="60">
        <f t="shared" si="28"/>
        <v>0</v>
      </c>
      <c r="AC146" s="60" t="str">
        <f t="shared" si="29"/>
        <v>4236-236</v>
      </c>
    </row>
    <row r="147" spans="1:29">
      <c r="A147" s="557"/>
      <c r="B147" s="549"/>
      <c r="C147" s="656">
        <v>1</v>
      </c>
      <c r="D147" s="550" t="s">
        <v>1071</v>
      </c>
      <c r="E147" s="657" t="s">
        <v>1010</v>
      </c>
      <c r="F147" s="645" t="s">
        <v>645</v>
      </c>
      <c r="G147" s="646" t="s">
        <v>782</v>
      </c>
      <c r="H147" s="644" t="str">
        <f t="shared" si="40"/>
        <v>sanitaire ruimte (toilet-/doucheruimte)</v>
      </c>
      <c r="I147" s="716" t="s">
        <v>1009</v>
      </c>
      <c r="J147" s="648">
        <v>3.49</v>
      </c>
      <c r="K147" s="648"/>
      <c r="L147" s="649">
        <v>4236</v>
      </c>
      <c r="M147" s="555">
        <f t="shared" si="44"/>
        <v>104</v>
      </c>
      <c r="N147" s="453"/>
      <c r="O147" s="555">
        <f t="shared" si="45"/>
        <v>236</v>
      </c>
      <c r="P147" s="630">
        <v>1.05</v>
      </c>
      <c r="Q147" s="773">
        <f t="shared" si="46"/>
        <v>0</v>
      </c>
      <c r="R147" s="773">
        <f t="shared" si="47"/>
        <v>0</v>
      </c>
      <c r="S147" s="551">
        <f t="shared" si="48"/>
        <v>0</v>
      </c>
      <c r="T147" s="623">
        <f t="shared" si="41"/>
        <v>0</v>
      </c>
      <c r="U147" s="623">
        <f t="shared" si="42"/>
        <v>0</v>
      </c>
      <c r="V147" s="552">
        <f t="shared" si="43"/>
        <v>0</v>
      </c>
      <c r="W147" s="553" t="str">
        <f t="shared" si="49"/>
        <v>S</v>
      </c>
      <c r="X147" s="554"/>
      <c r="Y147" s="628">
        <f>IF(Q147=0,0,(Q147+R147)*'1.0-Contractblad'!$L$98)</f>
        <v>0</v>
      </c>
      <c r="Z147" s="629">
        <f ca="1">IF(J147=0,0,VLOOKUP(D147,'1.1a-Jaarprijzen'!$B$70:$P$124,14,FALSE)*(K147+J147))</f>
        <v>0</v>
      </c>
      <c r="AA147" s="60">
        <f t="shared" si="28"/>
        <v>0</v>
      </c>
      <c r="AC147" s="60" t="str">
        <f t="shared" si="29"/>
        <v>nvt-0</v>
      </c>
    </row>
    <row r="148" spans="1:29">
      <c r="A148" s="557"/>
      <c r="B148" s="549"/>
      <c r="C148" s="656">
        <v>1</v>
      </c>
      <c r="D148" s="550" t="s">
        <v>1071</v>
      </c>
      <c r="E148" s="657" t="s">
        <v>1010</v>
      </c>
      <c r="F148" s="645" t="s">
        <v>646</v>
      </c>
      <c r="G148" s="646" t="s">
        <v>925</v>
      </c>
      <c r="H148" s="644" t="str">
        <f t="shared" si="40"/>
        <v>niet van toepassing</v>
      </c>
      <c r="I148" s="716" t="s">
        <v>785</v>
      </c>
      <c r="J148" s="648"/>
      <c r="K148" s="648">
        <v>0.54</v>
      </c>
      <c r="L148" s="660" t="s">
        <v>27</v>
      </c>
      <c r="M148" s="555">
        <f t="shared" si="44"/>
        <v>0</v>
      </c>
      <c r="N148" s="453"/>
      <c r="O148" s="555">
        <f t="shared" si="45"/>
        <v>0</v>
      </c>
      <c r="P148" s="630">
        <v>1</v>
      </c>
      <c r="Q148" s="773">
        <f t="shared" si="46"/>
        <v>0</v>
      </c>
      <c r="R148" s="773">
        <f t="shared" si="47"/>
        <v>0</v>
      </c>
      <c r="S148" s="551">
        <f t="shared" si="48"/>
        <v>0</v>
      </c>
      <c r="T148" s="623">
        <f t="shared" si="41"/>
        <v>0</v>
      </c>
      <c r="U148" s="623">
        <f t="shared" si="42"/>
        <v>0</v>
      </c>
      <c r="V148" s="552">
        <f t="shared" si="43"/>
        <v>0</v>
      </c>
      <c r="W148" s="553">
        <f t="shared" si="49"/>
        <v>0</v>
      </c>
      <c r="X148" s="698"/>
      <c r="Y148" s="628">
        <f>IF(Q148=0,0,(Q148+R148)*'1.0-Contractblad'!$L$98)</f>
        <v>0</v>
      </c>
      <c r="Z148" s="629">
        <f>IF(J148=0,0,VLOOKUP(D148,'1.1a-Jaarprijzen'!$B$70:$P$124,14,FALSE)*(K148+J148))</f>
        <v>0</v>
      </c>
      <c r="AA148" s="60">
        <f t="shared" si="28"/>
        <v>0</v>
      </c>
      <c r="AC148" s="60" t="str">
        <f t="shared" si="29"/>
        <v>1236-236</v>
      </c>
    </row>
    <row r="149" spans="1:29">
      <c r="A149" s="557"/>
      <c r="B149" s="549"/>
      <c r="C149" s="656">
        <v>1</v>
      </c>
      <c r="D149" s="550" t="s">
        <v>1071</v>
      </c>
      <c r="E149" s="657" t="s">
        <v>1010</v>
      </c>
      <c r="F149" s="645" t="s">
        <v>647</v>
      </c>
      <c r="G149" s="646" t="s">
        <v>926</v>
      </c>
      <c r="H149" s="644" t="str">
        <f t="shared" si="40"/>
        <v>administratieve -, personeels- en vergaderruimte</v>
      </c>
      <c r="I149" s="716" t="s">
        <v>785</v>
      </c>
      <c r="J149" s="648">
        <v>33.9</v>
      </c>
      <c r="K149" s="648"/>
      <c r="L149" s="649">
        <v>1236</v>
      </c>
      <c r="M149" s="555">
        <f t="shared" si="44"/>
        <v>101</v>
      </c>
      <c r="N149" s="453"/>
      <c r="O149" s="555">
        <f t="shared" si="45"/>
        <v>236</v>
      </c>
      <c r="P149" s="630">
        <v>1</v>
      </c>
      <c r="Q149" s="773">
        <f t="shared" si="46"/>
        <v>0</v>
      </c>
      <c r="R149" s="773">
        <f t="shared" si="47"/>
        <v>0</v>
      </c>
      <c r="S149" s="551">
        <f t="shared" si="48"/>
        <v>0</v>
      </c>
      <c r="T149" s="623">
        <f t="shared" si="41"/>
        <v>0</v>
      </c>
      <c r="U149" s="623">
        <f t="shared" si="42"/>
        <v>0</v>
      </c>
      <c r="V149" s="552">
        <f t="shared" si="43"/>
        <v>0</v>
      </c>
      <c r="W149" s="553" t="str">
        <f t="shared" si="49"/>
        <v>B</v>
      </c>
      <c r="X149" s="554"/>
      <c r="Y149" s="628">
        <f>IF(Q149=0,0,(Q149+R149)*'1.0-Contractblad'!$L$98)</f>
        <v>0</v>
      </c>
      <c r="Z149" s="629">
        <f ca="1">IF(J149=0,0,VLOOKUP(D149,'1.1a-Jaarprijzen'!$B$70:$P$124,14,FALSE)*(K149+J149))</f>
        <v>0</v>
      </c>
      <c r="AA149" s="60">
        <f t="shared" si="28"/>
        <v>0</v>
      </c>
      <c r="AC149" s="60" t="str">
        <f t="shared" si="29"/>
        <v>nvt-0</v>
      </c>
    </row>
    <row r="150" spans="1:29">
      <c r="A150" s="557"/>
      <c r="B150" s="549"/>
      <c r="C150" s="656">
        <v>1</v>
      </c>
      <c r="D150" s="550" t="s">
        <v>1071</v>
      </c>
      <c r="E150" s="657" t="s">
        <v>1010</v>
      </c>
      <c r="F150" s="645" t="s">
        <v>648</v>
      </c>
      <c r="G150" s="646" t="s">
        <v>927</v>
      </c>
      <c r="H150" s="644" t="str">
        <f t="shared" si="40"/>
        <v>niet van toepassing</v>
      </c>
      <c r="I150" s="716" t="s">
        <v>785</v>
      </c>
      <c r="J150" s="648"/>
      <c r="K150" s="648">
        <v>4</v>
      </c>
      <c r="L150" s="660" t="s">
        <v>27</v>
      </c>
      <c r="M150" s="555">
        <f t="shared" si="44"/>
        <v>0</v>
      </c>
      <c r="N150" s="453"/>
      <c r="O150" s="555">
        <f t="shared" si="45"/>
        <v>0</v>
      </c>
      <c r="P150" s="630">
        <v>1</v>
      </c>
      <c r="Q150" s="773">
        <f t="shared" si="46"/>
        <v>0</v>
      </c>
      <c r="R150" s="773">
        <f t="shared" si="47"/>
        <v>0</v>
      </c>
      <c r="S150" s="551">
        <f t="shared" si="48"/>
        <v>0</v>
      </c>
      <c r="T150" s="623">
        <f t="shared" si="41"/>
        <v>0</v>
      </c>
      <c r="U150" s="623">
        <f t="shared" si="42"/>
        <v>0</v>
      </c>
      <c r="V150" s="552">
        <f t="shared" si="43"/>
        <v>0</v>
      </c>
      <c r="W150" s="553">
        <f t="shared" si="49"/>
        <v>0</v>
      </c>
      <c r="X150" s="698"/>
      <c r="Y150" s="628">
        <f>IF(Q150=0,0,(Q150+R150)*'1.0-Contractblad'!$L$98)</f>
        <v>0</v>
      </c>
      <c r="Z150" s="629">
        <f>IF(J150=0,0,VLOOKUP(D150,'1.1a-Jaarprijzen'!$B$70:$P$124,14,FALSE)*(K150+J150))</f>
        <v>0</v>
      </c>
      <c r="AA150" s="60">
        <f t="shared" si="28"/>
        <v>0</v>
      </c>
      <c r="AC150" s="60" t="str">
        <f t="shared" si="29"/>
        <v>7200-200</v>
      </c>
    </row>
    <row r="151" spans="1:29">
      <c r="A151" s="557"/>
      <c r="B151" s="549"/>
      <c r="C151" s="656">
        <v>1</v>
      </c>
      <c r="D151" s="550" t="s">
        <v>1071</v>
      </c>
      <c r="E151" s="657" t="s">
        <v>1010</v>
      </c>
      <c r="F151" s="645" t="s">
        <v>649</v>
      </c>
      <c r="G151" s="646" t="s">
        <v>928</v>
      </c>
      <c r="H151" s="644" t="str">
        <f t="shared" si="40"/>
        <v>leslokaal</v>
      </c>
      <c r="I151" s="716" t="s">
        <v>785</v>
      </c>
      <c r="J151" s="648">
        <v>61.01</v>
      </c>
      <c r="K151" s="648"/>
      <c r="L151" s="649">
        <v>7200</v>
      </c>
      <c r="M151" s="555">
        <f t="shared" si="44"/>
        <v>107</v>
      </c>
      <c r="N151" s="453"/>
      <c r="O151" s="555">
        <f t="shared" si="45"/>
        <v>200</v>
      </c>
      <c r="P151" s="630">
        <v>1</v>
      </c>
      <c r="Q151" s="773">
        <f t="shared" si="46"/>
        <v>0</v>
      </c>
      <c r="R151" s="773">
        <f t="shared" si="47"/>
        <v>0</v>
      </c>
      <c r="S151" s="551">
        <f t="shared" si="48"/>
        <v>0</v>
      </c>
      <c r="T151" s="623">
        <f t="shared" si="41"/>
        <v>0</v>
      </c>
      <c r="U151" s="623">
        <f t="shared" si="42"/>
        <v>0</v>
      </c>
      <c r="V151" s="552">
        <f t="shared" si="43"/>
        <v>0</v>
      </c>
      <c r="W151" s="553" t="str">
        <f t="shared" si="49"/>
        <v>L</v>
      </c>
      <c r="X151" s="554"/>
      <c r="Y151" s="628">
        <f>IF(Q151=0,0,(Q151+R151)*'1.0-Contractblad'!$L$98)</f>
        <v>0</v>
      </c>
      <c r="Z151" s="629">
        <f ca="1">IF(J151=0,0,VLOOKUP(D151,'1.1a-Jaarprijzen'!$B$70:$P$124,14,FALSE)*(K151+J151))</f>
        <v>0</v>
      </c>
      <c r="AA151" s="60">
        <f t="shared" si="28"/>
        <v>0</v>
      </c>
      <c r="AC151" s="60" t="str">
        <f t="shared" si="29"/>
        <v>4236-236</v>
      </c>
    </row>
    <row r="152" spans="1:29">
      <c r="A152" s="557"/>
      <c r="B152" s="549"/>
      <c r="C152" s="656">
        <v>1</v>
      </c>
      <c r="D152" s="550" t="s">
        <v>1071</v>
      </c>
      <c r="E152" s="657" t="s">
        <v>1010</v>
      </c>
      <c r="F152" s="645" t="s">
        <v>650</v>
      </c>
      <c r="G152" s="646" t="s">
        <v>916</v>
      </c>
      <c r="H152" s="644" t="str">
        <f t="shared" si="40"/>
        <v>sanitaire ruimte (toilet-/doucheruimte)</v>
      </c>
      <c r="I152" s="716" t="s">
        <v>1009</v>
      </c>
      <c r="J152" s="648">
        <v>5.27</v>
      </c>
      <c r="K152" s="648"/>
      <c r="L152" s="649">
        <v>4236</v>
      </c>
      <c r="M152" s="555">
        <f t="shared" si="44"/>
        <v>104</v>
      </c>
      <c r="N152" s="453"/>
      <c r="O152" s="555">
        <f t="shared" si="45"/>
        <v>236</v>
      </c>
      <c r="P152" s="630">
        <v>1.05</v>
      </c>
      <c r="Q152" s="773">
        <f t="shared" si="46"/>
        <v>0</v>
      </c>
      <c r="R152" s="773">
        <f t="shared" si="47"/>
        <v>0</v>
      </c>
      <c r="S152" s="551">
        <f t="shared" si="48"/>
        <v>0</v>
      </c>
      <c r="T152" s="623">
        <f t="shared" si="41"/>
        <v>0</v>
      </c>
      <c r="U152" s="623">
        <f t="shared" si="42"/>
        <v>0</v>
      </c>
      <c r="V152" s="552">
        <f t="shared" si="43"/>
        <v>0</v>
      </c>
      <c r="W152" s="553" t="str">
        <f t="shared" si="49"/>
        <v>S</v>
      </c>
      <c r="X152" s="554"/>
      <c r="Y152" s="628">
        <f>IF(Q152=0,0,(Q152+R152)*'1.0-Contractblad'!$L$98)</f>
        <v>0</v>
      </c>
      <c r="Z152" s="629">
        <f ca="1">IF(J152=0,0,VLOOKUP(D152,'1.1a-Jaarprijzen'!$B$70:$P$124,14,FALSE)*(K152+J152))</f>
        <v>0</v>
      </c>
      <c r="AA152" s="60">
        <f t="shared" si="28"/>
        <v>0</v>
      </c>
      <c r="AC152" s="60" t="str">
        <f t="shared" si="29"/>
        <v>3236-236</v>
      </c>
    </row>
    <row r="153" spans="1:29">
      <c r="A153" s="548"/>
      <c r="B153" s="549"/>
      <c r="C153" s="656">
        <v>1</v>
      </c>
      <c r="D153" s="550" t="s">
        <v>1071</v>
      </c>
      <c r="E153" s="657" t="s">
        <v>1010</v>
      </c>
      <c r="F153" s="645" t="s">
        <v>651</v>
      </c>
      <c r="G153" s="646" t="s">
        <v>781</v>
      </c>
      <c r="H153" s="644" t="str">
        <f t="shared" si="40"/>
        <v>entree, gang, hal, repro, kopieer, was/droogruimte</v>
      </c>
      <c r="I153" s="716" t="s">
        <v>785</v>
      </c>
      <c r="J153" s="648">
        <v>85.88</v>
      </c>
      <c r="K153" s="648"/>
      <c r="L153" s="649">
        <v>3236</v>
      </c>
      <c r="M153" s="555">
        <f t="shared" si="44"/>
        <v>103</v>
      </c>
      <c r="N153" s="453"/>
      <c r="O153" s="555">
        <f t="shared" si="45"/>
        <v>236</v>
      </c>
      <c r="P153" s="630">
        <v>1</v>
      </c>
      <c r="Q153" s="773">
        <f t="shared" si="46"/>
        <v>0</v>
      </c>
      <c r="R153" s="773">
        <f t="shared" si="47"/>
        <v>0</v>
      </c>
      <c r="S153" s="551">
        <f t="shared" si="48"/>
        <v>0</v>
      </c>
      <c r="T153" s="623">
        <f t="shared" si="41"/>
        <v>0</v>
      </c>
      <c r="U153" s="623">
        <f t="shared" si="42"/>
        <v>0</v>
      </c>
      <c r="V153" s="552">
        <f t="shared" si="43"/>
        <v>0</v>
      </c>
      <c r="W153" s="553" t="str">
        <f t="shared" si="49"/>
        <v>V</v>
      </c>
      <c r="X153" s="554"/>
      <c r="Y153" s="628">
        <f>IF(Q153=0,0,(Q153+R153)*'1.0-Contractblad'!$L$98)</f>
        <v>0</v>
      </c>
      <c r="Z153" s="629">
        <f ca="1">IF(J153=0,0,VLOOKUP(D153,'1.1a-Jaarprijzen'!$B$70:$P$124,14,FALSE)*(K153+J153))</f>
        <v>0</v>
      </c>
      <c r="AA153" s="60">
        <f t="shared" si="28"/>
        <v>0</v>
      </c>
      <c r="AC153" s="60" t="str">
        <f t="shared" si="29"/>
        <v>4236-236</v>
      </c>
    </row>
    <row r="154" spans="1:29">
      <c r="A154" s="557"/>
      <c r="B154" s="549"/>
      <c r="C154" s="656">
        <v>1</v>
      </c>
      <c r="D154" s="550" t="s">
        <v>1071</v>
      </c>
      <c r="E154" s="657" t="s">
        <v>1010</v>
      </c>
      <c r="F154" s="645" t="s">
        <v>652</v>
      </c>
      <c r="G154" s="646" t="s">
        <v>916</v>
      </c>
      <c r="H154" s="644" t="str">
        <f t="shared" si="40"/>
        <v>sanitaire ruimte (toilet-/doucheruimte)</v>
      </c>
      <c r="I154" s="716" t="s">
        <v>1009</v>
      </c>
      <c r="J154" s="648">
        <v>4.01</v>
      </c>
      <c r="K154" s="648"/>
      <c r="L154" s="649">
        <v>4236</v>
      </c>
      <c r="M154" s="555">
        <f t="shared" si="44"/>
        <v>104</v>
      </c>
      <c r="N154" s="453"/>
      <c r="O154" s="555">
        <f t="shared" si="45"/>
        <v>236</v>
      </c>
      <c r="P154" s="630">
        <v>1.05</v>
      </c>
      <c r="Q154" s="773">
        <f t="shared" si="46"/>
        <v>0</v>
      </c>
      <c r="R154" s="773">
        <f t="shared" si="47"/>
        <v>0</v>
      </c>
      <c r="S154" s="551">
        <f t="shared" si="48"/>
        <v>0</v>
      </c>
      <c r="T154" s="623">
        <f t="shared" si="41"/>
        <v>0</v>
      </c>
      <c r="U154" s="623">
        <f t="shared" si="42"/>
        <v>0</v>
      </c>
      <c r="V154" s="552">
        <f t="shared" si="43"/>
        <v>0</v>
      </c>
      <c r="W154" s="553" t="str">
        <f t="shared" si="49"/>
        <v>S</v>
      </c>
      <c r="X154" s="554"/>
      <c r="Y154" s="628">
        <f>IF(Q154=0,0,(Q154+R154)*'1.0-Contractblad'!$L$98)</f>
        <v>0</v>
      </c>
      <c r="Z154" s="629">
        <f ca="1">IF(J154=0,0,VLOOKUP(D154,'1.1a-Jaarprijzen'!$B$70:$P$124,14,FALSE)*(K154+J154))</f>
        <v>0</v>
      </c>
      <c r="AA154" s="60">
        <f t="shared" si="28"/>
        <v>0</v>
      </c>
      <c r="AC154" s="60" t="str">
        <f t="shared" si="29"/>
        <v>nvt-0</v>
      </c>
    </row>
    <row r="155" spans="1:29">
      <c r="A155" s="557"/>
      <c r="B155" s="549"/>
      <c r="C155" s="656">
        <v>1</v>
      </c>
      <c r="D155" s="550" t="s">
        <v>1071</v>
      </c>
      <c r="E155" s="657" t="s">
        <v>1010</v>
      </c>
      <c r="F155" s="645" t="s">
        <v>653</v>
      </c>
      <c r="G155" s="646" t="s">
        <v>559</v>
      </c>
      <c r="H155" s="644" t="str">
        <f t="shared" si="40"/>
        <v>niet van toepassing</v>
      </c>
      <c r="I155" s="716" t="s">
        <v>785</v>
      </c>
      <c r="J155" s="648"/>
      <c r="K155" s="648">
        <v>1.26</v>
      </c>
      <c r="L155" s="660" t="s">
        <v>27</v>
      </c>
      <c r="M155" s="555">
        <f t="shared" si="44"/>
        <v>0</v>
      </c>
      <c r="N155" s="453"/>
      <c r="O155" s="555">
        <f t="shared" si="45"/>
        <v>0</v>
      </c>
      <c r="P155" s="630">
        <v>1</v>
      </c>
      <c r="Q155" s="773">
        <f t="shared" si="46"/>
        <v>0</v>
      </c>
      <c r="R155" s="773">
        <f t="shared" si="47"/>
        <v>0</v>
      </c>
      <c r="S155" s="551">
        <f t="shared" si="48"/>
        <v>0</v>
      </c>
      <c r="T155" s="623">
        <f t="shared" si="41"/>
        <v>0</v>
      </c>
      <c r="U155" s="623">
        <f t="shared" si="42"/>
        <v>0</v>
      </c>
      <c r="V155" s="552">
        <f t="shared" si="43"/>
        <v>0</v>
      </c>
      <c r="W155" s="553">
        <f t="shared" si="49"/>
        <v>0</v>
      </c>
      <c r="X155" s="698"/>
      <c r="Y155" s="628">
        <f>IF(Q155=0,0,(Q155+R155)*'1.0-Contractblad'!$L$98)</f>
        <v>0</v>
      </c>
      <c r="Z155" s="629">
        <f>IF(J155=0,0,VLOOKUP(D155,'1.1a-Jaarprijzen'!$B$70:$P$124,14,FALSE)*(K155+J155))</f>
        <v>0</v>
      </c>
      <c r="AA155" s="60">
        <f t="shared" si="28"/>
        <v>0</v>
      </c>
      <c r="AC155" s="60" t="str">
        <f t="shared" si="29"/>
        <v>7200-200</v>
      </c>
    </row>
    <row r="156" spans="1:29">
      <c r="A156" s="557"/>
      <c r="B156" s="549"/>
      <c r="C156" s="656">
        <v>1</v>
      </c>
      <c r="D156" s="550" t="s">
        <v>1071</v>
      </c>
      <c r="E156" s="657" t="s">
        <v>1010</v>
      </c>
      <c r="F156" s="645" t="s">
        <v>654</v>
      </c>
      <c r="G156" s="646" t="s">
        <v>929</v>
      </c>
      <c r="H156" s="644" t="str">
        <f t="shared" si="40"/>
        <v>leslokaal</v>
      </c>
      <c r="I156" s="716" t="s">
        <v>785</v>
      </c>
      <c r="J156" s="648">
        <v>60.85</v>
      </c>
      <c r="K156" s="648"/>
      <c r="L156" s="649">
        <v>7200</v>
      </c>
      <c r="M156" s="555">
        <f t="shared" si="44"/>
        <v>107</v>
      </c>
      <c r="N156" s="453"/>
      <c r="O156" s="555">
        <f t="shared" si="45"/>
        <v>200</v>
      </c>
      <c r="P156" s="630">
        <v>1</v>
      </c>
      <c r="Q156" s="773">
        <f t="shared" si="46"/>
        <v>0</v>
      </c>
      <c r="R156" s="773">
        <f t="shared" si="47"/>
        <v>0</v>
      </c>
      <c r="S156" s="551">
        <f t="shared" si="48"/>
        <v>0</v>
      </c>
      <c r="T156" s="623">
        <f t="shared" si="41"/>
        <v>0</v>
      </c>
      <c r="U156" s="623">
        <f t="shared" si="42"/>
        <v>0</v>
      </c>
      <c r="V156" s="552">
        <f t="shared" si="43"/>
        <v>0</v>
      </c>
      <c r="W156" s="553" t="str">
        <f t="shared" si="49"/>
        <v>L</v>
      </c>
      <c r="X156" s="554"/>
      <c r="Y156" s="628">
        <f>IF(Q156=0,0,(Q156+R156)*'1.0-Contractblad'!$L$98)</f>
        <v>0</v>
      </c>
      <c r="Z156" s="629">
        <f ca="1">IF(J156=0,0,VLOOKUP(D156,'1.1a-Jaarprijzen'!$B$70:$P$124,14,FALSE)*(K156+J156))</f>
        <v>0</v>
      </c>
      <c r="AA156" s="60">
        <f t="shared" si="28"/>
        <v>0</v>
      </c>
      <c r="AC156" s="60" t="str">
        <f t="shared" si="29"/>
        <v>3236-236</v>
      </c>
    </row>
    <row r="157" spans="1:29">
      <c r="A157" s="557"/>
      <c r="B157" s="549"/>
      <c r="C157" s="656">
        <v>1</v>
      </c>
      <c r="D157" s="550" t="s">
        <v>1071</v>
      </c>
      <c r="E157" s="657" t="s">
        <v>1010</v>
      </c>
      <c r="F157" s="645" t="s">
        <v>655</v>
      </c>
      <c r="G157" s="646" t="s">
        <v>781</v>
      </c>
      <c r="H157" s="644" t="str">
        <f t="shared" si="40"/>
        <v>entree, gang, hal, repro, kopieer, was/droogruimte</v>
      </c>
      <c r="I157" s="716" t="s">
        <v>785</v>
      </c>
      <c r="J157" s="648">
        <v>58.09</v>
      </c>
      <c r="K157" s="648"/>
      <c r="L157" s="649">
        <v>3236</v>
      </c>
      <c r="M157" s="555">
        <f t="shared" si="44"/>
        <v>103</v>
      </c>
      <c r="N157" s="453"/>
      <c r="O157" s="555">
        <f t="shared" si="45"/>
        <v>236</v>
      </c>
      <c r="P157" s="630">
        <v>1</v>
      </c>
      <c r="Q157" s="773">
        <f t="shared" si="46"/>
        <v>0</v>
      </c>
      <c r="R157" s="773">
        <f t="shared" si="47"/>
        <v>0</v>
      </c>
      <c r="S157" s="551">
        <f t="shared" si="48"/>
        <v>0</v>
      </c>
      <c r="T157" s="623">
        <f t="shared" si="41"/>
        <v>0</v>
      </c>
      <c r="U157" s="623">
        <f t="shared" si="42"/>
        <v>0</v>
      </c>
      <c r="V157" s="552">
        <f t="shared" si="43"/>
        <v>0</v>
      </c>
      <c r="W157" s="553" t="str">
        <f t="shared" si="49"/>
        <v>V</v>
      </c>
      <c r="X157" s="554"/>
      <c r="Y157" s="628">
        <f>IF(Q157=0,0,(Q157+R157)*'1.0-Contractblad'!$L$98)</f>
        <v>0</v>
      </c>
      <c r="Z157" s="629">
        <f ca="1">IF(J157=0,0,VLOOKUP(D157,'1.1a-Jaarprijzen'!$B$70:$P$124,14,FALSE)*(K157+J157))</f>
        <v>0</v>
      </c>
      <c r="AA157" s="60">
        <f t="shared" si="28"/>
        <v>0</v>
      </c>
      <c r="AC157" s="60" t="str">
        <f t="shared" si="29"/>
        <v>3236-236</v>
      </c>
    </row>
    <row r="158" spans="1:29">
      <c r="A158" s="557"/>
      <c r="B158" s="549"/>
      <c r="C158" s="656">
        <v>1</v>
      </c>
      <c r="D158" s="550" t="s">
        <v>1071</v>
      </c>
      <c r="E158" s="657" t="s">
        <v>1010</v>
      </c>
      <c r="F158" s="645" t="s">
        <v>656</v>
      </c>
      <c r="G158" s="646" t="s">
        <v>788</v>
      </c>
      <c r="H158" s="644" t="str">
        <f t="shared" si="40"/>
        <v>entree, gang, hal, repro, kopieer, was/droogruimte</v>
      </c>
      <c r="I158" s="716" t="s">
        <v>804</v>
      </c>
      <c r="J158" s="648">
        <v>12.23</v>
      </c>
      <c r="K158" s="648"/>
      <c r="L158" s="649">
        <v>3236</v>
      </c>
      <c r="M158" s="555">
        <f t="shared" si="44"/>
        <v>103</v>
      </c>
      <c r="N158" s="453"/>
      <c r="O158" s="555">
        <f t="shared" si="45"/>
        <v>236</v>
      </c>
      <c r="P158" s="630">
        <v>1</v>
      </c>
      <c r="Q158" s="773">
        <f t="shared" si="46"/>
        <v>0</v>
      </c>
      <c r="R158" s="773">
        <f t="shared" si="47"/>
        <v>0</v>
      </c>
      <c r="S158" s="551">
        <f t="shared" si="48"/>
        <v>0</v>
      </c>
      <c r="T158" s="623">
        <f t="shared" si="41"/>
        <v>0</v>
      </c>
      <c r="U158" s="623">
        <f t="shared" si="42"/>
        <v>0</v>
      </c>
      <c r="V158" s="552">
        <f t="shared" si="43"/>
        <v>0</v>
      </c>
      <c r="W158" s="553" t="str">
        <f t="shared" si="49"/>
        <v>V</v>
      </c>
      <c r="X158" s="554"/>
      <c r="Y158" s="628">
        <f>IF(Q158=0,0,(Q158+R158)*'1.0-Contractblad'!$L$98)</f>
        <v>0</v>
      </c>
      <c r="Z158" s="629">
        <f ca="1">IF(J158=0,0,VLOOKUP(D158,'1.1a-Jaarprijzen'!$B$70:$P$124,14,FALSE)*(K158+J158))</f>
        <v>0</v>
      </c>
      <c r="AA158" s="60">
        <f t="shared" si="28"/>
        <v>0</v>
      </c>
      <c r="AC158" s="60" t="str">
        <f t="shared" si="29"/>
        <v>1236-236</v>
      </c>
    </row>
    <row r="159" spans="1:29">
      <c r="A159" s="557"/>
      <c r="B159" s="549"/>
      <c r="C159" s="656">
        <v>1</v>
      </c>
      <c r="D159" s="550" t="s">
        <v>1071</v>
      </c>
      <c r="E159" s="657" t="s">
        <v>1010</v>
      </c>
      <c r="F159" s="645" t="s">
        <v>657</v>
      </c>
      <c r="G159" s="646" t="s">
        <v>789</v>
      </c>
      <c r="H159" s="644" t="str">
        <f t="shared" si="40"/>
        <v>administratieve -, personeels- en vergaderruimte</v>
      </c>
      <c r="I159" s="716" t="s">
        <v>804</v>
      </c>
      <c r="J159" s="648">
        <v>15.38</v>
      </c>
      <c r="K159" s="648"/>
      <c r="L159" s="649">
        <v>1236</v>
      </c>
      <c r="M159" s="555">
        <f t="shared" si="44"/>
        <v>101</v>
      </c>
      <c r="N159" s="453"/>
      <c r="O159" s="555">
        <f t="shared" si="45"/>
        <v>236</v>
      </c>
      <c r="P159" s="630">
        <v>1</v>
      </c>
      <c r="Q159" s="773">
        <f t="shared" si="46"/>
        <v>0</v>
      </c>
      <c r="R159" s="773">
        <f t="shared" si="47"/>
        <v>0</v>
      </c>
      <c r="S159" s="551">
        <f t="shared" si="48"/>
        <v>0</v>
      </c>
      <c r="T159" s="623">
        <f t="shared" si="41"/>
        <v>0</v>
      </c>
      <c r="U159" s="623">
        <f t="shared" si="42"/>
        <v>0</v>
      </c>
      <c r="V159" s="552">
        <f t="shared" si="43"/>
        <v>0</v>
      </c>
      <c r="W159" s="553" t="str">
        <f t="shared" si="49"/>
        <v>B</v>
      </c>
      <c r="X159" s="554"/>
      <c r="Y159" s="628">
        <f>IF(Q159=0,0,(Q159+R159)*'1.0-Contractblad'!$L$98)</f>
        <v>0</v>
      </c>
      <c r="Z159" s="629">
        <f ca="1">IF(J159=0,0,VLOOKUP(D159,'1.1a-Jaarprijzen'!$B$70:$P$124,14,FALSE)*(K159+J159))</f>
        <v>0</v>
      </c>
      <c r="AA159" s="60">
        <f t="shared" si="28"/>
        <v>0</v>
      </c>
      <c r="AC159" s="60" t="str">
        <f t="shared" si="29"/>
        <v>1236-236</v>
      </c>
    </row>
    <row r="160" spans="1:29">
      <c r="A160" s="557"/>
      <c r="B160" s="549"/>
      <c r="C160" s="656">
        <v>1</v>
      </c>
      <c r="D160" s="550" t="s">
        <v>1071</v>
      </c>
      <c r="E160" s="657" t="s">
        <v>1010</v>
      </c>
      <c r="F160" s="645" t="s">
        <v>658</v>
      </c>
      <c r="G160" s="646" t="s">
        <v>789</v>
      </c>
      <c r="H160" s="644" t="str">
        <f t="shared" si="40"/>
        <v>administratieve -, personeels- en vergaderruimte</v>
      </c>
      <c r="I160" s="716" t="s">
        <v>804</v>
      </c>
      <c r="J160" s="648">
        <v>13.24</v>
      </c>
      <c r="K160" s="648"/>
      <c r="L160" s="649">
        <v>1236</v>
      </c>
      <c r="M160" s="555">
        <f t="shared" si="44"/>
        <v>101</v>
      </c>
      <c r="N160" s="453"/>
      <c r="O160" s="555">
        <f t="shared" si="45"/>
        <v>236</v>
      </c>
      <c r="P160" s="630">
        <v>1</v>
      </c>
      <c r="Q160" s="773">
        <f t="shared" si="46"/>
        <v>0</v>
      </c>
      <c r="R160" s="773">
        <f t="shared" si="47"/>
        <v>0</v>
      </c>
      <c r="S160" s="551">
        <f t="shared" si="48"/>
        <v>0</v>
      </c>
      <c r="T160" s="623">
        <f t="shared" si="41"/>
        <v>0</v>
      </c>
      <c r="U160" s="623">
        <f t="shared" si="42"/>
        <v>0</v>
      </c>
      <c r="V160" s="552">
        <f t="shared" si="43"/>
        <v>0</v>
      </c>
      <c r="W160" s="553" t="str">
        <f t="shared" si="49"/>
        <v>B</v>
      </c>
      <c r="X160" s="554"/>
      <c r="Y160" s="628">
        <f>IF(Q160=0,0,(Q160+R160)*'1.0-Contractblad'!$L$98)</f>
        <v>0</v>
      </c>
      <c r="Z160" s="629">
        <f ca="1">IF(J160=0,0,VLOOKUP(D160,'1.1a-Jaarprijzen'!$B$70:$P$124,14,FALSE)*(K160+J160))</f>
        <v>0</v>
      </c>
      <c r="AA160" s="60">
        <f t="shared" si="28"/>
        <v>0</v>
      </c>
      <c r="AC160" s="60" t="str">
        <f t="shared" si="29"/>
        <v>1236-236</v>
      </c>
    </row>
    <row r="161" spans="1:29">
      <c r="A161" s="557"/>
      <c r="B161" s="549"/>
      <c r="C161" s="656">
        <v>1</v>
      </c>
      <c r="D161" s="550" t="s">
        <v>1071</v>
      </c>
      <c r="E161" s="657" t="s">
        <v>1010</v>
      </c>
      <c r="F161" s="645" t="s">
        <v>659</v>
      </c>
      <c r="G161" s="646" t="s">
        <v>789</v>
      </c>
      <c r="H161" s="644" t="str">
        <f t="shared" si="40"/>
        <v>administratieve -, personeels- en vergaderruimte</v>
      </c>
      <c r="I161" s="716" t="s">
        <v>804</v>
      </c>
      <c r="J161" s="648">
        <v>13.46</v>
      </c>
      <c r="K161" s="648"/>
      <c r="L161" s="649">
        <v>1236</v>
      </c>
      <c r="M161" s="555">
        <f t="shared" si="44"/>
        <v>101</v>
      </c>
      <c r="N161" s="453"/>
      <c r="O161" s="555">
        <f t="shared" si="45"/>
        <v>236</v>
      </c>
      <c r="P161" s="630">
        <v>1</v>
      </c>
      <c r="Q161" s="773">
        <f t="shared" si="46"/>
        <v>0</v>
      </c>
      <c r="R161" s="773">
        <f t="shared" si="47"/>
        <v>0</v>
      </c>
      <c r="S161" s="551">
        <f t="shared" si="48"/>
        <v>0</v>
      </c>
      <c r="T161" s="623">
        <f t="shared" si="41"/>
        <v>0</v>
      </c>
      <c r="U161" s="623">
        <f t="shared" si="42"/>
        <v>0</v>
      </c>
      <c r="V161" s="552">
        <f t="shared" si="43"/>
        <v>0</v>
      </c>
      <c r="W161" s="553" t="str">
        <f t="shared" si="49"/>
        <v>B</v>
      </c>
      <c r="X161" s="554"/>
      <c r="Y161" s="628">
        <f>IF(Q161=0,0,(Q161+R161)*'1.0-Contractblad'!$L$98)</f>
        <v>0</v>
      </c>
      <c r="Z161" s="629">
        <f ca="1">IF(J161=0,0,VLOOKUP(D161,'1.1a-Jaarprijzen'!$B$70:$P$124,14,FALSE)*(K161+J161))</f>
        <v>0</v>
      </c>
      <c r="AA161" s="60">
        <f t="shared" si="28"/>
        <v>0</v>
      </c>
      <c r="AC161" s="60" t="str">
        <f t="shared" si="29"/>
        <v>1236-236</v>
      </c>
    </row>
    <row r="162" spans="1:29">
      <c r="A162" s="557"/>
      <c r="B162" s="549"/>
      <c r="C162" s="656">
        <v>1</v>
      </c>
      <c r="D162" s="550" t="s">
        <v>1071</v>
      </c>
      <c r="E162" s="657" t="s">
        <v>1010</v>
      </c>
      <c r="F162" s="645" t="s">
        <v>660</v>
      </c>
      <c r="G162" s="646" t="s">
        <v>787</v>
      </c>
      <c r="H162" s="644" t="str">
        <f t="shared" si="40"/>
        <v>administratieve -, personeels- en vergaderruimte</v>
      </c>
      <c r="I162" s="716" t="s">
        <v>804</v>
      </c>
      <c r="J162" s="648">
        <v>22.61</v>
      </c>
      <c r="K162" s="648"/>
      <c r="L162" s="649">
        <v>1236</v>
      </c>
      <c r="M162" s="555">
        <f t="shared" si="44"/>
        <v>101</v>
      </c>
      <c r="N162" s="453"/>
      <c r="O162" s="555">
        <f t="shared" si="45"/>
        <v>236</v>
      </c>
      <c r="P162" s="630">
        <v>1</v>
      </c>
      <c r="Q162" s="773">
        <f t="shared" si="46"/>
        <v>0</v>
      </c>
      <c r="R162" s="773">
        <f t="shared" si="47"/>
        <v>0</v>
      </c>
      <c r="S162" s="551">
        <f t="shared" si="48"/>
        <v>0</v>
      </c>
      <c r="T162" s="623">
        <f t="shared" si="41"/>
        <v>0</v>
      </c>
      <c r="U162" s="623">
        <f t="shared" si="42"/>
        <v>0</v>
      </c>
      <c r="V162" s="552">
        <f t="shared" si="43"/>
        <v>0</v>
      </c>
      <c r="W162" s="553" t="str">
        <f t="shared" si="49"/>
        <v>B</v>
      </c>
      <c r="X162" s="554"/>
      <c r="Y162" s="628">
        <f>IF(Q162=0,0,(Q162+R162)*'1.0-Contractblad'!$L$98)</f>
        <v>0</v>
      </c>
      <c r="Z162" s="629">
        <f ca="1">IF(J162=0,0,VLOOKUP(D162,'1.1a-Jaarprijzen'!$B$70:$P$124,14,FALSE)*(K162+J162))</f>
        <v>0</v>
      </c>
      <c r="AA162" s="60">
        <f t="shared" si="28"/>
        <v>0</v>
      </c>
      <c r="AC162" s="60" t="str">
        <f t="shared" si="29"/>
        <v>1236-236</v>
      </c>
    </row>
    <row r="163" spans="1:29">
      <c r="A163" s="557"/>
      <c r="B163" s="549"/>
      <c r="C163" s="656">
        <v>1</v>
      </c>
      <c r="D163" s="550" t="s">
        <v>1071</v>
      </c>
      <c r="E163" s="657" t="s">
        <v>1010</v>
      </c>
      <c r="F163" s="645" t="s">
        <v>661</v>
      </c>
      <c r="G163" s="646" t="s">
        <v>789</v>
      </c>
      <c r="H163" s="644" t="str">
        <f t="shared" si="40"/>
        <v>administratieve -, personeels- en vergaderruimte</v>
      </c>
      <c r="I163" s="716" t="s">
        <v>804</v>
      </c>
      <c r="J163" s="648">
        <v>12.07</v>
      </c>
      <c r="K163" s="648"/>
      <c r="L163" s="649">
        <v>1236</v>
      </c>
      <c r="M163" s="555">
        <f t="shared" si="44"/>
        <v>101</v>
      </c>
      <c r="N163" s="453"/>
      <c r="O163" s="555">
        <f t="shared" si="45"/>
        <v>236</v>
      </c>
      <c r="P163" s="630">
        <v>1</v>
      </c>
      <c r="Q163" s="773">
        <f t="shared" si="46"/>
        <v>0</v>
      </c>
      <c r="R163" s="773">
        <f t="shared" si="47"/>
        <v>0</v>
      </c>
      <c r="S163" s="551">
        <f t="shared" si="48"/>
        <v>0</v>
      </c>
      <c r="T163" s="623">
        <f t="shared" si="41"/>
        <v>0</v>
      </c>
      <c r="U163" s="623">
        <f t="shared" si="42"/>
        <v>0</v>
      </c>
      <c r="V163" s="552">
        <f t="shared" si="43"/>
        <v>0</v>
      </c>
      <c r="W163" s="553" t="str">
        <f t="shared" si="49"/>
        <v>B</v>
      </c>
      <c r="X163" s="554"/>
      <c r="Y163" s="628">
        <f>IF(Q163=0,0,(Q163+R163)*'1.0-Contractblad'!$L$98)</f>
        <v>0</v>
      </c>
      <c r="Z163" s="629">
        <f ca="1">IF(J163=0,0,VLOOKUP(D163,'1.1a-Jaarprijzen'!$B$70:$P$124,14,FALSE)*(K163+J163))</f>
        <v>0</v>
      </c>
      <c r="AA163" s="60">
        <f t="shared" si="28"/>
        <v>0</v>
      </c>
      <c r="AC163" s="60" t="str">
        <f t="shared" si="29"/>
        <v>nvt-0</v>
      </c>
    </row>
    <row r="164" spans="1:29">
      <c r="A164" s="557"/>
      <c r="B164" s="549"/>
      <c r="C164" s="656">
        <v>1</v>
      </c>
      <c r="D164" s="550" t="s">
        <v>1071</v>
      </c>
      <c r="E164" s="657" t="s">
        <v>1010</v>
      </c>
      <c r="F164" s="645" t="s">
        <v>662</v>
      </c>
      <c r="G164" s="646" t="s">
        <v>710</v>
      </c>
      <c r="H164" s="644" t="str">
        <f t="shared" si="40"/>
        <v>niet van toepassing</v>
      </c>
      <c r="I164" s="716" t="s">
        <v>785</v>
      </c>
      <c r="J164" s="648"/>
      <c r="K164" s="648">
        <v>1.8</v>
      </c>
      <c r="L164" s="660" t="s">
        <v>27</v>
      </c>
      <c r="M164" s="555">
        <f t="shared" si="44"/>
        <v>0</v>
      </c>
      <c r="N164" s="453"/>
      <c r="O164" s="555">
        <f t="shared" si="45"/>
        <v>0</v>
      </c>
      <c r="P164" s="630">
        <v>1</v>
      </c>
      <c r="Q164" s="773">
        <f t="shared" si="46"/>
        <v>0</v>
      </c>
      <c r="R164" s="773">
        <f t="shared" si="47"/>
        <v>0</v>
      </c>
      <c r="S164" s="551">
        <f t="shared" si="48"/>
        <v>0</v>
      </c>
      <c r="T164" s="623">
        <f t="shared" si="41"/>
        <v>0</v>
      </c>
      <c r="U164" s="623">
        <f t="shared" si="42"/>
        <v>0</v>
      </c>
      <c r="V164" s="552">
        <f t="shared" si="43"/>
        <v>0</v>
      </c>
      <c r="W164" s="553">
        <f t="shared" si="49"/>
        <v>0</v>
      </c>
      <c r="X164" s="698"/>
      <c r="Y164" s="628">
        <f>IF(Q164=0,0,(Q164+R164)*'1.0-Contractblad'!$L$98)</f>
        <v>0</v>
      </c>
      <c r="Z164" s="629">
        <f>IF(J164=0,0,VLOOKUP(D164,'1.1a-Jaarprijzen'!$B$70:$P$124,14,FALSE)*(K164+J164))</f>
        <v>0</v>
      </c>
      <c r="AA164" s="60">
        <f t="shared" si="28"/>
        <v>0</v>
      </c>
      <c r="AC164" s="60" t="str">
        <f t="shared" si="29"/>
        <v>nvt-0</v>
      </c>
    </row>
    <row r="165" spans="1:29">
      <c r="A165" s="557"/>
      <c r="B165" s="549"/>
      <c r="C165" s="656">
        <v>1</v>
      </c>
      <c r="D165" s="550" t="s">
        <v>1071</v>
      </c>
      <c r="E165" s="657" t="s">
        <v>1010</v>
      </c>
      <c r="F165" s="645" t="s">
        <v>663</v>
      </c>
      <c r="G165" s="646" t="s">
        <v>710</v>
      </c>
      <c r="H165" s="644" t="str">
        <f t="shared" si="40"/>
        <v>niet van toepassing</v>
      </c>
      <c r="I165" s="716" t="s">
        <v>785</v>
      </c>
      <c r="J165" s="648"/>
      <c r="K165" s="648">
        <v>10.67</v>
      </c>
      <c r="L165" s="660" t="s">
        <v>27</v>
      </c>
      <c r="M165" s="555">
        <f t="shared" si="44"/>
        <v>0</v>
      </c>
      <c r="N165" s="453"/>
      <c r="O165" s="555">
        <f t="shared" si="45"/>
        <v>0</v>
      </c>
      <c r="P165" s="630">
        <v>1</v>
      </c>
      <c r="Q165" s="773">
        <f t="shared" si="46"/>
        <v>0</v>
      </c>
      <c r="R165" s="773">
        <f t="shared" si="47"/>
        <v>0</v>
      </c>
      <c r="S165" s="551">
        <f t="shared" si="48"/>
        <v>0</v>
      </c>
      <c r="T165" s="623">
        <f t="shared" si="41"/>
        <v>0</v>
      </c>
      <c r="U165" s="623">
        <f t="shared" si="42"/>
        <v>0</v>
      </c>
      <c r="V165" s="552">
        <f t="shared" si="43"/>
        <v>0</v>
      </c>
      <c r="W165" s="553">
        <f t="shared" si="49"/>
        <v>0</v>
      </c>
      <c r="X165" s="698"/>
      <c r="Y165" s="628">
        <f>IF(Q165=0,0,(Q165+R165)*'1.0-Contractblad'!$L$98)</f>
        <v>0</v>
      </c>
      <c r="Z165" s="629">
        <f>IF(J165=0,0,VLOOKUP(D165,'1.1a-Jaarprijzen'!$B$70:$P$124,14,FALSE)*(K165+J165))</f>
        <v>0</v>
      </c>
      <c r="AA165" s="60">
        <f t="shared" si="28"/>
        <v>0</v>
      </c>
      <c r="AC165" s="60" t="str">
        <f t="shared" si="29"/>
        <v>1236-236</v>
      </c>
    </row>
    <row r="166" spans="1:29">
      <c r="A166" s="557"/>
      <c r="B166" s="549"/>
      <c r="C166" s="656">
        <v>1</v>
      </c>
      <c r="D166" s="550" t="s">
        <v>1071</v>
      </c>
      <c r="E166" s="657" t="s">
        <v>1010</v>
      </c>
      <c r="F166" s="645" t="s">
        <v>664</v>
      </c>
      <c r="G166" s="646" t="s">
        <v>789</v>
      </c>
      <c r="H166" s="644" t="str">
        <f t="shared" si="40"/>
        <v>administratieve -, personeels- en vergaderruimte</v>
      </c>
      <c r="I166" s="716" t="s">
        <v>785</v>
      </c>
      <c r="J166" s="648">
        <v>61.01</v>
      </c>
      <c r="K166" s="648"/>
      <c r="L166" s="649">
        <v>1236</v>
      </c>
      <c r="M166" s="555">
        <f t="shared" si="44"/>
        <v>101</v>
      </c>
      <c r="N166" s="453"/>
      <c r="O166" s="555">
        <f t="shared" si="45"/>
        <v>236</v>
      </c>
      <c r="P166" s="630">
        <v>1</v>
      </c>
      <c r="Q166" s="773">
        <f t="shared" si="46"/>
        <v>0</v>
      </c>
      <c r="R166" s="773">
        <f t="shared" si="47"/>
        <v>0</v>
      </c>
      <c r="S166" s="551">
        <f t="shared" si="48"/>
        <v>0</v>
      </c>
      <c r="T166" s="623">
        <f t="shared" si="41"/>
        <v>0</v>
      </c>
      <c r="U166" s="623">
        <f t="shared" si="42"/>
        <v>0</v>
      </c>
      <c r="V166" s="552">
        <f t="shared" si="43"/>
        <v>0</v>
      </c>
      <c r="W166" s="553" t="str">
        <f t="shared" si="49"/>
        <v>B</v>
      </c>
      <c r="X166" s="554"/>
      <c r="Y166" s="628">
        <f>IF(Q166=0,0,(Q166+R166)*'1.0-Contractblad'!$L$98)</f>
        <v>0</v>
      </c>
      <c r="Z166" s="629">
        <f ca="1">IF(J166=0,0,VLOOKUP(D166,'1.1a-Jaarprijzen'!$B$70:$P$124,14,FALSE)*(K166+J166))</f>
        <v>0</v>
      </c>
      <c r="AA166" s="60">
        <f t="shared" si="28"/>
        <v>0</v>
      </c>
      <c r="AC166" s="60" t="str">
        <f t="shared" si="29"/>
        <v>4236-236</v>
      </c>
    </row>
    <row r="167" spans="1:29">
      <c r="A167" s="557"/>
      <c r="B167" s="549"/>
      <c r="C167" s="656">
        <v>1</v>
      </c>
      <c r="D167" s="550" t="s">
        <v>1071</v>
      </c>
      <c r="E167" s="657" t="s">
        <v>1010</v>
      </c>
      <c r="F167" s="645" t="s">
        <v>665</v>
      </c>
      <c r="G167" s="646" t="s">
        <v>916</v>
      </c>
      <c r="H167" s="644" t="str">
        <f t="shared" si="40"/>
        <v>sanitaire ruimte (toilet-/doucheruimte)</v>
      </c>
      <c r="I167" s="716" t="s">
        <v>1009</v>
      </c>
      <c r="J167" s="648">
        <v>5.27</v>
      </c>
      <c r="K167" s="648"/>
      <c r="L167" s="649">
        <v>4236</v>
      </c>
      <c r="M167" s="555">
        <f t="shared" si="44"/>
        <v>104</v>
      </c>
      <c r="N167" s="453"/>
      <c r="O167" s="555">
        <f t="shared" si="45"/>
        <v>236</v>
      </c>
      <c r="P167" s="630">
        <v>1.05</v>
      </c>
      <c r="Q167" s="773">
        <f t="shared" si="46"/>
        <v>0</v>
      </c>
      <c r="R167" s="773">
        <f t="shared" si="47"/>
        <v>0</v>
      </c>
      <c r="S167" s="551">
        <f t="shared" si="48"/>
        <v>0</v>
      </c>
      <c r="T167" s="623">
        <f t="shared" si="41"/>
        <v>0</v>
      </c>
      <c r="U167" s="623">
        <f t="shared" si="42"/>
        <v>0</v>
      </c>
      <c r="V167" s="552">
        <f t="shared" si="43"/>
        <v>0</v>
      </c>
      <c r="W167" s="553" t="str">
        <f t="shared" si="49"/>
        <v>S</v>
      </c>
      <c r="X167" s="554"/>
      <c r="Y167" s="628">
        <f>IF(Q167=0,0,(Q167+R167)*'1.0-Contractblad'!$L$98)</f>
        <v>0</v>
      </c>
      <c r="Z167" s="629">
        <f ca="1">IF(J167=0,0,VLOOKUP(D167,'1.1a-Jaarprijzen'!$B$70:$P$124,14,FALSE)*(K167+J167))</f>
        <v>0</v>
      </c>
      <c r="AA167" s="60">
        <f t="shared" si="28"/>
        <v>0</v>
      </c>
      <c r="AC167" s="60" t="str">
        <f t="shared" si="29"/>
        <v>3236-236</v>
      </c>
    </row>
    <row r="168" spans="1:29">
      <c r="A168" s="557"/>
      <c r="B168" s="549"/>
      <c r="C168" s="656">
        <v>1</v>
      </c>
      <c r="D168" s="550" t="s">
        <v>1071</v>
      </c>
      <c r="E168" s="657" t="s">
        <v>1010</v>
      </c>
      <c r="F168" s="645" t="s">
        <v>666</v>
      </c>
      <c r="G168" s="646" t="s">
        <v>781</v>
      </c>
      <c r="H168" s="644" t="str">
        <f t="shared" si="40"/>
        <v>entree, gang, hal, repro, kopieer, was/droogruimte</v>
      </c>
      <c r="I168" s="716" t="s">
        <v>785</v>
      </c>
      <c r="J168" s="648">
        <v>62.14</v>
      </c>
      <c r="K168" s="648"/>
      <c r="L168" s="649">
        <v>3236</v>
      </c>
      <c r="M168" s="555">
        <f t="shared" si="44"/>
        <v>103</v>
      </c>
      <c r="N168" s="453"/>
      <c r="O168" s="555">
        <f t="shared" si="45"/>
        <v>236</v>
      </c>
      <c r="P168" s="630">
        <v>1</v>
      </c>
      <c r="Q168" s="773">
        <f t="shared" si="46"/>
        <v>0</v>
      </c>
      <c r="R168" s="773">
        <f t="shared" si="47"/>
        <v>0</v>
      </c>
      <c r="S168" s="551">
        <f t="shared" si="48"/>
        <v>0</v>
      </c>
      <c r="T168" s="623">
        <f t="shared" si="41"/>
        <v>0</v>
      </c>
      <c r="U168" s="623">
        <f t="shared" si="42"/>
        <v>0</v>
      </c>
      <c r="V168" s="552">
        <f t="shared" si="43"/>
        <v>0</v>
      </c>
      <c r="W168" s="553" t="str">
        <f t="shared" si="49"/>
        <v>V</v>
      </c>
      <c r="X168" s="554"/>
      <c r="Y168" s="628">
        <f>IF(Q168=0,0,(Q168+R168)*'1.0-Contractblad'!$L$98)</f>
        <v>0</v>
      </c>
      <c r="Z168" s="629">
        <f ca="1">IF(J168=0,0,VLOOKUP(D168,'1.1a-Jaarprijzen'!$B$70:$P$124,14,FALSE)*(K168+J168))</f>
        <v>0</v>
      </c>
      <c r="AA168" s="60">
        <f t="shared" si="28"/>
        <v>0</v>
      </c>
      <c r="AC168" s="60" t="str">
        <f t="shared" si="29"/>
        <v>1236-236</v>
      </c>
    </row>
    <row r="169" spans="1:29">
      <c r="A169" s="557"/>
      <c r="B169" s="549"/>
      <c r="C169" s="656">
        <v>1</v>
      </c>
      <c r="D169" s="550" t="s">
        <v>1071</v>
      </c>
      <c r="E169" s="657" t="s">
        <v>1010</v>
      </c>
      <c r="F169" s="645" t="s">
        <v>667</v>
      </c>
      <c r="G169" s="646" t="s">
        <v>930</v>
      </c>
      <c r="H169" s="644" t="str">
        <f t="shared" si="40"/>
        <v>administratieve -, personeels- en vergaderruimte</v>
      </c>
      <c r="I169" s="716" t="s">
        <v>785</v>
      </c>
      <c r="J169" s="648">
        <v>61.01</v>
      </c>
      <c r="K169" s="648"/>
      <c r="L169" s="649">
        <v>1236</v>
      </c>
      <c r="M169" s="555">
        <f t="shared" si="44"/>
        <v>101</v>
      </c>
      <c r="N169" s="453"/>
      <c r="O169" s="555">
        <f t="shared" si="45"/>
        <v>236</v>
      </c>
      <c r="P169" s="630">
        <v>1</v>
      </c>
      <c r="Q169" s="773">
        <f t="shared" si="46"/>
        <v>0</v>
      </c>
      <c r="R169" s="773">
        <f t="shared" si="47"/>
        <v>0</v>
      </c>
      <c r="S169" s="551">
        <f t="shared" si="48"/>
        <v>0</v>
      </c>
      <c r="T169" s="623">
        <f t="shared" si="41"/>
        <v>0</v>
      </c>
      <c r="U169" s="623">
        <f t="shared" si="42"/>
        <v>0</v>
      </c>
      <c r="V169" s="552">
        <f t="shared" si="43"/>
        <v>0</v>
      </c>
      <c r="W169" s="553" t="str">
        <f t="shared" si="49"/>
        <v>B</v>
      </c>
      <c r="X169" s="554"/>
      <c r="Y169" s="628">
        <f>IF(Q169=0,0,(Q169+R169)*'1.0-Contractblad'!$L$98)</f>
        <v>0</v>
      </c>
      <c r="Z169" s="629">
        <f ca="1">IF(J169=0,0,VLOOKUP(D169,'1.1a-Jaarprijzen'!$B$70:$P$124,14,FALSE)*(K169+J169))</f>
        <v>0</v>
      </c>
      <c r="AA169" s="60">
        <f t="shared" si="28"/>
        <v>0</v>
      </c>
      <c r="AC169" s="60" t="str">
        <f t="shared" si="29"/>
        <v>4236-236</v>
      </c>
    </row>
    <row r="170" spans="1:29">
      <c r="A170" s="557"/>
      <c r="B170" s="549"/>
      <c r="C170" s="656">
        <v>1</v>
      </c>
      <c r="D170" s="550" t="s">
        <v>1071</v>
      </c>
      <c r="E170" s="657" t="s">
        <v>1010</v>
      </c>
      <c r="F170" s="645" t="s">
        <v>668</v>
      </c>
      <c r="G170" s="646" t="s">
        <v>916</v>
      </c>
      <c r="H170" s="644" t="str">
        <f t="shared" si="40"/>
        <v>sanitaire ruimte (toilet-/doucheruimte)</v>
      </c>
      <c r="I170" s="716" t="s">
        <v>1009</v>
      </c>
      <c r="J170" s="648">
        <v>4.01</v>
      </c>
      <c r="K170" s="648"/>
      <c r="L170" s="649">
        <v>4236</v>
      </c>
      <c r="M170" s="555">
        <f t="shared" si="44"/>
        <v>104</v>
      </c>
      <c r="N170" s="453"/>
      <c r="O170" s="555">
        <f t="shared" si="45"/>
        <v>236</v>
      </c>
      <c r="P170" s="630">
        <v>1.05</v>
      </c>
      <c r="Q170" s="773">
        <f t="shared" si="46"/>
        <v>0</v>
      </c>
      <c r="R170" s="773">
        <f t="shared" si="47"/>
        <v>0</v>
      </c>
      <c r="S170" s="551">
        <f t="shared" si="48"/>
        <v>0</v>
      </c>
      <c r="T170" s="623">
        <f t="shared" si="41"/>
        <v>0</v>
      </c>
      <c r="U170" s="623">
        <f t="shared" si="42"/>
        <v>0</v>
      </c>
      <c r="V170" s="552">
        <f t="shared" si="43"/>
        <v>0</v>
      </c>
      <c r="W170" s="553" t="str">
        <f t="shared" si="49"/>
        <v>S</v>
      </c>
      <c r="X170" s="554"/>
      <c r="Y170" s="628">
        <f>IF(Q170=0,0,(Q170+R170)*'1.0-Contractblad'!$L$98)</f>
        <v>0</v>
      </c>
      <c r="Z170" s="629">
        <f ca="1">IF(J170=0,0,VLOOKUP(D170,'1.1a-Jaarprijzen'!$B$70:$P$124,14,FALSE)*(K170+J170))</f>
        <v>0</v>
      </c>
      <c r="AA170" s="60">
        <f t="shared" si="28"/>
        <v>0</v>
      </c>
      <c r="AC170" s="60" t="str">
        <f t="shared" si="29"/>
        <v>nvt-0</v>
      </c>
    </row>
    <row r="171" spans="1:29">
      <c r="A171" s="557"/>
      <c r="B171" s="549"/>
      <c r="C171" s="656">
        <v>1</v>
      </c>
      <c r="D171" s="550" t="s">
        <v>1071</v>
      </c>
      <c r="E171" s="657" t="s">
        <v>1010</v>
      </c>
      <c r="F171" s="645" t="s">
        <v>669</v>
      </c>
      <c r="G171" s="646" t="s">
        <v>559</v>
      </c>
      <c r="H171" s="644" t="str">
        <f t="shared" si="40"/>
        <v>niet van toepassing</v>
      </c>
      <c r="I171" s="716" t="s">
        <v>785</v>
      </c>
      <c r="J171" s="648"/>
      <c r="K171" s="648">
        <v>1.26</v>
      </c>
      <c r="L171" s="660" t="s">
        <v>27</v>
      </c>
      <c r="M171" s="555">
        <f t="shared" si="44"/>
        <v>0</v>
      </c>
      <c r="N171" s="453"/>
      <c r="O171" s="555">
        <f t="shared" si="45"/>
        <v>0</v>
      </c>
      <c r="P171" s="630">
        <v>1</v>
      </c>
      <c r="Q171" s="773">
        <f t="shared" si="46"/>
        <v>0</v>
      </c>
      <c r="R171" s="773">
        <f t="shared" si="47"/>
        <v>0</v>
      </c>
      <c r="S171" s="551">
        <f t="shared" si="48"/>
        <v>0</v>
      </c>
      <c r="T171" s="623">
        <f t="shared" si="41"/>
        <v>0</v>
      </c>
      <c r="U171" s="623">
        <f t="shared" si="42"/>
        <v>0</v>
      </c>
      <c r="V171" s="552">
        <f t="shared" si="43"/>
        <v>0</v>
      </c>
      <c r="W171" s="553">
        <f t="shared" si="49"/>
        <v>0</v>
      </c>
      <c r="X171" s="698"/>
      <c r="Y171" s="628">
        <f>IF(Q171=0,0,(Q171+R171)*'1.0-Contractblad'!$L$98)</f>
        <v>0</v>
      </c>
      <c r="Z171" s="629">
        <f>IF(J171=0,0,VLOOKUP(D171,'1.1a-Jaarprijzen'!$B$70:$P$124,14,FALSE)*(K171+J171))</f>
        <v>0</v>
      </c>
      <c r="AA171" s="60">
        <f t="shared" si="28"/>
        <v>0</v>
      </c>
      <c r="AC171" s="60" t="str">
        <f t="shared" si="29"/>
        <v>7200-200</v>
      </c>
    </row>
    <row r="172" spans="1:29">
      <c r="A172" s="557"/>
      <c r="B172" s="549"/>
      <c r="C172" s="656">
        <v>1</v>
      </c>
      <c r="D172" s="550" t="s">
        <v>1071</v>
      </c>
      <c r="E172" s="657" t="s">
        <v>1010</v>
      </c>
      <c r="F172" s="645" t="s">
        <v>670</v>
      </c>
      <c r="G172" s="646" t="s">
        <v>931</v>
      </c>
      <c r="H172" s="644" t="str">
        <f t="shared" si="40"/>
        <v>leslokaal</v>
      </c>
      <c r="I172" s="716" t="s">
        <v>785</v>
      </c>
      <c r="J172" s="648">
        <v>76.75</v>
      </c>
      <c r="K172" s="648"/>
      <c r="L172" s="649">
        <v>7200</v>
      </c>
      <c r="M172" s="555">
        <f t="shared" si="44"/>
        <v>107</v>
      </c>
      <c r="N172" s="453"/>
      <c r="O172" s="555">
        <f t="shared" si="45"/>
        <v>200</v>
      </c>
      <c r="P172" s="630">
        <v>1</v>
      </c>
      <c r="Q172" s="773">
        <f t="shared" si="46"/>
        <v>0</v>
      </c>
      <c r="R172" s="773">
        <f t="shared" si="47"/>
        <v>0</v>
      </c>
      <c r="S172" s="551">
        <f t="shared" si="48"/>
        <v>0</v>
      </c>
      <c r="T172" s="623">
        <f t="shared" si="41"/>
        <v>0</v>
      </c>
      <c r="U172" s="623">
        <f t="shared" si="42"/>
        <v>0</v>
      </c>
      <c r="V172" s="552">
        <f t="shared" si="43"/>
        <v>0</v>
      </c>
      <c r="W172" s="553" t="str">
        <f t="shared" si="49"/>
        <v>L</v>
      </c>
      <c r="X172" s="554"/>
      <c r="Y172" s="628">
        <f>IF(Q172=0,0,(Q172+R172)*'1.0-Contractblad'!$L$98)</f>
        <v>0</v>
      </c>
      <c r="Z172" s="629">
        <f ca="1">IF(J172=0,0,VLOOKUP(D172,'1.1a-Jaarprijzen'!$B$70:$P$124,14,FALSE)*(K172+J172))</f>
        <v>0</v>
      </c>
      <c r="AA172" s="60">
        <f t="shared" si="28"/>
        <v>0</v>
      </c>
      <c r="AC172" s="60" t="str">
        <f t="shared" si="29"/>
        <v>7200-200</v>
      </c>
    </row>
    <row r="173" spans="1:29">
      <c r="A173" s="557"/>
      <c r="B173" s="700"/>
      <c r="C173" s="656">
        <v>1</v>
      </c>
      <c r="D173" s="550" t="s">
        <v>1071</v>
      </c>
      <c r="E173" s="657" t="s">
        <v>1010</v>
      </c>
      <c r="F173" s="645" t="s">
        <v>671</v>
      </c>
      <c r="G173" s="646" t="s">
        <v>932</v>
      </c>
      <c r="H173" s="644" t="str">
        <f t="shared" si="40"/>
        <v>leslokaal</v>
      </c>
      <c r="I173" s="716" t="s">
        <v>785</v>
      </c>
      <c r="J173" s="648">
        <v>37.56</v>
      </c>
      <c r="K173" s="648"/>
      <c r="L173" s="649">
        <v>7200</v>
      </c>
      <c r="M173" s="555">
        <f t="shared" si="44"/>
        <v>107</v>
      </c>
      <c r="N173" s="453"/>
      <c r="O173" s="555">
        <f t="shared" si="45"/>
        <v>200</v>
      </c>
      <c r="P173" s="630">
        <v>1</v>
      </c>
      <c r="Q173" s="773">
        <f t="shared" si="46"/>
        <v>0</v>
      </c>
      <c r="R173" s="773">
        <f t="shared" si="47"/>
        <v>0</v>
      </c>
      <c r="S173" s="551">
        <f t="shared" si="48"/>
        <v>0</v>
      </c>
      <c r="T173" s="623">
        <f t="shared" si="41"/>
        <v>0</v>
      </c>
      <c r="U173" s="623">
        <f t="shared" si="42"/>
        <v>0</v>
      </c>
      <c r="V173" s="552">
        <f t="shared" si="43"/>
        <v>0</v>
      </c>
      <c r="W173" s="553" t="str">
        <f t="shared" si="49"/>
        <v>L</v>
      </c>
      <c r="X173" s="554"/>
      <c r="Y173" s="628">
        <f>IF(Q173=0,0,(Q173+R173)*'1.0-Contractblad'!$L$98)</f>
        <v>0</v>
      </c>
      <c r="Z173" s="629">
        <f ca="1">IF(J173=0,0,VLOOKUP(D173,'1.1a-Jaarprijzen'!$B$70:$P$124,14,FALSE)*(K173+J173))</f>
        <v>0</v>
      </c>
      <c r="AA173" s="60">
        <f t="shared" si="28"/>
        <v>0</v>
      </c>
      <c r="AC173" s="60" t="str">
        <f t="shared" si="29"/>
        <v>7200-200</v>
      </c>
    </row>
    <row r="174" spans="1:29">
      <c r="A174" s="557"/>
      <c r="B174" s="700"/>
      <c r="C174" s="656">
        <v>1</v>
      </c>
      <c r="D174" s="550" t="s">
        <v>1071</v>
      </c>
      <c r="E174" s="657" t="s">
        <v>1010</v>
      </c>
      <c r="F174" s="645" t="s">
        <v>672</v>
      </c>
      <c r="G174" s="646" t="s">
        <v>933</v>
      </c>
      <c r="H174" s="644" t="str">
        <f t="shared" si="40"/>
        <v>leslokaal</v>
      </c>
      <c r="I174" s="716" t="s">
        <v>785</v>
      </c>
      <c r="J174" s="648">
        <v>42.33</v>
      </c>
      <c r="K174" s="648"/>
      <c r="L174" s="649">
        <v>7200</v>
      </c>
      <c r="M174" s="555">
        <f t="shared" si="44"/>
        <v>107</v>
      </c>
      <c r="N174" s="453"/>
      <c r="O174" s="555">
        <f t="shared" si="45"/>
        <v>200</v>
      </c>
      <c r="P174" s="630">
        <v>1</v>
      </c>
      <c r="Q174" s="773">
        <f t="shared" si="46"/>
        <v>0</v>
      </c>
      <c r="R174" s="773">
        <f t="shared" si="47"/>
        <v>0</v>
      </c>
      <c r="S174" s="551">
        <f t="shared" si="48"/>
        <v>0</v>
      </c>
      <c r="T174" s="623">
        <f t="shared" si="41"/>
        <v>0</v>
      </c>
      <c r="U174" s="623">
        <f t="shared" si="42"/>
        <v>0</v>
      </c>
      <c r="V174" s="552">
        <f t="shared" si="43"/>
        <v>0</v>
      </c>
      <c r="W174" s="553" t="str">
        <f t="shared" si="49"/>
        <v>L</v>
      </c>
      <c r="X174" s="698"/>
      <c r="Y174" s="628">
        <f>IF(Q174=0,0,(Q174+R174)*'1.0-Contractblad'!$L$98)</f>
        <v>0</v>
      </c>
      <c r="Z174" s="629">
        <f ca="1">IF(J174=0,0,VLOOKUP(D174,'1.1a-Jaarprijzen'!$B$70:$P$124,14,FALSE)*(K174+J174))</f>
        <v>0</v>
      </c>
      <c r="AA174" s="60">
        <f t="shared" si="28"/>
        <v>0</v>
      </c>
      <c r="AC174" s="60" t="str">
        <f t="shared" si="29"/>
        <v>nvt-0</v>
      </c>
    </row>
    <row r="175" spans="1:29">
      <c r="A175" s="557"/>
      <c r="B175" s="549"/>
      <c r="C175" s="656">
        <v>1</v>
      </c>
      <c r="D175" s="550" t="s">
        <v>1071</v>
      </c>
      <c r="E175" s="657" t="s">
        <v>1010</v>
      </c>
      <c r="F175" s="645" t="s">
        <v>673</v>
      </c>
      <c r="G175" s="646" t="s">
        <v>710</v>
      </c>
      <c r="H175" s="644" t="str">
        <f t="shared" si="40"/>
        <v>niet van toepassing</v>
      </c>
      <c r="I175" s="716" t="s">
        <v>785</v>
      </c>
      <c r="J175" s="648"/>
      <c r="K175" s="648">
        <v>14.16</v>
      </c>
      <c r="L175" s="660" t="s">
        <v>27</v>
      </c>
      <c r="M175" s="555">
        <f t="shared" si="44"/>
        <v>0</v>
      </c>
      <c r="N175" s="453"/>
      <c r="O175" s="555">
        <f t="shared" si="45"/>
        <v>0</v>
      </c>
      <c r="P175" s="630">
        <v>1</v>
      </c>
      <c r="Q175" s="773">
        <f t="shared" si="46"/>
        <v>0</v>
      </c>
      <c r="R175" s="773">
        <f t="shared" si="47"/>
        <v>0</v>
      </c>
      <c r="S175" s="551">
        <f t="shared" si="48"/>
        <v>0</v>
      </c>
      <c r="T175" s="623">
        <f t="shared" si="41"/>
        <v>0</v>
      </c>
      <c r="U175" s="623">
        <f t="shared" si="42"/>
        <v>0</v>
      </c>
      <c r="V175" s="552">
        <f t="shared" si="43"/>
        <v>0</v>
      </c>
      <c r="W175" s="553">
        <f t="shared" si="49"/>
        <v>0</v>
      </c>
      <c r="X175" s="698"/>
      <c r="Y175" s="628">
        <f>IF(Q175=0,0,(Q175+R175)*'1.0-Contractblad'!$L$98)</f>
        <v>0</v>
      </c>
      <c r="Z175" s="629">
        <f>IF(J175=0,0,VLOOKUP(D175,'1.1a-Jaarprijzen'!$B$70:$P$124,14,FALSE)*(K175+J175))</f>
        <v>0</v>
      </c>
      <c r="AA175" s="60">
        <f t="shared" si="28"/>
        <v>0</v>
      </c>
      <c r="AC175" s="60" t="str">
        <f t="shared" si="29"/>
        <v>4236-236</v>
      </c>
    </row>
    <row r="176" spans="1:29">
      <c r="A176" s="557"/>
      <c r="B176" s="549"/>
      <c r="C176" s="656">
        <v>1</v>
      </c>
      <c r="D176" s="550" t="s">
        <v>1071</v>
      </c>
      <c r="E176" s="657" t="s">
        <v>1010</v>
      </c>
      <c r="F176" s="645" t="s">
        <v>674</v>
      </c>
      <c r="G176" s="646" t="s">
        <v>782</v>
      </c>
      <c r="H176" s="644" t="str">
        <f t="shared" si="40"/>
        <v>sanitaire ruimte (toilet-/doucheruimte)</v>
      </c>
      <c r="I176" s="716" t="s">
        <v>1009</v>
      </c>
      <c r="J176" s="648">
        <v>3.27</v>
      </c>
      <c r="K176" s="648"/>
      <c r="L176" s="649">
        <v>4236</v>
      </c>
      <c r="M176" s="555">
        <f t="shared" si="44"/>
        <v>104</v>
      </c>
      <c r="N176" s="453"/>
      <c r="O176" s="555">
        <f t="shared" si="45"/>
        <v>236</v>
      </c>
      <c r="P176" s="630">
        <v>1.05</v>
      </c>
      <c r="Q176" s="773">
        <f t="shared" si="46"/>
        <v>0</v>
      </c>
      <c r="R176" s="773">
        <f t="shared" si="47"/>
        <v>0</v>
      </c>
      <c r="S176" s="551">
        <f t="shared" si="48"/>
        <v>0</v>
      </c>
      <c r="T176" s="623">
        <f t="shared" si="41"/>
        <v>0</v>
      </c>
      <c r="U176" s="623">
        <f t="shared" si="42"/>
        <v>0</v>
      </c>
      <c r="V176" s="552">
        <f t="shared" si="43"/>
        <v>0</v>
      </c>
      <c r="W176" s="553" t="str">
        <f t="shared" si="49"/>
        <v>S</v>
      </c>
      <c r="X176" s="554"/>
      <c r="Y176" s="628">
        <f>IF(Q176=0,0,(Q176+R176)*'1.0-Contractblad'!$L$98)</f>
        <v>0</v>
      </c>
      <c r="Z176" s="629">
        <f ca="1">IF(J176=0,0,VLOOKUP(D176,'1.1a-Jaarprijzen'!$B$70:$P$124,14,FALSE)*(K176+J176))</f>
        <v>0</v>
      </c>
      <c r="AA176" s="60">
        <f t="shared" si="28"/>
        <v>0</v>
      </c>
      <c r="AC176" s="60" t="str">
        <f t="shared" si="29"/>
        <v>4236-236</v>
      </c>
    </row>
    <row r="177" spans="1:29">
      <c r="A177" s="557"/>
      <c r="B177" s="549"/>
      <c r="C177" s="656">
        <v>1</v>
      </c>
      <c r="D177" s="550" t="s">
        <v>1071</v>
      </c>
      <c r="E177" s="657" t="s">
        <v>1010</v>
      </c>
      <c r="F177" s="645" t="s">
        <v>675</v>
      </c>
      <c r="G177" s="646" t="s">
        <v>782</v>
      </c>
      <c r="H177" s="644" t="str">
        <f t="shared" si="40"/>
        <v>sanitaire ruimte (toilet-/doucheruimte)</v>
      </c>
      <c r="I177" s="716" t="s">
        <v>1009</v>
      </c>
      <c r="J177" s="648">
        <v>3.27</v>
      </c>
      <c r="K177" s="648"/>
      <c r="L177" s="649">
        <v>4236</v>
      </c>
      <c r="M177" s="555">
        <f t="shared" si="44"/>
        <v>104</v>
      </c>
      <c r="N177" s="453"/>
      <c r="O177" s="555">
        <f t="shared" si="45"/>
        <v>236</v>
      </c>
      <c r="P177" s="630">
        <v>1.05</v>
      </c>
      <c r="Q177" s="773">
        <f t="shared" si="46"/>
        <v>0</v>
      </c>
      <c r="R177" s="773">
        <f t="shared" si="47"/>
        <v>0</v>
      </c>
      <c r="S177" s="551">
        <f t="shared" si="48"/>
        <v>0</v>
      </c>
      <c r="T177" s="623">
        <f t="shared" si="41"/>
        <v>0</v>
      </c>
      <c r="U177" s="623">
        <f t="shared" si="42"/>
        <v>0</v>
      </c>
      <c r="V177" s="552">
        <f t="shared" si="43"/>
        <v>0</v>
      </c>
      <c r="W177" s="553" t="str">
        <f t="shared" si="49"/>
        <v>S</v>
      </c>
      <c r="X177" s="554"/>
      <c r="Y177" s="628">
        <f>IF(Q177=0,0,(Q177+R177)*'1.0-Contractblad'!$L$98)</f>
        <v>0</v>
      </c>
      <c r="Z177" s="629">
        <f ca="1">IF(J177=0,0,VLOOKUP(D177,'1.1a-Jaarprijzen'!$B$70:$P$124,14,FALSE)*(K177+J177))</f>
        <v>0</v>
      </c>
      <c r="AA177" s="60">
        <f t="shared" si="28"/>
        <v>0</v>
      </c>
      <c r="AC177" s="60" t="str">
        <f t="shared" si="29"/>
        <v>3236-236</v>
      </c>
    </row>
    <row r="178" spans="1:29">
      <c r="A178" s="557"/>
      <c r="B178" s="549"/>
      <c r="C178" s="656">
        <v>1</v>
      </c>
      <c r="D178" s="550" t="s">
        <v>1071</v>
      </c>
      <c r="E178" s="657" t="s">
        <v>1010</v>
      </c>
      <c r="F178" s="645" t="s">
        <v>676</v>
      </c>
      <c r="G178" s="646" t="s">
        <v>793</v>
      </c>
      <c r="H178" s="644" t="str">
        <f t="shared" si="40"/>
        <v>entree, gang, hal, repro, kopieer, was/droogruimte</v>
      </c>
      <c r="I178" s="716" t="s">
        <v>785</v>
      </c>
      <c r="J178" s="648">
        <v>44.5</v>
      </c>
      <c r="K178" s="648"/>
      <c r="L178" s="649">
        <v>3236</v>
      </c>
      <c r="M178" s="555">
        <f t="shared" si="44"/>
        <v>103</v>
      </c>
      <c r="N178" s="453"/>
      <c r="O178" s="555">
        <f t="shared" si="45"/>
        <v>236</v>
      </c>
      <c r="P178" s="630">
        <v>1</v>
      </c>
      <c r="Q178" s="773">
        <f t="shared" si="46"/>
        <v>0</v>
      </c>
      <c r="R178" s="773">
        <f t="shared" si="47"/>
        <v>0</v>
      </c>
      <c r="S178" s="551">
        <f t="shared" si="48"/>
        <v>0</v>
      </c>
      <c r="T178" s="623">
        <f t="shared" si="41"/>
        <v>0</v>
      </c>
      <c r="U178" s="623">
        <f t="shared" si="42"/>
        <v>0</v>
      </c>
      <c r="V178" s="552">
        <f t="shared" si="43"/>
        <v>0</v>
      </c>
      <c r="W178" s="553" t="str">
        <f t="shared" si="49"/>
        <v>V</v>
      </c>
      <c r="X178" s="554"/>
      <c r="Y178" s="628">
        <f>IF(Q178=0,0,(Q178+R178)*'1.0-Contractblad'!$L$98)</f>
        <v>0</v>
      </c>
      <c r="Z178" s="629">
        <f ca="1">IF(J178=0,0,VLOOKUP(D178,'1.1a-Jaarprijzen'!$B$70:$P$124,14,FALSE)*(K178+J178))</f>
        <v>0</v>
      </c>
      <c r="AA178" s="60" t="e">
        <f>IF(#REF!=8255,#REF!+#REF!,0)</f>
        <v>#REF!</v>
      </c>
      <c r="AC178" s="60" t="e">
        <f>CONCATENATE(#REF!,"-",#REF!)</f>
        <v>#REF!</v>
      </c>
    </row>
    <row r="179" spans="1:29">
      <c r="A179" s="557"/>
      <c r="B179" s="549"/>
      <c r="C179" s="656">
        <v>1</v>
      </c>
      <c r="D179" s="550" t="s">
        <v>1017</v>
      </c>
      <c r="E179" s="657" t="s">
        <v>1010</v>
      </c>
      <c r="F179" s="645" t="s">
        <v>433</v>
      </c>
      <c r="G179" s="646" t="s">
        <v>788</v>
      </c>
      <c r="H179" s="644" t="str">
        <f t="shared" ref="H179:H216" si="50">IF(L179="","",VLOOKUP(L179,Kengetal,4,FALSE))</f>
        <v>entree, gang, hal, repro, kopieer, was/droogruimte</v>
      </c>
      <c r="I179" s="716" t="s">
        <v>785</v>
      </c>
      <c r="J179" s="648">
        <v>27</v>
      </c>
      <c r="K179" s="648"/>
      <c r="L179" s="649">
        <v>3200</v>
      </c>
      <c r="M179" s="555">
        <f t="shared" ref="M179:M218" si="51">VLOOKUP(L179,Kengetal,2,FALSE)</f>
        <v>103</v>
      </c>
      <c r="N179" s="453"/>
      <c r="O179" s="555">
        <f t="shared" ref="O179:O218" si="52">VLOOKUP(L179,Kengetal,3,FALSE)</f>
        <v>200</v>
      </c>
      <c r="P179" s="630">
        <v>1</v>
      </c>
      <c r="Q179" s="773">
        <f t="shared" ref="Q179:Q218" si="53">T179*J179*P179</f>
        <v>0</v>
      </c>
      <c r="R179" s="773">
        <f t="shared" ref="R179:R218" si="54">U179*J179*P179</f>
        <v>0</v>
      </c>
      <c r="S179" s="551">
        <f t="shared" ref="S179:S218" si="55">V179*J179*P179</f>
        <v>0</v>
      </c>
      <c r="T179" s="623">
        <f t="shared" ref="T179:T217" si="56">VLOOKUP($L179,Kengetal,6,FALSE)</f>
        <v>0</v>
      </c>
      <c r="U179" s="623">
        <f t="shared" ref="U179:U217" si="57">VLOOKUP($L179,Kengetal,7,FALSE)</f>
        <v>0</v>
      </c>
      <c r="V179" s="552">
        <f t="shared" ref="V179:V217" si="58">VLOOKUP($N179,Kengetal,7,FALSE)</f>
        <v>0</v>
      </c>
      <c r="W179" s="553" t="str">
        <f t="shared" ref="W179:W218" si="59">IF(L179="","",VLOOKUP(L179,Kengetal,14,FALSE))</f>
        <v>V</v>
      </c>
      <c r="X179" s="554"/>
      <c r="Y179" s="628">
        <f>IF(Q179=0,0,(Q179+R179)*'1.0-Contractblad'!$L$98)</f>
        <v>0</v>
      </c>
      <c r="Z179" s="629">
        <f ca="1">IF(J179=0,0,VLOOKUP(D179,'1.1a-Jaarprijzen'!$B$70:$P$124,14,FALSE)*(K179+J179))</f>
        <v>0</v>
      </c>
      <c r="AA179" s="60">
        <f t="shared" ref="AA179:AA183" si="60">IF(L180=8255,Q180+R180,0)</f>
        <v>0</v>
      </c>
      <c r="AC179" s="60" t="str">
        <f t="shared" ref="AC179:AC183" si="61">CONCATENATE(L180,"-",O180)</f>
        <v>1200-200</v>
      </c>
    </row>
    <row r="180" spans="1:29">
      <c r="A180" s="557"/>
      <c r="B180" s="549"/>
      <c r="C180" s="656">
        <v>1</v>
      </c>
      <c r="D180" s="550" t="s">
        <v>1017</v>
      </c>
      <c r="E180" s="657" t="s">
        <v>1010</v>
      </c>
      <c r="F180" s="645" t="s">
        <v>434</v>
      </c>
      <c r="G180" s="646" t="s">
        <v>709</v>
      </c>
      <c r="H180" s="644" t="str">
        <f t="shared" si="50"/>
        <v>administratieve -, personeels- en vergaderruimte</v>
      </c>
      <c r="I180" s="716" t="s">
        <v>785</v>
      </c>
      <c r="J180" s="648">
        <v>10.36</v>
      </c>
      <c r="K180" s="648"/>
      <c r="L180" s="649">
        <v>1200</v>
      </c>
      <c r="M180" s="555">
        <f t="shared" si="51"/>
        <v>101</v>
      </c>
      <c r="N180" s="453"/>
      <c r="O180" s="555">
        <f t="shared" si="52"/>
        <v>200</v>
      </c>
      <c r="P180" s="630">
        <v>1</v>
      </c>
      <c r="Q180" s="773">
        <f t="shared" si="53"/>
        <v>0</v>
      </c>
      <c r="R180" s="773">
        <f t="shared" si="54"/>
        <v>0</v>
      </c>
      <c r="S180" s="551">
        <f t="shared" si="55"/>
        <v>0</v>
      </c>
      <c r="T180" s="623">
        <f t="shared" si="56"/>
        <v>0</v>
      </c>
      <c r="U180" s="623">
        <f t="shared" si="57"/>
        <v>0</v>
      </c>
      <c r="V180" s="552">
        <f t="shared" si="58"/>
        <v>0</v>
      </c>
      <c r="W180" s="553" t="str">
        <f t="shared" si="59"/>
        <v>B</v>
      </c>
      <c r="X180" s="554"/>
      <c r="Y180" s="628">
        <f>IF(Q180=0,0,(Q180+R180)*'1.0-Contractblad'!$L$98)</f>
        <v>0</v>
      </c>
      <c r="Z180" s="629">
        <f ca="1">IF(J180=0,0,VLOOKUP(D180,'1.1a-Jaarprijzen'!$B$70:$P$124,14,FALSE)*(K180+J180))</f>
        <v>0</v>
      </c>
      <c r="AA180" s="60">
        <f t="shared" si="60"/>
        <v>0</v>
      </c>
      <c r="AC180" s="60" t="str">
        <f t="shared" si="61"/>
        <v>18040-40</v>
      </c>
    </row>
    <row r="181" spans="1:29">
      <c r="A181" s="548"/>
      <c r="B181" s="549"/>
      <c r="C181" s="656">
        <v>1</v>
      </c>
      <c r="D181" s="550" t="s">
        <v>1017</v>
      </c>
      <c r="E181" s="657" t="s">
        <v>1010</v>
      </c>
      <c r="F181" s="645" t="s">
        <v>435</v>
      </c>
      <c r="G181" s="646" t="s">
        <v>306</v>
      </c>
      <c r="H181" s="644" t="str">
        <f t="shared" si="50"/>
        <v>Keuken</v>
      </c>
      <c r="I181" s="716" t="s">
        <v>1009</v>
      </c>
      <c r="J181" s="648">
        <v>57.56</v>
      </c>
      <c r="K181" s="648"/>
      <c r="L181" s="649">
        <v>18040</v>
      </c>
      <c r="M181" s="555" t="str">
        <f t="shared" si="51"/>
        <v>nvt</v>
      </c>
      <c r="N181" s="453"/>
      <c r="O181" s="555">
        <f t="shared" si="52"/>
        <v>40</v>
      </c>
      <c r="P181" s="630">
        <v>1</v>
      </c>
      <c r="Q181" s="773">
        <f t="shared" si="53"/>
        <v>0</v>
      </c>
      <c r="R181" s="773">
        <f t="shared" si="54"/>
        <v>0</v>
      </c>
      <c r="S181" s="551">
        <f t="shared" si="55"/>
        <v>0</v>
      </c>
      <c r="T181" s="623">
        <f t="shared" si="56"/>
        <v>0</v>
      </c>
      <c r="U181" s="623">
        <f t="shared" si="57"/>
        <v>0</v>
      </c>
      <c r="V181" s="552">
        <f t="shared" si="58"/>
        <v>0</v>
      </c>
      <c r="W181" s="553" t="str">
        <f t="shared" si="59"/>
        <v>V</v>
      </c>
      <c r="X181" s="554"/>
      <c r="Y181" s="628">
        <f>IF(Q181=0,0,(Q181+R181)*'1.0-Contractblad'!$L$98)</f>
        <v>0</v>
      </c>
      <c r="Z181" s="629">
        <f ca="1">IF(J181=0,0,VLOOKUP(D181,'1.1a-Jaarprijzen'!$B$70:$P$124,14,FALSE)*(K181+J181))</f>
        <v>0</v>
      </c>
      <c r="AA181" s="60">
        <f t="shared" si="60"/>
        <v>0</v>
      </c>
      <c r="AC181" s="60" t="str">
        <f t="shared" si="61"/>
        <v>11200-200</v>
      </c>
    </row>
    <row r="182" spans="1:29">
      <c r="A182" s="557"/>
      <c r="B182" s="549"/>
      <c r="C182" s="656">
        <v>1</v>
      </c>
      <c r="D182" s="550" t="s">
        <v>1017</v>
      </c>
      <c r="E182" s="657" t="s">
        <v>1010</v>
      </c>
      <c r="F182" s="645" t="s">
        <v>436</v>
      </c>
      <c r="G182" s="646" t="s">
        <v>481</v>
      </c>
      <c r="H182" s="644" t="str">
        <f t="shared" si="50"/>
        <v>kantine, restaurant</v>
      </c>
      <c r="I182" s="716" t="s">
        <v>785</v>
      </c>
      <c r="J182" s="648">
        <v>89.13</v>
      </c>
      <c r="K182" s="648"/>
      <c r="L182" s="649">
        <v>11200</v>
      </c>
      <c r="M182" s="555">
        <f t="shared" si="51"/>
        <v>105</v>
      </c>
      <c r="N182" s="453"/>
      <c r="O182" s="555">
        <f t="shared" si="52"/>
        <v>200</v>
      </c>
      <c r="P182" s="630">
        <v>1</v>
      </c>
      <c r="Q182" s="773">
        <f t="shared" si="53"/>
        <v>0</v>
      </c>
      <c r="R182" s="773">
        <f t="shared" si="54"/>
        <v>0</v>
      </c>
      <c r="S182" s="551">
        <f t="shared" si="55"/>
        <v>0</v>
      </c>
      <c r="T182" s="623">
        <f t="shared" si="56"/>
        <v>0</v>
      </c>
      <c r="U182" s="623">
        <f t="shared" si="57"/>
        <v>0</v>
      </c>
      <c r="V182" s="552">
        <f t="shared" si="58"/>
        <v>0</v>
      </c>
      <c r="W182" s="553" t="str">
        <f t="shared" si="59"/>
        <v>V</v>
      </c>
      <c r="X182" s="554"/>
      <c r="Y182" s="628">
        <f>IF(Q182=0,0,(Q182+R182)*'1.0-Contractblad'!$L$98)</f>
        <v>0</v>
      </c>
      <c r="Z182" s="629">
        <f ca="1">IF(J182=0,0,VLOOKUP(D182,'1.1a-Jaarprijzen'!$B$70:$P$124,14,FALSE)*(K182+J182))</f>
        <v>0</v>
      </c>
      <c r="AA182" s="60">
        <f t="shared" si="60"/>
        <v>0</v>
      </c>
      <c r="AC182" s="60" t="str">
        <f t="shared" si="61"/>
        <v>4200-200</v>
      </c>
    </row>
    <row r="183" spans="1:29">
      <c r="A183" s="557"/>
      <c r="B183" s="549"/>
      <c r="C183" s="656">
        <v>1</v>
      </c>
      <c r="D183" s="550" t="s">
        <v>1017</v>
      </c>
      <c r="E183" s="657" t="s">
        <v>1010</v>
      </c>
      <c r="F183" s="645" t="s">
        <v>437</v>
      </c>
      <c r="G183" s="646" t="s">
        <v>782</v>
      </c>
      <c r="H183" s="644" t="str">
        <f t="shared" si="50"/>
        <v>sanitaire ruimte (toilet-/doucheruimte)</v>
      </c>
      <c r="I183" s="716" t="s">
        <v>1009</v>
      </c>
      <c r="J183" s="648">
        <v>4.99</v>
      </c>
      <c r="K183" s="648"/>
      <c r="L183" s="649">
        <v>4200</v>
      </c>
      <c r="M183" s="555">
        <f t="shared" si="51"/>
        <v>104</v>
      </c>
      <c r="N183" s="453"/>
      <c r="O183" s="555">
        <f t="shared" si="52"/>
        <v>200</v>
      </c>
      <c r="P183" s="630">
        <v>1.05</v>
      </c>
      <c r="Q183" s="773">
        <f t="shared" si="53"/>
        <v>0</v>
      </c>
      <c r="R183" s="773">
        <f t="shared" si="54"/>
        <v>0</v>
      </c>
      <c r="S183" s="551">
        <f t="shared" si="55"/>
        <v>0</v>
      </c>
      <c r="T183" s="623">
        <f t="shared" si="56"/>
        <v>0</v>
      </c>
      <c r="U183" s="623">
        <f t="shared" si="57"/>
        <v>0</v>
      </c>
      <c r="V183" s="552">
        <f t="shared" si="58"/>
        <v>0</v>
      </c>
      <c r="W183" s="553" t="str">
        <f t="shared" si="59"/>
        <v>S</v>
      </c>
      <c r="X183" s="554"/>
      <c r="Y183" s="628">
        <f>IF(Q183=0,0,(Q183+R183)*'1.0-Contractblad'!$L$98)</f>
        <v>0</v>
      </c>
      <c r="Z183" s="629">
        <f ca="1">IF(J183=0,0,VLOOKUP(D183,'1.1a-Jaarprijzen'!$B$70:$P$124,14,FALSE)*(K183+J183))</f>
        <v>0</v>
      </c>
      <c r="AA183" s="60">
        <f t="shared" si="60"/>
        <v>0</v>
      </c>
      <c r="AC183" s="60" t="str">
        <f t="shared" si="61"/>
        <v>1200-200</v>
      </c>
    </row>
    <row r="184" spans="1:29">
      <c r="A184" s="557"/>
      <c r="B184" s="549"/>
      <c r="C184" s="656">
        <v>1</v>
      </c>
      <c r="D184" s="550" t="s">
        <v>1017</v>
      </c>
      <c r="E184" s="657" t="s">
        <v>1010</v>
      </c>
      <c r="F184" s="645" t="s">
        <v>438</v>
      </c>
      <c r="G184" s="646" t="s">
        <v>938</v>
      </c>
      <c r="H184" s="644" t="str">
        <f t="shared" si="50"/>
        <v>administratieve -, personeels- en vergaderruimte</v>
      </c>
      <c r="I184" s="716" t="s">
        <v>785</v>
      </c>
      <c r="J184" s="648">
        <v>8.32</v>
      </c>
      <c r="K184" s="648"/>
      <c r="L184" s="649">
        <v>1200</v>
      </c>
      <c r="M184" s="555">
        <f t="shared" si="51"/>
        <v>101</v>
      </c>
      <c r="N184" s="453"/>
      <c r="O184" s="555">
        <f t="shared" si="52"/>
        <v>200</v>
      </c>
      <c r="P184" s="630">
        <v>1</v>
      </c>
      <c r="Q184" s="773">
        <f t="shared" si="53"/>
        <v>0</v>
      </c>
      <c r="R184" s="773">
        <f t="shared" si="54"/>
        <v>0</v>
      </c>
      <c r="S184" s="551">
        <f t="shared" si="55"/>
        <v>0</v>
      </c>
      <c r="T184" s="623">
        <f t="shared" si="56"/>
        <v>0</v>
      </c>
      <c r="U184" s="623">
        <f t="shared" si="57"/>
        <v>0</v>
      </c>
      <c r="V184" s="552">
        <f t="shared" si="58"/>
        <v>0</v>
      </c>
      <c r="W184" s="553" t="str">
        <f t="shared" si="59"/>
        <v>B</v>
      </c>
      <c r="X184" s="554"/>
      <c r="Y184" s="628">
        <f>IF(Q184=0,0,(Q184+R184)*'1.0-Contractblad'!$L$98)</f>
        <v>0</v>
      </c>
      <c r="Z184" s="629">
        <f ca="1">IF(J184=0,0,VLOOKUP(D184,'1.1a-Jaarprijzen'!$B$70:$P$124,14,FALSE)*(K184+J184))</f>
        <v>0</v>
      </c>
      <c r="AA184" s="60">
        <f t="shared" ref="AA184:AA215" si="62">IF(L185=8255,Q185+R185,0)</f>
        <v>0</v>
      </c>
      <c r="AC184" s="60" t="str">
        <f t="shared" ref="AC184:AC215" si="63">CONCATENATE(L185,"-",O185)</f>
        <v>1200-200</v>
      </c>
    </row>
    <row r="185" spans="1:29">
      <c r="A185" s="557"/>
      <c r="B185" s="549"/>
      <c r="C185" s="656">
        <v>1</v>
      </c>
      <c r="D185" s="550" t="s">
        <v>1017</v>
      </c>
      <c r="E185" s="657" t="s">
        <v>1010</v>
      </c>
      <c r="F185" s="645" t="s">
        <v>439</v>
      </c>
      <c r="G185" s="646" t="s">
        <v>706</v>
      </c>
      <c r="H185" s="644" t="str">
        <f t="shared" si="50"/>
        <v>administratieve -, personeels- en vergaderruimte</v>
      </c>
      <c r="I185" s="716" t="s">
        <v>785</v>
      </c>
      <c r="J185" s="648">
        <v>17.100000000000001</v>
      </c>
      <c r="K185" s="648"/>
      <c r="L185" s="649">
        <v>1200</v>
      </c>
      <c r="M185" s="555">
        <f t="shared" si="51"/>
        <v>101</v>
      </c>
      <c r="N185" s="453"/>
      <c r="O185" s="555">
        <f t="shared" si="52"/>
        <v>200</v>
      </c>
      <c r="P185" s="630">
        <v>1</v>
      </c>
      <c r="Q185" s="773">
        <f t="shared" si="53"/>
        <v>0</v>
      </c>
      <c r="R185" s="773">
        <f t="shared" si="54"/>
        <v>0</v>
      </c>
      <c r="S185" s="551">
        <f t="shared" si="55"/>
        <v>0</v>
      </c>
      <c r="T185" s="623">
        <f t="shared" si="56"/>
        <v>0</v>
      </c>
      <c r="U185" s="623">
        <f t="shared" si="57"/>
        <v>0</v>
      </c>
      <c r="V185" s="552">
        <f t="shared" si="58"/>
        <v>0</v>
      </c>
      <c r="W185" s="553" t="str">
        <f t="shared" si="59"/>
        <v>B</v>
      </c>
      <c r="X185" s="554"/>
      <c r="Y185" s="628">
        <f>IF(Q185=0,0,(Q185+R185)*'1.0-Contractblad'!$L$98)</f>
        <v>0</v>
      </c>
      <c r="Z185" s="629">
        <f ca="1">IF(J185=0,0,VLOOKUP(D185,'1.1a-Jaarprijzen'!$B$70:$P$124,14,FALSE)*(K185+J185))</f>
        <v>0</v>
      </c>
      <c r="AA185" s="60">
        <f t="shared" si="62"/>
        <v>0</v>
      </c>
      <c r="AC185" s="60" t="str">
        <f t="shared" si="63"/>
        <v>1200-200</v>
      </c>
    </row>
    <row r="186" spans="1:29">
      <c r="A186" s="557"/>
      <c r="B186" s="549"/>
      <c r="C186" s="656">
        <v>1</v>
      </c>
      <c r="D186" s="550" t="s">
        <v>1017</v>
      </c>
      <c r="E186" s="657" t="s">
        <v>1010</v>
      </c>
      <c r="F186" s="645" t="s">
        <v>440</v>
      </c>
      <c r="G186" s="646" t="s">
        <v>939</v>
      </c>
      <c r="H186" s="644" t="str">
        <f t="shared" si="50"/>
        <v>administratieve -, personeels- en vergaderruimte</v>
      </c>
      <c r="I186" s="716" t="s">
        <v>785</v>
      </c>
      <c r="J186" s="648">
        <v>44.39</v>
      </c>
      <c r="K186" s="648"/>
      <c r="L186" s="649">
        <v>1200</v>
      </c>
      <c r="M186" s="555">
        <f t="shared" si="51"/>
        <v>101</v>
      </c>
      <c r="N186" s="453"/>
      <c r="O186" s="555">
        <f t="shared" si="52"/>
        <v>200</v>
      </c>
      <c r="P186" s="630">
        <v>1</v>
      </c>
      <c r="Q186" s="773">
        <f t="shared" si="53"/>
        <v>0</v>
      </c>
      <c r="R186" s="773">
        <f t="shared" si="54"/>
        <v>0</v>
      </c>
      <c r="S186" s="551">
        <f t="shared" si="55"/>
        <v>0</v>
      </c>
      <c r="T186" s="623">
        <f t="shared" si="56"/>
        <v>0</v>
      </c>
      <c r="U186" s="623">
        <f t="shared" si="57"/>
        <v>0</v>
      </c>
      <c r="V186" s="552">
        <f t="shared" si="58"/>
        <v>0</v>
      </c>
      <c r="W186" s="553" t="str">
        <f t="shared" si="59"/>
        <v>B</v>
      </c>
      <c r="X186" s="554"/>
      <c r="Y186" s="628">
        <f>IF(Q186=0,0,(Q186+R186)*'1.0-Contractblad'!$L$98)</f>
        <v>0</v>
      </c>
      <c r="Z186" s="629">
        <f ca="1">IF(J186=0,0,VLOOKUP(D186,'1.1a-Jaarprijzen'!$B$70:$P$124,14,FALSE)*(K186+J186))</f>
        <v>0</v>
      </c>
      <c r="AA186" s="60">
        <f t="shared" si="62"/>
        <v>0</v>
      </c>
      <c r="AC186" s="60" t="str">
        <f t="shared" si="63"/>
        <v>nvt-0</v>
      </c>
    </row>
    <row r="187" spans="1:29">
      <c r="A187" s="557"/>
      <c r="B187" s="549"/>
      <c r="C187" s="656">
        <v>1</v>
      </c>
      <c r="D187" s="550" t="s">
        <v>1017</v>
      </c>
      <c r="E187" s="657" t="s">
        <v>1010</v>
      </c>
      <c r="F187" s="645" t="s">
        <v>441</v>
      </c>
      <c r="G187" s="646" t="s">
        <v>710</v>
      </c>
      <c r="H187" s="644" t="str">
        <f t="shared" si="50"/>
        <v>niet van toepassing</v>
      </c>
      <c r="I187" s="716" t="s">
        <v>785</v>
      </c>
      <c r="J187" s="648"/>
      <c r="K187" s="648">
        <v>2.4500000000000002</v>
      </c>
      <c r="L187" s="660" t="s">
        <v>27</v>
      </c>
      <c r="M187" s="555">
        <f t="shared" si="51"/>
        <v>0</v>
      </c>
      <c r="N187" s="453"/>
      <c r="O187" s="555">
        <f t="shared" si="52"/>
        <v>0</v>
      </c>
      <c r="P187" s="630">
        <v>1</v>
      </c>
      <c r="Q187" s="773">
        <f t="shared" si="53"/>
        <v>0</v>
      </c>
      <c r="R187" s="773">
        <f t="shared" si="54"/>
        <v>0</v>
      </c>
      <c r="S187" s="551">
        <f t="shared" si="55"/>
        <v>0</v>
      </c>
      <c r="T187" s="623">
        <f t="shared" si="56"/>
        <v>0</v>
      </c>
      <c r="U187" s="623">
        <f t="shared" si="57"/>
        <v>0</v>
      </c>
      <c r="V187" s="552">
        <f t="shared" si="58"/>
        <v>0</v>
      </c>
      <c r="W187" s="553">
        <f t="shared" si="59"/>
        <v>0</v>
      </c>
      <c r="X187" s="698"/>
      <c r="Y187" s="628">
        <f>IF(Q187=0,0,(Q187+R187)*'1.0-Contractblad'!$L$98)</f>
        <v>0</v>
      </c>
      <c r="Z187" s="629">
        <f>IF(J187=0,0,VLOOKUP(D187,'1.1a-Jaarprijzen'!$B$70:$P$124,14,FALSE)*(K187+J187))</f>
        <v>0</v>
      </c>
      <c r="AA187" s="60">
        <f t="shared" si="62"/>
        <v>0</v>
      </c>
      <c r="AC187" s="60" t="str">
        <f t="shared" si="63"/>
        <v>nvt-0</v>
      </c>
    </row>
    <row r="188" spans="1:29">
      <c r="A188" s="557"/>
      <c r="B188" s="549"/>
      <c r="C188" s="656">
        <v>1</v>
      </c>
      <c r="D188" s="550" t="s">
        <v>1017</v>
      </c>
      <c r="E188" s="657" t="s">
        <v>1010</v>
      </c>
      <c r="F188" s="645" t="s">
        <v>442</v>
      </c>
      <c r="G188" s="646" t="s">
        <v>940</v>
      </c>
      <c r="H188" s="644" t="str">
        <f t="shared" si="50"/>
        <v>niet van toepassing</v>
      </c>
      <c r="I188" s="716" t="s">
        <v>785</v>
      </c>
      <c r="J188" s="648"/>
      <c r="K188" s="648">
        <v>12.59</v>
      </c>
      <c r="L188" s="765" t="s">
        <v>27</v>
      </c>
      <c r="M188" s="555">
        <f t="shared" si="51"/>
        <v>0</v>
      </c>
      <c r="N188" s="453"/>
      <c r="O188" s="555">
        <f t="shared" si="52"/>
        <v>0</v>
      </c>
      <c r="P188" s="630">
        <v>1</v>
      </c>
      <c r="Q188" s="773">
        <f t="shared" si="53"/>
        <v>0</v>
      </c>
      <c r="R188" s="773">
        <f t="shared" si="54"/>
        <v>0</v>
      </c>
      <c r="S188" s="551">
        <f t="shared" si="55"/>
        <v>0</v>
      </c>
      <c r="T188" s="623">
        <f t="shared" si="56"/>
        <v>0</v>
      </c>
      <c r="U188" s="623">
        <f t="shared" si="57"/>
        <v>0</v>
      </c>
      <c r="V188" s="552">
        <f t="shared" si="58"/>
        <v>0</v>
      </c>
      <c r="W188" s="553">
        <f t="shared" si="59"/>
        <v>0</v>
      </c>
      <c r="X188" s="554"/>
      <c r="Y188" s="628">
        <f>IF(Q188=0,0,(Q188+R188)*'1.0-Contractblad'!$L$98)</f>
        <v>0</v>
      </c>
      <c r="Z188" s="629">
        <f>IF(J188=0,0,VLOOKUP(D188,'1.1a-Jaarprijzen'!$B$70:$P$124,14,FALSE)*(K188+J188))</f>
        <v>0</v>
      </c>
      <c r="AA188" s="60">
        <f t="shared" si="62"/>
        <v>0</v>
      </c>
      <c r="AC188" s="60" t="str">
        <f t="shared" si="63"/>
        <v>6200-200</v>
      </c>
    </row>
    <row r="189" spans="1:29">
      <c r="A189" s="557"/>
      <c r="B189" s="549"/>
      <c r="C189" s="656">
        <v>1</v>
      </c>
      <c r="D189" s="550" t="s">
        <v>1017</v>
      </c>
      <c r="E189" s="657" t="s">
        <v>1010</v>
      </c>
      <c r="F189" s="645" t="s">
        <v>443</v>
      </c>
      <c r="G189" s="646" t="s">
        <v>934</v>
      </c>
      <c r="H189" s="644" t="str">
        <f t="shared" si="50"/>
        <v>praktijklokaal</v>
      </c>
      <c r="I189" s="716" t="s">
        <v>785</v>
      </c>
      <c r="J189" s="648">
        <v>67.010000000000005</v>
      </c>
      <c r="K189" s="648"/>
      <c r="L189" s="649">
        <v>6200</v>
      </c>
      <c r="M189" s="555">
        <f t="shared" si="51"/>
        <v>107</v>
      </c>
      <c r="N189" s="453"/>
      <c r="O189" s="555">
        <f t="shared" si="52"/>
        <v>200</v>
      </c>
      <c r="P189" s="630">
        <v>1</v>
      </c>
      <c r="Q189" s="773">
        <f t="shared" si="53"/>
        <v>0</v>
      </c>
      <c r="R189" s="773">
        <f t="shared" si="54"/>
        <v>0</v>
      </c>
      <c r="S189" s="551">
        <f t="shared" si="55"/>
        <v>0</v>
      </c>
      <c r="T189" s="623">
        <f t="shared" si="56"/>
        <v>0</v>
      </c>
      <c r="U189" s="623">
        <f t="shared" si="57"/>
        <v>0</v>
      </c>
      <c r="V189" s="552">
        <f t="shared" si="58"/>
        <v>0</v>
      </c>
      <c r="W189" s="553" t="str">
        <f t="shared" si="59"/>
        <v>L</v>
      </c>
      <c r="X189" s="554"/>
      <c r="Y189" s="628">
        <f>IF(Q189=0,0,(Q189+R189)*'1.0-Contractblad'!$L$98)</f>
        <v>0</v>
      </c>
      <c r="Z189" s="629">
        <f ca="1">IF(J189=0,0,VLOOKUP(D189,'1.1a-Jaarprijzen'!$B$70:$P$124,14,FALSE)*(K189+J189))</f>
        <v>0</v>
      </c>
      <c r="AA189" s="60">
        <f t="shared" si="62"/>
        <v>0</v>
      </c>
      <c r="AC189" s="60" t="str">
        <f t="shared" si="63"/>
        <v>nvt-0</v>
      </c>
    </row>
    <row r="190" spans="1:29">
      <c r="A190" s="557"/>
      <c r="B190" s="549"/>
      <c r="C190" s="656">
        <v>1</v>
      </c>
      <c r="D190" s="550" t="s">
        <v>1017</v>
      </c>
      <c r="E190" s="657" t="s">
        <v>1010</v>
      </c>
      <c r="F190" s="645" t="s">
        <v>444</v>
      </c>
      <c r="G190" s="646" t="s">
        <v>559</v>
      </c>
      <c r="H190" s="644" t="str">
        <f t="shared" si="50"/>
        <v>niet van toepassing</v>
      </c>
      <c r="I190" s="716" t="s">
        <v>785</v>
      </c>
      <c r="J190" s="648"/>
      <c r="K190" s="648">
        <v>2.95</v>
      </c>
      <c r="L190" s="660" t="s">
        <v>27</v>
      </c>
      <c r="M190" s="555">
        <f t="shared" si="51"/>
        <v>0</v>
      </c>
      <c r="N190" s="453"/>
      <c r="O190" s="555">
        <f t="shared" si="52"/>
        <v>0</v>
      </c>
      <c r="P190" s="630">
        <v>1</v>
      </c>
      <c r="Q190" s="773">
        <f t="shared" si="53"/>
        <v>0</v>
      </c>
      <c r="R190" s="773">
        <f t="shared" si="54"/>
        <v>0</v>
      </c>
      <c r="S190" s="551">
        <f t="shared" si="55"/>
        <v>0</v>
      </c>
      <c r="T190" s="623">
        <f t="shared" si="56"/>
        <v>0</v>
      </c>
      <c r="U190" s="623">
        <f t="shared" si="57"/>
        <v>0</v>
      </c>
      <c r="V190" s="552">
        <f t="shared" si="58"/>
        <v>0</v>
      </c>
      <c r="W190" s="553">
        <f t="shared" si="59"/>
        <v>0</v>
      </c>
      <c r="X190" s="698"/>
      <c r="Y190" s="628">
        <f>IF(Q190=0,0,(Q190+R190)*'1.0-Contractblad'!$L$98)</f>
        <v>0</v>
      </c>
      <c r="Z190" s="629">
        <f>IF(J190=0,0,VLOOKUP(D190,'1.1a-Jaarprijzen'!$B$70:$P$124,14,FALSE)*(K190+J190))</f>
        <v>0</v>
      </c>
      <c r="AA190" s="60">
        <f t="shared" si="62"/>
        <v>0</v>
      </c>
      <c r="AC190" s="60" t="str">
        <f t="shared" si="63"/>
        <v>3200-200</v>
      </c>
    </row>
    <row r="191" spans="1:29">
      <c r="A191" s="557"/>
      <c r="B191" s="549"/>
      <c r="C191" s="656">
        <v>1</v>
      </c>
      <c r="D191" s="550" t="s">
        <v>1017</v>
      </c>
      <c r="E191" s="657" t="s">
        <v>1010</v>
      </c>
      <c r="F191" s="645" t="s">
        <v>445</v>
      </c>
      <c r="G191" s="646" t="s">
        <v>781</v>
      </c>
      <c r="H191" s="644" t="str">
        <f t="shared" si="50"/>
        <v>entree, gang, hal, repro, kopieer, was/droogruimte</v>
      </c>
      <c r="I191" s="716" t="s">
        <v>785</v>
      </c>
      <c r="J191" s="648">
        <v>6.28</v>
      </c>
      <c r="K191" s="648"/>
      <c r="L191" s="649">
        <v>3200</v>
      </c>
      <c r="M191" s="555">
        <f t="shared" si="51"/>
        <v>103</v>
      </c>
      <c r="N191" s="453"/>
      <c r="O191" s="555">
        <f t="shared" si="52"/>
        <v>200</v>
      </c>
      <c r="P191" s="630">
        <v>1</v>
      </c>
      <c r="Q191" s="773">
        <f t="shared" si="53"/>
        <v>0</v>
      </c>
      <c r="R191" s="773">
        <f t="shared" si="54"/>
        <v>0</v>
      </c>
      <c r="S191" s="551">
        <f t="shared" si="55"/>
        <v>0</v>
      </c>
      <c r="T191" s="623">
        <f t="shared" si="56"/>
        <v>0</v>
      </c>
      <c r="U191" s="623">
        <f t="shared" si="57"/>
        <v>0</v>
      </c>
      <c r="V191" s="552">
        <f t="shared" si="58"/>
        <v>0</v>
      </c>
      <c r="W191" s="553" t="str">
        <f t="shared" si="59"/>
        <v>V</v>
      </c>
      <c r="X191" s="554"/>
      <c r="Y191" s="628">
        <f>IF(Q191=0,0,(Q191+R191)*'1.0-Contractblad'!$L$98)</f>
        <v>0</v>
      </c>
      <c r="Z191" s="629">
        <f ca="1">IF(J191=0,0,VLOOKUP(D191,'1.1a-Jaarprijzen'!$B$70:$P$124,14,FALSE)*(K191+J191))</f>
        <v>0</v>
      </c>
      <c r="AA191" s="60">
        <f t="shared" si="62"/>
        <v>0</v>
      </c>
      <c r="AC191" s="60" t="str">
        <f t="shared" si="63"/>
        <v>4200-200</v>
      </c>
    </row>
    <row r="192" spans="1:29">
      <c r="A192" s="557"/>
      <c r="B192" s="549"/>
      <c r="C192" s="656">
        <v>1</v>
      </c>
      <c r="D192" s="550" t="s">
        <v>1017</v>
      </c>
      <c r="E192" s="657" t="s">
        <v>1010</v>
      </c>
      <c r="F192" s="645" t="s">
        <v>446</v>
      </c>
      <c r="G192" s="646" t="s">
        <v>941</v>
      </c>
      <c r="H192" s="644" t="str">
        <f t="shared" si="50"/>
        <v>sanitaire ruimte (toilet-/doucheruimte)</v>
      </c>
      <c r="I192" s="716" t="s">
        <v>1009</v>
      </c>
      <c r="J192" s="648">
        <v>3.95</v>
      </c>
      <c r="K192" s="648"/>
      <c r="L192" s="649">
        <v>4200</v>
      </c>
      <c r="M192" s="555">
        <f t="shared" si="51"/>
        <v>104</v>
      </c>
      <c r="N192" s="453"/>
      <c r="O192" s="555">
        <f t="shared" si="52"/>
        <v>200</v>
      </c>
      <c r="P192" s="630">
        <v>1.05</v>
      </c>
      <c r="Q192" s="773">
        <f t="shared" si="53"/>
        <v>0</v>
      </c>
      <c r="R192" s="773">
        <f t="shared" si="54"/>
        <v>0</v>
      </c>
      <c r="S192" s="551">
        <f t="shared" si="55"/>
        <v>0</v>
      </c>
      <c r="T192" s="623">
        <f t="shared" si="56"/>
        <v>0</v>
      </c>
      <c r="U192" s="623">
        <f t="shared" si="57"/>
        <v>0</v>
      </c>
      <c r="V192" s="552">
        <f t="shared" si="58"/>
        <v>0</v>
      </c>
      <c r="W192" s="553" t="str">
        <f t="shared" si="59"/>
        <v>S</v>
      </c>
      <c r="X192" s="554"/>
      <c r="Y192" s="628">
        <f>IF(Q192=0,0,(Q192+R192)*'1.0-Contractblad'!$L$98)</f>
        <v>0</v>
      </c>
      <c r="Z192" s="629">
        <f ca="1">IF(J192=0,0,VLOOKUP(D192,'1.1a-Jaarprijzen'!$B$70:$P$124,14,FALSE)*(K192+J192))</f>
        <v>0</v>
      </c>
      <c r="AA192" s="60">
        <f t="shared" si="62"/>
        <v>0</v>
      </c>
      <c r="AC192" s="60" t="str">
        <f t="shared" si="63"/>
        <v>4200-200</v>
      </c>
    </row>
    <row r="193" spans="1:29">
      <c r="A193" s="557"/>
      <c r="B193" s="549"/>
      <c r="C193" s="656">
        <v>1</v>
      </c>
      <c r="D193" s="550" t="s">
        <v>1017</v>
      </c>
      <c r="E193" s="657" t="s">
        <v>1010</v>
      </c>
      <c r="F193" s="645" t="s">
        <v>447</v>
      </c>
      <c r="G193" s="646" t="s">
        <v>942</v>
      </c>
      <c r="H193" s="644" t="str">
        <f t="shared" si="50"/>
        <v>sanitaire ruimte (toilet-/doucheruimte)</v>
      </c>
      <c r="I193" s="716" t="s">
        <v>1009</v>
      </c>
      <c r="J193" s="648">
        <v>3.37</v>
      </c>
      <c r="K193" s="648"/>
      <c r="L193" s="649">
        <v>4200</v>
      </c>
      <c r="M193" s="555">
        <f t="shared" si="51"/>
        <v>104</v>
      </c>
      <c r="N193" s="453"/>
      <c r="O193" s="555">
        <f t="shared" si="52"/>
        <v>200</v>
      </c>
      <c r="P193" s="630">
        <v>1.05</v>
      </c>
      <c r="Q193" s="773">
        <f t="shared" si="53"/>
        <v>0</v>
      </c>
      <c r="R193" s="773">
        <f t="shared" si="54"/>
        <v>0</v>
      </c>
      <c r="S193" s="551">
        <f t="shared" si="55"/>
        <v>0</v>
      </c>
      <c r="T193" s="623">
        <f t="shared" si="56"/>
        <v>0</v>
      </c>
      <c r="U193" s="623">
        <f t="shared" si="57"/>
        <v>0</v>
      </c>
      <c r="V193" s="552">
        <f t="shared" si="58"/>
        <v>0</v>
      </c>
      <c r="W193" s="553" t="str">
        <f t="shared" si="59"/>
        <v>S</v>
      </c>
      <c r="X193" s="554"/>
      <c r="Y193" s="628">
        <f>IF(Q193=0,0,(Q193+R193)*'1.0-Contractblad'!$L$98)</f>
        <v>0</v>
      </c>
      <c r="Z193" s="629">
        <f ca="1">IF(J193=0,0,VLOOKUP(D193,'1.1a-Jaarprijzen'!$B$70:$P$124,14,FALSE)*(K193+J193))</f>
        <v>0</v>
      </c>
      <c r="AA193" s="60">
        <f t="shared" si="62"/>
        <v>0</v>
      </c>
      <c r="AC193" s="60" t="str">
        <f t="shared" si="63"/>
        <v>4200-200</v>
      </c>
    </row>
    <row r="194" spans="1:29">
      <c r="A194" s="557"/>
      <c r="B194" s="549"/>
      <c r="C194" s="656">
        <v>1</v>
      </c>
      <c r="D194" s="550" t="s">
        <v>1017</v>
      </c>
      <c r="E194" s="657" t="s">
        <v>1010</v>
      </c>
      <c r="F194" s="645" t="s">
        <v>448</v>
      </c>
      <c r="G194" s="646" t="s">
        <v>890</v>
      </c>
      <c r="H194" s="644" t="str">
        <f t="shared" si="50"/>
        <v>sanitaire ruimte (toilet-/doucheruimte)</v>
      </c>
      <c r="I194" s="716" t="s">
        <v>1009</v>
      </c>
      <c r="J194" s="648">
        <v>4.29</v>
      </c>
      <c r="K194" s="648"/>
      <c r="L194" s="649">
        <v>4200</v>
      </c>
      <c r="M194" s="555">
        <f t="shared" si="51"/>
        <v>104</v>
      </c>
      <c r="N194" s="453"/>
      <c r="O194" s="555">
        <f t="shared" si="52"/>
        <v>200</v>
      </c>
      <c r="P194" s="630">
        <v>1.05</v>
      </c>
      <c r="Q194" s="773">
        <f t="shared" si="53"/>
        <v>0</v>
      </c>
      <c r="R194" s="773">
        <f t="shared" si="54"/>
        <v>0</v>
      </c>
      <c r="S194" s="551">
        <f t="shared" si="55"/>
        <v>0</v>
      </c>
      <c r="T194" s="623">
        <f t="shared" si="56"/>
        <v>0</v>
      </c>
      <c r="U194" s="623">
        <f t="shared" si="57"/>
        <v>0</v>
      </c>
      <c r="V194" s="552">
        <f t="shared" si="58"/>
        <v>0</v>
      </c>
      <c r="W194" s="553" t="str">
        <f t="shared" si="59"/>
        <v>S</v>
      </c>
      <c r="X194" s="554"/>
      <c r="Y194" s="628">
        <f>IF(Q194=0,0,(Q194+R194)*'1.0-Contractblad'!$L$98)</f>
        <v>0</v>
      </c>
      <c r="Z194" s="629">
        <f ca="1">IF(J194=0,0,VLOOKUP(D194,'1.1a-Jaarprijzen'!$B$70:$P$124,14,FALSE)*(K194+J194))</f>
        <v>0</v>
      </c>
      <c r="AA194" s="60">
        <f t="shared" si="62"/>
        <v>0</v>
      </c>
      <c r="AC194" s="60" t="str">
        <f t="shared" si="63"/>
        <v>10200-200</v>
      </c>
    </row>
    <row r="195" spans="1:29">
      <c r="A195" s="557"/>
      <c r="B195" s="549"/>
      <c r="C195" s="656">
        <v>1</v>
      </c>
      <c r="D195" s="550" t="s">
        <v>1017</v>
      </c>
      <c r="E195" s="657" t="s">
        <v>1010</v>
      </c>
      <c r="F195" s="645" t="s">
        <v>449</v>
      </c>
      <c r="G195" s="646" t="s">
        <v>332</v>
      </c>
      <c r="H195" s="644" t="str">
        <f t="shared" si="50"/>
        <v>lift</v>
      </c>
      <c r="I195" s="716" t="s">
        <v>785</v>
      </c>
      <c r="J195" s="648">
        <v>2.4500000000000002</v>
      </c>
      <c r="K195" s="648"/>
      <c r="L195" s="649">
        <v>10200</v>
      </c>
      <c r="M195" s="555">
        <f t="shared" si="51"/>
        <v>110</v>
      </c>
      <c r="N195" s="453"/>
      <c r="O195" s="555">
        <f t="shared" si="52"/>
        <v>200</v>
      </c>
      <c r="P195" s="630">
        <v>1</v>
      </c>
      <c r="Q195" s="773">
        <f t="shared" si="53"/>
        <v>0</v>
      </c>
      <c r="R195" s="773">
        <f t="shared" si="54"/>
        <v>0</v>
      </c>
      <c r="S195" s="551">
        <f t="shared" si="55"/>
        <v>0</v>
      </c>
      <c r="T195" s="623">
        <f t="shared" si="56"/>
        <v>0</v>
      </c>
      <c r="U195" s="623">
        <f t="shared" si="57"/>
        <v>0</v>
      </c>
      <c r="V195" s="552">
        <f t="shared" si="58"/>
        <v>0</v>
      </c>
      <c r="W195" s="553" t="str">
        <f t="shared" si="59"/>
        <v>V</v>
      </c>
      <c r="X195" s="554"/>
      <c r="Y195" s="628">
        <f>IF(Q195=0,0,(Q195+R195)*'1.0-Contractblad'!$L$98)</f>
        <v>0</v>
      </c>
      <c r="Z195" s="629">
        <f ca="1">IF(J195=0,0,VLOOKUP(D195,'1.1a-Jaarprijzen'!$B$70:$P$124,14,FALSE)*(K195+J195))</f>
        <v>0</v>
      </c>
      <c r="AA195" s="60">
        <f t="shared" si="62"/>
        <v>0</v>
      </c>
      <c r="AC195" s="60" t="str">
        <f t="shared" si="63"/>
        <v>1200-200</v>
      </c>
    </row>
    <row r="196" spans="1:29">
      <c r="A196" s="557"/>
      <c r="B196" s="549"/>
      <c r="C196" s="656">
        <v>1</v>
      </c>
      <c r="D196" s="550" t="s">
        <v>1017</v>
      </c>
      <c r="E196" s="657" t="s">
        <v>1010</v>
      </c>
      <c r="F196" s="645" t="s">
        <v>450</v>
      </c>
      <c r="G196" s="646" t="s">
        <v>943</v>
      </c>
      <c r="H196" s="644" t="str">
        <f t="shared" si="50"/>
        <v>administratieve -, personeels- en vergaderruimte</v>
      </c>
      <c r="I196" s="716" t="s">
        <v>785</v>
      </c>
      <c r="J196" s="648">
        <v>15.66</v>
      </c>
      <c r="K196" s="648"/>
      <c r="L196" s="649">
        <v>1200</v>
      </c>
      <c r="M196" s="555">
        <f t="shared" si="51"/>
        <v>101</v>
      </c>
      <c r="N196" s="453"/>
      <c r="O196" s="555">
        <f t="shared" si="52"/>
        <v>200</v>
      </c>
      <c r="P196" s="630">
        <v>1</v>
      </c>
      <c r="Q196" s="773">
        <f t="shared" si="53"/>
        <v>0</v>
      </c>
      <c r="R196" s="773">
        <f t="shared" si="54"/>
        <v>0</v>
      </c>
      <c r="S196" s="551">
        <f t="shared" si="55"/>
        <v>0</v>
      </c>
      <c r="T196" s="623">
        <f t="shared" si="56"/>
        <v>0</v>
      </c>
      <c r="U196" s="623">
        <f t="shared" si="57"/>
        <v>0</v>
      </c>
      <c r="V196" s="552">
        <f t="shared" si="58"/>
        <v>0</v>
      </c>
      <c r="W196" s="553" t="str">
        <f t="shared" si="59"/>
        <v>B</v>
      </c>
      <c r="X196" s="554"/>
      <c r="Y196" s="628">
        <f>IF(Q196=0,0,(Q196+R196)*'1.0-Contractblad'!$L$98)</f>
        <v>0</v>
      </c>
      <c r="Z196" s="629">
        <f ca="1">IF(J196=0,0,VLOOKUP(D196,'1.1a-Jaarprijzen'!$B$70:$P$124,14,FALSE)*(K196+J196))</f>
        <v>0</v>
      </c>
      <c r="AA196" s="60">
        <f t="shared" si="62"/>
        <v>0</v>
      </c>
      <c r="AC196" s="60" t="str">
        <f t="shared" si="63"/>
        <v>nvt-0</v>
      </c>
    </row>
    <row r="197" spans="1:29">
      <c r="A197" s="557"/>
      <c r="B197" s="549"/>
      <c r="C197" s="656">
        <v>1</v>
      </c>
      <c r="D197" s="550" t="s">
        <v>1017</v>
      </c>
      <c r="E197" s="657" t="s">
        <v>1010</v>
      </c>
      <c r="F197" s="645" t="s">
        <v>451</v>
      </c>
      <c r="G197" s="646" t="s">
        <v>710</v>
      </c>
      <c r="H197" s="644" t="str">
        <f t="shared" si="50"/>
        <v>niet van toepassing</v>
      </c>
      <c r="I197" s="716" t="s">
        <v>785</v>
      </c>
      <c r="J197" s="648"/>
      <c r="K197" s="648">
        <v>2.21</v>
      </c>
      <c r="L197" s="660" t="s">
        <v>27</v>
      </c>
      <c r="M197" s="555">
        <f t="shared" si="51"/>
        <v>0</v>
      </c>
      <c r="N197" s="453"/>
      <c r="O197" s="555">
        <f t="shared" si="52"/>
        <v>0</v>
      </c>
      <c r="P197" s="630">
        <v>1</v>
      </c>
      <c r="Q197" s="773">
        <f t="shared" si="53"/>
        <v>0</v>
      </c>
      <c r="R197" s="773">
        <f t="shared" si="54"/>
        <v>0</v>
      </c>
      <c r="S197" s="551">
        <f t="shared" si="55"/>
        <v>0</v>
      </c>
      <c r="T197" s="623">
        <f t="shared" si="56"/>
        <v>0</v>
      </c>
      <c r="U197" s="623">
        <f t="shared" si="57"/>
        <v>0</v>
      </c>
      <c r="V197" s="552">
        <f t="shared" si="58"/>
        <v>0</v>
      </c>
      <c r="W197" s="553">
        <f t="shared" si="59"/>
        <v>0</v>
      </c>
      <c r="X197" s="698"/>
      <c r="Y197" s="628">
        <f>IF(Q197=0,0,(Q197+R197)*'1.0-Contractblad'!$L$98)</f>
        <v>0</v>
      </c>
      <c r="Z197" s="629">
        <f>IF(J197=0,0,VLOOKUP(D197,'1.1a-Jaarprijzen'!$B$70:$P$124,14,FALSE)*(K197+J197))</f>
        <v>0</v>
      </c>
      <c r="AA197" s="60">
        <f t="shared" si="62"/>
        <v>0</v>
      </c>
      <c r="AC197" s="60" t="str">
        <f t="shared" si="63"/>
        <v>1200-200</v>
      </c>
    </row>
    <row r="198" spans="1:29">
      <c r="A198" s="557"/>
      <c r="B198" s="549"/>
      <c r="C198" s="656">
        <v>1</v>
      </c>
      <c r="D198" s="550" t="s">
        <v>1017</v>
      </c>
      <c r="E198" s="657" t="s">
        <v>1010</v>
      </c>
      <c r="F198" s="645" t="s">
        <v>452</v>
      </c>
      <c r="G198" s="646" t="s">
        <v>735</v>
      </c>
      <c r="H198" s="644" t="str">
        <f t="shared" si="50"/>
        <v>administratieve -, personeels- en vergaderruimte</v>
      </c>
      <c r="I198" s="716" t="s">
        <v>785</v>
      </c>
      <c r="J198" s="648">
        <v>11.67</v>
      </c>
      <c r="K198" s="648"/>
      <c r="L198" s="649">
        <v>1200</v>
      </c>
      <c r="M198" s="555">
        <f t="shared" si="51"/>
        <v>101</v>
      </c>
      <c r="N198" s="453"/>
      <c r="O198" s="555">
        <f t="shared" si="52"/>
        <v>200</v>
      </c>
      <c r="P198" s="630">
        <v>1</v>
      </c>
      <c r="Q198" s="773">
        <f t="shared" si="53"/>
        <v>0</v>
      </c>
      <c r="R198" s="773">
        <f t="shared" si="54"/>
        <v>0</v>
      </c>
      <c r="S198" s="551">
        <f t="shared" si="55"/>
        <v>0</v>
      </c>
      <c r="T198" s="623">
        <f t="shared" si="56"/>
        <v>0</v>
      </c>
      <c r="U198" s="623">
        <f t="shared" si="57"/>
        <v>0</v>
      </c>
      <c r="V198" s="552">
        <f t="shared" si="58"/>
        <v>0</v>
      </c>
      <c r="W198" s="553" t="str">
        <f t="shared" si="59"/>
        <v>B</v>
      </c>
      <c r="X198" s="554"/>
      <c r="Y198" s="628">
        <f>IF(Q198=0,0,(Q198+R198)*'1.0-Contractblad'!$L$98)</f>
        <v>0</v>
      </c>
      <c r="Z198" s="629">
        <f ca="1">IF(J198=0,0,VLOOKUP(D198,'1.1a-Jaarprijzen'!$B$70:$P$124,14,FALSE)*(K198+J198))</f>
        <v>0</v>
      </c>
      <c r="AA198" s="60">
        <f t="shared" si="62"/>
        <v>0</v>
      </c>
      <c r="AC198" s="60" t="str">
        <f t="shared" si="63"/>
        <v>4200-200</v>
      </c>
    </row>
    <row r="199" spans="1:29">
      <c r="A199" s="557"/>
      <c r="B199" s="549"/>
      <c r="C199" s="656">
        <v>1</v>
      </c>
      <c r="D199" s="550" t="s">
        <v>1017</v>
      </c>
      <c r="E199" s="657" t="s">
        <v>1010</v>
      </c>
      <c r="F199" s="645" t="s">
        <v>453</v>
      </c>
      <c r="G199" s="646" t="s">
        <v>944</v>
      </c>
      <c r="H199" s="644" t="str">
        <f t="shared" si="50"/>
        <v>sanitaire ruimte (toilet-/doucheruimte)</v>
      </c>
      <c r="I199" s="716" t="s">
        <v>1009</v>
      </c>
      <c r="J199" s="648">
        <v>2.0499999999999998</v>
      </c>
      <c r="K199" s="648"/>
      <c r="L199" s="649">
        <v>4200</v>
      </c>
      <c r="M199" s="555">
        <f t="shared" si="51"/>
        <v>104</v>
      </c>
      <c r="N199" s="453"/>
      <c r="O199" s="555">
        <f t="shared" si="52"/>
        <v>200</v>
      </c>
      <c r="P199" s="630">
        <v>1.05</v>
      </c>
      <c r="Q199" s="773">
        <f t="shared" si="53"/>
        <v>0</v>
      </c>
      <c r="R199" s="773">
        <f t="shared" si="54"/>
        <v>0</v>
      </c>
      <c r="S199" s="551">
        <f t="shared" si="55"/>
        <v>0</v>
      </c>
      <c r="T199" s="623">
        <f t="shared" si="56"/>
        <v>0</v>
      </c>
      <c r="U199" s="623">
        <f t="shared" si="57"/>
        <v>0</v>
      </c>
      <c r="V199" s="552">
        <f t="shared" si="58"/>
        <v>0</v>
      </c>
      <c r="W199" s="553" t="str">
        <f t="shared" si="59"/>
        <v>S</v>
      </c>
      <c r="X199" s="554"/>
      <c r="Y199" s="628">
        <f>IF(Q199=0,0,(Q199+R199)*'1.0-Contractblad'!$L$98)</f>
        <v>0</v>
      </c>
      <c r="Z199" s="629">
        <f ca="1">IF(J199=0,0,VLOOKUP(D199,'1.1a-Jaarprijzen'!$B$70:$P$124,14,FALSE)*(K199+J199))</f>
        <v>0</v>
      </c>
      <c r="AA199" s="60">
        <f t="shared" si="62"/>
        <v>0</v>
      </c>
      <c r="AC199" s="60" t="str">
        <f t="shared" si="63"/>
        <v>1200-200</v>
      </c>
    </row>
    <row r="200" spans="1:29">
      <c r="A200" s="557"/>
      <c r="B200" s="549"/>
      <c r="C200" s="656">
        <v>1</v>
      </c>
      <c r="D200" s="550" t="s">
        <v>1017</v>
      </c>
      <c r="E200" s="657" t="s">
        <v>1010</v>
      </c>
      <c r="F200" s="645" t="s">
        <v>454</v>
      </c>
      <c r="G200" s="646" t="s">
        <v>887</v>
      </c>
      <c r="H200" s="644" t="str">
        <f t="shared" si="50"/>
        <v>administratieve -, personeels- en vergaderruimte</v>
      </c>
      <c r="I200" s="716" t="s">
        <v>785</v>
      </c>
      <c r="J200" s="648">
        <v>41.47</v>
      </c>
      <c r="K200" s="648"/>
      <c r="L200" s="649">
        <v>1200</v>
      </c>
      <c r="M200" s="555">
        <f t="shared" si="51"/>
        <v>101</v>
      </c>
      <c r="N200" s="453"/>
      <c r="O200" s="555">
        <f t="shared" si="52"/>
        <v>200</v>
      </c>
      <c r="P200" s="630">
        <v>1</v>
      </c>
      <c r="Q200" s="773">
        <f t="shared" si="53"/>
        <v>0</v>
      </c>
      <c r="R200" s="773">
        <f t="shared" si="54"/>
        <v>0</v>
      </c>
      <c r="S200" s="551">
        <f t="shared" si="55"/>
        <v>0</v>
      </c>
      <c r="T200" s="623">
        <f t="shared" si="56"/>
        <v>0</v>
      </c>
      <c r="U200" s="623">
        <f t="shared" si="57"/>
        <v>0</v>
      </c>
      <c r="V200" s="552">
        <f t="shared" si="58"/>
        <v>0</v>
      </c>
      <c r="W200" s="553" t="str">
        <f t="shared" si="59"/>
        <v>B</v>
      </c>
      <c r="X200" s="554"/>
      <c r="Y200" s="628">
        <f>IF(Q200=0,0,(Q200+R200)*'1.0-Contractblad'!$L$98)</f>
        <v>0</v>
      </c>
      <c r="Z200" s="629">
        <f ca="1">IF(J200=0,0,VLOOKUP(D200,'1.1a-Jaarprijzen'!$B$70:$P$124,14,FALSE)*(K200+J200))</f>
        <v>0</v>
      </c>
      <c r="AA200" s="60">
        <f t="shared" si="62"/>
        <v>0</v>
      </c>
      <c r="AC200" s="60" t="str">
        <f t="shared" si="63"/>
        <v>3200-200</v>
      </c>
    </row>
    <row r="201" spans="1:29">
      <c r="A201" s="557"/>
      <c r="B201" s="549"/>
      <c r="C201" s="656">
        <v>1</v>
      </c>
      <c r="D201" s="550" t="s">
        <v>1017</v>
      </c>
      <c r="E201" s="657" t="s">
        <v>1010</v>
      </c>
      <c r="F201" s="645" t="s">
        <v>455</v>
      </c>
      <c r="G201" s="646" t="s">
        <v>793</v>
      </c>
      <c r="H201" s="644" t="str">
        <f t="shared" si="50"/>
        <v>entree, gang, hal, repro, kopieer, was/droogruimte</v>
      </c>
      <c r="I201" s="716" t="s">
        <v>785</v>
      </c>
      <c r="J201" s="648">
        <v>50.57</v>
      </c>
      <c r="K201" s="648"/>
      <c r="L201" s="649">
        <v>3200</v>
      </c>
      <c r="M201" s="555">
        <f t="shared" si="51"/>
        <v>103</v>
      </c>
      <c r="N201" s="453"/>
      <c r="O201" s="555">
        <f t="shared" si="52"/>
        <v>200</v>
      </c>
      <c r="P201" s="630">
        <v>1</v>
      </c>
      <c r="Q201" s="773">
        <f t="shared" si="53"/>
        <v>0</v>
      </c>
      <c r="R201" s="773">
        <f t="shared" si="54"/>
        <v>0</v>
      </c>
      <c r="S201" s="551">
        <f t="shared" si="55"/>
        <v>0</v>
      </c>
      <c r="T201" s="623">
        <f t="shared" si="56"/>
        <v>0</v>
      </c>
      <c r="U201" s="623">
        <f t="shared" si="57"/>
        <v>0</v>
      </c>
      <c r="V201" s="552">
        <f t="shared" si="58"/>
        <v>0</v>
      </c>
      <c r="W201" s="553" t="str">
        <f t="shared" si="59"/>
        <v>V</v>
      </c>
      <c r="X201" s="554"/>
      <c r="Y201" s="628">
        <f>IF(Q201=0,0,(Q201+R201)*'1.0-Contractblad'!$L$98)</f>
        <v>0</v>
      </c>
      <c r="Z201" s="629">
        <f ca="1">IF(J201=0,0,VLOOKUP(D201,'1.1a-Jaarprijzen'!$B$70:$P$124,14,FALSE)*(K201+J201))</f>
        <v>0</v>
      </c>
      <c r="AA201" s="60">
        <f t="shared" si="62"/>
        <v>0</v>
      </c>
      <c r="AC201" s="60" t="str">
        <f t="shared" si="63"/>
        <v>nvt-0</v>
      </c>
    </row>
    <row r="202" spans="1:29">
      <c r="A202" s="557"/>
      <c r="B202" s="549"/>
      <c r="C202" s="656">
        <v>1</v>
      </c>
      <c r="D202" s="550" t="s">
        <v>1017</v>
      </c>
      <c r="E202" s="657" t="s">
        <v>1010</v>
      </c>
      <c r="F202" s="645" t="s">
        <v>456</v>
      </c>
      <c r="G202" s="646" t="s">
        <v>945</v>
      </c>
      <c r="H202" s="644" t="str">
        <f t="shared" si="50"/>
        <v>niet van toepassing</v>
      </c>
      <c r="I202" s="716" t="s">
        <v>803</v>
      </c>
      <c r="J202" s="648"/>
      <c r="K202" s="648">
        <v>1.52</v>
      </c>
      <c r="L202" s="660" t="s">
        <v>27</v>
      </c>
      <c r="M202" s="555">
        <f t="shared" si="51"/>
        <v>0</v>
      </c>
      <c r="N202" s="453"/>
      <c r="O202" s="555">
        <f t="shared" si="52"/>
        <v>0</v>
      </c>
      <c r="P202" s="630">
        <v>1</v>
      </c>
      <c r="Q202" s="773">
        <f t="shared" si="53"/>
        <v>0</v>
      </c>
      <c r="R202" s="773">
        <f t="shared" si="54"/>
        <v>0</v>
      </c>
      <c r="S202" s="551">
        <f t="shared" si="55"/>
        <v>0</v>
      </c>
      <c r="T202" s="623">
        <f t="shared" si="56"/>
        <v>0</v>
      </c>
      <c r="U202" s="623">
        <f t="shared" si="57"/>
        <v>0</v>
      </c>
      <c r="V202" s="552">
        <f t="shared" si="58"/>
        <v>0</v>
      </c>
      <c r="W202" s="553">
        <f t="shared" si="59"/>
        <v>0</v>
      </c>
      <c r="X202" s="698"/>
      <c r="Y202" s="628">
        <f>IF(Q202=0,0,(Q202+R202)*'1.0-Contractblad'!$L$98)</f>
        <v>0</v>
      </c>
      <c r="Z202" s="629">
        <f>IF(J202=0,0,VLOOKUP(D202,'1.1a-Jaarprijzen'!$B$70:$P$124,14,FALSE)*(K202+J202))</f>
        <v>0</v>
      </c>
      <c r="AA202" s="60">
        <f t="shared" si="62"/>
        <v>0</v>
      </c>
      <c r="AC202" s="60" t="str">
        <f t="shared" si="63"/>
        <v>nvt-0</v>
      </c>
    </row>
    <row r="203" spans="1:29">
      <c r="A203" s="557"/>
      <c r="B203" s="549"/>
      <c r="C203" s="656">
        <v>1</v>
      </c>
      <c r="D203" s="550" t="s">
        <v>1017</v>
      </c>
      <c r="E203" s="657" t="s">
        <v>1010</v>
      </c>
      <c r="F203" s="645" t="s">
        <v>457</v>
      </c>
      <c r="G203" s="646" t="s">
        <v>946</v>
      </c>
      <c r="H203" s="644" t="str">
        <f t="shared" si="50"/>
        <v>niet van toepassing</v>
      </c>
      <c r="I203" s="716" t="s">
        <v>803</v>
      </c>
      <c r="J203" s="648"/>
      <c r="K203" s="648">
        <v>1.65</v>
      </c>
      <c r="L203" s="660" t="s">
        <v>27</v>
      </c>
      <c r="M203" s="555">
        <f t="shared" si="51"/>
        <v>0</v>
      </c>
      <c r="N203" s="453"/>
      <c r="O203" s="555">
        <f t="shared" si="52"/>
        <v>0</v>
      </c>
      <c r="P203" s="630">
        <v>1</v>
      </c>
      <c r="Q203" s="773">
        <f t="shared" si="53"/>
        <v>0</v>
      </c>
      <c r="R203" s="773">
        <f t="shared" si="54"/>
        <v>0</v>
      </c>
      <c r="S203" s="551">
        <f t="shared" si="55"/>
        <v>0</v>
      </c>
      <c r="T203" s="623">
        <f t="shared" si="56"/>
        <v>0</v>
      </c>
      <c r="U203" s="623">
        <f t="shared" si="57"/>
        <v>0</v>
      </c>
      <c r="V203" s="552">
        <f t="shared" si="58"/>
        <v>0</v>
      </c>
      <c r="W203" s="553">
        <f t="shared" si="59"/>
        <v>0</v>
      </c>
      <c r="X203" s="698"/>
      <c r="Y203" s="628">
        <f>IF(Q203=0,0,(Q203+R203)*'1.0-Contractblad'!$L$98)</f>
        <v>0</v>
      </c>
      <c r="Z203" s="629">
        <f>IF(J203=0,0,VLOOKUP(D203,'1.1a-Jaarprijzen'!$B$70:$P$124,14,FALSE)*(K203+J203))</f>
        <v>0</v>
      </c>
      <c r="AA203" s="60">
        <f t="shared" si="62"/>
        <v>0</v>
      </c>
      <c r="AC203" s="60" t="str">
        <f t="shared" si="63"/>
        <v>13200-200</v>
      </c>
    </row>
    <row r="204" spans="1:29">
      <c r="A204" s="557"/>
      <c r="B204" s="549"/>
      <c r="C204" s="656">
        <v>1</v>
      </c>
      <c r="D204" s="550" t="s">
        <v>1017</v>
      </c>
      <c r="E204" s="657" t="s">
        <v>1010</v>
      </c>
      <c r="F204" s="645" t="s">
        <v>458</v>
      </c>
      <c r="G204" s="646" t="s">
        <v>799</v>
      </c>
      <c r="H204" s="644" t="str">
        <f t="shared" si="50"/>
        <v>kleedruimten</v>
      </c>
      <c r="I204" s="716" t="s">
        <v>785</v>
      </c>
      <c r="J204" s="648">
        <v>17.29</v>
      </c>
      <c r="K204" s="648"/>
      <c r="L204" s="649">
        <v>13200</v>
      </c>
      <c r="M204" s="555">
        <f t="shared" si="51"/>
        <v>103</v>
      </c>
      <c r="N204" s="453"/>
      <c r="O204" s="555">
        <f t="shared" si="52"/>
        <v>200</v>
      </c>
      <c r="P204" s="630">
        <v>1</v>
      </c>
      <c r="Q204" s="773">
        <f t="shared" si="53"/>
        <v>0</v>
      </c>
      <c r="R204" s="773">
        <f t="shared" si="54"/>
        <v>0</v>
      </c>
      <c r="S204" s="551">
        <f t="shared" si="55"/>
        <v>0</v>
      </c>
      <c r="T204" s="623">
        <f t="shared" si="56"/>
        <v>0</v>
      </c>
      <c r="U204" s="623">
        <f t="shared" si="57"/>
        <v>0</v>
      </c>
      <c r="V204" s="552">
        <f t="shared" si="58"/>
        <v>0</v>
      </c>
      <c r="W204" s="553" t="str">
        <f t="shared" si="59"/>
        <v>V</v>
      </c>
      <c r="X204" s="554"/>
      <c r="Y204" s="628">
        <f>IF(Q204=0,0,(Q204+R204)*'1.0-Contractblad'!$L$98)</f>
        <v>0</v>
      </c>
      <c r="Z204" s="629">
        <f ca="1">IF(J204=0,0,VLOOKUP(D204,'1.1a-Jaarprijzen'!$B$70:$P$124,14,FALSE)*(K204+J204))</f>
        <v>0</v>
      </c>
      <c r="AA204" s="60">
        <f t="shared" si="62"/>
        <v>0</v>
      </c>
      <c r="AC204" s="60" t="str">
        <f t="shared" si="63"/>
        <v>13200-200</v>
      </c>
    </row>
    <row r="205" spans="1:29">
      <c r="A205" s="557"/>
      <c r="B205" s="549"/>
      <c r="C205" s="656">
        <v>1</v>
      </c>
      <c r="D205" s="550" t="s">
        <v>1017</v>
      </c>
      <c r="E205" s="657" t="s">
        <v>1010</v>
      </c>
      <c r="F205" s="645" t="s">
        <v>459</v>
      </c>
      <c r="G205" s="646" t="s">
        <v>799</v>
      </c>
      <c r="H205" s="644" t="str">
        <f t="shared" si="50"/>
        <v>kleedruimten</v>
      </c>
      <c r="I205" s="716" t="s">
        <v>1009</v>
      </c>
      <c r="J205" s="648">
        <v>9.44</v>
      </c>
      <c r="K205" s="648"/>
      <c r="L205" s="649">
        <v>13200</v>
      </c>
      <c r="M205" s="555">
        <f t="shared" si="51"/>
        <v>103</v>
      </c>
      <c r="N205" s="453"/>
      <c r="O205" s="555">
        <f t="shared" si="52"/>
        <v>200</v>
      </c>
      <c r="P205" s="630">
        <v>1</v>
      </c>
      <c r="Q205" s="773">
        <f t="shared" si="53"/>
        <v>0</v>
      </c>
      <c r="R205" s="773">
        <f t="shared" si="54"/>
        <v>0</v>
      </c>
      <c r="S205" s="551">
        <f t="shared" si="55"/>
        <v>0</v>
      </c>
      <c r="T205" s="623">
        <f t="shared" si="56"/>
        <v>0</v>
      </c>
      <c r="U205" s="623">
        <f t="shared" si="57"/>
        <v>0</v>
      </c>
      <c r="V205" s="552">
        <f t="shared" si="58"/>
        <v>0</v>
      </c>
      <c r="W205" s="553" t="str">
        <f t="shared" si="59"/>
        <v>V</v>
      </c>
      <c r="X205" s="554"/>
      <c r="Y205" s="628">
        <f>IF(Q205=0,0,(Q205+R205)*'1.0-Contractblad'!$L$98)</f>
        <v>0</v>
      </c>
      <c r="Z205" s="629">
        <f ca="1">IF(J205=0,0,VLOOKUP(D205,'1.1a-Jaarprijzen'!$B$70:$P$124,14,FALSE)*(K205+J205))</f>
        <v>0</v>
      </c>
      <c r="AA205" s="60">
        <f t="shared" si="62"/>
        <v>0</v>
      </c>
      <c r="AC205" s="60" t="str">
        <f t="shared" si="63"/>
        <v>3200-200</v>
      </c>
    </row>
    <row r="206" spans="1:29">
      <c r="A206" s="557"/>
      <c r="B206" s="549"/>
      <c r="C206" s="656">
        <v>1</v>
      </c>
      <c r="D206" s="550" t="s">
        <v>1017</v>
      </c>
      <c r="E206" s="657" t="s">
        <v>1010</v>
      </c>
      <c r="F206" s="645" t="s">
        <v>460</v>
      </c>
      <c r="G206" s="646" t="s">
        <v>781</v>
      </c>
      <c r="H206" s="644" t="str">
        <f t="shared" si="50"/>
        <v>entree, gang, hal, repro, kopieer, was/droogruimte</v>
      </c>
      <c r="I206" s="716" t="s">
        <v>785</v>
      </c>
      <c r="J206" s="648">
        <v>3.91</v>
      </c>
      <c r="K206" s="648"/>
      <c r="L206" s="649">
        <v>3200</v>
      </c>
      <c r="M206" s="555">
        <f t="shared" si="51"/>
        <v>103</v>
      </c>
      <c r="N206" s="453"/>
      <c r="O206" s="555">
        <f t="shared" si="52"/>
        <v>200</v>
      </c>
      <c r="P206" s="630">
        <v>1</v>
      </c>
      <c r="Q206" s="773">
        <f t="shared" si="53"/>
        <v>0</v>
      </c>
      <c r="R206" s="773">
        <f t="shared" si="54"/>
        <v>0</v>
      </c>
      <c r="S206" s="551">
        <f t="shared" si="55"/>
        <v>0</v>
      </c>
      <c r="T206" s="623">
        <f t="shared" si="56"/>
        <v>0</v>
      </c>
      <c r="U206" s="623">
        <f t="shared" si="57"/>
        <v>0</v>
      </c>
      <c r="V206" s="552">
        <f t="shared" si="58"/>
        <v>0</v>
      </c>
      <c r="W206" s="553" t="str">
        <f t="shared" si="59"/>
        <v>V</v>
      </c>
      <c r="X206" s="554"/>
      <c r="Y206" s="628">
        <f>IF(Q206=0,0,(Q206+R206)*'1.0-Contractblad'!$L$98)</f>
        <v>0</v>
      </c>
      <c r="Z206" s="629">
        <f ca="1">IF(J206=0,0,VLOOKUP(D206,'1.1a-Jaarprijzen'!$B$70:$P$124,14,FALSE)*(K206+J206))</f>
        <v>0</v>
      </c>
      <c r="AA206" s="60">
        <f t="shared" si="62"/>
        <v>0</v>
      </c>
      <c r="AC206" s="60" t="str">
        <f t="shared" si="63"/>
        <v>4200-200</v>
      </c>
    </row>
    <row r="207" spans="1:29">
      <c r="A207" s="557"/>
      <c r="B207" s="549"/>
      <c r="C207" s="656">
        <v>1</v>
      </c>
      <c r="D207" s="550" t="s">
        <v>1017</v>
      </c>
      <c r="E207" s="657" t="s">
        <v>1010</v>
      </c>
      <c r="F207" s="645" t="s">
        <v>461</v>
      </c>
      <c r="G207" s="646" t="s">
        <v>782</v>
      </c>
      <c r="H207" s="644" t="str">
        <f t="shared" si="50"/>
        <v>sanitaire ruimte (toilet-/doucheruimte)</v>
      </c>
      <c r="I207" s="716" t="s">
        <v>1009</v>
      </c>
      <c r="J207" s="648">
        <v>2.2999999999999998</v>
      </c>
      <c r="K207" s="648"/>
      <c r="L207" s="649">
        <v>4200</v>
      </c>
      <c r="M207" s="555">
        <f t="shared" si="51"/>
        <v>104</v>
      </c>
      <c r="N207" s="453"/>
      <c r="O207" s="555">
        <f t="shared" si="52"/>
        <v>200</v>
      </c>
      <c r="P207" s="630">
        <v>1.05</v>
      </c>
      <c r="Q207" s="773">
        <f t="shared" si="53"/>
        <v>0</v>
      </c>
      <c r="R207" s="773">
        <f t="shared" si="54"/>
        <v>0</v>
      </c>
      <c r="S207" s="551">
        <f t="shared" si="55"/>
        <v>0</v>
      </c>
      <c r="T207" s="623">
        <f t="shared" si="56"/>
        <v>0</v>
      </c>
      <c r="U207" s="623">
        <f t="shared" si="57"/>
        <v>0</v>
      </c>
      <c r="V207" s="552">
        <f t="shared" si="58"/>
        <v>0</v>
      </c>
      <c r="W207" s="553" t="str">
        <f t="shared" si="59"/>
        <v>S</v>
      </c>
      <c r="X207" s="554"/>
      <c r="Y207" s="628">
        <f>IF(Q207=0,0,(Q207+R207)*'1.0-Contractblad'!$L$98)</f>
        <v>0</v>
      </c>
      <c r="Z207" s="629">
        <f ca="1">IF(J207=0,0,VLOOKUP(D207,'1.1a-Jaarprijzen'!$B$70:$P$124,14,FALSE)*(K207+J207))</f>
        <v>0</v>
      </c>
      <c r="AA207" s="60">
        <f t="shared" si="62"/>
        <v>0</v>
      </c>
      <c r="AC207" s="60" t="str">
        <f t="shared" si="63"/>
        <v>4200-200</v>
      </c>
    </row>
    <row r="208" spans="1:29">
      <c r="A208" s="557"/>
      <c r="B208" s="549"/>
      <c r="C208" s="656">
        <v>1</v>
      </c>
      <c r="D208" s="550" t="s">
        <v>1017</v>
      </c>
      <c r="E208" s="657" t="s">
        <v>1010</v>
      </c>
      <c r="F208" s="645" t="s">
        <v>462</v>
      </c>
      <c r="G208" s="646" t="s">
        <v>782</v>
      </c>
      <c r="H208" s="644" t="str">
        <f t="shared" si="50"/>
        <v>sanitaire ruimte (toilet-/doucheruimte)</v>
      </c>
      <c r="I208" s="716" t="s">
        <v>1009</v>
      </c>
      <c r="J208" s="648">
        <v>2.4500000000000002</v>
      </c>
      <c r="K208" s="648"/>
      <c r="L208" s="649">
        <v>4200</v>
      </c>
      <c r="M208" s="555">
        <f t="shared" si="51"/>
        <v>104</v>
      </c>
      <c r="N208" s="453"/>
      <c r="O208" s="555">
        <f t="shared" si="52"/>
        <v>200</v>
      </c>
      <c r="P208" s="630">
        <v>1.05</v>
      </c>
      <c r="Q208" s="773">
        <f t="shared" si="53"/>
        <v>0</v>
      </c>
      <c r="R208" s="773">
        <f t="shared" si="54"/>
        <v>0</v>
      </c>
      <c r="S208" s="551">
        <f t="shared" si="55"/>
        <v>0</v>
      </c>
      <c r="T208" s="623">
        <f t="shared" si="56"/>
        <v>0</v>
      </c>
      <c r="U208" s="623">
        <f t="shared" si="57"/>
        <v>0</v>
      </c>
      <c r="V208" s="552">
        <f t="shared" si="58"/>
        <v>0</v>
      </c>
      <c r="W208" s="553" t="str">
        <f t="shared" si="59"/>
        <v>S</v>
      </c>
      <c r="X208" s="554"/>
      <c r="Y208" s="628">
        <f>IF(Q208=0,0,(Q208+R208)*'1.0-Contractblad'!$L$98)</f>
        <v>0</v>
      </c>
      <c r="Z208" s="629">
        <f ca="1">IF(J208=0,0,VLOOKUP(D208,'1.1a-Jaarprijzen'!$B$70:$P$124,14,FALSE)*(K208+J208))</f>
        <v>0</v>
      </c>
      <c r="AA208" s="60">
        <f t="shared" si="62"/>
        <v>0</v>
      </c>
      <c r="AC208" s="60" t="str">
        <f t="shared" si="63"/>
        <v>3200-200</v>
      </c>
    </row>
    <row r="209" spans="1:29">
      <c r="A209" s="557"/>
      <c r="B209" s="549"/>
      <c r="C209" s="656">
        <v>1</v>
      </c>
      <c r="D209" s="550" t="s">
        <v>1017</v>
      </c>
      <c r="E209" s="657" t="s">
        <v>1010</v>
      </c>
      <c r="F209" s="645" t="s">
        <v>463</v>
      </c>
      <c r="G209" s="646" t="s">
        <v>781</v>
      </c>
      <c r="H209" s="644" t="str">
        <f t="shared" si="50"/>
        <v>entree, gang, hal, repro, kopieer, was/droogruimte</v>
      </c>
      <c r="I209" s="716" t="s">
        <v>785</v>
      </c>
      <c r="J209" s="648">
        <v>4.22</v>
      </c>
      <c r="K209" s="648"/>
      <c r="L209" s="649">
        <v>3200</v>
      </c>
      <c r="M209" s="555">
        <f t="shared" si="51"/>
        <v>103</v>
      </c>
      <c r="N209" s="453"/>
      <c r="O209" s="555">
        <f t="shared" si="52"/>
        <v>200</v>
      </c>
      <c r="P209" s="630">
        <v>1</v>
      </c>
      <c r="Q209" s="773">
        <f t="shared" si="53"/>
        <v>0</v>
      </c>
      <c r="R209" s="773">
        <f t="shared" si="54"/>
        <v>0</v>
      </c>
      <c r="S209" s="551">
        <f t="shared" si="55"/>
        <v>0</v>
      </c>
      <c r="T209" s="623">
        <f t="shared" si="56"/>
        <v>0</v>
      </c>
      <c r="U209" s="623">
        <f t="shared" si="57"/>
        <v>0</v>
      </c>
      <c r="V209" s="552">
        <f t="shared" si="58"/>
        <v>0</v>
      </c>
      <c r="W209" s="553" t="str">
        <f t="shared" si="59"/>
        <v>V</v>
      </c>
      <c r="X209" s="554"/>
      <c r="Y209" s="628">
        <f>IF(Q209=0,0,(Q209+R209)*'1.0-Contractblad'!$L$98)</f>
        <v>0</v>
      </c>
      <c r="Z209" s="629">
        <f ca="1">IF(J209=0,0,VLOOKUP(D209,'1.1a-Jaarprijzen'!$B$70:$P$124,14,FALSE)*(K209+J209))</f>
        <v>0</v>
      </c>
      <c r="AA209" s="60">
        <f t="shared" si="62"/>
        <v>0</v>
      </c>
      <c r="AC209" s="60" t="str">
        <f t="shared" si="63"/>
        <v>13200-200</v>
      </c>
    </row>
    <row r="210" spans="1:29">
      <c r="A210" s="557"/>
      <c r="B210" s="549"/>
      <c r="C210" s="656">
        <v>1</v>
      </c>
      <c r="D210" s="550" t="s">
        <v>1017</v>
      </c>
      <c r="E210" s="657" t="s">
        <v>1010</v>
      </c>
      <c r="F210" s="645" t="s">
        <v>464</v>
      </c>
      <c r="G210" s="646" t="s">
        <v>799</v>
      </c>
      <c r="H210" s="644" t="str">
        <f t="shared" si="50"/>
        <v>kleedruimten</v>
      </c>
      <c r="I210" s="716" t="s">
        <v>1009</v>
      </c>
      <c r="J210" s="648">
        <v>15.34</v>
      </c>
      <c r="K210" s="648"/>
      <c r="L210" s="649">
        <v>13200</v>
      </c>
      <c r="M210" s="555">
        <f t="shared" si="51"/>
        <v>103</v>
      </c>
      <c r="N210" s="453"/>
      <c r="O210" s="555">
        <f t="shared" si="52"/>
        <v>200</v>
      </c>
      <c r="P210" s="630">
        <v>1</v>
      </c>
      <c r="Q210" s="773">
        <f t="shared" si="53"/>
        <v>0</v>
      </c>
      <c r="R210" s="773">
        <f t="shared" si="54"/>
        <v>0</v>
      </c>
      <c r="S210" s="551">
        <f t="shared" si="55"/>
        <v>0</v>
      </c>
      <c r="T210" s="623">
        <f t="shared" si="56"/>
        <v>0</v>
      </c>
      <c r="U210" s="623">
        <f t="shared" si="57"/>
        <v>0</v>
      </c>
      <c r="V210" s="552">
        <f t="shared" si="58"/>
        <v>0</v>
      </c>
      <c r="W210" s="553" t="str">
        <f t="shared" si="59"/>
        <v>V</v>
      </c>
      <c r="X210" s="554"/>
      <c r="Y210" s="628">
        <f>IF(Q210=0,0,(Q210+R210)*'1.0-Contractblad'!$L$98)</f>
        <v>0</v>
      </c>
      <c r="Z210" s="629">
        <f ca="1">IF(J210=0,0,VLOOKUP(D210,'1.1a-Jaarprijzen'!$B$70:$P$124,14,FALSE)*(K210+J210))</f>
        <v>0</v>
      </c>
      <c r="AA210" s="60">
        <f t="shared" si="62"/>
        <v>0</v>
      </c>
      <c r="AC210" s="60" t="str">
        <f t="shared" si="63"/>
        <v>13200-200</v>
      </c>
    </row>
    <row r="211" spans="1:29">
      <c r="A211" s="557"/>
      <c r="B211" s="549"/>
      <c r="C211" s="656">
        <v>1</v>
      </c>
      <c r="D211" s="550" t="s">
        <v>1017</v>
      </c>
      <c r="E211" s="657" t="s">
        <v>1010</v>
      </c>
      <c r="F211" s="645" t="s">
        <v>465</v>
      </c>
      <c r="G211" s="646" t="s">
        <v>799</v>
      </c>
      <c r="H211" s="644" t="str">
        <f t="shared" si="50"/>
        <v>kleedruimten</v>
      </c>
      <c r="I211" s="716" t="s">
        <v>1009</v>
      </c>
      <c r="J211" s="648">
        <v>9.7200000000000006</v>
      </c>
      <c r="K211" s="648"/>
      <c r="L211" s="649">
        <v>13200</v>
      </c>
      <c r="M211" s="555">
        <f t="shared" si="51"/>
        <v>103</v>
      </c>
      <c r="N211" s="453"/>
      <c r="O211" s="555">
        <f t="shared" si="52"/>
        <v>200</v>
      </c>
      <c r="P211" s="630">
        <v>1</v>
      </c>
      <c r="Q211" s="773">
        <f t="shared" si="53"/>
        <v>0</v>
      </c>
      <c r="R211" s="773">
        <f t="shared" si="54"/>
        <v>0</v>
      </c>
      <c r="S211" s="551">
        <f t="shared" si="55"/>
        <v>0</v>
      </c>
      <c r="T211" s="623">
        <f t="shared" si="56"/>
        <v>0</v>
      </c>
      <c r="U211" s="623">
        <f t="shared" si="57"/>
        <v>0</v>
      </c>
      <c r="V211" s="552">
        <f t="shared" si="58"/>
        <v>0</v>
      </c>
      <c r="W211" s="553" t="str">
        <f t="shared" si="59"/>
        <v>V</v>
      </c>
      <c r="X211" s="554"/>
      <c r="Y211" s="628">
        <f>IF(Q211=0,0,(Q211+R211)*'1.0-Contractblad'!$L$98)</f>
        <v>0</v>
      </c>
      <c r="Z211" s="629">
        <f ca="1">IF(J211=0,0,VLOOKUP(D211,'1.1a-Jaarprijzen'!$B$70:$P$124,14,FALSE)*(K211+J211))</f>
        <v>0</v>
      </c>
      <c r="AA211" s="60">
        <f t="shared" si="62"/>
        <v>0</v>
      </c>
      <c r="AC211" s="60" t="str">
        <f t="shared" si="63"/>
        <v>nvt-0</v>
      </c>
    </row>
    <row r="212" spans="1:29">
      <c r="A212" s="557"/>
      <c r="B212" s="549"/>
      <c r="C212" s="656">
        <v>1</v>
      </c>
      <c r="D212" s="550" t="s">
        <v>1017</v>
      </c>
      <c r="E212" s="657" t="s">
        <v>1010</v>
      </c>
      <c r="F212" s="645" t="s">
        <v>466</v>
      </c>
      <c r="G212" s="646" t="s">
        <v>947</v>
      </c>
      <c r="H212" s="644" t="str">
        <f t="shared" si="50"/>
        <v>niet van toepassing</v>
      </c>
      <c r="I212" s="716" t="s">
        <v>785</v>
      </c>
      <c r="J212" s="648"/>
      <c r="K212" s="648">
        <v>2.12</v>
      </c>
      <c r="L212" s="660" t="s">
        <v>27</v>
      </c>
      <c r="M212" s="555">
        <f t="shared" si="51"/>
        <v>0</v>
      </c>
      <c r="N212" s="453"/>
      <c r="O212" s="555">
        <f t="shared" si="52"/>
        <v>0</v>
      </c>
      <c r="P212" s="630">
        <v>1</v>
      </c>
      <c r="Q212" s="773">
        <f t="shared" si="53"/>
        <v>0</v>
      </c>
      <c r="R212" s="773">
        <f t="shared" si="54"/>
        <v>0</v>
      </c>
      <c r="S212" s="551">
        <f t="shared" si="55"/>
        <v>0</v>
      </c>
      <c r="T212" s="623">
        <f t="shared" si="56"/>
        <v>0</v>
      </c>
      <c r="U212" s="623">
        <f t="shared" si="57"/>
        <v>0</v>
      </c>
      <c r="V212" s="552">
        <f t="shared" si="58"/>
        <v>0</v>
      </c>
      <c r="W212" s="553">
        <f t="shared" si="59"/>
        <v>0</v>
      </c>
      <c r="X212" s="698"/>
      <c r="Y212" s="628">
        <f>IF(Q212=0,0,(Q212+R212)*'1.0-Contractblad'!$L$98)</f>
        <v>0</v>
      </c>
      <c r="Z212" s="629">
        <f>IF(J212=0,0,VLOOKUP(D212,'1.1a-Jaarprijzen'!$B$70:$P$124,14,FALSE)*(K212+J212))</f>
        <v>0</v>
      </c>
      <c r="AA212" s="60">
        <f t="shared" si="62"/>
        <v>0</v>
      </c>
      <c r="AC212" s="60" t="str">
        <f t="shared" si="63"/>
        <v>1200-200</v>
      </c>
    </row>
    <row r="213" spans="1:29">
      <c r="A213" s="557"/>
      <c r="B213" s="549"/>
      <c r="C213" s="656">
        <v>1</v>
      </c>
      <c r="D213" s="550" t="s">
        <v>1017</v>
      </c>
      <c r="E213" s="657" t="s">
        <v>1010</v>
      </c>
      <c r="F213" s="645" t="s">
        <v>467</v>
      </c>
      <c r="G213" s="646" t="s">
        <v>948</v>
      </c>
      <c r="H213" s="644" t="str">
        <f t="shared" si="50"/>
        <v>administratieve -, personeels- en vergaderruimte</v>
      </c>
      <c r="I213" s="716" t="s">
        <v>785</v>
      </c>
      <c r="J213" s="648">
        <v>6.29</v>
      </c>
      <c r="K213" s="648"/>
      <c r="L213" s="649">
        <v>1200</v>
      </c>
      <c r="M213" s="555">
        <f t="shared" si="51"/>
        <v>101</v>
      </c>
      <c r="N213" s="453"/>
      <c r="O213" s="555">
        <f t="shared" si="52"/>
        <v>200</v>
      </c>
      <c r="P213" s="630">
        <v>1</v>
      </c>
      <c r="Q213" s="773">
        <f t="shared" si="53"/>
        <v>0</v>
      </c>
      <c r="R213" s="773">
        <f t="shared" si="54"/>
        <v>0</v>
      </c>
      <c r="S213" s="551">
        <f t="shared" si="55"/>
        <v>0</v>
      </c>
      <c r="T213" s="623">
        <f t="shared" si="56"/>
        <v>0</v>
      </c>
      <c r="U213" s="623">
        <f t="shared" si="57"/>
        <v>0</v>
      </c>
      <c r="V213" s="552">
        <f t="shared" si="58"/>
        <v>0</v>
      </c>
      <c r="W213" s="553" t="str">
        <f t="shared" si="59"/>
        <v>B</v>
      </c>
      <c r="X213" s="554"/>
      <c r="Y213" s="628">
        <f>IF(Q213=0,0,(Q213+R213)*'1.0-Contractblad'!$L$98)</f>
        <v>0</v>
      </c>
      <c r="Z213" s="629">
        <f ca="1">IF(J213=0,0,VLOOKUP(D213,'1.1a-Jaarprijzen'!$B$70:$P$124,14,FALSE)*(K213+J213))</f>
        <v>0</v>
      </c>
      <c r="AA213" s="60">
        <f t="shared" si="62"/>
        <v>0</v>
      </c>
      <c r="AC213" s="60" t="str">
        <f t="shared" si="63"/>
        <v>14040-40</v>
      </c>
    </row>
    <row r="214" spans="1:29">
      <c r="A214" s="557"/>
      <c r="B214" s="549"/>
      <c r="C214" s="656">
        <v>1</v>
      </c>
      <c r="D214" s="550" t="s">
        <v>1017</v>
      </c>
      <c r="E214" s="657" t="s">
        <v>1010</v>
      </c>
      <c r="F214" s="645" t="s">
        <v>468</v>
      </c>
      <c r="G214" s="646" t="s">
        <v>949</v>
      </c>
      <c r="H214" s="644" t="str">
        <f t="shared" si="50"/>
        <v>gymzaal (berging)</v>
      </c>
      <c r="I214" s="716" t="s">
        <v>784</v>
      </c>
      <c r="J214" s="648">
        <v>28.85</v>
      </c>
      <c r="K214" s="648"/>
      <c r="L214" s="660">
        <v>14040</v>
      </c>
      <c r="M214" s="555">
        <f t="shared" si="51"/>
        <v>108</v>
      </c>
      <c r="N214" s="453"/>
      <c r="O214" s="555">
        <f t="shared" si="52"/>
        <v>40</v>
      </c>
      <c r="P214" s="630">
        <v>1</v>
      </c>
      <c r="Q214" s="773">
        <f t="shared" si="53"/>
        <v>0</v>
      </c>
      <c r="R214" s="773">
        <f t="shared" si="54"/>
        <v>0</v>
      </c>
      <c r="S214" s="551">
        <f t="shared" si="55"/>
        <v>0</v>
      </c>
      <c r="T214" s="623">
        <f t="shared" si="56"/>
        <v>0</v>
      </c>
      <c r="U214" s="623">
        <f t="shared" si="57"/>
        <v>0</v>
      </c>
      <c r="V214" s="552">
        <f t="shared" si="58"/>
        <v>0</v>
      </c>
      <c r="W214" s="553" t="str">
        <f t="shared" si="59"/>
        <v>Sp</v>
      </c>
      <c r="X214" s="554"/>
      <c r="Y214" s="628">
        <f>IF(Q214=0,0,(Q214+R214)*'1.0-Contractblad'!$L$98)</f>
        <v>0</v>
      </c>
      <c r="Z214" s="629">
        <f ca="1">IF(J214=0,0,VLOOKUP(D214,'1.1a-Jaarprijzen'!$B$70:$P$124,14,FALSE)*(K214+J214))</f>
        <v>0</v>
      </c>
      <c r="AA214" s="60">
        <f t="shared" si="62"/>
        <v>0</v>
      </c>
      <c r="AC214" s="60" t="str">
        <f t="shared" si="63"/>
        <v>14200-200</v>
      </c>
    </row>
    <row r="215" spans="1:29">
      <c r="A215" s="557"/>
      <c r="B215" s="549"/>
      <c r="C215" s="656">
        <v>1</v>
      </c>
      <c r="D215" s="550" t="s">
        <v>1017</v>
      </c>
      <c r="E215" s="657" t="s">
        <v>1010</v>
      </c>
      <c r="F215" s="645" t="s">
        <v>469</v>
      </c>
      <c r="G215" s="646" t="s">
        <v>950</v>
      </c>
      <c r="H215" s="644" t="str">
        <f t="shared" si="50"/>
        <v>gymzaal</v>
      </c>
      <c r="I215" s="716" t="s">
        <v>785</v>
      </c>
      <c r="J215" s="648">
        <v>199.16</v>
      </c>
      <c r="K215" s="648"/>
      <c r="L215" s="650">
        <v>14200</v>
      </c>
      <c r="M215" s="555">
        <f t="shared" si="51"/>
        <v>108</v>
      </c>
      <c r="N215" s="453"/>
      <c r="O215" s="555">
        <f t="shared" si="52"/>
        <v>200</v>
      </c>
      <c r="P215" s="630">
        <v>1</v>
      </c>
      <c r="Q215" s="773">
        <f t="shared" si="53"/>
        <v>0</v>
      </c>
      <c r="R215" s="773">
        <f t="shared" si="54"/>
        <v>0</v>
      </c>
      <c r="S215" s="551">
        <f t="shared" si="55"/>
        <v>0</v>
      </c>
      <c r="T215" s="623">
        <f t="shared" si="56"/>
        <v>0</v>
      </c>
      <c r="U215" s="623">
        <f t="shared" si="57"/>
        <v>0</v>
      </c>
      <c r="V215" s="552">
        <f t="shared" si="58"/>
        <v>0</v>
      </c>
      <c r="W215" s="553" t="str">
        <f t="shared" si="59"/>
        <v>Sp</v>
      </c>
      <c r="X215" s="554"/>
      <c r="Y215" s="628">
        <f>IF(Q215=0,0,(Q215+R215)*'1.0-Contractblad'!$L$98)</f>
        <v>0</v>
      </c>
      <c r="Z215" s="629">
        <f ca="1">IF(J215=0,0,VLOOKUP(D215,'1.1a-Jaarprijzen'!$B$70:$P$124,14,FALSE)*(K215+J215))</f>
        <v>0</v>
      </c>
      <c r="AA215" s="60">
        <f t="shared" si="62"/>
        <v>0</v>
      </c>
      <c r="AC215" s="60" t="str">
        <f t="shared" si="63"/>
        <v>nvt-0</v>
      </c>
    </row>
    <row r="216" spans="1:29">
      <c r="A216" s="557"/>
      <c r="B216" s="549"/>
      <c r="C216" s="656">
        <v>1</v>
      </c>
      <c r="D216" s="550" t="s">
        <v>1017</v>
      </c>
      <c r="E216" s="657" t="s">
        <v>1010</v>
      </c>
      <c r="F216" s="645" t="s">
        <v>470</v>
      </c>
      <c r="G216" s="646" t="s">
        <v>885</v>
      </c>
      <c r="H216" s="644" t="str">
        <f t="shared" si="50"/>
        <v>niet van toepassing</v>
      </c>
      <c r="I216" s="716" t="s">
        <v>803</v>
      </c>
      <c r="J216" s="648"/>
      <c r="K216" s="648">
        <v>3.56</v>
      </c>
      <c r="L216" s="660" t="s">
        <v>27</v>
      </c>
      <c r="M216" s="555">
        <f t="shared" si="51"/>
        <v>0</v>
      </c>
      <c r="N216" s="453"/>
      <c r="O216" s="555">
        <f t="shared" si="52"/>
        <v>0</v>
      </c>
      <c r="P216" s="630">
        <v>1</v>
      </c>
      <c r="Q216" s="773">
        <f t="shared" si="53"/>
        <v>0</v>
      </c>
      <c r="R216" s="773">
        <f t="shared" si="54"/>
        <v>0</v>
      </c>
      <c r="S216" s="551">
        <f t="shared" si="55"/>
        <v>0</v>
      </c>
      <c r="T216" s="623">
        <f t="shared" si="56"/>
        <v>0</v>
      </c>
      <c r="U216" s="623">
        <f t="shared" si="57"/>
        <v>0</v>
      </c>
      <c r="V216" s="552">
        <f t="shared" si="58"/>
        <v>0</v>
      </c>
      <c r="W216" s="553">
        <f t="shared" si="59"/>
        <v>0</v>
      </c>
      <c r="X216" s="698"/>
      <c r="Y216" s="628">
        <f>IF(Q216=0,0,(Q216+R216)*'1.0-Contractblad'!$L$98)</f>
        <v>0</v>
      </c>
      <c r="Z216" s="629">
        <f>IF(J216=0,0,VLOOKUP(D216,'1.1a-Jaarprijzen'!$B$70:$P$124,14,FALSE)*(K216+J216))</f>
        <v>0</v>
      </c>
      <c r="AA216" s="60">
        <f t="shared" ref="AA216:AA247" si="64">IF(L217=8255,Q217+R217,0)</f>
        <v>0</v>
      </c>
      <c r="AC216" s="60" t="str">
        <f t="shared" ref="AC216:AC247" si="65">CONCATENATE(L217,"-",O217)</f>
        <v>nvt-0</v>
      </c>
    </row>
    <row r="217" spans="1:29">
      <c r="A217" s="557"/>
      <c r="B217" s="549"/>
      <c r="C217" s="656">
        <v>1</v>
      </c>
      <c r="D217" s="550" t="s">
        <v>1017</v>
      </c>
      <c r="E217" s="657" t="s">
        <v>1010</v>
      </c>
      <c r="F217" s="645" t="s">
        <v>473</v>
      </c>
      <c r="G217" s="646" t="s">
        <v>935</v>
      </c>
      <c r="H217" s="644" t="str">
        <f t="shared" ref="H217:H255" si="66">IF(L217="","",VLOOKUP(L217,Kengetal,4,FALSE))</f>
        <v>niet van toepassing</v>
      </c>
      <c r="I217" s="716" t="s">
        <v>803</v>
      </c>
      <c r="J217" s="648"/>
      <c r="K217" s="648">
        <v>2.54</v>
      </c>
      <c r="L217" s="660" t="s">
        <v>27</v>
      </c>
      <c r="M217" s="555">
        <f t="shared" si="51"/>
        <v>0</v>
      </c>
      <c r="N217" s="453"/>
      <c r="O217" s="555">
        <f t="shared" si="52"/>
        <v>0</v>
      </c>
      <c r="P217" s="630">
        <v>1</v>
      </c>
      <c r="Q217" s="773">
        <f t="shared" si="53"/>
        <v>0</v>
      </c>
      <c r="R217" s="773">
        <f t="shared" si="54"/>
        <v>0</v>
      </c>
      <c r="S217" s="551">
        <f t="shared" si="55"/>
        <v>0</v>
      </c>
      <c r="T217" s="623">
        <f t="shared" si="56"/>
        <v>0</v>
      </c>
      <c r="U217" s="623">
        <f t="shared" si="57"/>
        <v>0</v>
      </c>
      <c r="V217" s="552">
        <f t="shared" si="58"/>
        <v>0</v>
      </c>
      <c r="W217" s="553">
        <f t="shared" si="59"/>
        <v>0</v>
      </c>
      <c r="X217" s="698"/>
      <c r="Y217" s="628">
        <f>IF(Q217=0,0,(Q217+R217)*'1.0-Contractblad'!$L$98)</f>
        <v>0</v>
      </c>
      <c r="Z217" s="629">
        <f>IF(J217=0,0,VLOOKUP(D217,'1.1a-Jaarprijzen'!$B$70:$P$124,14,FALSE)*(K217+J217))</f>
        <v>0</v>
      </c>
      <c r="AA217" s="60">
        <f t="shared" si="64"/>
        <v>0</v>
      </c>
      <c r="AC217" s="60" t="str">
        <f t="shared" si="65"/>
        <v>9200-200</v>
      </c>
    </row>
    <row r="218" spans="1:29">
      <c r="A218" s="557"/>
      <c r="B218" s="549"/>
      <c r="C218" s="656">
        <v>1</v>
      </c>
      <c r="D218" s="550" t="s">
        <v>1017</v>
      </c>
      <c r="E218" s="657" t="s">
        <v>694</v>
      </c>
      <c r="F218" s="645" t="s">
        <v>580</v>
      </c>
      <c r="G218" s="646" t="s">
        <v>333</v>
      </c>
      <c r="H218" s="644" t="str">
        <f t="shared" si="66"/>
        <v>trappenhuis</v>
      </c>
      <c r="I218" s="716" t="s">
        <v>785</v>
      </c>
      <c r="J218" s="648">
        <v>18.2</v>
      </c>
      <c r="K218" s="648"/>
      <c r="L218" s="649">
        <v>9200</v>
      </c>
      <c r="M218" s="555">
        <f t="shared" si="51"/>
        <v>109</v>
      </c>
      <c r="N218" s="453"/>
      <c r="O218" s="555">
        <f t="shared" si="52"/>
        <v>200</v>
      </c>
      <c r="P218" s="630">
        <v>1</v>
      </c>
      <c r="Q218" s="773">
        <f t="shared" si="53"/>
        <v>0</v>
      </c>
      <c r="R218" s="773">
        <f t="shared" si="54"/>
        <v>0</v>
      </c>
      <c r="S218" s="551">
        <f t="shared" si="55"/>
        <v>0</v>
      </c>
      <c r="T218" s="623">
        <f t="shared" ref="T218:T255" si="67">VLOOKUP($L218,Kengetal,6,FALSE)</f>
        <v>0</v>
      </c>
      <c r="U218" s="623">
        <f t="shared" ref="U218:U255" si="68">VLOOKUP($L218,Kengetal,7,FALSE)</f>
        <v>0</v>
      </c>
      <c r="V218" s="552">
        <f t="shared" ref="V218:V255" si="69">VLOOKUP($N218,Kengetal,7,FALSE)</f>
        <v>0</v>
      </c>
      <c r="W218" s="553" t="str">
        <f t="shared" si="59"/>
        <v>V</v>
      </c>
      <c r="X218" s="554"/>
      <c r="Y218" s="628">
        <f>IF(Q218=0,0,(Q218+R218)*'1.0-Contractblad'!$L$98)</f>
        <v>0</v>
      </c>
      <c r="Z218" s="629">
        <f ca="1">IF(J218=0,0,VLOOKUP(D218,'1.1a-Jaarprijzen'!$B$70:$P$124,14,FALSE)*(K218+J218))</f>
        <v>0</v>
      </c>
      <c r="AA218" s="60">
        <f t="shared" si="64"/>
        <v>0</v>
      </c>
      <c r="AC218" s="60" t="str">
        <f t="shared" si="65"/>
        <v>nvt-0</v>
      </c>
    </row>
    <row r="219" spans="1:29">
      <c r="A219" s="557"/>
      <c r="B219" s="549"/>
      <c r="C219" s="656">
        <v>1</v>
      </c>
      <c r="D219" s="550" t="s">
        <v>1017</v>
      </c>
      <c r="E219" s="657" t="s">
        <v>694</v>
      </c>
      <c r="F219" s="645" t="s">
        <v>581</v>
      </c>
      <c r="G219" s="646" t="s">
        <v>332</v>
      </c>
      <c r="H219" s="644" t="str">
        <f t="shared" si="66"/>
        <v>niet van toepassing</v>
      </c>
      <c r="I219" s="716" t="s">
        <v>785</v>
      </c>
      <c r="J219" s="648"/>
      <c r="K219" s="648">
        <v>2.77</v>
      </c>
      <c r="L219" s="765" t="s">
        <v>27</v>
      </c>
      <c r="M219" s="555">
        <f t="shared" ref="M219:M255" si="70">VLOOKUP(L219,Kengetal,2,FALSE)</f>
        <v>0</v>
      </c>
      <c r="N219" s="453"/>
      <c r="O219" s="555">
        <f t="shared" ref="O219:O255" si="71">VLOOKUP(L219,Kengetal,3,FALSE)</f>
        <v>0</v>
      </c>
      <c r="P219" s="630">
        <v>1</v>
      </c>
      <c r="Q219" s="773">
        <f t="shared" ref="Q219:Q255" si="72">T219*J219*P219</f>
        <v>0</v>
      </c>
      <c r="R219" s="773">
        <f t="shared" ref="R219:R255" si="73">U219*J219*P219</f>
        <v>0</v>
      </c>
      <c r="S219" s="551">
        <f t="shared" ref="S219:S255" si="74">V219*J219*P219</f>
        <v>0</v>
      </c>
      <c r="T219" s="623">
        <f t="shared" si="67"/>
        <v>0</v>
      </c>
      <c r="U219" s="623">
        <f t="shared" si="68"/>
        <v>0</v>
      </c>
      <c r="V219" s="552">
        <f t="shared" si="69"/>
        <v>0</v>
      </c>
      <c r="W219" s="553">
        <f t="shared" ref="W219:W255" si="75">IF(L219="","",VLOOKUP(L219,Kengetal,14,FALSE))</f>
        <v>0</v>
      </c>
      <c r="X219" s="554"/>
      <c r="Y219" s="628">
        <f>IF(Q219=0,0,(Q219+R219)*'1.0-Contractblad'!$L$98)</f>
        <v>0</v>
      </c>
      <c r="Z219" s="629">
        <f>IF(J219=0,0,VLOOKUP(D219,'1.1a-Jaarprijzen'!$B$70:$P$124,14,FALSE)*(K219+J219))</f>
        <v>0</v>
      </c>
      <c r="AA219" s="60">
        <f t="shared" si="64"/>
        <v>0</v>
      </c>
      <c r="AC219" s="60" t="str">
        <f t="shared" si="65"/>
        <v>1200-200</v>
      </c>
    </row>
    <row r="220" spans="1:29">
      <c r="A220" s="557"/>
      <c r="B220" s="549"/>
      <c r="C220" s="656">
        <v>1</v>
      </c>
      <c r="D220" s="550" t="s">
        <v>1017</v>
      </c>
      <c r="E220" s="657" t="s">
        <v>694</v>
      </c>
      <c r="F220" s="645" t="s">
        <v>582</v>
      </c>
      <c r="G220" s="646" t="s">
        <v>798</v>
      </c>
      <c r="H220" s="644" t="str">
        <f t="shared" si="66"/>
        <v>administratieve -, personeels- en vergaderruimte</v>
      </c>
      <c r="I220" s="716" t="s">
        <v>785</v>
      </c>
      <c r="J220" s="648">
        <v>24.03</v>
      </c>
      <c r="K220" s="648"/>
      <c r="L220" s="649">
        <v>1200</v>
      </c>
      <c r="M220" s="555">
        <f t="shared" si="70"/>
        <v>101</v>
      </c>
      <c r="N220" s="453"/>
      <c r="O220" s="555">
        <f t="shared" si="71"/>
        <v>200</v>
      </c>
      <c r="P220" s="630">
        <v>1</v>
      </c>
      <c r="Q220" s="773">
        <f t="shared" si="72"/>
        <v>0</v>
      </c>
      <c r="R220" s="773">
        <f t="shared" si="73"/>
        <v>0</v>
      </c>
      <c r="S220" s="551">
        <f t="shared" si="74"/>
        <v>0</v>
      </c>
      <c r="T220" s="623">
        <f t="shared" si="67"/>
        <v>0</v>
      </c>
      <c r="U220" s="623">
        <f t="shared" si="68"/>
        <v>0</v>
      </c>
      <c r="V220" s="552">
        <f t="shared" si="69"/>
        <v>0</v>
      </c>
      <c r="W220" s="553" t="str">
        <f t="shared" si="75"/>
        <v>B</v>
      </c>
      <c r="X220" s="554"/>
      <c r="Y220" s="628">
        <f>IF(Q220=0,0,(Q220+R220)*'1.0-Contractblad'!$L$98)</f>
        <v>0</v>
      </c>
      <c r="Z220" s="629">
        <f ca="1">IF(J220=0,0,VLOOKUP(D220,'1.1a-Jaarprijzen'!$B$70:$P$124,14,FALSE)*(K220+J220))</f>
        <v>0</v>
      </c>
      <c r="AA220" s="60">
        <f t="shared" si="64"/>
        <v>0</v>
      </c>
      <c r="AC220" s="60" t="str">
        <f t="shared" si="65"/>
        <v>1200-200</v>
      </c>
    </row>
    <row r="221" spans="1:29">
      <c r="A221" s="557"/>
      <c r="B221" s="549"/>
      <c r="C221" s="656">
        <v>1</v>
      </c>
      <c r="D221" s="550" t="s">
        <v>1017</v>
      </c>
      <c r="E221" s="657" t="s">
        <v>694</v>
      </c>
      <c r="F221" s="645" t="s">
        <v>583</v>
      </c>
      <c r="G221" s="646" t="s">
        <v>709</v>
      </c>
      <c r="H221" s="644" t="str">
        <f t="shared" si="66"/>
        <v>administratieve -, personeels- en vergaderruimte</v>
      </c>
      <c r="I221" s="716" t="s">
        <v>785</v>
      </c>
      <c r="J221" s="648">
        <v>12.3</v>
      </c>
      <c r="K221" s="648"/>
      <c r="L221" s="649">
        <v>1200</v>
      </c>
      <c r="M221" s="555">
        <f t="shared" si="70"/>
        <v>101</v>
      </c>
      <c r="N221" s="453"/>
      <c r="O221" s="555">
        <f t="shared" si="71"/>
        <v>200</v>
      </c>
      <c r="P221" s="630">
        <v>1</v>
      </c>
      <c r="Q221" s="773">
        <f t="shared" si="72"/>
        <v>0</v>
      </c>
      <c r="R221" s="773">
        <f t="shared" si="73"/>
        <v>0</v>
      </c>
      <c r="S221" s="551">
        <f t="shared" si="74"/>
        <v>0</v>
      </c>
      <c r="T221" s="623">
        <f t="shared" si="67"/>
        <v>0</v>
      </c>
      <c r="U221" s="623">
        <f t="shared" si="68"/>
        <v>0</v>
      </c>
      <c r="V221" s="552">
        <f t="shared" si="69"/>
        <v>0</v>
      </c>
      <c r="W221" s="553" t="str">
        <f t="shared" si="75"/>
        <v>B</v>
      </c>
      <c r="X221" s="554"/>
      <c r="Y221" s="628">
        <f>IF(Q221=0,0,(Q221+R221)*'1.0-Contractblad'!$L$98)</f>
        <v>0</v>
      </c>
      <c r="Z221" s="629">
        <f ca="1">IF(J221=0,0,VLOOKUP(D221,'1.1a-Jaarprijzen'!$B$70:$P$124,14,FALSE)*(K221+J221))</f>
        <v>0</v>
      </c>
      <c r="AA221" s="60">
        <f t="shared" si="64"/>
        <v>0</v>
      </c>
      <c r="AC221" s="60" t="str">
        <f t="shared" si="65"/>
        <v>7200-200</v>
      </c>
    </row>
    <row r="222" spans="1:29">
      <c r="A222" s="557"/>
      <c r="B222" s="549"/>
      <c r="C222" s="656">
        <v>1</v>
      </c>
      <c r="D222" s="550" t="s">
        <v>1017</v>
      </c>
      <c r="E222" s="657" t="s">
        <v>694</v>
      </c>
      <c r="F222" s="645" t="s">
        <v>584</v>
      </c>
      <c r="G222" s="646" t="s">
        <v>951</v>
      </c>
      <c r="H222" s="644" t="str">
        <f t="shared" si="66"/>
        <v>leslokaal</v>
      </c>
      <c r="I222" s="716" t="s">
        <v>785</v>
      </c>
      <c r="J222" s="648">
        <v>43.7</v>
      </c>
      <c r="K222" s="648"/>
      <c r="L222" s="650">
        <v>7200</v>
      </c>
      <c r="M222" s="555">
        <f t="shared" si="70"/>
        <v>107</v>
      </c>
      <c r="N222" s="453"/>
      <c r="O222" s="555">
        <f t="shared" si="71"/>
        <v>200</v>
      </c>
      <c r="P222" s="630">
        <v>1</v>
      </c>
      <c r="Q222" s="773">
        <f t="shared" si="72"/>
        <v>0</v>
      </c>
      <c r="R222" s="773">
        <f t="shared" si="73"/>
        <v>0</v>
      </c>
      <c r="S222" s="551">
        <f t="shared" si="74"/>
        <v>0</v>
      </c>
      <c r="T222" s="623">
        <f t="shared" si="67"/>
        <v>0</v>
      </c>
      <c r="U222" s="623">
        <f t="shared" si="68"/>
        <v>0</v>
      </c>
      <c r="V222" s="552">
        <f t="shared" si="69"/>
        <v>0</v>
      </c>
      <c r="W222" s="553" t="str">
        <f t="shared" si="75"/>
        <v>L</v>
      </c>
      <c r="X222" s="554"/>
      <c r="Y222" s="628">
        <f>IF(Q222=0,0,(Q222+R222)*'1.0-Contractblad'!$L$98)</f>
        <v>0</v>
      </c>
      <c r="Z222" s="629">
        <f ca="1">IF(J222=0,0,VLOOKUP(D222,'1.1a-Jaarprijzen'!$B$70:$P$124,14,FALSE)*(K222+J222))</f>
        <v>0</v>
      </c>
      <c r="AA222" s="60">
        <f t="shared" si="64"/>
        <v>0</v>
      </c>
      <c r="AC222" s="60" t="str">
        <f t="shared" si="65"/>
        <v>7200-200</v>
      </c>
    </row>
    <row r="223" spans="1:29">
      <c r="A223" s="557"/>
      <c r="B223" s="549"/>
      <c r="C223" s="656">
        <v>1</v>
      </c>
      <c r="D223" s="550" t="s">
        <v>1017</v>
      </c>
      <c r="E223" s="657" t="s">
        <v>694</v>
      </c>
      <c r="F223" s="645" t="s">
        <v>585</v>
      </c>
      <c r="G223" s="646" t="s">
        <v>952</v>
      </c>
      <c r="H223" s="644" t="str">
        <f t="shared" si="66"/>
        <v>leslokaal</v>
      </c>
      <c r="I223" s="716" t="s">
        <v>785</v>
      </c>
      <c r="J223" s="648">
        <v>74.7</v>
      </c>
      <c r="K223" s="648"/>
      <c r="L223" s="650">
        <v>7200</v>
      </c>
      <c r="M223" s="555">
        <f t="shared" si="70"/>
        <v>107</v>
      </c>
      <c r="N223" s="453"/>
      <c r="O223" s="555">
        <f t="shared" si="71"/>
        <v>200</v>
      </c>
      <c r="P223" s="630">
        <v>1</v>
      </c>
      <c r="Q223" s="773">
        <f t="shared" si="72"/>
        <v>0</v>
      </c>
      <c r="R223" s="773">
        <f t="shared" si="73"/>
        <v>0</v>
      </c>
      <c r="S223" s="551">
        <f t="shared" si="74"/>
        <v>0</v>
      </c>
      <c r="T223" s="623">
        <f t="shared" si="67"/>
        <v>0</v>
      </c>
      <c r="U223" s="623">
        <f t="shared" si="68"/>
        <v>0</v>
      </c>
      <c r="V223" s="552">
        <f t="shared" si="69"/>
        <v>0</v>
      </c>
      <c r="W223" s="553" t="str">
        <f t="shared" si="75"/>
        <v>L</v>
      </c>
      <c r="X223" s="554"/>
      <c r="Y223" s="628">
        <f>IF(Q223=0,0,(Q223+R223)*'1.0-Contractblad'!$L$98)</f>
        <v>0</v>
      </c>
      <c r="Z223" s="629">
        <f ca="1">IF(J223=0,0,VLOOKUP(D223,'1.1a-Jaarprijzen'!$B$70:$P$124,14,FALSE)*(K223+J223))</f>
        <v>0</v>
      </c>
      <c r="AA223" s="60">
        <f t="shared" si="64"/>
        <v>0</v>
      </c>
      <c r="AC223" s="60" t="str">
        <f t="shared" si="65"/>
        <v>7200-200</v>
      </c>
    </row>
    <row r="224" spans="1:29">
      <c r="A224" s="557"/>
      <c r="B224" s="549"/>
      <c r="C224" s="656">
        <v>1</v>
      </c>
      <c r="D224" s="550" t="s">
        <v>1017</v>
      </c>
      <c r="E224" s="657" t="s">
        <v>694</v>
      </c>
      <c r="F224" s="645" t="s">
        <v>586</v>
      </c>
      <c r="G224" s="646" t="s">
        <v>952</v>
      </c>
      <c r="H224" s="644" t="str">
        <f t="shared" si="66"/>
        <v>leslokaal</v>
      </c>
      <c r="I224" s="716" t="s">
        <v>785</v>
      </c>
      <c r="J224" s="648">
        <v>51.98</v>
      </c>
      <c r="K224" s="648"/>
      <c r="L224" s="650">
        <v>7200</v>
      </c>
      <c r="M224" s="555">
        <f t="shared" si="70"/>
        <v>107</v>
      </c>
      <c r="N224" s="453"/>
      <c r="O224" s="555">
        <f t="shared" si="71"/>
        <v>200</v>
      </c>
      <c r="P224" s="630">
        <v>1</v>
      </c>
      <c r="Q224" s="773">
        <f t="shared" si="72"/>
        <v>0</v>
      </c>
      <c r="R224" s="773">
        <f t="shared" si="73"/>
        <v>0</v>
      </c>
      <c r="S224" s="551">
        <f t="shared" si="74"/>
        <v>0</v>
      </c>
      <c r="T224" s="623">
        <f t="shared" si="67"/>
        <v>0</v>
      </c>
      <c r="U224" s="623">
        <f t="shared" si="68"/>
        <v>0</v>
      </c>
      <c r="V224" s="552">
        <f t="shared" si="69"/>
        <v>0</v>
      </c>
      <c r="W224" s="553" t="str">
        <f t="shared" si="75"/>
        <v>L</v>
      </c>
      <c r="X224" s="554"/>
      <c r="Y224" s="628">
        <f>IF(Q224=0,0,(Q224+R224)*'1.0-Contractblad'!$L$98)</f>
        <v>0</v>
      </c>
      <c r="Z224" s="629">
        <f ca="1">IF(J224=0,0,VLOOKUP(D224,'1.1a-Jaarprijzen'!$B$70:$P$124,14,FALSE)*(K224+J224))</f>
        <v>0</v>
      </c>
      <c r="AA224" s="60">
        <f t="shared" si="64"/>
        <v>0</v>
      </c>
      <c r="AC224" s="60" t="str">
        <f t="shared" si="65"/>
        <v>7200-200</v>
      </c>
    </row>
    <row r="225" spans="1:29">
      <c r="A225" s="557"/>
      <c r="B225" s="549"/>
      <c r="C225" s="656">
        <v>1</v>
      </c>
      <c r="D225" s="550" t="s">
        <v>1017</v>
      </c>
      <c r="E225" s="657" t="s">
        <v>694</v>
      </c>
      <c r="F225" s="645" t="s">
        <v>563</v>
      </c>
      <c r="G225" s="646" t="s">
        <v>953</v>
      </c>
      <c r="H225" s="644" t="str">
        <f t="shared" si="66"/>
        <v>leslokaal</v>
      </c>
      <c r="I225" s="716" t="s">
        <v>785</v>
      </c>
      <c r="J225" s="648">
        <v>54.81</v>
      </c>
      <c r="K225" s="648"/>
      <c r="L225" s="650">
        <v>7200</v>
      </c>
      <c r="M225" s="555">
        <f t="shared" si="70"/>
        <v>107</v>
      </c>
      <c r="N225" s="453"/>
      <c r="O225" s="555">
        <f t="shared" si="71"/>
        <v>200</v>
      </c>
      <c r="P225" s="630">
        <v>1</v>
      </c>
      <c r="Q225" s="773">
        <f t="shared" si="72"/>
        <v>0</v>
      </c>
      <c r="R225" s="773">
        <f t="shared" si="73"/>
        <v>0</v>
      </c>
      <c r="S225" s="551">
        <f t="shared" si="74"/>
        <v>0</v>
      </c>
      <c r="T225" s="623">
        <f t="shared" si="67"/>
        <v>0</v>
      </c>
      <c r="U225" s="623">
        <f t="shared" si="68"/>
        <v>0</v>
      </c>
      <c r="V225" s="552">
        <f t="shared" si="69"/>
        <v>0</v>
      </c>
      <c r="W225" s="553" t="str">
        <f t="shared" si="75"/>
        <v>L</v>
      </c>
      <c r="X225" s="554"/>
      <c r="Y225" s="628">
        <f>IF(Q225=0,0,(Q225+R225)*'1.0-Contractblad'!$L$98)</f>
        <v>0</v>
      </c>
      <c r="Z225" s="629">
        <f ca="1">IF(J225=0,0,VLOOKUP(D225,'1.1a-Jaarprijzen'!$B$70:$P$124,14,FALSE)*(K225+J225))</f>
        <v>0</v>
      </c>
      <c r="AA225" s="60">
        <f t="shared" si="64"/>
        <v>0</v>
      </c>
      <c r="AC225" s="60" t="str">
        <f t="shared" si="65"/>
        <v>7200-200</v>
      </c>
    </row>
    <row r="226" spans="1:29">
      <c r="A226" s="557"/>
      <c r="B226" s="549"/>
      <c r="C226" s="656">
        <v>1</v>
      </c>
      <c r="D226" s="550" t="s">
        <v>1017</v>
      </c>
      <c r="E226" s="657" t="s">
        <v>694</v>
      </c>
      <c r="F226" s="645" t="s">
        <v>564</v>
      </c>
      <c r="G226" s="646" t="s">
        <v>953</v>
      </c>
      <c r="H226" s="644" t="str">
        <f t="shared" si="66"/>
        <v>leslokaal</v>
      </c>
      <c r="I226" s="716" t="s">
        <v>785</v>
      </c>
      <c r="J226" s="648">
        <v>52.91</v>
      </c>
      <c r="K226" s="648"/>
      <c r="L226" s="650">
        <v>7200</v>
      </c>
      <c r="M226" s="555">
        <f t="shared" si="70"/>
        <v>107</v>
      </c>
      <c r="N226" s="453"/>
      <c r="O226" s="555">
        <f t="shared" si="71"/>
        <v>200</v>
      </c>
      <c r="P226" s="630">
        <v>1</v>
      </c>
      <c r="Q226" s="773">
        <f t="shared" si="72"/>
        <v>0</v>
      </c>
      <c r="R226" s="773">
        <f t="shared" si="73"/>
        <v>0</v>
      </c>
      <c r="S226" s="551">
        <f t="shared" si="74"/>
        <v>0</v>
      </c>
      <c r="T226" s="623">
        <f t="shared" si="67"/>
        <v>0</v>
      </c>
      <c r="U226" s="623">
        <f t="shared" si="68"/>
        <v>0</v>
      </c>
      <c r="V226" s="552">
        <f t="shared" si="69"/>
        <v>0</v>
      </c>
      <c r="W226" s="553" t="str">
        <f t="shared" si="75"/>
        <v>L</v>
      </c>
      <c r="X226" s="554"/>
      <c r="Y226" s="628">
        <f>IF(Q226=0,0,(Q226+R226)*'1.0-Contractblad'!$L$98)</f>
        <v>0</v>
      </c>
      <c r="Z226" s="629">
        <f ca="1">IF(J226=0,0,VLOOKUP(D226,'1.1a-Jaarprijzen'!$B$70:$P$124,14,FALSE)*(K226+J226))</f>
        <v>0</v>
      </c>
      <c r="AA226" s="60">
        <f t="shared" si="64"/>
        <v>0</v>
      </c>
      <c r="AC226" s="60" t="str">
        <f t="shared" si="65"/>
        <v>4200-200</v>
      </c>
    </row>
    <row r="227" spans="1:29">
      <c r="A227" s="557"/>
      <c r="B227" s="549"/>
      <c r="C227" s="656">
        <v>1</v>
      </c>
      <c r="D227" s="550" t="s">
        <v>1017</v>
      </c>
      <c r="E227" s="657" t="s">
        <v>694</v>
      </c>
      <c r="F227" s="645" t="s">
        <v>565</v>
      </c>
      <c r="G227" s="646" t="s">
        <v>942</v>
      </c>
      <c r="H227" s="644" t="str">
        <f t="shared" si="66"/>
        <v>sanitaire ruimte (toilet-/doucheruimte)</v>
      </c>
      <c r="I227" s="716" t="s">
        <v>785</v>
      </c>
      <c r="J227" s="648">
        <v>8.7200000000000006</v>
      </c>
      <c r="K227" s="648"/>
      <c r="L227" s="649">
        <v>4200</v>
      </c>
      <c r="M227" s="555">
        <f t="shared" si="70"/>
        <v>104</v>
      </c>
      <c r="N227" s="453"/>
      <c r="O227" s="555">
        <f t="shared" si="71"/>
        <v>200</v>
      </c>
      <c r="P227" s="630">
        <v>1.05</v>
      </c>
      <c r="Q227" s="773">
        <f t="shared" si="72"/>
        <v>0</v>
      </c>
      <c r="R227" s="773">
        <f t="shared" si="73"/>
        <v>0</v>
      </c>
      <c r="S227" s="551">
        <f t="shared" si="74"/>
        <v>0</v>
      </c>
      <c r="T227" s="623">
        <f t="shared" si="67"/>
        <v>0</v>
      </c>
      <c r="U227" s="623">
        <f t="shared" si="68"/>
        <v>0</v>
      </c>
      <c r="V227" s="552">
        <f t="shared" si="69"/>
        <v>0</v>
      </c>
      <c r="W227" s="553" t="str">
        <f t="shared" si="75"/>
        <v>S</v>
      </c>
      <c r="X227" s="554"/>
      <c r="Y227" s="628">
        <f>IF(Q227=0,0,(Q227+R227)*'1.0-Contractblad'!$L$98)</f>
        <v>0</v>
      </c>
      <c r="Z227" s="629">
        <f ca="1">IF(J227=0,0,VLOOKUP(D227,'1.1a-Jaarprijzen'!$B$70:$P$124,14,FALSE)*(K227+J227))</f>
        <v>0</v>
      </c>
      <c r="AA227" s="60">
        <f t="shared" si="64"/>
        <v>0</v>
      </c>
      <c r="AC227" s="60" t="str">
        <f t="shared" si="65"/>
        <v>4200-200</v>
      </c>
    </row>
    <row r="228" spans="1:29">
      <c r="A228" s="557"/>
      <c r="B228" s="549"/>
      <c r="C228" s="656">
        <v>1</v>
      </c>
      <c r="D228" s="550" t="s">
        <v>1017</v>
      </c>
      <c r="E228" s="657" t="s">
        <v>694</v>
      </c>
      <c r="F228" s="645" t="s">
        <v>566</v>
      </c>
      <c r="G228" s="646" t="s">
        <v>954</v>
      </c>
      <c r="H228" s="644" t="str">
        <f t="shared" si="66"/>
        <v>sanitaire ruimte (toilet-/doucheruimte)</v>
      </c>
      <c r="I228" s="716" t="s">
        <v>1009</v>
      </c>
      <c r="J228" s="648">
        <v>1.75</v>
      </c>
      <c r="K228" s="648"/>
      <c r="L228" s="649">
        <v>4200</v>
      </c>
      <c r="M228" s="555">
        <f t="shared" si="70"/>
        <v>104</v>
      </c>
      <c r="N228" s="453"/>
      <c r="O228" s="555">
        <f t="shared" si="71"/>
        <v>200</v>
      </c>
      <c r="P228" s="630">
        <v>1.05</v>
      </c>
      <c r="Q228" s="773">
        <f t="shared" si="72"/>
        <v>0</v>
      </c>
      <c r="R228" s="773">
        <f t="shared" si="73"/>
        <v>0</v>
      </c>
      <c r="S228" s="551">
        <f t="shared" si="74"/>
        <v>0</v>
      </c>
      <c r="T228" s="623">
        <f t="shared" si="67"/>
        <v>0</v>
      </c>
      <c r="U228" s="623">
        <f t="shared" si="68"/>
        <v>0</v>
      </c>
      <c r="V228" s="552">
        <f t="shared" si="69"/>
        <v>0</v>
      </c>
      <c r="W228" s="553" t="str">
        <f t="shared" si="75"/>
        <v>S</v>
      </c>
      <c r="X228" s="554"/>
      <c r="Y228" s="628">
        <f>IF(Q228=0,0,(Q228+R228)*'1.0-Contractblad'!$L$98)</f>
        <v>0</v>
      </c>
      <c r="Z228" s="629">
        <f ca="1">IF(J228=0,0,VLOOKUP(D228,'1.1a-Jaarprijzen'!$B$70:$P$124,14,FALSE)*(K228+J228))</f>
        <v>0</v>
      </c>
      <c r="AA228" s="60">
        <f t="shared" si="64"/>
        <v>0</v>
      </c>
      <c r="AC228" s="60" t="str">
        <f t="shared" si="65"/>
        <v>4200-200</v>
      </c>
    </row>
    <row r="229" spans="1:29">
      <c r="A229" s="557"/>
      <c r="B229" s="549"/>
      <c r="C229" s="656">
        <v>1</v>
      </c>
      <c r="D229" s="550" t="s">
        <v>1017</v>
      </c>
      <c r="E229" s="657" t="s">
        <v>694</v>
      </c>
      <c r="F229" s="645" t="s">
        <v>567</v>
      </c>
      <c r="G229" s="646" t="s">
        <v>941</v>
      </c>
      <c r="H229" s="644" t="str">
        <f t="shared" si="66"/>
        <v>sanitaire ruimte (toilet-/doucheruimte)</v>
      </c>
      <c r="I229" s="716" t="s">
        <v>785</v>
      </c>
      <c r="J229" s="648">
        <v>9.73</v>
      </c>
      <c r="K229" s="648"/>
      <c r="L229" s="649">
        <v>4200</v>
      </c>
      <c r="M229" s="555">
        <f t="shared" si="70"/>
        <v>104</v>
      </c>
      <c r="N229" s="453"/>
      <c r="O229" s="555">
        <f t="shared" si="71"/>
        <v>200</v>
      </c>
      <c r="P229" s="630">
        <v>1.05</v>
      </c>
      <c r="Q229" s="773">
        <f t="shared" si="72"/>
        <v>0</v>
      </c>
      <c r="R229" s="773">
        <f t="shared" si="73"/>
        <v>0</v>
      </c>
      <c r="S229" s="551">
        <f t="shared" si="74"/>
        <v>0</v>
      </c>
      <c r="T229" s="623">
        <f t="shared" si="67"/>
        <v>0</v>
      </c>
      <c r="U229" s="623">
        <f t="shared" si="68"/>
        <v>0</v>
      </c>
      <c r="V229" s="552">
        <f t="shared" si="69"/>
        <v>0</v>
      </c>
      <c r="W229" s="553" t="str">
        <f t="shared" si="75"/>
        <v>S</v>
      </c>
      <c r="X229" s="554"/>
      <c r="Y229" s="628">
        <f>IF(Q229=0,0,(Q229+R229)*'1.0-Contractblad'!$L$98)</f>
        <v>0</v>
      </c>
      <c r="Z229" s="629">
        <f ca="1">IF(J229=0,0,VLOOKUP(D229,'1.1a-Jaarprijzen'!$B$70:$P$124,14,FALSE)*(K229+J229))</f>
        <v>0</v>
      </c>
      <c r="AA229" s="60">
        <f t="shared" si="64"/>
        <v>0</v>
      </c>
      <c r="AC229" s="60" t="str">
        <f t="shared" si="65"/>
        <v>4200-200</v>
      </c>
    </row>
    <row r="230" spans="1:29">
      <c r="A230" s="557"/>
      <c r="B230" s="549"/>
      <c r="C230" s="656">
        <v>1</v>
      </c>
      <c r="D230" s="550" t="s">
        <v>1017</v>
      </c>
      <c r="E230" s="657" t="s">
        <v>694</v>
      </c>
      <c r="F230" s="645" t="s">
        <v>568</v>
      </c>
      <c r="G230" s="646" t="s">
        <v>955</v>
      </c>
      <c r="H230" s="644" t="str">
        <f t="shared" si="66"/>
        <v>sanitaire ruimte (toilet-/doucheruimte)</v>
      </c>
      <c r="I230" s="716" t="s">
        <v>1009</v>
      </c>
      <c r="J230" s="648">
        <v>1.75</v>
      </c>
      <c r="K230" s="648"/>
      <c r="L230" s="649">
        <v>4200</v>
      </c>
      <c r="M230" s="555">
        <f t="shared" si="70"/>
        <v>104</v>
      </c>
      <c r="N230" s="453"/>
      <c r="O230" s="555">
        <f t="shared" si="71"/>
        <v>200</v>
      </c>
      <c r="P230" s="630">
        <v>1.05</v>
      </c>
      <c r="Q230" s="773">
        <f t="shared" si="72"/>
        <v>0</v>
      </c>
      <c r="R230" s="773">
        <f t="shared" si="73"/>
        <v>0</v>
      </c>
      <c r="S230" s="551">
        <f t="shared" si="74"/>
        <v>0</v>
      </c>
      <c r="T230" s="623">
        <f t="shared" si="67"/>
        <v>0</v>
      </c>
      <c r="U230" s="623">
        <f t="shared" si="68"/>
        <v>0</v>
      </c>
      <c r="V230" s="552">
        <f t="shared" si="69"/>
        <v>0</v>
      </c>
      <c r="W230" s="553" t="str">
        <f t="shared" si="75"/>
        <v>S</v>
      </c>
      <c r="X230" s="554"/>
      <c r="Y230" s="628">
        <f>IF(Q230=0,0,(Q230+R230)*'1.0-Contractblad'!$L$98)</f>
        <v>0</v>
      </c>
      <c r="Z230" s="629">
        <f ca="1">IF(J230=0,0,VLOOKUP(D230,'1.1a-Jaarprijzen'!$B$70:$P$124,14,FALSE)*(K230+J230))</f>
        <v>0</v>
      </c>
      <c r="AA230" s="60">
        <f t="shared" si="64"/>
        <v>0</v>
      </c>
      <c r="AC230" s="60" t="str">
        <f t="shared" si="65"/>
        <v>nvt-0</v>
      </c>
    </row>
    <row r="231" spans="1:29">
      <c r="A231" s="557"/>
      <c r="B231" s="549"/>
      <c r="C231" s="656">
        <v>1</v>
      </c>
      <c r="D231" s="550" t="s">
        <v>1017</v>
      </c>
      <c r="E231" s="657" t="s">
        <v>694</v>
      </c>
      <c r="F231" s="645" t="s">
        <v>569</v>
      </c>
      <c r="G231" s="646" t="s">
        <v>956</v>
      </c>
      <c r="H231" s="644" t="str">
        <f t="shared" si="66"/>
        <v>niet van toepassing</v>
      </c>
      <c r="I231" s="716" t="s">
        <v>785</v>
      </c>
      <c r="J231" s="648"/>
      <c r="K231" s="648">
        <v>11.08</v>
      </c>
      <c r="L231" s="765" t="s">
        <v>27</v>
      </c>
      <c r="M231" s="555">
        <f t="shared" si="70"/>
        <v>0</v>
      </c>
      <c r="N231" s="453"/>
      <c r="O231" s="555">
        <f t="shared" si="71"/>
        <v>0</v>
      </c>
      <c r="P231" s="630">
        <v>1</v>
      </c>
      <c r="Q231" s="773">
        <f t="shared" si="72"/>
        <v>0</v>
      </c>
      <c r="R231" s="773">
        <f t="shared" si="73"/>
        <v>0</v>
      </c>
      <c r="S231" s="551">
        <f t="shared" si="74"/>
        <v>0</v>
      </c>
      <c r="T231" s="623">
        <f t="shared" si="67"/>
        <v>0</v>
      </c>
      <c r="U231" s="623">
        <f t="shared" si="68"/>
        <v>0</v>
      </c>
      <c r="V231" s="552">
        <f t="shared" si="69"/>
        <v>0</v>
      </c>
      <c r="W231" s="553">
        <f t="shared" si="75"/>
        <v>0</v>
      </c>
      <c r="X231" s="554"/>
      <c r="Y231" s="628">
        <f>IF(Q231=0,0,(Q231+R231)*'1.0-Contractblad'!$L$98)</f>
        <v>0</v>
      </c>
      <c r="Z231" s="629">
        <f>IF(J231=0,0,VLOOKUP(D231,'1.1a-Jaarprijzen'!$B$70:$P$124,14,FALSE)*(K231+J231))</f>
        <v>0</v>
      </c>
      <c r="AA231" s="60">
        <f t="shared" si="64"/>
        <v>0</v>
      </c>
      <c r="AC231" s="60" t="str">
        <f t="shared" si="65"/>
        <v>nvt-0</v>
      </c>
    </row>
    <row r="232" spans="1:29">
      <c r="A232" s="557"/>
      <c r="B232" s="549"/>
      <c r="C232" s="656">
        <v>1</v>
      </c>
      <c r="D232" s="550" t="s">
        <v>1017</v>
      </c>
      <c r="E232" s="657" t="s">
        <v>694</v>
      </c>
      <c r="F232" s="645" t="s">
        <v>570</v>
      </c>
      <c r="G232" s="646" t="s">
        <v>710</v>
      </c>
      <c r="H232" s="644" t="str">
        <f t="shared" si="66"/>
        <v>niet van toepassing</v>
      </c>
      <c r="I232" s="716" t="s">
        <v>785</v>
      </c>
      <c r="J232" s="648"/>
      <c r="K232" s="648">
        <v>8.41</v>
      </c>
      <c r="L232" s="660" t="s">
        <v>27</v>
      </c>
      <c r="M232" s="555">
        <f t="shared" si="70"/>
        <v>0</v>
      </c>
      <c r="N232" s="453"/>
      <c r="O232" s="555">
        <f t="shared" si="71"/>
        <v>0</v>
      </c>
      <c r="P232" s="630">
        <v>1</v>
      </c>
      <c r="Q232" s="773">
        <f t="shared" si="72"/>
        <v>0</v>
      </c>
      <c r="R232" s="773">
        <f t="shared" si="73"/>
        <v>0</v>
      </c>
      <c r="S232" s="551">
        <f t="shared" si="74"/>
        <v>0</v>
      </c>
      <c r="T232" s="623">
        <f t="shared" si="67"/>
        <v>0</v>
      </c>
      <c r="U232" s="623">
        <f t="shared" si="68"/>
        <v>0</v>
      </c>
      <c r="V232" s="552">
        <f t="shared" si="69"/>
        <v>0</v>
      </c>
      <c r="W232" s="553">
        <f t="shared" si="75"/>
        <v>0</v>
      </c>
      <c r="X232" s="698"/>
      <c r="Y232" s="628">
        <f>IF(Q232=0,0,(Q232+R232)*'1.0-Contractblad'!$L$98)</f>
        <v>0</v>
      </c>
      <c r="Z232" s="629">
        <f>IF(J232=0,0,VLOOKUP(D232,'1.1a-Jaarprijzen'!$B$70:$P$124,14,FALSE)*(K232+J232))</f>
        <v>0</v>
      </c>
      <c r="AA232" s="60">
        <f t="shared" si="64"/>
        <v>0</v>
      </c>
      <c r="AC232" s="60" t="str">
        <f t="shared" si="65"/>
        <v>6200-200</v>
      </c>
    </row>
    <row r="233" spans="1:29">
      <c r="A233" s="557"/>
      <c r="B233" s="549"/>
      <c r="C233" s="656">
        <v>1</v>
      </c>
      <c r="D233" s="550" t="s">
        <v>1017</v>
      </c>
      <c r="E233" s="657" t="s">
        <v>694</v>
      </c>
      <c r="F233" s="645" t="s">
        <v>572</v>
      </c>
      <c r="G233" s="646" t="s">
        <v>957</v>
      </c>
      <c r="H233" s="644" t="str">
        <f t="shared" si="66"/>
        <v>praktijklokaal</v>
      </c>
      <c r="I233" s="716" t="s">
        <v>785</v>
      </c>
      <c r="J233" s="648">
        <v>57.26</v>
      </c>
      <c r="K233" s="648"/>
      <c r="L233" s="649">
        <v>6200</v>
      </c>
      <c r="M233" s="555">
        <f t="shared" si="70"/>
        <v>107</v>
      </c>
      <c r="N233" s="453"/>
      <c r="O233" s="555">
        <f t="shared" si="71"/>
        <v>200</v>
      </c>
      <c r="P233" s="630">
        <v>1</v>
      </c>
      <c r="Q233" s="773">
        <f t="shared" si="72"/>
        <v>0</v>
      </c>
      <c r="R233" s="773">
        <f t="shared" si="73"/>
        <v>0</v>
      </c>
      <c r="S233" s="551">
        <f t="shared" si="74"/>
        <v>0</v>
      </c>
      <c r="T233" s="623">
        <f t="shared" si="67"/>
        <v>0</v>
      </c>
      <c r="U233" s="623">
        <f t="shared" si="68"/>
        <v>0</v>
      </c>
      <c r="V233" s="552">
        <f t="shared" si="69"/>
        <v>0</v>
      </c>
      <c r="W233" s="553" t="str">
        <f t="shared" si="75"/>
        <v>L</v>
      </c>
      <c r="X233" s="554"/>
      <c r="Y233" s="628">
        <f>IF(Q233=0,0,(Q233+R233)*'1.0-Contractblad'!$L$98)</f>
        <v>0</v>
      </c>
      <c r="Z233" s="629">
        <f ca="1">IF(J233=0,0,VLOOKUP(D233,'1.1a-Jaarprijzen'!$B$70:$P$124,14,FALSE)*(K233+J233))</f>
        <v>0</v>
      </c>
      <c r="AA233" s="60">
        <f t="shared" si="64"/>
        <v>0</v>
      </c>
      <c r="AC233" s="60" t="str">
        <f t="shared" si="65"/>
        <v>3200-200</v>
      </c>
    </row>
    <row r="234" spans="1:29">
      <c r="A234" s="557"/>
      <c r="B234" s="549"/>
      <c r="C234" s="656">
        <v>1</v>
      </c>
      <c r="D234" s="550" t="s">
        <v>1017</v>
      </c>
      <c r="E234" s="657" t="s">
        <v>694</v>
      </c>
      <c r="F234" s="645" t="s">
        <v>573</v>
      </c>
      <c r="G234" s="646" t="s">
        <v>781</v>
      </c>
      <c r="H234" s="644" t="str">
        <f t="shared" si="66"/>
        <v>entree, gang, hal, repro, kopieer, was/droogruimte</v>
      </c>
      <c r="I234" s="716" t="s">
        <v>785</v>
      </c>
      <c r="J234" s="648">
        <v>55.15</v>
      </c>
      <c r="K234" s="648"/>
      <c r="L234" s="649">
        <v>3200</v>
      </c>
      <c r="M234" s="555">
        <f t="shared" si="70"/>
        <v>103</v>
      </c>
      <c r="N234" s="453"/>
      <c r="O234" s="555">
        <f t="shared" si="71"/>
        <v>200</v>
      </c>
      <c r="P234" s="630">
        <v>1</v>
      </c>
      <c r="Q234" s="773">
        <f t="shared" si="72"/>
        <v>0</v>
      </c>
      <c r="R234" s="773">
        <f t="shared" si="73"/>
        <v>0</v>
      </c>
      <c r="S234" s="551">
        <f t="shared" si="74"/>
        <v>0</v>
      </c>
      <c r="T234" s="623">
        <f t="shared" si="67"/>
        <v>0</v>
      </c>
      <c r="U234" s="623">
        <f t="shared" si="68"/>
        <v>0</v>
      </c>
      <c r="V234" s="552">
        <f t="shared" si="69"/>
        <v>0</v>
      </c>
      <c r="W234" s="553" t="str">
        <f t="shared" si="75"/>
        <v>V</v>
      </c>
      <c r="X234" s="554"/>
      <c r="Y234" s="628">
        <f>IF(Q234=0,0,(Q234+R234)*'1.0-Contractblad'!$L$98)</f>
        <v>0</v>
      </c>
      <c r="Z234" s="629">
        <f ca="1">IF(J234=0,0,VLOOKUP(D234,'1.1a-Jaarprijzen'!$B$70:$P$124,14,FALSE)*(K234+J234))</f>
        <v>0</v>
      </c>
      <c r="AA234" s="60">
        <f t="shared" si="64"/>
        <v>0</v>
      </c>
      <c r="AC234" s="60" t="str">
        <f t="shared" si="65"/>
        <v>nvt-0</v>
      </c>
    </row>
    <row r="235" spans="1:29">
      <c r="A235" s="557"/>
      <c r="B235" s="549"/>
      <c r="C235" s="656">
        <v>1</v>
      </c>
      <c r="D235" s="550" t="s">
        <v>1017</v>
      </c>
      <c r="E235" s="657" t="s">
        <v>694</v>
      </c>
      <c r="F235" s="645" t="s">
        <v>587</v>
      </c>
      <c r="G235" s="646" t="s">
        <v>605</v>
      </c>
      <c r="H235" s="644" t="str">
        <f t="shared" si="66"/>
        <v>niet van toepassing</v>
      </c>
      <c r="I235" s="716" t="s">
        <v>803</v>
      </c>
      <c r="J235" s="648"/>
      <c r="K235" s="648">
        <v>4.04</v>
      </c>
      <c r="L235" s="660" t="s">
        <v>27</v>
      </c>
      <c r="M235" s="555">
        <f t="shared" si="70"/>
        <v>0</v>
      </c>
      <c r="N235" s="453"/>
      <c r="O235" s="555">
        <f t="shared" si="71"/>
        <v>0</v>
      </c>
      <c r="P235" s="630">
        <v>1</v>
      </c>
      <c r="Q235" s="773">
        <f t="shared" si="72"/>
        <v>0</v>
      </c>
      <c r="R235" s="773">
        <f t="shared" si="73"/>
        <v>0</v>
      </c>
      <c r="S235" s="551">
        <f t="shared" si="74"/>
        <v>0</v>
      </c>
      <c r="T235" s="623">
        <f t="shared" si="67"/>
        <v>0</v>
      </c>
      <c r="U235" s="623">
        <f t="shared" si="68"/>
        <v>0</v>
      </c>
      <c r="V235" s="552">
        <f t="shared" si="69"/>
        <v>0</v>
      </c>
      <c r="W235" s="553">
        <f t="shared" si="75"/>
        <v>0</v>
      </c>
      <c r="X235" s="698"/>
      <c r="Y235" s="628">
        <f>IF(Q235=0,0,(Q235+R235)*'1.0-Contractblad'!$L$98)</f>
        <v>0</v>
      </c>
      <c r="Z235" s="629">
        <f>IF(J235=0,0,VLOOKUP(D235,'1.1a-Jaarprijzen'!$B$70:$P$124,14,FALSE)*(K235+J235))</f>
        <v>0</v>
      </c>
      <c r="AA235" s="60">
        <f t="shared" si="64"/>
        <v>0</v>
      </c>
      <c r="AC235" s="60" t="str">
        <f t="shared" si="65"/>
        <v>9200-200</v>
      </c>
    </row>
    <row r="236" spans="1:29">
      <c r="A236" s="557"/>
      <c r="B236" s="549"/>
      <c r="C236" s="656">
        <v>1</v>
      </c>
      <c r="D236" s="550" t="s">
        <v>1017</v>
      </c>
      <c r="E236" s="657" t="s">
        <v>695</v>
      </c>
      <c r="F236" s="645" t="s">
        <v>588</v>
      </c>
      <c r="G236" s="646" t="s">
        <v>333</v>
      </c>
      <c r="H236" s="644" t="str">
        <f t="shared" si="66"/>
        <v>trappenhuis</v>
      </c>
      <c r="I236" s="716" t="s">
        <v>785</v>
      </c>
      <c r="J236" s="648">
        <v>18.2</v>
      </c>
      <c r="K236" s="648"/>
      <c r="L236" s="649">
        <v>9200</v>
      </c>
      <c r="M236" s="555">
        <f t="shared" si="70"/>
        <v>109</v>
      </c>
      <c r="N236" s="453"/>
      <c r="O236" s="555">
        <f t="shared" si="71"/>
        <v>200</v>
      </c>
      <c r="P236" s="630">
        <v>1</v>
      </c>
      <c r="Q236" s="773">
        <f t="shared" si="72"/>
        <v>0</v>
      </c>
      <c r="R236" s="773">
        <f t="shared" si="73"/>
        <v>0</v>
      </c>
      <c r="S236" s="551">
        <f t="shared" si="74"/>
        <v>0</v>
      </c>
      <c r="T236" s="623">
        <f t="shared" si="67"/>
        <v>0</v>
      </c>
      <c r="U236" s="623">
        <f t="shared" si="68"/>
        <v>0</v>
      </c>
      <c r="V236" s="552">
        <f t="shared" si="69"/>
        <v>0</v>
      </c>
      <c r="W236" s="553" t="str">
        <f t="shared" si="75"/>
        <v>V</v>
      </c>
      <c r="X236" s="554"/>
      <c r="Y236" s="628">
        <f>IF(Q236=0,0,(Q236+R236)*'1.0-Contractblad'!$L$98)</f>
        <v>0</v>
      </c>
      <c r="Z236" s="629">
        <f ca="1">IF(J236=0,0,VLOOKUP(D236,'1.1a-Jaarprijzen'!$B$70:$P$124,14,FALSE)*(K236+J236))</f>
        <v>0</v>
      </c>
      <c r="AA236" s="60">
        <f t="shared" si="64"/>
        <v>0</v>
      </c>
      <c r="AC236" s="60" t="str">
        <f t="shared" si="65"/>
        <v>nvt-0</v>
      </c>
    </row>
    <row r="237" spans="1:29">
      <c r="A237" s="557"/>
      <c r="B237" s="549"/>
      <c r="C237" s="656">
        <v>1</v>
      </c>
      <c r="D237" s="550" t="s">
        <v>1017</v>
      </c>
      <c r="E237" s="657" t="s">
        <v>695</v>
      </c>
      <c r="F237" s="645" t="s">
        <v>589</v>
      </c>
      <c r="G237" s="646" t="s">
        <v>332</v>
      </c>
      <c r="H237" s="644" t="str">
        <f t="shared" si="66"/>
        <v>niet van toepassing</v>
      </c>
      <c r="I237" s="716" t="s">
        <v>785</v>
      </c>
      <c r="J237" s="648"/>
      <c r="K237" s="648">
        <v>2.77</v>
      </c>
      <c r="L237" s="765" t="s">
        <v>27</v>
      </c>
      <c r="M237" s="555">
        <f t="shared" si="70"/>
        <v>0</v>
      </c>
      <c r="N237" s="453"/>
      <c r="O237" s="555">
        <f t="shared" si="71"/>
        <v>0</v>
      </c>
      <c r="P237" s="630">
        <v>1</v>
      </c>
      <c r="Q237" s="773">
        <f t="shared" si="72"/>
        <v>0</v>
      </c>
      <c r="R237" s="773">
        <f t="shared" si="73"/>
        <v>0</v>
      </c>
      <c r="S237" s="551">
        <f t="shared" si="74"/>
        <v>0</v>
      </c>
      <c r="T237" s="623">
        <f t="shared" si="67"/>
        <v>0</v>
      </c>
      <c r="U237" s="623">
        <f t="shared" si="68"/>
        <v>0</v>
      </c>
      <c r="V237" s="552">
        <f t="shared" si="69"/>
        <v>0</v>
      </c>
      <c r="W237" s="553">
        <f t="shared" si="75"/>
        <v>0</v>
      </c>
      <c r="X237" s="554"/>
      <c r="Y237" s="628">
        <f>IF(Q237=0,0,(Q237+R237)*'1.0-Contractblad'!$L$98)</f>
        <v>0</v>
      </c>
      <c r="Z237" s="629">
        <f>IF(J237=0,0,VLOOKUP(D237,'1.1a-Jaarprijzen'!$B$70:$P$124,14,FALSE)*(K237+J237))</f>
        <v>0</v>
      </c>
      <c r="AA237" s="60">
        <f t="shared" si="64"/>
        <v>0</v>
      </c>
      <c r="AC237" s="60" t="str">
        <f t="shared" si="65"/>
        <v>1200-200</v>
      </c>
    </row>
    <row r="238" spans="1:29">
      <c r="A238" s="557"/>
      <c r="B238" s="549"/>
      <c r="C238" s="656">
        <v>1</v>
      </c>
      <c r="D238" s="550" t="s">
        <v>1017</v>
      </c>
      <c r="E238" s="657" t="s">
        <v>695</v>
      </c>
      <c r="F238" s="645" t="s">
        <v>590</v>
      </c>
      <c r="G238" s="646" t="s">
        <v>709</v>
      </c>
      <c r="H238" s="644" t="str">
        <f t="shared" si="66"/>
        <v>administratieve -, personeels- en vergaderruimte</v>
      </c>
      <c r="I238" s="716" t="s">
        <v>785</v>
      </c>
      <c r="J238" s="648">
        <v>12.53</v>
      </c>
      <c r="K238" s="648"/>
      <c r="L238" s="649">
        <v>1200</v>
      </c>
      <c r="M238" s="555">
        <f t="shared" si="70"/>
        <v>101</v>
      </c>
      <c r="N238" s="453"/>
      <c r="O238" s="555">
        <f t="shared" si="71"/>
        <v>200</v>
      </c>
      <c r="P238" s="630">
        <v>1</v>
      </c>
      <c r="Q238" s="773">
        <f t="shared" si="72"/>
        <v>0</v>
      </c>
      <c r="R238" s="773">
        <f t="shared" si="73"/>
        <v>0</v>
      </c>
      <c r="S238" s="551">
        <f t="shared" si="74"/>
        <v>0</v>
      </c>
      <c r="T238" s="623">
        <f t="shared" si="67"/>
        <v>0</v>
      </c>
      <c r="U238" s="623">
        <f t="shared" si="68"/>
        <v>0</v>
      </c>
      <c r="V238" s="552">
        <f t="shared" si="69"/>
        <v>0</v>
      </c>
      <c r="W238" s="553" t="str">
        <f t="shared" si="75"/>
        <v>B</v>
      </c>
      <c r="X238" s="554"/>
      <c r="Y238" s="628">
        <f>IF(Q238=0,0,(Q238+R238)*'1.0-Contractblad'!$L$98)</f>
        <v>0</v>
      </c>
      <c r="Z238" s="629">
        <f ca="1">IF(J238=0,0,VLOOKUP(D238,'1.1a-Jaarprijzen'!$B$70:$P$124,14,FALSE)*(K238+J238))</f>
        <v>0</v>
      </c>
      <c r="AA238" s="60">
        <f t="shared" si="64"/>
        <v>0</v>
      </c>
      <c r="AC238" s="60" t="str">
        <f t="shared" si="65"/>
        <v>1200-200</v>
      </c>
    </row>
    <row r="239" spans="1:29">
      <c r="A239" s="557"/>
      <c r="B239" s="549"/>
      <c r="C239" s="656">
        <v>1</v>
      </c>
      <c r="D239" s="550" t="s">
        <v>1017</v>
      </c>
      <c r="E239" s="657" t="s">
        <v>695</v>
      </c>
      <c r="F239" s="645" t="s">
        <v>591</v>
      </c>
      <c r="G239" s="646" t="s">
        <v>709</v>
      </c>
      <c r="H239" s="644" t="str">
        <f t="shared" si="66"/>
        <v>administratieve -, personeels- en vergaderruimte</v>
      </c>
      <c r="I239" s="716" t="s">
        <v>785</v>
      </c>
      <c r="J239" s="648">
        <v>11.37</v>
      </c>
      <c r="K239" s="648"/>
      <c r="L239" s="649">
        <v>1200</v>
      </c>
      <c r="M239" s="555">
        <f t="shared" si="70"/>
        <v>101</v>
      </c>
      <c r="N239" s="453"/>
      <c r="O239" s="555">
        <f t="shared" si="71"/>
        <v>200</v>
      </c>
      <c r="P239" s="630">
        <v>1</v>
      </c>
      <c r="Q239" s="773">
        <f t="shared" si="72"/>
        <v>0</v>
      </c>
      <c r="R239" s="773">
        <f t="shared" si="73"/>
        <v>0</v>
      </c>
      <c r="S239" s="551">
        <f t="shared" si="74"/>
        <v>0</v>
      </c>
      <c r="T239" s="623">
        <f t="shared" si="67"/>
        <v>0</v>
      </c>
      <c r="U239" s="623">
        <f t="shared" si="68"/>
        <v>0</v>
      </c>
      <c r="V239" s="552">
        <f t="shared" si="69"/>
        <v>0</v>
      </c>
      <c r="W239" s="553" t="str">
        <f t="shared" si="75"/>
        <v>B</v>
      </c>
      <c r="X239" s="554"/>
      <c r="Y239" s="628">
        <f>IF(Q239=0,0,(Q239+R239)*'1.0-Contractblad'!$L$98)</f>
        <v>0</v>
      </c>
      <c r="Z239" s="629">
        <f ca="1">IF(J239=0,0,VLOOKUP(D239,'1.1a-Jaarprijzen'!$B$70:$P$124,14,FALSE)*(K239+J239))</f>
        <v>0</v>
      </c>
      <c r="AA239" s="60">
        <f t="shared" si="64"/>
        <v>0</v>
      </c>
      <c r="AC239" s="60" t="str">
        <f t="shared" si="65"/>
        <v>1200-200</v>
      </c>
    </row>
    <row r="240" spans="1:29">
      <c r="A240" s="557"/>
      <c r="B240" s="549"/>
      <c r="C240" s="656">
        <v>1</v>
      </c>
      <c r="D240" s="550" t="s">
        <v>1017</v>
      </c>
      <c r="E240" s="657" t="s">
        <v>695</v>
      </c>
      <c r="F240" s="645" t="s">
        <v>592</v>
      </c>
      <c r="G240" s="646" t="s">
        <v>709</v>
      </c>
      <c r="H240" s="644" t="str">
        <f t="shared" si="66"/>
        <v>administratieve -, personeels- en vergaderruimte</v>
      </c>
      <c r="I240" s="716" t="s">
        <v>785</v>
      </c>
      <c r="J240" s="648">
        <v>13.28</v>
      </c>
      <c r="K240" s="648"/>
      <c r="L240" s="649">
        <v>1200</v>
      </c>
      <c r="M240" s="555">
        <f t="shared" si="70"/>
        <v>101</v>
      </c>
      <c r="N240" s="453"/>
      <c r="O240" s="555">
        <f t="shared" si="71"/>
        <v>200</v>
      </c>
      <c r="P240" s="630">
        <v>1</v>
      </c>
      <c r="Q240" s="773">
        <f t="shared" si="72"/>
        <v>0</v>
      </c>
      <c r="R240" s="773">
        <f t="shared" si="73"/>
        <v>0</v>
      </c>
      <c r="S240" s="551">
        <f t="shared" si="74"/>
        <v>0</v>
      </c>
      <c r="T240" s="623">
        <f t="shared" si="67"/>
        <v>0</v>
      </c>
      <c r="U240" s="623">
        <f t="shared" si="68"/>
        <v>0</v>
      </c>
      <c r="V240" s="552">
        <f t="shared" si="69"/>
        <v>0</v>
      </c>
      <c r="W240" s="553" t="str">
        <f t="shared" si="75"/>
        <v>B</v>
      </c>
      <c r="X240" s="554"/>
      <c r="Y240" s="628">
        <f>IF(Q240=0,0,(Q240+R240)*'1.0-Contractblad'!$L$98)</f>
        <v>0</v>
      </c>
      <c r="Z240" s="629">
        <f ca="1">IF(J240=0,0,VLOOKUP(D240,'1.1a-Jaarprijzen'!$B$70:$P$124,14,FALSE)*(K240+J240))</f>
        <v>0</v>
      </c>
      <c r="AA240" s="60">
        <f t="shared" si="64"/>
        <v>0</v>
      </c>
      <c r="AC240" s="60" t="str">
        <f t="shared" si="65"/>
        <v>7200-200</v>
      </c>
    </row>
    <row r="241" spans="1:29">
      <c r="A241" s="557"/>
      <c r="B241" s="549"/>
      <c r="C241" s="656">
        <v>1</v>
      </c>
      <c r="D241" s="550" t="s">
        <v>1017</v>
      </c>
      <c r="E241" s="657" t="s">
        <v>695</v>
      </c>
      <c r="F241" s="645" t="s">
        <v>593</v>
      </c>
      <c r="G241" s="646" t="s">
        <v>952</v>
      </c>
      <c r="H241" s="644" t="str">
        <f t="shared" si="66"/>
        <v>leslokaal</v>
      </c>
      <c r="I241" s="716" t="s">
        <v>785</v>
      </c>
      <c r="J241" s="648">
        <v>46.61</v>
      </c>
      <c r="K241" s="648"/>
      <c r="L241" s="650">
        <v>7200</v>
      </c>
      <c r="M241" s="555">
        <f t="shared" si="70"/>
        <v>107</v>
      </c>
      <c r="N241" s="453"/>
      <c r="O241" s="555">
        <f t="shared" si="71"/>
        <v>200</v>
      </c>
      <c r="P241" s="630">
        <v>1</v>
      </c>
      <c r="Q241" s="773">
        <f t="shared" si="72"/>
        <v>0</v>
      </c>
      <c r="R241" s="773">
        <f t="shared" si="73"/>
        <v>0</v>
      </c>
      <c r="S241" s="551">
        <f t="shared" si="74"/>
        <v>0</v>
      </c>
      <c r="T241" s="623">
        <f t="shared" si="67"/>
        <v>0</v>
      </c>
      <c r="U241" s="623">
        <f t="shared" si="68"/>
        <v>0</v>
      </c>
      <c r="V241" s="552">
        <f t="shared" si="69"/>
        <v>0</v>
      </c>
      <c r="W241" s="553" t="str">
        <f t="shared" si="75"/>
        <v>L</v>
      </c>
      <c r="X241" s="554"/>
      <c r="Y241" s="628">
        <f>IF(Q241=0,0,(Q241+R241)*'1.0-Contractblad'!$L$98)</f>
        <v>0</v>
      </c>
      <c r="Z241" s="629">
        <f ca="1">IF(J241=0,0,VLOOKUP(D241,'1.1a-Jaarprijzen'!$B$70:$P$124,14,FALSE)*(K241+J241))</f>
        <v>0</v>
      </c>
      <c r="AA241" s="60">
        <f t="shared" si="64"/>
        <v>0</v>
      </c>
      <c r="AC241" s="60" t="str">
        <f t="shared" si="65"/>
        <v>6200-200</v>
      </c>
    </row>
    <row r="242" spans="1:29">
      <c r="A242" s="557"/>
      <c r="B242" s="549"/>
      <c r="C242" s="656">
        <v>1</v>
      </c>
      <c r="D242" s="550" t="s">
        <v>1017</v>
      </c>
      <c r="E242" s="657" t="s">
        <v>695</v>
      </c>
      <c r="F242" s="645" t="s">
        <v>594</v>
      </c>
      <c r="G242" s="646" t="s">
        <v>958</v>
      </c>
      <c r="H242" s="644" t="str">
        <f t="shared" si="66"/>
        <v>praktijklokaal</v>
      </c>
      <c r="I242" s="716" t="s">
        <v>785</v>
      </c>
      <c r="J242" s="648">
        <v>74.36</v>
      </c>
      <c r="K242" s="648"/>
      <c r="L242" s="649">
        <v>6200</v>
      </c>
      <c r="M242" s="555">
        <f t="shared" si="70"/>
        <v>107</v>
      </c>
      <c r="N242" s="453"/>
      <c r="O242" s="555">
        <f t="shared" si="71"/>
        <v>200</v>
      </c>
      <c r="P242" s="630">
        <v>1</v>
      </c>
      <c r="Q242" s="773">
        <f t="shared" si="72"/>
        <v>0</v>
      </c>
      <c r="R242" s="773">
        <f t="shared" si="73"/>
        <v>0</v>
      </c>
      <c r="S242" s="551">
        <f t="shared" si="74"/>
        <v>0</v>
      </c>
      <c r="T242" s="623">
        <f t="shared" si="67"/>
        <v>0</v>
      </c>
      <c r="U242" s="623">
        <f t="shared" si="68"/>
        <v>0</v>
      </c>
      <c r="V242" s="552">
        <f t="shared" si="69"/>
        <v>0</v>
      </c>
      <c r="W242" s="553" t="str">
        <f t="shared" si="75"/>
        <v>L</v>
      </c>
      <c r="X242" s="554"/>
      <c r="Y242" s="628">
        <f>IF(Q242=0,0,(Q242+R242)*'1.0-Contractblad'!$L$98)</f>
        <v>0</v>
      </c>
      <c r="Z242" s="629">
        <f ca="1">IF(J242=0,0,VLOOKUP(D242,'1.1a-Jaarprijzen'!$B$70:$P$124,14,FALSE)*(K242+J242))</f>
        <v>0</v>
      </c>
      <c r="AA242" s="60">
        <f t="shared" si="64"/>
        <v>0</v>
      </c>
      <c r="AC242" s="60" t="str">
        <f t="shared" si="65"/>
        <v>7200-200</v>
      </c>
    </row>
    <row r="243" spans="1:29">
      <c r="A243" s="557"/>
      <c r="B243" s="549"/>
      <c r="C243" s="656">
        <v>1</v>
      </c>
      <c r="D243" s="550" t="s">
        <v>1017</v>
      </c>
      <c r="E243" s="657" t="s">
        <v>695</v>
      </c>
      <c r="F243" s="645" t="s">
        <v>595</v>
      </c>
      <c r="G243" s="646" t="s">
        <v>953</v>
      </c>
      <c r="H243" s="644" t="str">
        <f t="shared" si="66"/>
        <v>leslokaal</v>
      </c>
      <c r="I243" s="716" t="s">
        <v>785</v>
      </c>
      <c r="J243" s="648">
        <v>51.17</v>
      </c>
      <c r="K243" s="648"/>
      <c r="L243" s="650">
        <v>7200</v>
      </c>
      <c r="M243" s="555">
        <f t="shared" si="70"/>
        <v>107</v>
      </c>
      <c r="N243" s="453"/>
      <c r="O243" s="555">
        <f t="shared" si="71"/>
        <v>200</v>
      </c>
      <c r="P243" s="630">
        <v>1</v>
      </c>
      <c r="Q243" s="773">
        <f t="shared" si="72"/>
        <v>0</v>
      </c>
      <c r="R243" s="773">
        <f t="shared" si="73"/>
        <v>0</v>
      </c>
      <c r="S243" s="551">
        <f t="shared" si="74"/>
        <v>0</v>
      </c>
      <c r="T243" s="623">
        <f t="shared" si="67"/>
        <v>0</v>
      </c>
      <c r="U243" s="623">
        <f t="shared" si="68"/>
        <v>0</v>
      </c>
      <c r="V243" s="552">
        <f t="shared" si="69"/>
        <v>0</v>
      </c>
      <c r="W243" s="553" t="str">
        <f t="shared" si="75"/>
        <v>L</v>
      </c>
      <c r="X243" s="554"/>
      <c r="Y243" s="628">
        <f>IF(Q243=0,0,(Q243+R243)*'1.0-Contractblad'!$L$98)</f>
        <v>0</v>
      </c>
      <c r="Z243" s="629">
        <f ca="1">IF(J243=0,0,VLOOKUP(D243,'1.1a-Jaarprijzen'!$B$70:$P$124,14,FALSE)*(K243+J243))</f>
        <v>0</v>
      </c>
      <c r="AA243" s="60">
        <f t="shared" si="64"/>
        <v>0</v>
      </c>
      <c r="AC243" s="60" t="str">
        <f t="shared" si="65"/>
        <v>7200-200</v>
      </c>
    </row>
    <row r="244" spans="1:29">
      <c r="A244" s="557"/>
      <c r="B244" s="549"/>
      <c r="C244" s="656">
        <v>1</v>
      </c>
      <c r="D244" s="550" t="s">
        <v>1017</v>
      </c>
      <c r="E244" s="657" t="s">
        <v>695</v>
      </c>
      <c r="F244" s="645" t="s">
        <v>596</v>
      </c>
      <c r="G244" s="646" t="s">
        <v>953</v>
      </c>
      <c r="H244" s="644" t="str">
        <f t="shared" si="66"/>
        <v>leslokaal</v>
      </c>
      <c r="I244" s="716" t="s">
        <v>785</v>
      </c>
      <c r="J244" s="648">
        <v>54.81</v>
      </c>
      <c r="K244" s="648"/>
      <c r="L244" s="650">
        <v>7200</v>
      </c>
      <c r="M244" s="555">
        <f t="shared" si="70"/>
        <v>107</v>
      </c>
      <c r="N244" s="453"/>
      <c r="O244" s="555">
        <f t="shared" si="71"/>
        <v>200</v>
      </c>
      <c r="P244" s="630">
        <v>1</v>
      </c>
      <c r="Q244" s="773">
        <f t="shared" si="72"/>
        <v>0</v>
      </c>
      <c r="R244" s="773">
        <f t="shared" si="73"/>
        <v>0</v>
      </c>
      <c r="S244" s="551">
        <f t="shared" si="74"/>
        <v>0</v>
      </c>
      <c r="T244" s="623">
        <f t="shared" si="67"/>
        <v>0</v>
      </c>
      <c r="U244" s="623">
        <f t="shared" si="68"/>
        <v>0</v>
      </c>
      <c r="V244" s="552">
        <f t="shared" si="69"/>
        <v>0</v>
      </c>
      <c r="W244" s="553" t="str">
        <f t="shared" si="75"/>
        <v>L</v>
      </c>
      <c r="X244" s="554"/>
      <c r="Y244" s="628">
        <f>IF(Q244=0,0,(Q244+R244)*'1.0-Contractblad'!$L$98)</f>
        <v>0</v>
      </c>
      <c r="Z244" s="629">
        <f ca="1">IF(J244=0,0,VLOOKUP(D244,'1.1a-Jaarprijzen'!$B$70:$P$124,14,FALSE)*(K244+J244))</f>
        <v>0</v>
      </c>
      <c r="AA244" s="60">
        <f t="shared" si="64"/>
        <v>0</v>
      </c>
      <c r="AC244" s="60" t="str">
        <f t="shared" si="65"/>
        <v>7200-200</v>
      </c>
    </row>
    <row r="245" spans="1:29">
      <c r="A245" s="557"/>
      <c r="B245" s="549"/>
      <c r="C245" s="656">
        <v>1</v>
      </c>
      <c r="D245" s="550" t="s">
        <v>1017</v>
      </c>
      <c r="E245" s="657" t="s">
        <v>695</v>
      </c>
      <c r="F245" s="645" t="s">
        <v>575</v>
      </c>
      <c r="G245" s="646" t="s">
        <v>952</v>
      </c>
      <c r="H245" s="644" t="str">
        <f t="shared" si="66"/>
        <v>leslokaal</v>
      </c>
      <c r="I245" s="716" t="s">
        <v>785</v>
      </c>
      <c r="J245" s="648">
        <v>51.09</v>
      </c>
      <c r="K245" s="648"/>
      <c r="L245" s="650">
        <v>7200</v>
      </c>
      <c r="M245" s="555">
        <f t="shared" si="70"/>
        <v>107</v>
      </c>
      <c r="N245" s="453"/>
      <c r="O245" s="555">
        <f t="shared" si="71"/>
        <v>200</v>
      </c>
      <c r="P245" s="630">
        <v>1</v>
      </c>
      <c r="Q245" s="773">
        <f t="shared" si="72"/>
        <v>0</v>
      </c>
      <c r="R245" s="773">
        <f t="shared" si="73"/>
        <v>0</v>
      </c>
      <c r="S245" s="551">
        <f t="shared" si="74"/>
        <v>0</v>
      </c>
      <c r="T245" s="623">
        <f t="shared" si="67"/>
        <v>0</v>
      </c>
      <c r="U245" s="623">
        <f t="shared" si="68"/>
        <v>0</v>
      </c>
      <c r="V245" s="552">
        <f t="shared" si="69"/>
        <v>0</v>
      </c>
      <c r="W245" s="553" t="str">
        <f t="shared" si="75"/>
        <v>L</v>
      </c>
      <c r="X245" s="554"/>
      <c r="Y245" s="628">
        <f>IF(Q245=0,0,(Q245+R245)*'1.0-Contractblad'!$L$98)</f>
        <v>0</v>
      </c>
      <c r="Z245" s="629">
        <f ca="1">IF(J245=0,0,VLOOKUP(D245,'1.1a-Jaarprijzen'!$B$70:$P$124,14,FALSE)*(K245+J245))</f>
        <v>0</v>
      </c>
      <c r="AA245" s="60">
        <f t="shared" si="64"/>
        <v>0</v>
      </c>
      <c r="AC245" s="60" t="str">
        <f t="shared" si="65"/>
        <v>4200-200</v>
      </c>
    </row>
    <row r="246" spans="1:29">
      <c r="A246" s="557"/>
      <c r="B246" s="549"/>
      <c r="C246" s="656">
        <v>1</v>
      </c>
      <c r="D246" s="550" t="s">
        <v>1017</v>
      </c>
      <c r="E246" s="657" t="s">
        <v>695</v>
      </c>
      <c r="F246" s="645" t="s">
        <v>597</v>
      </c>
      <c r="G246" s="646" t="s">
        <v>942</v>
      </c>
      <c r="H246" s="644" t="str">
        <f t="shared" si="66"/>
        <v>sanitaire ruimte (toilet-/doucheruimte)</v>
      </c>
      <c r="I246" s="716" t="s">
        <v>1009</v>
      </c>
      <c r="J246" s="648">
        <v>8.7200000000000006</v>
      </c>
      <c r="K246" s="648"/>
      <c r="L246" s="649">
        <v>4200</v>
      </c>
      <c r="M246" s="555">
        <f t="shared" si="70"/>
        <v>104</v>
      </c>
      <c r="N246" s="453"/>
      <c r="O246" s="555">
        <f t="shared" si="71"/>
        <v>200</v>
      </c>
      <c r="P246" s="630">
        <v>1.05</v>
      </c>
      <c r="Q246" s="773">
        <f t="shared" si="72"/>
        <v>0</v>
      </c>
      <c r="R246" s="773">
        <f t="shared" si="73"/>
        <v>0</v>
      </c>
      <c r="S246" s="551">
        <f t="shared" si="74"/>
        <v>0</v>
      </c>
      <c r="T246" s="623">
        <f t="shared" si="67"/>
        <v>0</v>
      </c>
      <c r="U246" s="623">
        <f t="shared" si="68"/>
        <v>0</v>
      </c>
      <c r="V246" s="552">
        <f t="shared" si="69"/>
        <v>0</v>
      </c>
      <c r="W246" s="553" t="str">
        <f t="shared" si="75"/>
        <v>S</v>
      </c>
      <c r="X246" s="554"/>
      <c r="Y246" s="628">
        <f>IF(Q246=0,0,(Q246+R246)*'1.0-Contractblad'!$L$98)</f>
        <v>0</v>
      </c>
      <c r="Z246" s="629">
        <f ca="1">IF(J246=0,0,VLOOKUP(D246,'1.1a-Jaarprijzen'!$B$70:$P$124,14,FALSE)*(K246+J246))</f>
        <v>0</v>
      </c>
      <c r="AA246" s="60">
        <f t="shared" si="64"/>
        <v>0</v>
      </c>
      <c r="AC246" s="60" t="str">
        <f t="shared" si="65"/>
        <v>4200-200</v>
      </c>
    </row>
    <row r="247" spans="1:29">
      <c r="A247" s="557"/>
      <c r="B247" s="549"/>
      <c r="C247" s="656">
        <v>1</v>
      </c>
      <c r="D247" s="550" t="s">
        <v>1017</v>
      </c>
      <c r="E247" s="657" t="s">
        <v>695</v>
      </c>
      <c r="F247" s="645" t="s">
        <v>598</v>
      </c>
      <c r="G247" s="646" t="s">
        <v>954</v>
      </c>
      <c r="H247" s="644" t="str">
        <f t="shared" si="66"/>
        <v>sanitaire ruimte (toilet-/doucheruimte)</v>
      </c>
      <c r="I247" s="716" t="s">
        <v>1009</v>
      </c>
      <c r="J247" s="648">
        <v>1.75</v>
      </c>
      <c r="K247" s="648"/>
      <c r="L247" s="649">
        <v>4200</v>
      </c>
      <c r="M247" s="555">
        <f t="shared" si="70"/>
        <v>104</v>
      </c>
      <c r="N247" s="453"/>
      <c r="O247" s="555">
        <f t="shared" si="71"/>
        <v>200</v>
      </c>
      <c r="P247" s="630">
        <v>1.05</v>
      </c>
      <c r="Q247" s="773">
        <f t="shared" si="72"/>
        <v>0</v>
      </c>
      <c r="R247" s="773">
        <f t="shared" si="73"/>
        <v>0</v>
      </c>
      <c r="S247" s="551">
        <f t="shared" si="74"/>
        <v>0</v>
      </c>
      <c r="T247" s="623">
        <f t="shared" si="67"/>
        <v>0</v>
      </c>
      <c r="U247" s="623">
        <f t="shared" si="68"/>
        <v>0</v>
      </c>
      <c r="V247" s="552">
        <f t="shared" si="69"/>
        <v>0</v>
      </c>
      <c r="W247" s="553" t="str">
        <f t="shared" si="75"/>
        <v>S</v>
      </c>
      <c r="X247" s="554"/>
      <c r="Y247" s="628">
        <f>IF(Q247=0,0,(Q247+R247)*'1.0-Contractblad'!$L$98)</f>
        <v>0</v>
      </c>
      <c r="Z247" s="629">
        <f ca="1">IF(J247=0,0,VLOOKUP(D247,'1.1a-Jaarprijzen'!$B$70:$P$124,14,FALSE)*(K247+J247))</f>
        <v>0</v>
      </c>
      <c r="AA247" s="60">
        <f t="shared" si="64"/>
        <v>0</v>
      </c>
      <c r="AC247" s="60" t="str">
        <f t="shared" si="65"/>
        <v>4200-200</v>
      </c>
    </row>
    <row r="248" spans="1:29">
      <c r="A248" s="557"/>
      <c r="B248" s="549"/>
      <c r="C248" s="656">
        <v>1</v>
      </c>
      <c r="D248" s="550" t="s">
        <v>1017</v>
      </c>
      <c r="E248" s="657" t="s">
        <v>695</v>
      </c>
      <c r="F248" s="645" t="s">
        <v>576</v>
      </c>
      <c r="G248" s="646" t="s">
        <v>941</v>
      </c>
      <c r="H248" s="644" t="str">
        <f t="shared" si="66"/>
        <v>sanitaire ruimte (toilet-/doucheruimte)</v>
      </c>
      <c r="I248" s="716" t="s">
        <v>1009</v>
      </c>
      <c r="J248" s="648">
        <v>9.73</v>
      </c>
      <c r="K248" s="648"/>
      <c r="L248" s="649">
        <v>4200</v>
      </c>
      <c r="M248" s="555">
        <f t="shared" si="70"/>
        <v>104</v>
      </c>
      <c r="N248" s="453"/>
      <c r="O248" s="555">
        <f t="shared" si="71"/>
        <v>200</v>
      </c>
      <c r="P248" s="630">
        <v>1.05</v>
      </c>
      <c r="Q248" s="773">
        <f t="shared" si="72"/>
        <v>0</v>
      </c>
      <c r="R248" s="773">
        <f t="shared" si="73"/>
        <v>0</v>
      </c>
      <c r="S248" s="551">
        <f t="shared" si="74"/>
        <v>0</v>
      </c>
      <c r="T248" s="623">
        <f t="shared" si="67"/>
        <v>0</v>
      </c>
      <c r="U248" s="623">
        <f t="shared" si="68"/>
        <v>0</v>
      </c>
      <c r="V248" s="552">
        <f t="shared" si="69"/>
        <v>0</v>
      </c>
      <c r="W248" s="553" t="str">
        <f t="shared" si="75"/>
        <v>S</v>
      </c>
      <c r="X248" s="554"/>
      <c r="Y248" s="628">
        <f>IF(Q248=0,0,(Q248+R248)*'1.0-Contractblad'!$L$98)</f>
        <v>0</v>
      </c>
      <c r="Z248" s="629">
        <f ca="1">IF(J248=0,0,VLOOKUP(D248,'1.1a-Jaarprijzen'!$B$70:$P$124,14,FALSE)*(K248+J248))</f>
        <v>0</v>
      </c>
      <c r="AA248" s="60">
        <f t="shared" ref="AA248:AA254" si="76">IF(L249=8255,Q249+R249,0)</f>
        <v>0</v>
      </c>
      <c r="AC248" s="60" t="str">
        <f t="shared" ref="AC248:AC254" si="77">CONCATENATE(L249,"-",O249)</f>
        <v>4200-200</v>
      </c>
    </row>
    <row r="249" spans="1:29">
      <c r="A249" s="557"/>
      <c r="B249" s="549"/>
      <c r="C249" s="656">
        <v>1</v>
      </c>
      <c r="D249" s="550" t="s">
        <v>1017</v>
      </c>
      <c r="E249" s="657" t="s">
        <v>695</v>
      </c>
      <c r="F249" s="645" t="s">
        <v>577</v>
      </c>
      <c r="G249" s="646" t="s">
        <v>955</v>
      </c>
      <c r="H249" s="644" t="str">
        <f t="shared" si="66"/>
        <v>sanitaire ruimte (toilet-/doucheruimte)</v>
      </c>
      <c r="I249" s="716" t="s">
        <v>1009</v>
      </c>
      <c r="J249" s="648">
        <v>1.75</v>
      </c>
      <c r="K249" s="648"/>
      <c r="L249" s="649">
        <v>4200</v>
      </c>
      <c r="M249" s="555">
        <f t="shared" si="70"/>
        <v>104</v>
      </c>
      <c r="N249" s="453"/>
      <c r="O249" s="555">
        <f t="shared" si="71"/>
        <v>200</v>
      </c>
      <c r="P249" s="630">
        <v>1.05</v>
      </c>
      <c r="Q249" s="773">
        <f t="shared" si="72"/>
        <v>0</v>
      </c>
      <c r="R249" s="773">
        <f t="shared" si="73"/>
        <v>0</v>
      </c>
      <c r="S249" s="551">
        <f t="shared" si="74"/>
        <v>0</v>
      </c>
      <c r="T249" s="623">
        <f t="shared" si="67"/>
        <v>0</v>
      </c>
      <c r="U249" s="623">
        <f t="shared" si="68"/>
        <v>0</v>
      </c>
      <c r="V249" s="552">
        <f t="shared" si="69"/>
        <v>0</v>
      </c>
      <c r="W249" s="553" t="str">
        <f t="shared" si="75"/>
        <v>S</v>
      </c>
      <c r="X249" s="554"/>
      <c r="Y249" s="628">
        <f>IF(Q249=0,0,(Q249+R249)*'1.0-Contractblad'!$L$98)</f>
        <v>0</v>
      </c>
      <c r="Z249" s="629">
        <f ca="1">IF(J249=0,0,VLOOKUP(D249,'1.1a-Jaarprijzen'!$B$70:$P$124,14,FALSE)*(K249+J249))</f>
        <v>0</v>
      </c>
      <c r="AA249" s="60">
        <f t="shared" si="76"/>
        <v>0</v>
      </c>
      <c r="AC249" s="60" t="str">
        <f t="shared" si="77"/>
        <v>nvt-0</v>
      </c>
    </row>
    <row r="250" spans="1:29">
      <c r="A250" s="557"/>
      <c r="B250" s="549"/>
      <c r="C250" s="656">
        <v>1</v>
      </c>
      <c r="D250" s="550" t="s">
        <v>1017</v>
      </c>
      <c r="E250" s="657" t="s">
        <v>695</v>
      </c>
      <c r="F250" s="645" t="s">
        <v>578</v>
      </c>
      <c r="G250" s="646" t="s">
        <v>1012</v>
      </c>
      <c r="H250" s="644" t="str">
        <f t="shared" si="66"/>
        <v>niet van toepassing</v>
      </c>
      <c r="I250" s="716" t="s">
        <v>785</v>
      </c>
      <c r="J250" s="648"/>
      <c r="K250" s="648">
        <v>6.99</v>
      </c>
      <c r="L250" s="660" t="s">
        <v>27</v>
      </c>
      <c r="M250" s="555">
        <f t="shared" si="70"/>
        <v>0</v>
      </c>
      <c r="N250" s="453"/>
      <c r="O250" s="555">
        <f t="shared" si="71"/>
        <v>0</v>
      </c>
      <c r="P250" s="630">
        <v>1</v>
      </c>
      <c r="Q250" s="773">
        <f t="shared" si="72"/>
        <v>0</v>
      </c>
      <c r="R250" s="773">
        <f t="shared" si="73"/>
        <v>0</v>
      </c>
      <c r="S250" s="551">
        <f t="shared" si="74"/>
        <v>0</v>
      </c>
      <c r="T250" s="623">
        <f t="shared" si="67"/>
        <v>0</v>
      </c>
      <c r="U250" s="623">
        <f t="shared" si="68"/>
        <v>0</v>
      </c>
      <c r="V250" s="552">
        <f t="shared" si="69"/>
        <v>0</v>
      </c>
      <c r="W250" s="553">
        <f t="shared" si="75"/>
        <v>0</v>
      </c>
      <c r="X250" s="698"/>
      <c r="Y250" s="628">
        <f>IF(Q250=0,0,(Q250+R250)*'1.0-Contractblad'!$L$98)</f>
        <v>0</v>
      </c>
      <c r="Z250" s="629">
        <f>IF(J250=0,0,VLOOKUP(D250,'1.1a-Jaarprijzen'!$B$70:$P$124,14,FALSE)*(K250+J250))</f>
        <v>0</v>
      </c>
      <c r="AA250" s="60">
        <f t="shared" si="76"/>
        <v>0</v>
      </c>
      <c r="AC250" s="60" t="str">
        <f t="shared" si="77"/>
        <v>1200-200</v>
      </c>
    </row>
    <row r="251" spans="1:29">
      <c r="A251" s="557"/>
      <c r="B251" s="549"/>
      <c r="C251" s="656">
        <v>1</v>
      </c>
      <c r="D251" s="550" t="s">
        <v>1017</v>
      </c>
      <c r="E251" s="657" t="s">
        <v>695</v>
      </c>
      <c r="F251" s="645" t="s">
        <v>599</v>
      </c>
      <c r="G251" s="646" t="s">
        <v>709</v>
      </c>
      <c r="H251" s="644" t="str">
        <f t="shared" si="66"/>
        <v>administratieve -, personeels- en vergaderruimte</v>
      </c>
      <c r="I251" s="716" t="s">
        <v>785</v>
      </c>
      <c r="J251" s="648">
        <v>11.27</v>
      </c>
      <c r="K251" s="648"/>
      <c r="L251" s="649">
        <v>1200</v>
      </c>
      <c r="M251" s="555">
        <f t="shared" si="70"/>
        <v>101</v>
      </c>
      <c r="N251" s="453"/>
      <c r="O251" s="555">
        <f t="shared" si="71"/>
        <v>200</v>
      </c>
      <c r="P251" s="630">
        <v>1</v>
      </c>
      <c r="Q251" s="773">
        <f t="shared" si="72"/>
        <v>0</v>
      </c>
      <c r="R251" s="773">
        <f t="shared" si="73"/>
        <v>0</v>
      </c>
      <c r="S251" s="551">
        <f t="shared" si="74"/>
        <v>0</v>
      </c>
      <c r="T251" s="623">
        <f t="shared" si="67"/>
        <v>0</v>
      </c>
      <c r="U251" s="623">
        <f t="shared" si="68"/>
        <v>0</v>
      </c>
      <c r="V251" s="552">
        <f t="shared" si="69"/>
        <v>0</v>
      </c>
      <c r="W251" s="553" t="str">
        <f t="shared" si="75"/>
        <v>B</v>
      </c>
      <c r="X251" s="554"/>
      <c r="Y251" s="628">
        <f>IF(Q251=0,0,(Q251+R251)*'1.0-Contractblad'!$L$98)</f>
        <v>0</v>
      </c>
      <c r="Z251" s="629">
        <f ca="1">IF(J251=0,0,VLOOKUP(D251,'1.1a-Jaarprijzen'!$B$70:$P$124,14,FALSE)*(K251+J251))</f>
        <v>0</v>
      </c>
      <c r="AA251" s="60">
        <f t="shared" si="76"/>
        <v>0</v>
      </c>
      <c r="AC251" s="60" t="str">
        <f t="shared" si="77"/>
        <v>7200-200</v>
      </c>
    </row>
    <row r="252" spans="1:29">
      <c r="A252" s="557"/>
      <c r="B252" s="549"/>
      <c r="C252" s="656">
        <v>1</v>
      </c>
      <c r="D252" s="550" t="s">
        <v>1017</v>
      </c>
      <c r="E252" s="657" t="s">
        <v>695</v>
      </c>
      <c r="F252" s="645" t="s">
        <v>600</v>
      </c>
      <c r="G252" s="646" t="s">
        <v>959</v>
      </c>
      <c r="H252" s="644" t="str">
        <f t="shared" si="66"/>
        <v>leslokaal</v>
      </c>
      <c r="I252" s="716" t="s">
        <v>785</v>
      </c>
      <c r="J252" s="648">
        <v>56.25</v>
      </c>
      <c r="K252" s="648"/>
      <c r="L252" s="650">
        <v>7200</v>
      </c>
      <c r="M252" s="555">
        <f t="shared" si="70"/>
        <v>107</v>
      </c>
      <c r="N252" s="453"/>
      <c r="O252" s="555">
        <f t="shared" si="71"/>
        <v>200</v>
      </c>
      <c r="P252" s="630">
        <v>1</v>
      </c>
      <c r="Q252" s="773">
        <f t="shared" si="72"/>
        <v>0</v>
      </c>
      <c r="R252" s="773">
        <f t="shared" si="73"/>
        <v>0</v>
      </c>
      <c r="S252" s="551">
        <f t="shared" si="74"/>
        <v>0</v>
      </c>
      <c r="T252" s="623">
        <f t="shared" si="67"/>
        <v>0</v>
      </c>
      <c r="U252" s="623">
        <f t="shared" si="68"/>
        <v>0</v>
      </c>
      <c r="V252" s="552">
        <f t="shared" si="69"/>
        <v>0</v>
      </c>
      <c r="W252" s="553" t="str">
        <f t="shared" si="75"/>
        <v>L</v>
      </c>
      <c r="X252" s="554"/>
      <c r="Y252" s="628">
        <f>IF(Q252=0,0,(Q252+R252)*'1.0-Contractblad'!$L$98)</f>
        <v>0</v>
      </c>
      <c r="Z252" s="629">
        <f ca="1">IF(J252=0,0,VLOOKUP(D252,'1.1a-Jaarprijzen'!$B$70:$P$124,14,FALSE)*(K252+J252))</f>
        <v>0</v>
      </c>
      <c r="AA252" s="60">
        <f t="shared" si="76"/>
        <v>0</v>
      </c>
      <c r="AC252" s="60" t="str">
        <f t="shared" si="77"/>
        <v>3200-200</v>
      </c>
    </row>
    <row r="253" spans="1:29">
      <c r="A253" s="557"/>
      <c r="B253" s="549"/>
      <c r="C253" s="656">
        <v>1</v>
      </c>
      <c r="D253" s="550" t="s">
        <v>1017</v>
      </c>
      <c r="E253" s="657" t="s">
        <v>695</v>
      </c>
      <c r="F253" s="645" t="s">
        <v>601</v>
      </c>
      <c r="G253" s="646" t="s">
        <v>781</v>
      </c>
      <c r="H253" s="644" t="str">
        <f t="shared" si="66"/>
        <v>entree, gang, hal, repro, kopieer, was/droogruimte</v>
      </c>
      <c r="I253" s="716" t="s">
        <v>785</v>
      </c>
      <c r="J253" s="648">
        <v>55.15</v>
      </c>
      <c r="K253" s="648"/>
      <c r="L253" s="649">
        <v>3200</v>
      </c>
      <c r="M253" s="555">
        <f t="shared" si="70"/>
        <v>103</v>
      </c>
      <c r="N253" s="453"/>
      <c r="O253" s="555">
        <f t="shared" si="71"/>
        <v>200</v>
      </c>
      <c r="P253" s="630">
        <v>1</v>
      </c>
      <c r="Q253" s="773">
        <f t="shared" si="72"/>
        <v>0</v>
      </c>
      <c r="R253" s="773">
        <f t="shared" si="73"/>
        <v>0</v>
      </c>
      <c r="S253" s="551">
        <f t="shared" si="74"/>
        <v>0</v>
      </c>
      <c r="T253" s="623">
        <f t="shared" si="67"/>
        <v>0</v>
      </c>
      <c r="U253" s="623">
        <f t="shared" si="68"/>
        <v>0</v>
      </c>
      <c r="V253" s="552">
        <f t="shared" si="69"/>
        <v>0</v>
      </c>
      <c r="W253" s="553" t="str">
        <f t="shared" si="75"/>
        <v>V</v>
      </c>
      <c r="X253" s="554"/>
      <c r="Y253" s="628">
        <f>IF(Q253=0,0,(Q253+R253)*'1.0-Contractblad'!$L$98)</f>
        <v>0</v>
      </c>
      <c r="Z253" s="629">
        <f ca="1">IF(J253=0,0,VLOOKUP(D253,'1.1a-Jaarprijzen'!$B$70:$P$124,14,FALSE)*(K253+J253))</f>
        <v>0</v>
      </c>
      <c r="AA253" s="60">
        <f t="shared" si="76"/>
        <v>0</v>
      </c>
      <c r="AC253" s="60" t="str">
        <f t="shared" si="77"/>
        <v>nvt-0</v>
      </c>
    </row>
    <row r="254" spans="1:29">
      <c r="A254" s="557"/>
      <c r="B254" s="549"/>
      <c r="C254" s="656">
        <v>1</v>
      </c>
      <c r="D254" s="550" t="s">
        <v>1017</v>
      </c>
      <c r="E254" s="657" t="s">
        <v>696</v>
      </c>
      <c r="F254" s="645" t="s">
        <v>602</v>
      </c>
      <c r="G254" s="646" t="s">
        <v>960</v>
      </c>
      <c r="H254" s="644" t="str">
        <f t="shared" si="66"/>
        <v>niet van toepassing</v>
      </c>
      <c r="I254" s="716" t="s">
        <v>803</v>
      </c>
      <c r="J254" s="648"/>
      <c r="K254" s="648">
        <v>16.059999999999999</v>
      </c>
      <c r="L254" s="660" t="s">
        <v>27</v>
      </c>
      <c r="M254" s="555">
        <f t="shared" si="70"/>
        <v>0</v>
      </c>
      <c r="N254" s="453"/>
      <c r="O254" s="555">
        <f t="shared" si="71"/>
        <v>0</v>
      </c>
      <c r="P254" s="630">
        <v>1</v>
      </c>
      <c r="Q254" s="773">
        <f t="shared" si="72"/>
        <v>0</v>
      </c>
      <c r="R254" s="773">
        <f t="shared" si="73"/>
        <v>0</v>
      </c>
      <c r="S254" s="551">
        <f t="shared" si="74"/>
        <v>0</v>
      </c>
      <c r="T254" s="623">
        <f t="shared" si="67"/>
        <v>0</v>
      </c>
      <c r="U254" s="623">
        <f t="shared" si="68"/>
        <v>0</v>
      </c>
      <c r="V254" s="552">
        <f t="shared" si="69"/>
        <v>0</v>
      </c>
      <c r="W254" s="553">
        <f t="shared" si="75"/>
        <v>0</v>
      </c>
      <c r="X254" s="698"/>
      <c r="Y254" s="628">
        <f>IF(Q254=0,0,(Q254+R254)*'1.0-Contractblad'!$L$98)</f>
        <v>0</v>
      </c>
      <c r="Z254" s="629">
        <f>IF(J254=0,0,VLOOKUP(D254,'1.1a-Jaarprijzen'!$B$70:$P$124,14,FALSE)*(K254+J254))</f>
        <v>0</v>
      </c>
      <c r="AA254" s="60">
        <f t="shared" si="76"/>
        <v>0</v>
      </c>
      <c r="AC254" s="60" t="str">
        <f t="shared" si="77"/>
        <v>9200-200</v>
      </c>
    </row>
    <row r="255" spans="1:29">
      <c r="A255" s="557"/>
      <c r="B255" s="549"/>
      <c r="C255" s="656">
        <v>1</v>
      </c>
      <c r="D255" s="550" t="s">
        <v>1017</v>
      </c>
      <c r="E255" s="657" t="s">
        <v>696</v>
      </c>
      <c r="F255" s="645" t="s">
        <v>825</v>
      </c>
      <c r="G255" s="646" t="s">
        <v>333</v>
      </c>
      <c r="H255" s="644" t="str">
        <f t="shared" si="66"/>
        <v>trappenhuis</v>
      </c>
      <c r="I255" s="716" t="s">
        <v>785</v>
      </c>
      <c r="J255" s="648">
        <v>18.2</v>
      </c>
      <c r="K255" s="648"/>
      <c r="L255" s="649">
        <v>9200</v>
      </c>
      <c r="M255" s="555">
        <f t="shared" si="70"/>
        <v>109</v>
      </c>
      <c r="N255" s="453"/>
      <c r="O255" s="555">
        <f t="shared" si="71"/>
        <v>200</v>
      </c>
      <c r="P255" s="630">
        <v>1</v>
      </c>
      <c r="Q255" s="773">
        <f t="shared" si="72"/>
        <v>0</v>
      </c>
      <c r="R255" s="773">
        <f t="shared" si="73"/>
        <v>0</v>
      </c>
      <c r="S255" s="551">
        <f t="shared" si="74"/>
        <v>0</v>
      </c>
      <c r="T255" s="623">
        <f t="shared" si="67"/>
        <v>0</v>
      </c>
      <c r="U255" s="623">
        <f t="shared" si="68"/>
        <v>0</v>
      </c>
      <c r="V255" s="552">
        <f t="shared" si="69"/>
        <v>0</v>
      </c>
      <c r="W255" s="553" t="str">
        <f t="shared" si="75"/>
        <v>V</v>
      </c>
      <c r="X255" s="554"/>
      <c r="Y255" s="628">
        <f>IF(Q255=0,0,(Q255+R255)*'1.0-Contractblad'!$L$98)</f>
        <v>0</v>
      </c>
      <c r="Z255" s="629">
        <f ca="1">IF(J255=0,0,VLOOKUP(D255,'1.1a-Jaarprijzen'!$B$70:$P$124,14,FALSE)*(K255+J255))</f>
        <v>0</v>
      </c>
      <c r="AA255" s="60" t="e">
        <f>IF(#REF!=8255,#REF!+#REF!,0)</f>
        <v>#REF!</v>
      </c>
      <c r="AC255" s="60" t="e">
        <f>CONCATENATE(#REF!,"-",#REF!)</f>
        <v>#REF!</v>
      </c>
    </row>
    <row r="256" spans="1:29">
      <c r="A256" s="557"/>
      <c r="B256" s="700"/>
      <c r="C256" s="656">
        <v>1</v>
      </c>
      <c r="D256" s="550" t="s">
        <v>1016</v>
      </c>
      <c r="E256" s="657" t="s">
        <v>694</v>
      </c>
      <c r="F256" s="645" t="s">
        <v>502</v>
      </c>
      <c r="G256" s="646" t="s">
        <v>728</v>
      </c>
      <c r="H256" s="644" t="str">
        <f t="shared" ref="H256:H290" si="78">IF(L256="","",VLOOKUP(L256,Kengetal,4,FALSE))</f>
        <v>op afroep</v>
      </c>
      <c r="I256" s="716" t="s">
        <v>785</v>
      </c>
      <c r="J256" s="648">
        <v>43.42</v>
      </c>
      <c r="K256" s="648"/>
      <c r="L256" s="697" t="s">
        <v>1057</v>
      </c>
      <c r="M256" s="555">
        <f t="shared" ref="M256:M292" si="79">VLOOKUP(L256,Kengetal,2,FALSE)</f>
        <v>0</v>
      </c>
      <c r="N256" s="453"/>
      <c r="O256" s="555">
        <f t="shared" ref="O256:O292" si="80">VLOOKUP(L256,Kengetal,3,FALSE)</f>
        <v>0</v>
      </c>
      <c r="P256" s="630">
        <v>1.1000000000000001</v>
      </c>
      <c r="Q256" s="773">
        <f t="shared" ref="Q256:Q292" si="81">T256*J256*P256</f>
        <v>0</v>
      </c>
      <c r="R256" s="773">
        <f t="shared" ref="R256:R292" si="82">U256*J256*P256</f>
        <v>0</v>
      </c>
      <c r="S256" s="551">
        <f t="shared" ref="S256:S292" si="83">V256*J256*P256</f>
        <v>0</v>
      </c>
      <c r="T256" s="623">
        <f t="shared" ref="T256:T291" si="84">VLOOKUP($L256,Kengetal,6,FALSE)</f>
        <v>0</v>
      </c>
      <c r="U256" s="623">
        <f t="shared" ref="U256:U291" si="85">VLOOKUP($L256,Kengetal,7,FALSE)</f>
        <v>0</v>
      </c>
      <c r="V256" s="552">
        <f t="shared" ref="V256:V291" si="86">VLOOKUP($N256,Kengetal,7,FALSE)</f>
        <v>0</v>
      </c>
      <c r="W256" s="553">
        <f t="shared" ref="W256:W292" si="87">IF(L256="","",VLOOKUP(L256,Kengetal,14,FALSE))</f>
        <v>0</v>
      </c>
      <c r="X256" s="554"/>
      <c r="Y256" s="628">
        <f>IF(Q256=0,0,(Q256+R256)*'1.0-Contractblad'!$L$98)</f>
        <v>0</v>
      </c>
      <c r="Z256" s="629">
        <f ca="1">IF(J256=0,0,VLOOKUP(D256,'1.1a-Jaarprijzen'!$B$70:$P$124,14,FALSE)*(K256+J256))</f>
        <v>0</v>
      </c>
      <c r="AA256" s="60">
        <f t="shared" ref="AA256:AA379" si="88">IF(L257=8255,Q257+R257,0)</f>
        <v>0</v>
      </c>
      <c r="AC256" s="60" t="str">
        <f t="shared" ref="AC256:AC379" si="89">CONCATENATE(L257,"-",O257)</f>
        <v>3200-200</v>
      </c>
    </row>
    <row r="257" spans="1:29">
      <c r="A257" s="557"/>
      <c r="B257" s="549"/>
      <c r="C257" s="656">
        <v>1</v>
      </c>
      <c r="D257" s="550" t="s">
        <v>1016</v>
      </c>
      <c r="E257" s="657" t="s">
        <v>1010</v>
      </c>
      <c r="F257" s="645" t="s">
        <v>700</v>
      </c>
      <c r="G257" s="646" t="s">
        <v>963</v>
      </c>
      <c r="H257" s="644" t="str">
        <f t="shared" si="78"/>
        <v>entree, gang, hal, repro, kopieer, was/droogruimte</v>
      </c>
      <c r="I257" s="716" t="s">
        <v>785</v>
      </c>
      <c r="J257" s="648">
        <v>47.86</v>
      </c>
      <c r="K257" s="648"/>
      <c r="L257" s="649">
        <v>3200</v>
      </c>
      <c r="M257" s="555">
        <f t="shared" si="79"/>
        <v>103</v>
      </c>
      <c r="N257" s="453"/>
      <c r="O257" s="555">
        <f t="shared" si="80"/>
        <v>200</v>
      </c>
      <c r="P257" s="630">
        <f>P256</f>
        <v>1.1000000000000001</v>
      </c>
      <c r="Q257" s="773">
        <f t="shared" si="81"/>
        <v>0</v>
      </c>
      <c r="R257" s="773">
        <f t="shared" si="82"/>
        <v>0</v>
      </c>
      <c r="S257" s="551">
        <f t="shared" si="83"/>
        <v>0</v>
      </c>
      <c r="T257" s="623">
        <f t="shared" si="84"/>
        <v>0</v>
      </c>
      <c r="U257" s="623">
        <f t="shared" si="85"/>
        <v>0</v>
      </c>
      <c r="V257" s="552">
        <f t="shared" si="86"/>
        <v>0</v>
      </c>
      <c r="W257" s="553" t="str">
        <f t="shared" si="87"/>
        <v>V</v>
      </c>
      <c r="X257" s="554"/>
      <c r="Y257" s="628">
        <f>IF(Q257=0,0,(Q257+R257)*'1.0-Contractblad'!$L$98)</f>
        <v>0</v>
      </c>
      <c r="Z257" s="629">
        <f ca="1">IF(J257=0,0,VLOOKUP(D257,'1.1a-Jaarprijzen'!$B$70:$P$124,14,FALSE)*(K257+J257))</f>
        <v>0</v>
      </c>
      <c r="AA257" s="60">
        <f t="shared" si="88"/>
        <v>0</v>
      </c>
      <c r="AC257" s="60" t="str">
        <f t="shared" si="89"/>
        <v>10200-200</v>
      </c>
    </row>
    <row r="258" spans="1:29">
      <c r="A258" s="557"/>
      <c r="B258" s="549"/>
      <c r="C258" s="656">
        <v>1</v>
      </c>
      <c r="D258" s="550" t="s">
        <v>1016</v>
      </c>
      <c r="E258" s="657" t="s">
        <v>1010</v>
      </c>
      <c r="F258" s="645" t="s">
        <v>701</v>
      </c>
      <c r="G258" s="646" t="s">
        <v>332</v>
      </c>
      <c r="H258" s="644" t="str">
        <f t="shared" si="78"/>
        <v>lift</v>
      </c>
      <c r="I258" s="716" t="s">
        <v>785</v>
      </c>
      <c r="J258" s="648">
        <v>2.4900000000000002</v>
      </c>
      <c r="K258" s="648"/>
      <c r="L258" s="649">
        <v>10200</v>
      </c>
      <c r="M258" s="555">
        <f t="shared" si="79"/>
        <v>110</v>
      </c>
      <c r="N258" s="453"/>
      <c r="O258" s="555">
        <f t="shared" si="80"/>
        <v>200</v>
      </c>
      <c r="P258" s="630">
        <f t="shared" ref="P258:P321" si="90">P257</f>
        <v>1.1000000000000001</v>
      </c>
      <c r="Q258" s="773">
        <f t="shared" si="81"/>
        <v>0</v>
      </c>
      <c r="R258" s="773">
        <f t="shared" si="82"/>
        <v>0</v>
      </c>
      <c r="S258" s="551">
        <f t="shared" si="83"/>
        <v>0</v>
      </c>
      <c r="T258" s="623">
        <f t="shared" si="84"/>
        <v>0</v>
      </c>
      <c r="U258" s="623">
        <f t="shared" si="85"/>
        <v>0</v>
      </c>
      <c r="V258" s="552">
        <f t="shared" si="86"/>
        <v>0</v>
      </c>
      <c r="W258" s="553" t="str">
        <f t="shared" si="87"/>
        <v>V</v>
      </c>
      <c r="X258" s="554"/>
      <c r="Y258" s="628">
        <f>IF(Q258=0,0,(Q258+R258)*'1.0-Contractblad'!$L$98)</f>
        <v>0</v>
      </c>
      <c r="Z258" s="629">
        <f ca="1">IF(J258=0,0,VLOOKUP(D258,'1.1a-Jaarprijzen'!$B$70:$P$124,14,FALSE)*(K258+J258))</f>
        <v>0</v>
      </c>
      <c r="AA258" s="60">
        <f t="shared" si="88"/>
        <v>0</v>
      </c>
      <c r="AC258" s="60" t="str">
        <f t="shared" si="89"/>
        <v>1200-200</v>
      </c>
    </row>
    <row r="259" spans="1:29">
      <c r="A259" s="557"/>
      <c r="B259" s="549"/>
      <c r="C259" s="656">
        <v>1</v>
      </c>
      <c r="D259" s="550" t="s">
        <v>1016</v>
      </c>
      <c r="E259" s="657" t="s">
        <v>1010</v>
      </c>
      <c r="F259" s="645" t="s">
        <v>702</v>
      </c>
      <c r="G259" s="646" t="s">
        <v>787</v>
      </c>
      <c r="H259" s="644" t="str">
        <f t="shared" si="78"/>
        <v>administratieve -, personeels- en vergaderruimte</v>
      </c>
      <c r="I259" s="716" t="s">
        <v>785</v>
      </c>
      <c r="J259" s="648">
        <v>19.010000000000002</v>
      </c>
      <c r="K259" s="648"/>
      <c r="L259" s="649">
        <v>1200</v>
      </c>
      <c r="M259" s="555">
        <f t="shared" si="79"/>
        <v>101</v>
      </c>
      <c r="N259" s="453"/>
      <c r="O259" s="555">
        <f t="shared" si="80"/>
        <v>200</v>
      </c>
      <c r="P259" s="630">
        <f t="shared" si="90"/>
        <v>1.1000000000000001</v>
      </c>
      <c r="Q259" s="773">
        <f t="shared" si="81"/>
        <v>0</v>
      </c>
      <c r="R259" s="773">
        <f t="shared" si="82"/>
        <v>0</v>
      </c>
      <c r="S259" s="551">
        <f t="shared" si="83"/>
        <v>0</v>
      </c>
      <c r="T259" s="623">
        <f t="shared" si="84"/>
        <v>0</v>
      </c>
      <c r="U259" s="623">
        <f t="shared" si="85"/>
        <v>0</v>
      </c>
      <c r="V259" s="552">
        <f t="shared" si="86"/>
        <v>0</v>
      </c>
      <c r="W259" s="553" t="str">
        <f t="shared" si="87"/>
        <v>B</v>
      </c>
      <c r="X259" s="554"/>
      <c r="Y259" s="628">
        <f>IF(Q259=0,0,(Q259+R259)*'1.0-Contractblad'!$L$98)</f>
        <v>0</v>
      </c>
      <c r="Z259" s="629">
        <f ca="1">IF(J259=0,0,VLOOKUP(D259,'1.1a-Jaarprijzen'!$B$70:$P$124,14,FALSE)*(K259+J259))</f>
        <v>0</v>
      </c>
      <c r="AA259" s="60">
        <f t="shared" si="88"/>
        <v>0</v>
      </c>
      <c r="AC259" s="60" t="str">
        <f t="shared" si="89"/>
        <v>3200-200</v>
      </c>
    </row>
    <row r="260" spans="1:29">
      <c r="A260" s="557"/>
      <c r="B260" s="549"/>
      <c r="C260" s="656">
        <v>1</v>
      </c>
      <c r="D260" s="550" t="s">
        <v>1016</v>
      </c>
      <c r="E260" s="657" t="s">
        <v>1010</v>
      </c>
      <c r="F260" s="645" t="s">
        <v>703</v>
      </c>
      <c r="G260" s="646" t="s">
        <v>707</v>
      </c>
      <c r="H260" s="644" t="str">
        <f t="shared" si="78"/>
        <v>entree, gang, hal, repro, kopieer, was/droogruimte</v>
      </c>
      <c r="I260" s="716" t="s">
        <v>785</v>
      </c>
      <c r="J260" s="648">
        <v>4.66</v>
      </c>
      <c r="K260" s="648"/>
      <c r="L260" s="649">
        <v>3200</v>
      </c>
      <c r="M260" s="555">
        <f t="shared" si="79"/>
        <v>103</v>
      </c>
      <c r="N260" s="453"/>
      <c r="O260" s="555">
        <f t="shared" si="80"/>
        <v>200</v>
      </c>
      <c r="P260" s="630">
        <f t="shared" si="90"/>
        <v>1.1000000000000001</v>
      </c>
      <c r="Q260" s="773">
        <f t="shared" si="81"/>
        <v>0</v>
      </c>
      <c r="R260" s="773">
        <f t="shared" si="82"/>
        <v>0</v>
      </c>
      <c r="S260" s="551">
        <f t="shared" si="83"/>
        <v>0</v>
      </c>
      <c r="T260" s="623">
        <f t="shared" si="84"/>
        <v>0</v>
      </c>
      <c r="U260" s="623">
        <f t="shared" si="85"/>
        <v>0</v>
      </c>
      <c r="V260" s="552">
        <f t="shared" si="86"/>
        <v>0</v>
      </c>
      <c r="W260" s="553" t="str">
        <f t="shared" si="87"/>
        <v>V</v>
      </c>
      <c r="X260" s="554"/>
      <c r="Y260" s="628">
        <f>IF(Q260=0,0,(Q260+R260)*'1.0-Contractblad'!$L$98)</f>
        <v>0</v>
      </c>
      <c r="Z260" s="629">
        <f ca="1">IF(J260=0,0,VLOOKUP(D260,'1.1a-Jaarprijzen'!$B$70:$P$124,14,FALSE)*(K260+J260))</f>
        <v>0</v>
      </c>
      <c r="AA260" s="60">
        <f t="shared" si="88"/>
        <v>0</v>
      </c>
      <c r="AC260" s="60" t="str">
        <f t="shared" si="89"/>
        <v>4200-200</v>
      </c>
    </row>
    <row r="261" spans="1:29">
      <c r="A261" s="557"/>
      <c r="B261" s="549"/>
      <c r="C261" s="656">
        <v>1</v>
      </c>
      <c r="D261" s="550" t="s">
        <v>1016</v>
      </c>
      <c r="E261" s="657" t="s">
        <v>1010</v>
      </c>
      <c r="F261" s="645" t="s">
        <v>704</v>
      </c>
      <c r="G261" s="646" t="s">
        <v>795</v>
      </c>
      <c r="H261" s="644" t="str">
        <f t="shared" si="78"/>
        <v>sanitaire ruimte (toilet-/doucheruimte)</v>
      </c>
      <c r="I261" s="716" t="s">
        <v>1009</v>
      </c>
      <c r="J261" s="648">
        <v>5.09</v>
      </c>
      <c r="K261" s="648"/>
      <c r="L261" s="649">
        <v>4200</v>
      </c>
      <c r="M261" s="555">
        <f t="shared" si="79"/>
        <v>104</v>
      </c>
      <c r="N261" s="453"/>
      <c r="O261" s="555">
        <f t="shared" si="80"/>
        <v>200</v>
      </c>
      <c r="P261" s="630">
        <f t="shared" si="90"/>
        <v>1.1000000000000001</v>
      </c>
      <c r="Q261" s="773">
        <f t="shared" si="81"/>
        <v>0</v>
      </c>
      <c r="R261" s="773">
        <f t="shared" si="82"/>
        <v>0</v>
      </c>
      <c r="S261" s="551">
        <f t="shared" si="83"/>
        <v>0</v>
      </c>
      <c r="T261" s="623">
        <f t="shared" si="84"/>
        <v>0</v>
      </c>
      <c r="U261" s="623">
        <f t="shared" si="85"/>
        <v>0</v>
      </c>
      <c r="V261" s="552">
        <f t="shared" si="86"/>
        <v>0</v>
      </c>
      <c r="W261" s="553" t="str">
        <f t="shared" si="87"/>
        <v>S</v>
      </c>
      <c r="X261" s="554"/>
      <c r="Y261" s="628">
        <f>IF(Q261=0,0,(Q261+R261)*'1.0-Contractblad'!$L$98)</f>
        <v>0</v>
      </c>
      <c r="Z261" s="629">
        <f ca="1">IF(J261=0,0,VLOOKUP(D261,'1.1a-Jaarprijzen'!$B$70:$P$124,14,FALSE)*(K261+J261))</f>
        <v>0</v>
      </c>
      <c r="AA261" s="60">
        <f t="shared" si="88"/>
        <v>0</v>
      </c>
      <c r="AC261" s="60" t="str">
        <f t="shared" si="89"/>
        <v>2200-200</v>
      </c>
    </row>
    <row r="262" spans="1:29">
      <c r="A262" s="557"/>
      <c r="B262" s="549"/>
      <c r="C262" s="656">
        <v>1</v>
      </c>
      <c r="D262" s="550" t="s">
        <v>1016</v>
      </c>
      <c r="E262" s="657" t="s">
        <v>1010</v>
      </c>
      <c r="F262" s="645" t="s">
        <v>705</v>
      </c>
      <c r="G262" s="646" t="s">
        <v>708</v>
      </c>
      <c r="H262" s="644" t="str">
        <f t="shared" si="78"/>
        <v>aula, gemeenschappelijke ruimte, bibliotheek</v>
      </c>
      <c r="I262" s="716" t="s">
        <v>785</v>
      </c>
      <c r="J262" s="648">
        <v>75.63</v>
      </c>
      <c r="K262" s="648"/>
      <c r="L262" s="649">
        <v>2200</v>
      </c>
      <c r="M262" s="555">
        <f t="shared" si="79"/>
        <v>102</v>
      </c>
      <c r="N262" s="453"/>
      <c r="O262" s="555">
        <f t="shared" si="80"/>
        <v>200</v>
      </c>
      <c r="P262" s="630">
        <f t="shared" si="90"/>
        <v>1.1000000000000001</v>
      </c>
      <c r="Q262" s="773">
        <f t="shared" si="81"/>
        <v>0</v>
      </c>
      <c r="R262" s="773">
        <f t="shared" si="82"/>
        <v>0</v>
      </c>
      <c r="S262" s="551">
        <f t="shared" si="83"/>
        <v>0</v>
      </c>
      <c r="T262" s="623">
        <f t="shared" si="84"/>
        <v>0</v>
      </c>
      <c r="U262" s="623">
        <f t="shared" si="85"/>
        <v>0</v>
      </c>
      <c r="V262" s="552">
        <f t="shared" si="86"/>
        <v>0</v>
      </c>
      <c r="W262" s="553" t="str">
        <f t="shared" si="87"/>
        <v>V</v>
      </c>
      <c r="X262" s="554"/>
      <c r="Y262" s="628">
        <f>IF(Q262=0,0,(Q262+R262)*'1.0-Contractblad'!$L$98)</f>
        <v>0</v>
      </c>
      <c r="Z262" s="629">
        <f ca="1">IF(J262=0,0,VLOOKUP(D262,'1.1a-Jaarprijzen'!$B$70:$P$124,14,FALSE)*(K262+J262))</f>
        <v>0</v>
      </c>
      <c r="AA262" s="60">
        <f t="shared" si="88"/>
        <v>0</v>
      </c>
      <c r="AC262" s="60" t="str">
        <f t="shared" si="89"/>
        <v>3200-200</v>
      </c>
    </row>
    <row r="263" spans="1:29">
      <c r="A263" s="557"/>
      <c r="B263" s="549"/>
      <c r="C263" s="656">
        <v>1</v>
      </c>
      <c r="D263" s="550" t="s">
        <v>1016</v>
      </c>
      <c r="E263" s="657" t="s">
        <v>694</v>
      </c>
      <c r="F263" s="645" t="s">
        <v>826</v>
      </c>
      <c r="G263" s="646" t="s">
        <v>964</v>
      </c>
      <c r="H263" s="644" t="str">
        <f t="shared" si="78"/>
        <v>entree, gang, hal, repro, kopieer, was/droogruimte</v>
      </c>
      <c r="I263" s="716" t="s">
        <v>785</v>
      </c>
      <c r="J263" s="648">
        <v>37.68</v>
      </c>
      <c r="K263" s="648"/>
      <c r="L263" s="649">
        <v>3200</v>
      </c>
      <c r="M263" s="555">
        <f t="shared" si="79"/>
        <v>103</v>
      </c>
      <c r="N263" s="453"/>
      <c r="O263" s="555">
        <f t="shared" si="80"/>
        <v>200</v>
      </c>
      <c r="P263" s="630">
        <f t="shared" si="90"/>
        <v>1.1000000000000001</v>
      </c>
      <c r="Q263" s="773">
        <f t="shared" si="81"/>
        <v>0</v>
      </c>
      <c r="R263" s="773">
        <f t="shared" si="82"/>
        <v>0</v>
      </c>
      <c r="S263" s="551">
        <f t="shared" si="83"/>
        <v>0</v>
      </c>
      <c r="T263" s="623">
        <f t="shared" si="84"/>
        <v>0</v>
      </c>
      <c r="U263" s="623">
        <f t="shared" si="85"/>
        <v>0</v>
      </c>
      <c r="V263" s="552">
        <f t="shared" si="86"/>
        <v>0</v>
      </c>
      <c r="W263" s="553" t="str">
        <f t="shared" si="87"/>
        <v>V</v>
      </c>
      <c r="X263" s="554"/>
      <c r="Y263" s="628">
        <f>IF(Q263=0,0,(Q263+R263)*'1.0-Contractblad'!$L$98)</f>
        <v>0</v>
      </c>
      <c r="Z263" s="629">
        <f ca="1">IF(J263=0,0,VLOOKUP(D263,'1.1a-Jaarprijzen'!$B$70:$P$124,14,FALSE)*(K263+J263))</f>
        <v>0</v>
      </c>
      <c r="AA263" s="60">
        <f t="shared" si="88"/>
        <v>0</v>
      </c>
      <c r="AC263" s="60" t="str">
        <f t="shared" si="89"/>
        <v>3200-200</v>
      </c>
    </row>
    <row r="264" spans="1:29">
      <c r="A264" s="557"/>
      <c r="B264" s="549"/>
      <c r="C264" s="656">
        <v>1</v>
      </c>
      <c r="D264" s="550" t="s">
        <v>1016</v>
      </c>
      <c r="E264" s="657" t="s">
        <v>1010</v>
      </c>
      <c r="F264" s="645" t="s">
        <v>827</v>
      </c>
      <c r="G264" s="646" t="s">
        <v>965</v>
      </c>
      <c r="H264" s="644" t="str">
        <f t="shared" si="78"/>
        <v>entree, gang, hal, repro, kopieer, was/droogruimte</v>
      </c>
      <c r="I264" s="716" t="s">
        <v>785</v>
      </c>
      <c r="J264" s="648">
        <v>69.7</v>
      </c>
      <c r="K264" s="648"/>
      <c r="L264" s="649">
        <v>3200</v>
      </c>
      <c r="M264" s="555">
        <f t="shared" si="79"/>
        <v>103</v>
      </c>
      <c r="N264" s="453"/>
      <c r="O264" s="555">
        <f t="shared" si="80"/>
        <v>200</v>
      </c>
      <c r="P264" s="630">
        <f t="shared" si="90"/>
        <v>1.1000000000000001</v>
      </c>
      <c r="Q264" s="773">
        <f t="shared" si="81"/>
        <v>0</v>
      </c>
      <c r="R264" s="773">
        <f t="shared" si="82"/>
        <v>0</v>
      </c>
      <c r="S264" s="551">
        <f t="shared" si="83"/>
        <v>0</v>
      </c>
      <c r="T264" s="623">
        <f t="shared" si="84"/>
        <v>0</v>
      </c>
      <c r="U264" s="623">
        <f t="shared" si="85"/>
        <v>0</v>
      </c>
      <c r="V264" s="552">
        <f t="shared" si="86"/>
        <v>0</v>
      </c>
      <c r="W264" s="553" t="str">
        <f t="shared" si="87"/>
        <v>V</v>
      </c>
      <c r="X264" s="554"/>
      <c r="Y264" s="628">
        <f>IF(Q264=0,0,(Q264+R264)*'1.0-Contractblad'!$L$98)</f>
        <v>0</v>
      </c>
      <c r="Z264" s="629">
        <f ca="1">IF(J264=0,0,VLOOKUP(D264,'1.1a-Jaarprijzen'!$B$70:$P$124,14,FALSE)*(K264+J264))</f>
        <v>0</v>
      </c>
      <c r="AA264" s="60">
        <f t="shared" si="88"/>
        <v>0</v>
      </c>
      <c r="AC264" s="60" t="str">
        <f t="shared" si="89"/>
        <v>1200-200</v>
      </c>
    </row>
    <row r="265" spans="1:29">
      <c r="A265" s="557"/>
      <c r="B265" s="549"/>
      <c r="C265" s="656">
        <v>1</v>
      </c>
      <c r="D265" s="550" t="s">
        <v>1016</v>
      </c>
      <c r="E265" s="657" t="s">
        <v>1010</v>
      </c>
      <c r="F265" s="645" t="s">
        <v>828</v>
      </c>
      <c r="G265" s="646" t="s">
        <v>709</v>
      </c>
      <c r="H265" s="644" t="str">
        <f t="shared" si="78"/>
        <v>administratieve -, personeels- en vergaderruimte</v>
      </c>
      <c r="I265" s="716" t="s">
        <v>785</v>
      </c>
      <c r="J265" s="648">
        <v>21.29</v>
      </c>
      <c r="K265" s="648"/>
      <c r="L265" s="649">
        <v>1200</v>
      </c>
      <c r="M265" s="555">
        <f t="shared" si="79"/>
        <v>101</v>
      </c>
      <c r="N265" s="453"/>
      <c r="O265" s="555">
        <f t="shared" si="80"/>
        <v>200</v>
      </c>
      <c r="P265" s="630">
        <f t="shared" si="90"/>
        <v>1.1000000000000001</v>
      </c>
      <c r="Q265" s="773">
        <f t="shared" si="81"/>
        <v>0</v>
      </c>
      <c r="R265" s="773">
        <f t="shared" si="82"/>
        <v>0</v>
      </c>
      <c r="S265" s="551">
        <f t="shared" si="83"/>
        <v>0</v>
      </c>
      <c r="T265" s="623">
        <f t="shared" si="84"/>
        <v>0</v>
      </c>
      <c r="U265" s="623">
        <f t="shared" si="85"/>
        <v>0</v>
      </c>
      <c r="V265" s="552">
        <f t="shared" si="86"/>
        <v>0</v>
      </c>
      <c r="W265" s="553" t="str">
        <f t="shared" si="87"/>
        <v>B</v>
      </c>
      <c r="X265" s="554"/>
      <c r="Y265" s="628">
        <f>IF(Q265=0,0,(Q265+R265)*'1.0-Contractblad'!$L$98)</f>
        <v>0</v>
      </c>
      <c r="Z265" s="629">
        <f ca="1">IF(J265=0,0,VLOOKUP(D265,'1.1a-Jaarprijzen'!$B$70:$P$124,14,FALSE)*(K265+J265))</f>
        <v>0</v>
      </c>
      <c r="AA265" s="60">
        <f t="shared" si="88"/>
        <v>0</v>
      </c>
      <c r="AC265" s="60" t="str">
        <f t="shared" si="89"/>
        <v>nvt-0</v>
      </c>
    </row>
    <row r="266" spans="1:29">
      <c r="A266" s="557"/>
      <c r="B266" s="549"/>
      <c r="C266" s="656">
        <v>1</v>
      </c>
      <c r="D266" s="550" t="s">
        <v>1016</v>
      </c>
      <c r="E266" s="657" t="s">
        <v>1010</v>
      </c>
      <c r="F266" s="645" t="s">
        <v>829</v>
      </c>
      <c r="G266" s="646" t="s">
        <v>710</v>
      </c>
      <c r="H266" s="644" t="str">
        <f t="shared" si="78"/>
        <v>niet van toepassing</v>
      </c>
      <c r="I266" s="716" t="s">
        <v>785</v>
      </c>
      <c r="J266" s="648"/>
      <c r="K266" s="648">
        <v>3.61</v>
      </c>
      <c r="L266" s="660" t="s">
        <v>27</v>
      </c>
      <c r="M266" s="555">
        <f t="shared" si="79"/>
        <v>0</v>
      </c>
      <c r="N266" s="453"/>
      <c r="O266" s="555">
        <f t="shared" si="80"/>
        <v>0</v>
      </c>
      <c r="P266" s="630">
        <f t="shared" si="90"/>
        <v>1.1000000000000001</v>
      </c>
      <c r="Q266" s="773">
        <f t="shared" si="81"/>
        <v>0</v>
      </c>
      <c r="R266" s="773">
        <f t="shared" si="82"/>
        <v>0</v>
      </c>
      <c r="S266" s="551">
        <f t="shared" si="83"/>
        <v>0</v>
      </c>
      <c r="T266" s="623">
        <f t="shared" si="84"/>
        <v>0</v>
      </c>
      <c r="U266" s="623">
        <f t="shared" si="85"/>
        <v>0</v>
      </c>
      <c r="V266" s="552">
        <f t="shared" si="86"/>
        <v>0</v>
      </c>
      <c r="W266" s="553">
        <f t="shared" si="87"/>
        <v>0</v>
      </c>
      <c r="X266" s="698"/>
      <c r="Y266" s="628">
        <f>IF(Q266=0,0,(Q266+R266)*'1.0-Contractblad'!$L$98)</f>
        <v>0</v>
      </c>
      <c r="Z266" s="629">
        <f>IF(J266=0,0,VLOOKUP(D266,'1.1a-Jaarprijzen'!$B$70:$P$124,14,FALSE)*(K266+J266))</f>
        <v>0</v>
      </c>
      <c r="AA266" s="60">
        <f t="shared" si="88"/>
        <v>0</v>
      </c>
      <c r="AC266" s="60" t="str">
        <f t="shared" si="89"/>
        <v>4200-200</v>
      </c>
    </row>
    <row r="267" spans="1:29">
      <c r="A267" s="548"/>
      <c r="B267" s="549"/>
      <c r="C267" s="656">
        <v>1</v>
      </c>
      <c r="D267" s="550" t="s">
        <v>1016</v>
      </c>
      <c r="E267" s="657" t="s">
        <v>1010</v>
      </c>
      <c r="F267" s="645" t="s">
        <v>830</v>
      </c>
      <c r="G267" s="646" t="s">
        <v>711</v>
      </c>
      <c r="H267" s="644" t="str">
        <f t="shared" si="78"/>
        <v>sanitaire ruimte (toilet-/doucheruimte)</v>
      </c>
      <c r="I267" s="716" t="s">
        <v>1009</v>
      </c>
      <c r="J267" s="648">
        <v>2.0499999999999998</v>
      </c>
      <c r="K267" s="648"/>
      <c r="L267" s="649">
        <v>4200</v>
      </c>
      <c r="M267" s="555">
        <f t="shared" si="79"/>
        <v>104</v>
      </c>
      <c r="N267" s="453"/>
      <c r="O267" s="555">
        <f t="shared" si="80"/>
        <v>200</v>
      </c>
      <c r="P267" s="630">
        <f t="shared" si="90"/>
        <v>1.1000000000000001</v>
      </c>
      <c r="Q267" s="773">
        <f t="shared" si="81"/>
        <v>0</v>
      </c>
      <c r="R267" s="773">
        <f t="shared" si="82"/>
        <v>0</v>
      </c>
      <c r="S267" s="551">
        <f t="shared" si="83"/>
        <v>0</v>
      </c>
      <c r="T267" s="623">
        <f t="shared" si="84"/>
        <v>0</v>
      </c>
      <c r="U267" s="623">
        <f t="shared" si="85"/>
        <v>0</v>
      </c>
      <c r="V267" s="552">
        <f t="shared" si="86"/>
        <v>0</v>
      </c>
      <c r="W267" s="553" t="str">
        <f t="shared" si="87"/>
        <v>S</v>
      </c>
      <c r="X267" s="554"/>
      <c r="Y267" s="628">
        <f>IF(Q267=0,0,(Q267+R267)*'1.0-Contractblad'!$L$98)</f>
        <v>0</v>
      </c>
      <c r="Z267" s="629">
        <f ca="1">IF(J267=0,0,VLOOKUP(D267,'1.1a-Jaarprijzen'!$B$70:$P$124,14,FALSE)*(K267+J267))</f>
        <v>0</v>
      </c>
      <c r="AA267" s="60">
        <f t="shared" si="88"/>
        <v>0</v>
      </c>
      <c r="AC267" s="60" t="str">
        <f t="shared" si="89"/>
        <v>4200-200</v>
      </c>
    </row>
    <row r="268" spans="1:29">
      <c r="A268" s="557"/>
      <c r="B268" s="549"/>
      <c r="C268" s="656">
        <v>1</v>
      </c>
      <c r="D268" s="550" t="s">
        <v>1016</v>
      </c>
      <c r="E268" s="657" t="s">
        <v>1010</v>
      </c>
      <c r="F268" s="645" t="s">
        <v>831</v>
      </c>
      <c r="G268" s="646" t="s">
        <v>801</v>
      </c>
      <c r="H268" s="644" t="str">
        <f t="shared" si="78"/>
        <v>sanitaire ruimte (toilet-/doucheruimte)</v>
      </c>
      <c r="I268" s="716" t="s">
        <v>1009</v>
      </c>
      <c r="J268" s="648">
        <v>10.25</v>
      </c>
      <c r="K268" s="648"/>
      <c r="L268" s="649">
        <v>4200</v>
      </c>
      <c r="M268" s="555">
        <f t="shared" si="79"/>
        <v>104</v>
      </c>
      <c r="N268" s="453"/>
      <c r="O268" s="555">
        <f t="shared" si="80"/>
        <v>200</v>
      </c>
      <c r="P268" s="630">
        <f t="shared" si="90"/>
        <v>1.1000000000000001</v>
      </c>
      <c r="Q268" s="773">
        <f t="shared" si="81"/>
        <v>0</v>
      </c>
      <c r="R268" s="773">
        <f t="shared" si="82"/>
        <v>0</v>
      </c>
      <c r="S268" s="551">
        <f t="shared" si="83"/>
        <v>0</v>
      </c>
      <c r="T268" s="623">
        <f t="shared" si="84"/>
        <v>0</v>
      </c>
      <c r="U268" s="623">
        <f t="shared" si="85"/>
        <v>0</v>
      </c>
      <c r="V268" s="552">
        <f t="shared" si="86"/>
        <v>0</v>
      </c>
      <c r="W268" s="553" t="str">
        <f t="shared" si="87"/>
        <v>S</v>
      </c>
      <c r="X268" s="554"/>
      <c r="Y268" s="628">
        <f>IF(Q268=0,0,(Q268+R268)*'1.0-Contractblad'!$L$98)</f>
        <v>0</v>
      </c>
      <c r="Z268" s="629">
        <f ca="1">IF(J268=0,0,VLOOKUP(D268,'1.1a-Jaarprijzen'!$B$70:$P$124,14,FALSE)*(K268+J268))</f>
        <v>0</v>
      </c>
      <c r="AA268" s="60">
        <f t="shared" si="88"/>
        <v>0</v>
      </c>
      <c r="AC268" s="60" t="str">
        <f t="shared" si="89"/>
        <v>2200-200</v>
      </c>
    </row>
    <row r="269" spans="1:29">
      <c r="A269" s="557"/>
      <c r="B269" s="549"/>
      <c r="C269" s="656">
        <v>1</v>
      </c>
      <c r="D269" s="550" t="s">
        <v>1016</v>
      </c>
      <c r="E269" s="657" t="s">
        <v>1010</v>
      </c>
      <c r="F269" s="645" t="s">
        <v>832</v>
      </c>
      <c r="G269" s="646" t="s">
        <v>713</v>
      </c>
      <c r="H269" s="644" t="str">
        <f t="shared" si="78"/>
        <v>aula, gemeenschappelijke ruimte, bibliotheek</v>
      </c>
      <c r="I269" s="716" t="s">
        <v>1009</v>
      </c>
      <c r="J269" s="648">
        <v>61.86</v>
      </c>
      <c r="K269" s="648"/>
      <c r="L269" s="651">
        <v>2200</v>
      </c>
      <c r="M269" s="555">
        <f t="shared" si="79"/>
        <v>102</v>
      </c>
      <c r="N269" s="453"/>
      <c r="O269" s="555">
        <f t="shared" si="80"/>
        <v>200</v>
      </c>
      <c r="P269" s="630">
        <f t="shared" si="90"/>
        <v>1.1000000000000001</v>
      </c>
      <c r="Q269" s="773">
        <f t="shared" si="81"/>
        <v>0</v>
      </c>
      <c r="R269" s="773">
        <f t="shared" si="82"/>
        <v>0</v>
      </c>
      <c r="S269" s="551">
        <f t="shared" si="83"/>
        <v>0</v>
      </c>
      <c r="T269" s="623">
        <f t="shared" si="84"/>
        <v>0</v>
      </c>
      <c r="U269" s="623">
        <f t="shared" si="85"/>
        <v>0</v>
      </c>
      <c r="V269" s="552">
        <f t="shared" si="86"/>
        <v>0</v>
      </c>
      <c r="W269" s="553" t="str">
        <f t="shared" si="87"/>
        <v>V</v>
      </c>
      <c r="X269" s="554"/>
      <c r="Y269" s="628">
        <f>IF(Q269=0,0,(Q269+R269)*'1.0-Contractblad'!$L$98)</f>
        <v>0</v>
      </c>
      <c r="Z269" s="629">
        <f ca="1">IF(J269=0,0,VLOOKUP(D269,'1.1a-Jaarprijzen'!$B$70:$P$124,14,FALSE)*(K269+J269))</f>
        <v>0</v>
      </c>
      <c r="AA269" s="60">
        <f t="shared" si="88"/>
        <v>0</v>
      </c>
      <c r="AC269" s="60" t="str">
        <f t="shared" si="89"/>
        <v>1200-200</v>
      </c>
    </row>
    <row r="270" spans="1:29">
      <c r="A270" s="557"/>
      <c r="B270" s="549"/>
      <c r="C270" s="656">
        <v>1</v>
      </c>
      <c r="D270" s="550" t="s">
        <v>1016</v>
      </c>
      <c r="E270" s="657" t="s">
        <v>1010</v>
      </c>
      <c r="F270" s="645" t="s">
        <v>484</v>
      </c>
      <c r="G270" s="646" t="s">
        <v>966</v>
      </c>
      <c r="H270" s="644" t="str">
        <f t="shared" si="78"/>
        <v>administratieve -, personeels- en vergaderruimte</v>
      </c>
      <c r="I270" s="716" t="s">
        <v>785</v>
      </c>
      <c r="J270" s="648">
        <v>37.090000000000003</v>
      </c>
      <c r="K270" s="648"/>
      <c r="L270" s="649">
        <v>1200</v>
      </c>
      <c r="M270" s="555">
        <f t="shared" si="79"/>
        <v>101</v>
      </c>
      <c r="N270" s="453"/>
      <c r="O270" s="555">
        <f t="shared" si="80"/>
        <v>200</v>
      </c>
      <c r="P270" s="630">
        <f t="shared" si="90"/>
        <v>1.1000000000000001</v>
      </c>
      <c r="Q270" s="773">
        <f t="shared" si="81"/>
        <v>0</v>
      </c>
      <c r="R270" s="773">
        <f t="shared" si="82"/>
        <v>0</v>
      </c>
      <c r="S270" s="551">
        <f t="shared" si="83"/>
        <v>0</v>
      </c>
      <c r="T270" s="623">
        <f t="shared" si="84"/>
        <v>0</v>
      </c>
      <c r="U270" s="623">
        <f t="shared" si="85"/>
        <v>0</v>
      </c>
      <c r="V270" s="552">
        <f t="shared" si="86"/>
        <v>0</v>
      </c>
      <c r="W270" s="553" t="str">
        <f t="shared" si="87"/>
        <v>B</v>
      </c>
      <c r="X270" s="554"/>
      <c r="Y270" s="628">
        <f>IF(Q270=0,0,(Q270+R270)*'1.0-Contractblad'!$L$98)</f>
        <v>0</v>
      </c>
      <c r="Z270" s="629">
        <f ca="1">IF(J270=0,0,VLOOKUP(D270,'1.1a-Jaarprijzen'!$B$70:$P$124,14,FALSE)*(K270+J270))</f>
        <v>0</v>
      </c>
      <c r="AA270" s="60">
        <f t="shared" si="88"/>
        <v>0</v>
      </c>
      <c r="AC270" s="60" t="str">
        <f t="shared" si="89"/>
        <v>3200-200</v>
      </c>
    </row>
    <row r="271" spans="1:29">
      <c r="A271" s="557"/>
      <c r="B271" s="549"/>
      <c r="C271" s="656">
        <v>1</v>
      </c>
      <c r="D271" s="550" t="s">
        <v>1016</v>
      </c>
      <c r="E271" s="657" t="s">
        <v>1010</v>
      </c>
      <c r="F271" s="645" t="s">
        <v>833</v>
      </c>
      <c r="G271" s="646" t="s">
        <v>967</v>
      </c>
      <c r="H271" s="644" t="str">
        <f t="shared" si="78"/>
        <v>entree, gang, hal, repro, kopieer, was/droogruimte</v>
      </c>
      <c r="I271" s="716" t="s">
        <v>785</v>
      </c>
      <c r="J271" s="648">
        <v>22.5</v>
      </c>
      <c r="K271" s="648"/>
      <c r="L271" s="649">
        <v>3200</v>
      </c>
      <c r="M271" s="555">
        <f t="shared" si="79"/>
        <v>103</v>
      </c>
      <c r="N271" s="453"/>
      <c r="O271" s="555">
        <f t="shared" si="80"/>
        <v>200</v>
      </c>
      <c r="P271" s="630">
        <f t="shared" si="90"/>
        <v>1.1000000000000001</v>
      </c>
      <c r="Q271" s="773">
        <f t="shared" si="81"/>
        <v>0</v>
      </c>
      <c r="R271" s="773">
        <f t="shared" si="82"/>
        <v>0</v>
      </c>
      <c r="S271" s="551">
        <f t="shared" si="83"/>
        <v>0</v>
      </c>
      <c r="T271" s="623">
        <f t="shared" si="84"/>
        <v>0</v>
      </c>
      <c r="U271" s="623">
        <f t="shared" si="85"/>
        <v>0</v>
      </c>
      <c r="V271" s="552">
        <f t="shared" si="86"/>
        <v>0</v>
      </c>
      <c r="W271" s="553" t="str">
        <f t="shared" si="87"/>
        <v>V</v>
      </c>
      <c r="X271" s="554"/>
      <c r="Y271" s="628">
        <f>IF(Q271=0,0,(Q271+R271)*'1.0-Contractblad'!$L$98)</f>
        <v>0</v>
      </c>
      <c r="Z271" s="629">
        <f ca="1">IF(J271=0,0,VLOOKUP(D271,'1.1a-Jaarprijzen'!$B$70:$P$124,14,FALSE)*(K271+J271))</f>
        <v>0</v>
      </c>
      <c r="AA271" s="60">
        <f t="shared" si="88"/>
        <v>0</v>
      </c>
      <c r="AC271" s="60" t="str">
        <f t="shared" si="89"/>
        <v>3200-200</v>
      </c>
    </row>
    <row r="272" spans="1:29">
      <c r="A272" s="557"/>
      <c r="B272" s="549"/>
      <c r="C272" s="656">
        <v>1</v>
      </c>
      <c r="D272" s="550" t="s">
        <v>1016</v>
      </c>
      <c r="E272" s="657" t="s">
        <v>1010</v>
      </c>
      <c r="F272" s="645" t="s">
        <v>834</v>
      </c>
      <c r="G272" s="646" t="s">
        <v>961</v>
      </c>
      <c r="H272" s="644" t="str">
        <f t="shared" si="78"/>
        <v>entree, gang, hal, repro, kopieer, was/droogruimte</v>
      </c>
      <c r="I272" s="716" t="s">
        <v>785</v>
      </c>
      <c r="J272" s="648">
        <v>3.61</v>
      </c>
      <c r="K272" s="648"/>
      <c r="L272" s="649">
        <v>3200</v>
      </c>
      <c r="M272" s="555">
        <f t="shared" si="79"/>
        <v>103</v>
      </c>
      <c r="N272" s="453"/>
      <c r="O272" s="555">
        <f t="shared" si="80"/>
        <v>200</v>
      </c>
      <c r="P272" s="630">
        <f t="shared" si="90"/>
        <v>1.1000000000000001</v>
      </c>
      <c r="Q272" s="773">
        <f t="shared" si="81"/>
        <v>0</v>
      </c>
      <c r="R272" s="773">
        <f t="shared" si="82"/>
        <v>0</v>
      </c>
      <c r="S272" s="551">
        <f t="shared" si="83"/>
        <v>0</v>
      </c>
      <c r="T272" s="623">
        <f t="shared" si="84"/>
        <v>0</v>
      </c>
      <c r="U272" s="623">
        <f t="shared" si="85"/>
        <v>0</v>
      </c>
      <c r="V272" s="552">
        <f t="shared" si="86"/>
        <v>0</v>
      </c>
      <c r="W272" s="553" t="str">
        <f t="shared" si="87"/>
        <v>V</v>
      </c>
      <c r="X272" s="554"/>
      <c r="Y272" s="628">
        <f>IF(Q272=0,0,(Q272+R272)*'1.0-Contractblad'!$L$98)</f>
        <v>0</v>
      </c>
      <c r="Z272" s="629">
        <f ca="1">IF(J272=0,0,VLOOKUP(D272,'1.1a-Jaarprijzen'!$B$70:$P$124,14,FALSE)*(K272+J272))</f>
        <v>0</v>
      </c>
      <c r="AA272" s="60">
        <f t="shared" si="88"/>
        <v>0</v>
      </c>
      <c r="AC272" s="60" t="str">
        <f t="shared" si="89"/>
        <v>6200-200</v>
      </c>
    </row>
    <row r="273" spans="1:29">
      <c r="A273" s="557"/>
      <c r="B273" s="549"/>
      <c r="C273" s="656">
        <v>1</v>
      </c>
      <c r="D273" s="550" t="s">
        <v>1016</v>
      </c>
      <c r="E273" s="657" t="s">
        <v>1010</v>
      </c>
      <c r="F273" s="645" t="s">
        <v>835</v>
      </c>
      <c r="G273" s="646" t="s">
        <v>790</v>
      </c>
      <c r="H273" s="644" t="str">
        <f t="shared" si="78"/>
        <v>praktijklokaal</v>
      </c>
      <c r="I273" s="716" t="s">
        <v>785</v>
      </c>
      <c r="J273" s="648">
        <v>60.48</v>
      </c>
      <c r="K273" s="648"/>
      <c r="L273" s="649">
        <v>6200</v>
      </c>
      <c r="M273" s="555">
        <f t="shared" si="79"/>
        <v>107</v>
      </c>
      <c r="N273" s="453"/>
      <c r="O273" s="555">
        <f t="shared" si="80"/>
        <v>200</v>
      </c>
      <c r="P273" s="630">
        <f t="shared" si="90"/>
        <v>1.1000000000000001</v>
      </c>
      <c r="Q273" s="773">
        <f t="shared" si="81"/>
        <v>0</v>
      </c>
      <c r="R273" s="773">
        <f t="shared" si="82"/>
        <v>0</v>
      </c>
      <c r="S273" s="551">
        <f t="shared" si="83"/>
        <v>0</v>
      </c>
      <c r="T273" s="623">
        <f t="shared" si="84"/>
        <v>0</v>
      </c>
      <c r="U273" s="623">
        <f t="shared" si="85"/>
        <v>0</v>
      </c>
      <c r="V273" s="552">
        <f t="shared" si="86"/>
        <v>0</v>
      </c>
      <c r="W273" s="553" t="str">
        <f t="shared" si="87"/>
        <v>L</v>
      </c>
      <c r="X273" s="554"/>
      <c r="Y273" s="628">
        <f>IF(Q273=0,0,(Q273+R273)*'1.0-Contractblad'!$L$98)</f>
        <v>0</v>
      </c>
      <c r="Z273" s="629">
        <f ca="1">IF(J273=0,0,VLOOKUP(D273,'1.1a-Jaarprijzen'!$B$70:$P$124,14,FALSE)*(K273+J273))</f>
        <v>0</v>
      </c>
      <c r="AA273" s="60">
        <f t="shared" si="88"/>
        <v>0</v>
      </c>
      <c r="AC273" s="60" t="str">
        <f t="shared" si="89"/>
        <v>nvt-0</v>
      </c>
    </row>
    <row r="274" spans="1:29">
      <c r="A274" s="557"/>
      <c r="B274" s="549"/>
      <c r="C274" s="656">
        <v>1</v>
      </c>
      <c r="D274" s="550" t="s">
        <v>1016</v>
      </c>
      <c r="E274" s="657" t="s">
        <v>1010</v>
      </c>
      <c r="F274" s="645" t="s">
        <v>485</v>
      </c>
      <c r="G274" s="646" t="s">
        <v>710</v>
      </c>
      <c r="H274" s="644" t="str">
        <f t="shared" si="78"/>
        <v>niet van toepassing</v>
      </c>
      <c r="I274" s="716" t="s">
        <v>785</v>
      </c>
      <c r="J274" s="648"/>
      <c r="K274" s="648">
        <v>8.89</v>
      </c>
      <c r="L274" s="660" t="s">
        <v>27</v>
      </c>
      <c r="M274" s="555">
        <f t="shared" si="79"/>
        <v>0</v>
      </c>
      <c r="N274" s="453"/>
      <c r="O274" s="555">
        <f t="shared" si="80"/>
        <v>0</v>
      </c>
      <c r="P274" s="630">
        <f t="shared" si="90"/>
        <v>1.1000000000000001</v>
      </c>
      <c r="Q274" s="773">
        <f t="shared" si="81"/>
        <v>0</v>
      </c>
      <c r="R274" s="773">
        <f t="shared" si="82"/>
        <v>0</v>
      </c>
      <c r="S274" s="551">
        <f t="shared" si="83"/>
        <v>0</v>
      </c>
      <c r="T274" s="623">
        <f t="shared" si="84"/>
        <v>0</v>
      </c>
      <c r="U274" s="623">
        <f t="shared" si="85"/>
        <v>0</v>
      </c>
      <c r="V274" s="552">
        <f t="shared" si="86"/>
        <v>0</v>
      </c>
      <c r="W274" s="553">
        <f t="shared" si="87"/>
        <v>0</v>
      </c>
      <c r="X274" s="698"/>
      <c r="Y274" s="628">
        <f>IF(Q274=0,0,(Q274+R274)*'1.0-Contractblad'!$L$98)</f>
        <v>0</v>
      </c>
      <c r="Z274" s="629">
        <f>IF(J274=0,0,VLOOKUP(D274,'1.1a-Jaarprijzen'!$B$70:$P$124,14,FALSE)*(K274+J274))</f>
        <v>0</v>
      </c>
      <c r="AA274" s="60">
        <f t="shared" si="88"/>
        <v>0</v>
      </c>
      <c r="AC274" s="60" t="str">
        <f t="shared" si="89"/>
        <v>6200-200</v>
      </c>
    </row>
    <row r="275" spans="1:29">
      <c r="A275" s="557"/>
      <c r="B275" s="549"/>
      <c r="C275" s="656">
        <v>1</v>
      </c>
      <c r="D275" s="550" t="s">
        <v>1016</v>
      </c>
      <c r="E275" s="657" t="s">
        <v>1010</v>
      </c>
      <c r="F275" s="645" t="s">
        <v>486</v>
      </c>
      <c r="G275" s="646" t="s">
        <v>968</v>
      </c>
      <c r="H275" s="644" t="str">
        <f t="shared" si="78"/>
        <v>praktijklokaal</v>
      </c>
      <c r="I275" s="716" t="s">
        <v>785</v>
      </c>
      <c r="J275" s="648">
        <v>42.5</v>
      </c>
      <c r="K275" s="648"/>
      <c r="L275" s="649">
        <v>6200</v>
      </c>
      <c r="M275" s="555">
        <f t="shared" si="79"/>
        <v>107</v>
      </c>
      <c r="N275" s="453"/>
      <c r="O275" s="555">
        <f t="shared" si="80"/>
        <v>200</v>
      </c>
      <c r="P275" s="630">
        <f t="shared" si="90"/>
        <v>1.1000000000000001</v>
      </c>
      <c r="Q275" s="773">
        <f t="shared" si="81"/>
        <v>0</v>
      </c>
      <c r="R275" s="773">
        <f t="shared" si="82"/>
        <v>0</v>
      </c>
      <c r="S275" s="551">
        <f t="shared" si="83"/>
        <v>0</v>
      </c>
      <c r="T275" s="623">
        <f t="shared" si="84"/>
        <v>0</v>
      </c>
      <c r="U275" s="623">
        <f t="shared" si="85"/>
        <v>0</v>
      </c>
      <c r="V275" s="552">
        <f t="shared" si="86"/>
        <v>0</v>
      </c>
      <c r="W275" s="553" t="str">
        <f t="shared" si="87"/>
        <v>L</v>
      </c>
      <c r="X275" s="554"/>
      <c r="Y275" s="628">
        <f>IF(Q275=0,0,(Q275+R275)*'1.0-Contractblad'!$L$98)</f>
        <v>0</v>
      </c>
      <c r="Z275" s="629">
        <f ca="1">IF(J275=0,0,VLOOKUP(D275,'1.1a-Jaarprijzen'!$B$70:$P$124,14,FALSE)*(K275+J275))</f>
        <v>0</v>
      </c>
      <c r="AA275" s="60">
        <f t="shared" si="88"/>
        <v>0</v>
      </c>
      <c r="AC275" s="60" t="str">
        <f t="shared" si="89"/>
        <v>nvt-0</v>
      </c>
    </row>
    <row r="276" spans="1:29">
      <c r="A276" s="557"/>
      <c r="B276" s="549"/>
      <c r="C276" s="656">
        <v>1</v>
      </c>
      <c r="D276" s="550" t="s">
        <v>1016</v>
      </c>
      <c r="E276" s="657" t="s">
        <v>1010</v>
      </c>
      <c r="F276" s="645" t="s">
        <v>487</v>
      </c>
      <c r="G276" s="646" t="s">
        <v>710</v>
      </c>
      <c r="H276" s="644" t="str">
        <f t="shared" si="78"/>
        <v>niet van toepassing</v>
      </c>
      <c r="I276" s="716" t="s">
        <v>785</v>
      </c>
      <c r="J276" s="648"/>
      <c r="K276" s="648">
        <v>5.03</v>
      </c>
      <c r="L276" s="660" t="s">
        <v>27</v>
      </c>
      <c r="M276" s="555">
        <f t="shared" si="79"/>
        <v>0</v>
      </c>
      <c r="N276" s="453"/>
      <c r="O276" s="555">
        <f t="shared" si="80"/>
        <v>0</v>
      </c>
      <c r="P276" s="630">
        <f t="shared" si="90"/>
        <v>1.1000000000000001</v>
      </c>
      <c r="Q276" s="773">
        <f t="shared" si="81"/>
        <v>0</v>
      </c>
      <c r="R276" s="773">
        <f t="shared" si="82"/>
        <v>0</v>
      </c>
      <c r="S276" s="551">
        <f t="shared" si="83"/>
        <v>0</v>
      </c>
      <c r="T276" s="623">
        <f t="shared" si="84"/>
        <v>0</v>
      </c>
      <c r="U276" s="623">
        <f t="shared" si="85"/>
        <v>0</v>
      </c>
      <c r="V276" s="552">
        <f t="shared" si="86"/>
        <v>0</v>
      </c>
      <c r="W276" s="553">
        <f t="shared" si="87"/>
        <v>0</v>
      </c>
      <c r="X276" s="698"/>
      <c r="Y276" s="628">
        <f>IF(Q276=0,0,(Q276+R276)*'1.0-Contractblad'!$L$98)</f>
        <v>0</v>
      </c>
      <c r="Z276" s="629">
        <f>IF(J276=0,0,VLOOKUP(D276,'1.1a-Jaarprijzen'!$B$70:$P$124,14,FALSE)*(K276+J276))</f>
        <v>0</v>
      </c>
      <c r="AA276" s="60">
        <f t="shared" si="88"/>
        <v>0</v>
      </c>
      <c r="AC276" s="60" t="str">
        <f t="shared" si="89"/>
        <v>nvt-0</v>
      </c>
    </row>
    <row r="277" spans="1:29">
      <c r="A277" s="557"/>
      <c r="B277" s="549"/>
      <c r="C277" s="656">
        <v>1</v>
      </c>
      <c r="D277" s="550" t="s">
        <v>1016</v>
      </c>
      <c r="E277" s="657" t="s">
        <v>1010</v>
      </c>
      <c r="F277" s="645" t="s">
        <v>488</v>
      </c>
      <c r="G277" s="646" t="s">
        <v>559</v>
      </c>
      <c r="H277" s="644" t="str">
        <f t="shared" si="78"/>
        <v>niet van toepassing</v>
      </c>
      <c r="I277" s="716" t="s">
        <v>785</v>
      </c>
      <c r="J277" s="648"/>
      <c r="K277" s="648">
        <v>2.92</v>
      </c>
      <c r="L277" s="660" t="s">
        <v>27</v>
      </c>
      <c r="M277" s="555">
        <f t="shared" si="79"/>
        <v>0</v>
      </c>
      <c r="N277" s="453"/>
      <c r="O277" s="555">
        <f t="shared" si="80"/>
        <v>0</v>
      </c>
      <c r="P277" s="630">
        <f t="shared" si="90"/>
        <v>1.1000000000000001</v>
      </c>
      <c r="Q277" s="773">
        <f t="shared" si="81"/>
        <v>0</v>
      </c>
      <c r="R277" s="773">
        <f t="shared" si="82"/>
        <v>0</v>
      </c>
      <c r="S277" s="551">
        <f t="shared" si="83"/>
        <v>0</v>
      </c>
      <c r="T277" s="623">
        <f t="shared" si="84"/>
        <v>0</v>
      </c>
      <c r="U277" s="623">
        <f t="shared" si="85"/>
        <v>0</v>
      </c>
      <c r="V277" s="552">
        <f t="shared" si="86"/>
        <v>0</v>
      </c>
      <c r="W277" s="553">
        <f t="shared" si="87"/>
        <v>0</v>
      </c>
      <c r="X277" s="698"/>
      <c r="Y277" s="628">
        <f>IF(Q277=0,0,(Q277+R277)*'1.0-Contractblad'!$L$98)</f>
        <v>0</v>
      </c>
      <c r="Z277" s="629">
        <f>IF(J277=0,0,VLOOKUP(D277,'1.1a-Jaarprijzen'!$B$70:$P$124,14,FALSE)*(K277+J277))</f>
        <v>0</v>
      </c>
      <c r="AA277" s="60">
        <f t="shared" si="88"/>
        <v>0</v>
      </c>
      <c r="AC277" s="60" t="str">
        <f t="shared" si="89"/>
        <v>3200-200</v>
      </c>
    </row>
    <row r="278" spans="1:29">
      <c r="A278" s="557"/>
      <c r="B278" s="549"/>
      <c r="C278" s="656">
        <v>1</v>
      </c>
      <c r="D278" s="550" t="s">
        <v>1016</v>
      </c>
      <c r="E278" s="657" t="s">
        <v>1010</v>
      </c>
      <c r="F278" s="645" t="s">
        <v>489</v>
      </c>
      <c r="G278" s="646" t="s">
        <v>781</v>
      </c>
      <c r="H278" s="644" t="str">
        <f t="shared" si="78"/>
        <v>entree, gang, hal, repro, kopieer, was/droogruimte</v>
      </c>
      <c r="I278" s="716" t="s">
        <v>785</v>
      </c>
      <c r="J278" s="648">
        <v>26.38</v>
      </c>
      <c r="K278" s="648"/>
      <c r="L278" s="649">
        <v>3200</v>
      </c>
      <c r="M278" s="555">
        <f t="shared" si="79"/>
        <v>103</v>
      </c>
      <c r="N278" s="453"/>
      <c r="O278" s="555">
        <f t="shared" si="80"/>
        <v>200</v>
      </c>
      <c r="P278" s="630">
        <f t="shared" si="90"/>
        <v>1.1000000000000001</v>
      </c>
      <c r="Q278" s="773">
        <f t="shared" si="81"/>
        <v>0</v>
      </c>
      <c r="R278" s="773">
        <f t="shared" si="82"/>
        <v>0</v>
      </c>
      <c r="S278" s="551">
        <f t="shared" si="83"/>
        <v>0</v>
      </c>
      <c r="T278" s="623">
        <f t="shared" si="84"/>
        <v>0</v>
      </c>
      <c r="U278" s="623">
        <f t="shared" si="85"/>
        <v>0</v>
      </c>
      <c r="V278" s="552">
        <f t="shared" si="86"/>
        <v>0</v>
      </c>
      <c r="W278" s="553" t="str">
        <f t="shared" si="87"/>
        <v>V</v>
      </c>
      <c r="X278" s="554"/>
      <c r="Y278" s="628">
        <f>IF(Q278=0,0,(Q278+R278)*'1.0-Contractblad'!$L$98)</f>
        <v>0</v>
      </c>
      <c r="Z278" s="629">
        <f ca="1">IF(J278=0,0,VLOOKUP(D278,'1.1a-Jaarprijzen'!$B$70:$P$124,14,FALSE)*(K278+J278))</f>
        <v>0</v>
      </c>
      <c r="AA278" s="60">
        <f t="shared" si="88"/>
        <v>0</v>
      </c>
      <c r="AC278" s="60" t="str">
        <f t="shared" si="89"/>
        <v>5200-200</v>
      </c>
    </row>
    <row r="279" spans="1:29">
      <c r="A279" s="557"/>
      <c r="B279" s="549"/>
      <c r="C279" s="656">
        <v>1</v>
      </c>
      <c r="D279" s="550" t="s">
        <v>1016</v>
      </c>
      <c r="E279" s="657" t="s">
        <v>1010</v>
      </c>
      <c r="F279" s="645" t="s">
        <v>490</v>
      </c>
      <c r="G279" s="646" t="s">
        <v>310</v>
      </c>
      <c r="H279" s="644" t="str">
        <f t="shared" si="78"/>
        <v>pantry</v>
      </c>
      <c r="I279" s="716" t="s">
        <v>785</v>
      </c>
      <c r="J279" s="648">
        <v>15.53</v>
      </c>
      <c r="K279" s="648"/>
      <c r="L279" s="649">
        <v>5200</v>
      </c>
      <c r="M279" s="555">
        <f t="shared" si="79"/>
        <v>105</v>
      </c>
      <c r="N279" s="453"/>
      <c r="O279" s="555">
        <f t="shared" si="80"/>
        <v>200</v>
      </c>
      <c r="P279" s="630">
        <f t="shared" si="90"/>
        <v>1.1000000000000001</v>
      </c>
      <c r="Q279" s="773">
        <f t="shared" si="81"/>
        <v>0</v>
      </c>
      <c r="R279" s="773">
        <f t="shared" si="82"/>
        <v>0</v>
      </c>
      <c r="S279" s="551">
        <f t="shared" si="83"/>
        <v>0</v>
      </c>
      <c r="T279" s="623">
        <f t="shared" si="84"/>
        <v>0</v>
      </c>
      <c r="U279" s="623">
        <f t="shared" si="85"/>
        <v>0</v>
      </c>
      <c r="V279" s="552">
        <f t="shared" si="86"/>
        <v>0</v>
      </c>
      <c r="W279" s="553" t="str">
        <f t="shared" si="87"/>
        <v>V</v>
      </c>
      <c r="X279" s="554"/>
      <c r="Y279" s="628">
        <f>IF(Q279=0,0,(Q279+R279)*'1.0-Contractblad'!$L$98)</f>
        <v>0</v>
      </c>
      <c r="Z279" s="629">
        <f ca="1">IF(J279=0,0,VLOOKUP(D279,'1.1a-Jaarprijzen'!$B$70:$P$124,14,FALSE)*(K279+J279))</f>
        <v>0</v>
      </c>
      <c r="AA279" s="60">
        <f t="shared" si="88"/>
        <v>0</v>
      </c>
      <c r="AC279" s="60" t="str">
        <f t="shared" si="89"/>
        <v>7200-200</v>
      </c>
    </row>
    <row r="280" spans="1:29">
      <c r="A280" s="557"/>
      <c r="B280" s="549"/>
      <c r="C280" s="656">
        <v>1</v>
      </c>
      <c r="D280" s="550" t="s">
        <v>1016</v>
      </c>
      <c r="E280" s="657" t="s">
        <v>1010</v>
      </c>
      <c r="F280" s="645" t="s">
        <v>491</v>
      </c>
      <c r="G280" s="646" t="s">
        <v>969</v>
      </c>
      <c r="H280" s="644" t="str">
        <f t="shared" si="78"/>
        <v>leslokaal</v>
      </c>
      <c r="I280" s="716" t="s">
        <v>785</v>
      </c>
      <c r="J280" s="648">
        <v>44</v>
      </c>
      <c r="K280" s="648"/>
      <c r="L280" s="650">
        <v>7200</v>
      </c>
      <c r="M280" s="555">
        <f t="shared" si="79"/>
        <v>107</v>
      </c>
      <c r="N280" s="453"/>
      <c r="O280" s="555">
        <f t="shared" si="80"/>
        <v>200</v>
      </c>
      <c r="P280" s="630">
        <f t="shared" si="90"/>
        <v>1.1000000000000001</v>
      </c>
      <c r="Q280" s="773">
        <f t="shared" si="81"/>
        <v>0</v>
      </c>
      <c r="R280" s="773">
        <f t="shared" si="82"/>
        <v>0</v>
      </c>
      <c r="S280" s="551">
        <f t="shared" si="83"/>
        <v>0</v>
      </c>
      <c r="T280" s="623">
        <f t="shared" si="84"/>
        <v>0</v>
      </c>
      <c r="U280" s="623">
        <f t="shared" si="85"/>
        <v>0</v>
      </c>
      <c r="V280" s="552">
        <f t="shared" si="86"/>
        <v>0</v>
      </c>
      <c r="W280" s="553" t="str">
        <f t="shared" si="87"/>
        <v>L</v>
      </c>
      <c r="X280" s="554"/>
      <c r="Y280" s="628">
        <f>IF(Q280=0,0,(Q280+R280)*'1.0-Contractblad'!$L$98)</f>
        <v>0</v>
      </c>
      <c r="Z280" s="629">
        <f ca="1">IF(J280=0,0,VLOOKUP(D280,'1.1a-Jaarprijzen'!$B$70:$P$124,14,FALSE)*(K280+J280))</f>
        <v>0</v>
      </c>
      <c r="AA280" s="60">
        <f t="shared" si="88"/>
        <v>0</v>
      </c>
      <c r="AC280" s="60" t="str">
        <f t="shared" si="89"/>
        <v>nvt-0</v>
      </c>
    </row>
    <row r="281" spans="1:29">
      <c r="A281" s="557"/>
      <c r="B281" s="549"/>
      <c r="C281" s="656">
        <v>1</v>
      </c>
      <c r="D281" s="550" t="s">
        <v>1016</v>
      </c>
      <c r="E281" s="657" t="s">
        <v>1010</v>
      </c>
      <c r="F281" s="645" t="s">
        <v>492</v>
      </c>
      <c r="G281" s="646" t="s">
        <v>903</v>
      </c>
      <c r="H281" s="644" t="str">
        <f t="shared" si="78"/>
        <v>niet van toepassing</v>
      </c>
      <c r="I281" s="716" t="s">
        <v>785</v>
      </c>
      <c r="J281" s="648"/>
      <c r="K281" s="648">
        <v>7.524</v>
      </c>
      <c r="L281" s="778" t="s">
        <v>27</v>
      </c>
      <c r="M281" s="555">
        <f t="shared" si="79"/>
        <v>0</v>
      </c>
      <c r="N281" s="453"/>
      <c r="O281" s="555">
        <f t="shared" si="80"/>
        <v>0</v>
      </c>
      <c r="P281" s="630">
        <f t="shared" si="90"/>
        <v>1.1000000000000001</v>
      </c>
      <c r="Q281" s="773">
        <f t="shared" si="81"/>
        <v>0</v>
      </c>
      <c r="R281" s="773">
        <f t="shared" si="82"/>
        <v>0</v>
      </c>
      <c r="S281" s="551">
        <f t="shared" si="83"/>
        <v>0</v>
      </c>
      <c r="T281" s="623">
        <f t="shared" si="84"/>
        <v>0</v>
      </c>
      <c r="U281" s="623">
        <f t="shared" si="85"/>
        <v>0</v>
      </c>
      <c r="V281" s="552">
        <f t="shared" si="86"/>
        <v>0</v>
      </c>
      <c r="W281" s="553">
        <f t="shared" si="87"/>
        <v>0</v>
      </c>
      <c r="X281" s="698"/>
      <c r="Y281" s="628">
        <f>IF(Q281=0,0,(Q281+R281)*'1.0-Contractblad'!$L$98)</f>
        <v>0</v>
      </c>
      <c r="Z281" s="629">
        <f>IF(J281=0,0,VLOOKUP(D281,'1.1a-Jaarprijzen'!$B$70:$P$124,14,FALSE)*(K281+J281))</f>
        <v>0</v>
      </c>
      <c r="AA281" s="60">
        <f t="shared" si="88"/>
        <v>0</v>
      </c>
      <c r="AC281" s="60" t="str">
        <f t="shared" si="89"/>
        <v>nvt-0</v>
      </c>
    </row>
    <row r="282" spans="1:29">
      <c r="A282" s="557"/>
      <c r="B282" s="549"/>
      <c r="C282" s="656">
        <v>1</v>
      </c>
      <c r="D282" s="550" t="s">
        <v>1016</v>
      </c>
      <c r="E282" s="657" t="s">
        <v>1010</v>
      </c>
      <c r="F282" s="645" t="s">
        <v>493</v>
      </c>
      <c r="G282" s="646" t="s">
        <v>710</v>
      </c>
      <c r="H282" s="644" t="str">
        <f t="shared" si="78"/>
        <v>niet van toepassing</v>
      </c>
      <c r="I282" s="716" t="s">
        <v>785</v>
      </c>
      <c r="J282" s="648"/>
      <c r="K282" s="648">
        <v>2.81</v>
      </c>
      <c r="L282" s="660" t="s">
        <v>27</v>
      </c>
      <c r="M282" s="555">
        <f t="shared" si="79"/>
        <v>0</v>
      </c>
      <c r="N282" s="453"/>
      <c r="O282" s="555">
        <f t="shared" si="80"/>
        <v>0</v>
      </c>
      <c r="P282" s="630">
        <f t="shared" si="90"/>
        <v>1.1000000000000001</v>
      </c>
      <c r="Q282" s="773">
        <f t="shared" si="81"/>
        <v>0</v>
      </c>
      <c r="R282" s="773">
        <f t="shared" si="82"/>
        <v>0</v>
      </c>
      <c r="S282" s="551">
        <f t="shared" si="83"/>
        <v>0</v>
      </c>
      <c r="T282" s="623">
        <f t="shared" si="84"/>
        <v>0</v>
      </c>
      <c r="U282" s="623">
        <f t="shared" si="85"/>
        <v>0</v>
      </c>
      <c r="V282" s="552">
        <f t="shared" si="86"/>
        <v>0</v>
      </c>
      <c r="W282" s="553">
        <f t="shared" si="87"/>
        <v>0</v>
      </c>
      <c r="X282" s="698"/>
      <c r="Y282" s="628">
        <f>IF(Q282=0,0,(Q282+R282)*'1.0-Contractblad'!$L$98)</f>
        <v>0</v>
      </c>
      <c r="Z282" s="629">
        <f>IF(J282=0,0,VLOOKUP(D282,'1.1a-Jaarprijzen'!$B$70:$P$124,14,FALSE)*(K282+J282))</f>
        <v>0</v>
      </c>
      <c r="AA282" s="60">
        <f t="shared" si="88"/>
        <v>0</v>
      </c>
      <c r="AC282" s="60" t="str">
        <f t="shared" si="89"/>
        <v>7200-200</v>
      </c>
    </row>
    <row r="283" spans="1:29">
      <c r="A283" s="557"/>
      <c r="B283" s="549"/>
      <c r="C283" s="656">
        <v>1</v>
      </c>
      <c r="D283" s="550" t="s">
        <v>1016</v>
      </c>
      <c r="E283" s="657" t="s">
        <v>1010</v>
      </c>
      <c r="F283" s="645" t="s">
        <v>494</v>
      </c>
      <c r="G283" s="646" t="s">
        <v>969</v>
      </c>
      <c r="H283" s="644" t="str">
        <f t="shared" si="78"/>
        <v>leslokaal</v>
      </c>
      <c r="I283" s="716" t="s">
        <v>785</v>
      </c>
      <c r="J283" s="648">
        <v>43.08</v>
      </c>
      <c r="K283" s="648"/>
      <c r="L283" s="650">
        <v>7200</v>
      </c>
      <c r="M283" s="555">
        <f t="shared" si="79"/>
        <v>107</v>
      </c>
      <c r="N283" s="453"/>
      <c r="O283" s="555">
        <f t="shared" si="80"/>
        <v>200</v>
      </c>
      <c r="P283" s="630">
        <f t="shared" si="90"/>
        <v>1.1000000000000001</v>
      </c>
      <c r="Q283" s="773">
        <f t="shared" si="81"/>
        <v>0</v>
      </c>
      <c r="R283" s="773">
        <f t="shared" si="82"/>
        <v>0</v>
      </c>
      <c r="S283" s="551">
        <f t="shared" si="83"/>
        <v>0</v>
      </c>
      <c r="T283" s="623">
        <f t="shared" si="84"/>
        <v>0</v>
      </c>
      <c r="U283" s="623">
        <f t="shared" si="85"/>
        <v>0</v>
      </c>
      <c r="V283" s="552">
        <f t="shared" si="86"/>
        <v>0</v>
      </c>
      <c r="W283" s="553" t="str">
        <f t="shared" si="87"/>
        <v>L</v>
      </c>
      <c r="X283" s="554"/>
      <c r="Y283" s="628">
        <f>IF(Q283=0,0,(Q283+R283)*'1.0-Contractblad'!$L$98)</f>
        <v>0</v>
      </c>
      <c r="Z283" s="629">
        <f ca="1">IF(J283=0,0,VLOOKUP(D283,'1.1a-Jaarprijzen'!$B$70:$P$124,14,FALSE)*(K283+J283))</f>
        <v>0</v>
      </c>
      <c r="AA283" s="60">
        <f t="shared" si="88"/>
        <v>0</v>
      </c>
      <c r="AC283" s="60" t="str">
        <f t="shared" si="89"/>
        <v>1200-200</v>
      </c>
    </row>
    <row r="284" spans="1:29">
      <c r="A284" s="557"/>
      <c r="B284" s="549"/>
      <c r="C284" s="656">
        <v>1</v>
      </c>
      <c r="D284" s="550" t="s">
        <v>1016</v>
      </c>
      <c r="E284" s="657" t="s">
        <v>1010</v>
      </c>
      <c r="F284" s="645" t="s">
        <v>495</v>
      </c>
      <c r="G284" s="646" t="s">
        <v>719</v>
      </c>
      <c r="H284" s="644" t="str">
        <f t="shared" si="78"/>
        <v>administratieve -, personeels- en vergaderruimte</v>
      </c>
      <c r="I284" s="716" t="s">
        <v>785</v>
      </c>
      <c r="J284" s="648">
        <v>16.350000000000001</v>
      </c>
      <c r="K284" s="648"/>
      <c r="L284" s="649">
        <v>1200</v>
      </c>
      <c r="M284" s="555">
        <f t="shared" si="79"/>
        <v>101</v>
      </c>
      <c r="N284" s="453"/>
      <c r="O284" s="555">
        <f t="shared" si="80"/>
        <v>200</v>
      </c>
      <c r="P284" s="630">
        <f t="shared" si="90"/>
        <v>1.1000000000000001</v>
      </c>
      <c r="Q284" s="773">
        <f t="shared" si="81"/>
        <v>0</v>
      </c>
      <c r="R284" s="773">
        <f t="shared" si="82"/>
        <v>0</v>
      </c>
      <c r="S284" s="551">
        <f t="shared" si="83"/>
        <v>0</v>
      </c>
      <c r="T284" s="623">
        <f t="shared" si="84"/>
        <v>0</v>
      </c>
      <c r="U284" s="623">
        <f t="shared" si="85"/>
        <v>0</v>
      </c>
      <c r="V284" s="552">
        <f t="shared" si="86"/>
        <v>0</v>
      </c>
      <c r="W284" s="553" t="str">
        <f t="shared" si="87"/>
        <v>B</v>
      </c>
      <c r="X284" s="554"/>
      <c r="Y284" s="628">
        <f>IF(Q284=0,0,(Q284+R284)*'1.0-Contractblad'!$L$98)</f>
        <v>0</v>
      </c>
      <c r="Z284" s="629">
        <f ca="1">IF(J284=0,0,VLOOKUP(D284,'1.1a-Jaarprijzen'!$B$70:$P$124,14,FALSE)*(K284+J284))</f>
        <v>0</v>
      </c>
      <c r="AA284" s="60">
        <f t="shared" si="88"/>
        <v>0</v>
      </c>
      <c r="AC284" s="60" t="str">
        <f t="shared" si="89"/>
        <v>1200-200</v>
      </c>
    </row>
    <row r="285" spans="1:29">
      <c r="A285" s="557"/>
      <c r="B285" s="549"/>
      <c r="C285" s="656">
        <v>1</v>
      </c>
      <c r="D285" s="550" t="s">
        <v>1016</v>
      </c>
      <c r="E285" s="657" t="s">
        <v>1010</v>
      </c>
      <c r="F285" s="645" t="s">
        <v>496</v>
      </c>
      <c r="G285" s="646" t="s">
        <v>720</v>
      </c>
      <c r="H285" s="644" t="str">
        <f t="shared" si="78"/>
        <v>administratieve -, personeels- en vergaderruimte</v>
      </c>
      <c r="I285" s="716" t="s">
        <v>785</v>
      </c>
      <c r="J285" s="648">
        <v>17.34</v>
      </c>
      <c r="K285" s="648"/>
      <c r="L285" s="649">
        <v>1200</v>
      </c>
      <c r="M285" s="555">
        <f t="shared" si="79"/>
        <v>101</v>
      </c>
      <c r="N285" s="453"/>
      <c r="O285" s="555">
        <f t="shared" si="80"/>
        <v>200</v>
      </c>
      <c r="P285" s="630">
        <f t="shared" si="90"/>
        <v>1.1000000000000001</v>
      </c>
      <c r="Q285" s="773">
        <f t="shared" si="81"/>
        <v>0</v>
      </c>
      <c r="R285" s="773">
        <f t="shared" si="82"/>
        <v>0</v>
      </c>
      <c r="S285" s="551">
        <f t="shared" si="83"/>
        <v>0</v>
      </c>
      <c r="T285" s="623">
        <f t="shared" si="84"/>
        <v>0</v>
      </c>
      <c r="U285" s="623">
        <f t="shared" si="85"/>
        <v>0</v>
      </c>
      <c r="V285" s="552">
        <f t="shared" si="86"/>
        <v>0</v>
      </c>
      <c r="W285" s="553" t="str">
        <f t="shared" si="87"/>
        <v>B</v>
      </c>
      <c r="X285" s="554"/>
      <c r="Y285" s="628">
        <f>IF(Q285=0,0,(Q285+R285)*'1.0-Contractblad'!$L$98)</f>
        <v>0</v>
      </c>
      <c r="Z285" s="629">
        <f ca="1">IF(J285=0,0,VLOOKUP(D285,'1.1a-Jaarprijzen'!$B$70:$P$124,14,FALSE)*(K285+J285))</f>
        <v>0</v>
      </c>
      <c r="AA285" s="60">
        <f t="shared" si="88"/>
        <v>0</v>
      </c>
      <c r="AC285" s="60" t="str">
        <f t="shared" si="89"/>
        <v>4200-200</v>
      </c>
    </row>
    <row r="286" spans="1:29">
      <c r="A286" s="557"/>
      <c r="B286" s="549"/>
      <c r="C286" s="656">
        <v>1</v>
      </c>
      <c r="D286" s="550" t="s">
        <v>1016</v>
      </c>
      <c r="E286" s="657" t="s">
        <v>1010</v>
      </c>
      <c r="F286" s="645" t="s">
        <v>497</v>
      </c>
      <c r="G286" s="646" t="s">
        <v>800</v>
      </c>
      <c r="H286" s="644" t="str">
        <f t="shared" si="78"/>
        <v>sanitaire ruimte (toilet-/doucheruimte)</v>
      </c>
      <c r="I286" s="716" t="s">
        <v>1009</v>
      </c>
      <c r="J286" s="648">
        <v>3.38</v>
      </c>
      <c r="K286" s="648"/>
      <c r="L286" s="649">
        <v>4200</v>
      </c>
      <c r="M286" s="555">
        <f t="shared" si="79"/>
        <v>104</v>
      </c>
      <c r="N286" s="453"/>
      <c r="O286" s="555">
        <f t="shared" si="80"/>
        <v>200</v>
      </c>
      <c r="P286" s="630">
        <f t="shared" si="90"/>
        <v>1.1000000000000001</v>
      </c>
      <c r="Q286" s="773">
        <f t="shared" si="81"/>
        <v>0</v>
      </c>
      <c r="R286" s="773">
        <f t="shared" si="82"/>
        <v>0</v>
      </c>
      <c r="S286" s="551">
        <f t="shared" si="83"/>
        <v>0</v>
      </c>
      <c r="T286" s="623">
        <f t="shared" si="84"/>
        <v>0</v>
      </c>
      <c r="U286" s="623">
        <f t="shared" si="85"/>
        <v>0</v>
      </c>
      <c r="V286" s="552">
        <f t="shared" si="86"/>
        <v>0</v>
      </c>
      <c r="W286" s="553" t="str">
        <f t="shared" si="87"/>
        <v>S</v>
      </c>
      <c r="X286" s="554"/>
      <c r="Y286" s="628">
        <f>IF(Q286=0,0,(Q286+R286)*'1.0-Contractblad'!$L$98)</f>
        <v>0</v>
      </c>
      <c r="Z286" s="629">
        <f ca="1">IF(J286=0,0,VLOOKUP(D286,'1.1a-Jaarprijzen'!$B$70:$P$124,14,FALSE)*(K286+J286))</f>
        <v>0</v>
      </c>
      <c r="AA286" s="60">
        <f t="shared" si="88"/>
        <v>0</v>
      </c>
      <c r="AC286" s="60" t="str">
        <f t="shared" si="89"/>
        <v>3200-200</v>
      </c>
    </row>
    <row r="287" spans="1:29">
      <c r="A287" s="557"/>
      <c r="B287" s="549"/>
      <c r="C287" s="656">
        <v>1</v>
      </c>
      <c r="D287" s="550" t="s">
        <v>1016</v>
      </c>
      <c r="E287" s="657" t="s">
        <v>694</v>
      </c>
      <c r="F287" s="645" t="s">
        <v>836</v>
      </c>
      <c r="G287" s="646" t="s">
        <v>970</v>
      </c>
      <c r="H287" s="644" t="str">
        <f t="shared" si="78"/>
        <v>entree, gang, hal, repro, kopieer, was/droogruimte</v>
      </c>
      <c r="I287" s="716" t="s">
        <v>785</v>
      </c>
      <c r="J287" s="648">
        <v>51.52</v>
      </c>
      <c r="K287" s="648"/>
      <c r="L287" s="649">
        <v>3200</v>
      </c>
      <c r="M287" s="555">
        <f t="shared" si="79"/>
        <v>103</v>
      </c>
      <c r="N287" s="453"/>
      <c r="O287" s="555">
        <f t="shared" si="80"/>
        <v>200</v>
      </c>
      <c r="P287" s="630">
        <f t="shared" si="90"/>
        <v>1.1000000000000001</v>
      </c>
      <c r="Q287" s="773">
        <f t="shared" si="81"/>
        <v>0</v>
      </c>
      <c r="R287" s="773">
        <f t="shared" si="82"/>
        <v>0</v>
      </c>
      <c r="S287" s="551">
        <f t="shared" si="83"/>
        <v>0</v>
      </c>
      <c r="T287" s="623">
        <f t="shared" si="84"/>
        <v>0</v>
      </c>
      <c r="U287" s="623">
        <f t="shared" si="85"/>
        <v>0</v>
      </c>
      <c r="V287" s="552">
        <f t="shared" si="86"/>
        <v>0</v>
      </c>
      <c r="W287" s="553" t="str">
        <f t="shared" si="87"/>
        <v>V</v>
      </c>
      <c r="X287" s="554"/>
      <c r="Y287" s="628">
        <f>IF(Q287=0,0,(Q287+R287)*'1.0-Contractblad'!$L$98)</f>
        <v>0</v>
      </c>
      <c r="Z287" s="629">
        <f ca="1">IF(J287=0,0,VLOOKUP(D287,'1.1a-Jaarprijzen'!$B$70:$P$124,14,FALSE)*(K287+J287))</f>
        <v>0</v>
      </c>
      <c r="AA287" s="60">
        <f t="shared" si="88"/>
        <v>0</v>
      </c>
      <c r="AC287" s="60" t="str">
        <f t="shared" si="89"/>
        <v>4200-200</v>
      </c>
    </row>
    <row r="288" spans="1:29">
      <c r="A288" s="557"/>
      <c r="B288" s="549"/>
      <c r="C288" s="656">
        <v>1</v>
      </c>
      <c r="D288" s="550" t="s">
        <v>1016</v>
      </c>
      <c r="E288" s="657" t="s">
        <v>694</v>
      </c>
      <c r="F288" s="645" t="s">
        <v>837</v>
      </c>
      <c r="G288" s="646" t="s">
        <v>800</v>
      </c>
      <c r="H288" s="644" t="str">
        <f t="shared" si="78"/>
        <v>sanitaire ruimte (toilet-/doucheruimte)</v>
      </c>
      <c r="I288" s="716" t="s">
        <v>1009</v>
      </c>
      <c r="J288" s="648">
        <v>7.73</v>
      </c>
      <c r="K288" s="648"/>
      <c r="L288" s="649">
        <v>4200</v>
      </c>
      <c r="M288" s="555">
        <f t="shared" si="79"/>
        <v>104</v>
      </c>
      <c r="N288" s="453"/>
      <c r="O288" s="555">
        <f t="shared" si="80"/>
        <v>200</v>
      </c>
      <c r="P288" s="630">
        <f t="shared" si="90"/>
        <v>1.1000000000000001</v>
      </c>
      <c r="Q288" s="773">
        <f t="shared" si="81"/>
        <v>0</v>
      </c>
      <c r="R288" s="773">
        <f t="shared" si="82"/>
        <v>0</v>
      </c>
      <c r="S288" s="551">
        <f t="shared" si="83"/>
        <v>0</v>
      </c>
      <c r="T288" s="623">
        <f t="shared" si="84"/>
        <v>0</v>
      </c>
      <c r="U288" s="623">
        <f t="shared" si="85"/>
        <v>0</v>
      </c>
      <c r="V288" s="552">
        <f t="shared" si="86"/>
        <v>0</v>
      </c>
      <c r="W288" s="553" t="str">
        <f t="shared" si="87"/>
        <v>S</v>
      </c>
      <c r="X288" s="554"/>
      <c r="Y288" s="628">
        <f>IF(Q288=0,0,(Q288+R288)*'1.0-Contractblad'!$L$98)</f>
        <v>0</v>
      </c>
      <c r="Z288" s="629">
        <f ca="1">IF(J288=0,0,VLOOKUP(D288,'1.1a-Jaarprijzen'!$B$70:$P$124,14,FALSE)*(K288+J288))</f>
        <v>0</v>
      </c>
      <c r="AA288" s="60">
        <f t="shared" si="88"/>
        <v>0</v>
      </c>
      <c r="AC288" s="60" t="str">
        <f t="shared" si="89"/>
        <v>4200-200</v>
      </c>
    </row>
    <row r="289" spans="1:29">
      <c r="A289" s="557"/>
      <c r="B289" s="549"/>
      <c r="C289" s="656">
        <v>1</v>
      </c>
      <c r="D289" s="550" t="s">
        <v>1016</v>
      </c>
      <c r="E289" s="657" t="s">
        <v>694</v>
      </c>
      <c r="F289" s="645" t="s">
        <v>838</v>
      </c>
      <c r="G289" s="646" t="s">
        <v>801</v>
      </c>
      <c r="H289" s="644" t="str">
        <f t="shared" si="78"/>
        <v>sanitaire ruimte (toilet-/doucheruimte)</v>
      </c>
      <c r="I289" s="716" t="s">
        <v>1009</v>
      </c>
      <c r="J289" s="648">
        <v>6.28</v>
      </c>
      <c r="K289" s="648"/>
      <c r="L289" s="649">
        <v>4200</v>
      </c>
      <c r="M289" s="555">
        <f t="shared" si="79"/>
        <v>104</v>
      </c>
      <c r="N289" s="453"/>
      <c r="O289" s="555">
        <f t="shared" si="80"/>
        <v>200</v>
      </c>
      <c r="P289" s="630">
        <f t="shared" si="90"/>
        <v>1.1000000000000001</v>
      </c>
      <c r="Q289" s="773">
        <f t="shared" si="81"/>
        <v>0</v>
      </c>
      <c r="R289" s="773">
        <f t="shared" si="82"/>
        <v>0</v>
      </c>
      <c r="S289" s="551">
        <f t="shared" si="83"/>
        <v>0</v>
      </c>
      <c r="T289" s="623">
        <f t="shared" si="84"/>
        <v>0</v>
      </c>
      <c r="U289" s="623">
        <f t="shared" si="85"/>
        <v>0</v>
      </c>
      <c r="V289" s="552">
        <f t="shared" si="86"/>
        <v>0</v>
      </c>
      <c r="W289" s="553" t="str">
        <f t="shared" si="87"/>
        <v>S</v>
      </c>
      <c r="X289" s="554"/>
      <c r="Y289" s="628">
        <f>IF(Q289=0,0,(Q289+R289)*'1.0-Contractblad'!$L$98)</f>
        <v>0</v>
      </c>
      <c r="Z289" s="629">
        <f ca="1">IF(J289=0,0,VLOOKUP(D289,'1.1a-Jaarprijzen'!$B$70:$P$124,14,FALSE)*(K289+J289))</f>
        <v>0</v>
      </c>
      <c r="AA289" s="60">
        <f t="shared" si="88"/>
        <v>0</v>
      </c>
      <c r="AC289" s="60" t="str">
        <f t="shared" si="89"/>
        <v>4200-200</v>
      </c>
    </row>
    <row r="290" spans="1:29">
      <c r="A290" s="557"/>
      <c r="B290" s="549"/>
      <c r="C290" s="656">
        <v>1</v>
      </c>
      <c r="D290" s="550" t="s">
        <v>1016</v>
      </c>
      <c r="E290" s="657" t="s">
        <v>694</v>
      </c>
      <c r="F290" s="645" t="s">
        <v>839</v>
      </c>
      <c r="G290" s="646" t="s">
        <v>711</v>
      </c>
      <c r="H290" s="644" t="str">
        <f t="shared" si="78"/>
        <v>sanitaire ruimte (toilet-/doucheruimte)</v>
      </c>
      <c r="I290" s="716" t="s">
        <v>1009</v>
      </c>
      <c r="J290" s="648">
        <v>3.16</v>
      </c>
      <c r="K290" s="648"/>
      <c r="L290" s="649">
        <v>4200</v>
      </c>
      <c r="M290" s="555">
        <f t="shared" si="79"/>
        <v>104</v>
      </c>
      <c r="N290" s="453"/>
      <c r="O290" s="555">
        <f t="shared" si="80"/>
        <v>200</v>
      </c>
      <c r="P290" s="630">
        <f t="shared" si="90"/>
        <v>1.1000000000000001</v>
      </c>
      <c r="Q290" s="773">
        <f t="shared" si="81"/>
        <v>0</v>
      </c>
      <c r="R290" s="773">
        <f t="shared" si="82"/>
        <v>0</v>
      </c>
      <c r="S290" s="551">
        <f t="shared" si="83"/>
        <v>0</v>
      </c>
      <c r="T290" s="623">
        <f t="shared" si="84"/>
        <v>0</v>
      </c>
      <c r="U290" s="623">
        <f t="shared" si="85"/>
        <v>0</v>
      </c>
      <c r="V290" s="552">
        <f t="shared" si="86"/>
        <v>0</v>
      </c>
      <c r="W290" s="553" t="str">
        <f t="shared" si="87"/>
        <v>S</v>
      </c>
      <c r="X290" s="554"/>
      <c r="Y290" s="628">
        <f>IF(Q290=0,0,(Q290+R290)*'1.0-Contractblad'!$L$98)</f>
        <v>0</v>
      </c>
      <c r="Z290" s="629">
        <f ca="1">IF(J290=0,0,VLOOKUP(D290,'1.1a-Jaarprijzen'!$B$70:$P$124,14,FALSE)*(K290+J290))</f>
        <v>0</v>
      </c>
      <c r="AA290" s="60">
        <f t="shared" si="88"/>
        <v>0</v>
      </c>
      <c r="AC290" s="60" t="str">
        <f t="shared" si="89"/>
        <v>nvt-0</v>
      </c>
    </row>
    <row r="291" spans="1:29">
      <c r="A291" s="557"/>
      <c r="B291" s="549"/>
      <c r="C291" s="656">
        <v>1</v>
      </c>
      <c r="D291" s="550" t="s">
        <v>1016</v>
      </c>
      <c r="E291" s="657" t="s">
        <v>694</v>
      </c>
      <c r="F291" s="645" t="s">
        <v>840</v>
      </c>
      <c r="G291" s="646" t="s">
        <v>559</v>
      </c>
      <c r="H291" s="644" t="str">
        <f t="shared" ref="H291:H354" si="91">IF(L291="","",VLOOKUP(L291,Kengetal,4,FALSE))</f>
        <v>niet van toepassing</v>
      </c>
      <c r="I291" s="716" t="s">
        <v>785</v>
      </c>
      <c r="J291" s="648"/>
      <c r="K291" s="648">
        <v>9.01</v>
      </c>
      <c r="L291" s="660" t="s">
        <v>27</v>
      </c>
      <c r="M291" s="555">
        <f t="shared" si="79"/>
        <v>0</v>
      </c>
      <c r="N291" s="453"/>
      <c r="O291" s="555">
        <f t="shared" si="80"/>
        <v>0</v>
      </c>
      <c r="P291" s="630">
        <f t="shared" si="90"/>
        <v>1.1000000000000001</v>
      </c>
      <c r="Q291" s="773">
        <f t="shared" si="81"/>
        <v>0</v>
      </c>
      <c r="R291" s="773">
        <f t="shared" si="82"/>
        <v>0</v>
      </c>
      <c r="S291" s="551">
        <f t="shared" si="83"/>
        <v>0</v>
      </c>
      <c r="T291" s="623">
        <f t="shared" si="84"/>
        <v>0</v>
      </c>
      <c r="U291" s="623">
        <f t="shared" si="85"/>
        <v>0</v>
      </c>
      <c r="V291" s="552">
        <f t="shared" si="86"/>
        <v>0</v>
      </c>
      <c r="W291" s="553">
        <f t="shared" si="87"/>
        <v>0</v>
      </c>
      <c r="X291" s="698"/>
      <c r="Y291" s="628">
        <f>IF(Q291=0,0,(Q291+R291)*'1.0-Contractblad'!$L$98)</f>
        <v>0</v>
      </c>
      <c r="Z291" s="629">
        <f>IF(J291=0,0,VLOOKUP(D291,'1.1a-Jaarprijzen'!$B$70:$P$124,14,FALSE)*(K291+J291))</f>
        <v>0</v>
      </c>
      <c r="AA291" s="60">
        <f t="shared" si="88"/>
        <v>0</v>
      </c>
      <c r="AC291" s="60" t="str">
        <f t="shared" si="89"/>
        <v>1200-200</v>
      </c>
    </row>
    <row r="292" spans="1:29">
      <c r="A292" s="557"/>
      <c r="B292" s="549"/>
      <c r="C292" s="656">
        <v>1</v>
      </c>
      <c r="D292" s="550" t="s">
        <v>1016</v>
      </c>
      <c r="E292" s="657" t="s">
        <v>694</v>
      </c>
      <c r="F292" s="645" t="s">
        <v>841</v>
      </c>
      <c r="G292" s="646" t="s">
        <v>709</v>
      </c>
      <c r="H292" s="644" t="str">
        <f t="shared" si="91"/>
        <v>administratieve -, personeels- en vergaderruimte</v>
      </c>
      <c r="I292" s="716" t="s">
        <v>785</v>
      </c>
      <c r="J292" s="648">
        <v>14.01</v>
      </c>
      <c r="K292" s="648"/>
      <c r="L292" s="649">
        <v>1200</v>
      </c>
      <c r="M292" s="555">
        <f t="shared" si="79"/>
        <v>101</v>
      </c>
      <c r="N292" s="453"/>
      <c r="O292" s="555">
        <f t="shared" si="80"/>
        <v>200</v>
      </c>
      <c r="P292" s="630">
        <f t="shared" si="90"/>
        <v>1.1000000000000001</v>
      </c>
      <c r="Q292" s="773">
        <f t="shared" si="81"/>
        <v>0</v>
      </c>
      <c r="R292" s="773">
        <f t="shared" si="82"/>
        <v>0</v>
      </c>
      <c r="S292" s="551">
        <f t="shared" si="83"/>
        <v>0</v>
      </c>
      <c r="T292" s="623">
        <f t="shared" ref="T292:T355" si="92">VLOOKUP($L292,Kengetal,6,FALSE)</f>
        <v>0</v>
      </c>
      <c r="U292" s="623">
        <f t="shared" ref="U292:U355" si="93">VLOOKUP($L292,Kengetal,7,FALSE)</f>
        <v>0</v>
      </c>
      <c r="V292" s="552">
        <f t="shared" ref="V292:V355" si="94">VLOOKUP($N292,Kengetal,7,FALSE)</f>
        <v>0</v>
      </c>
      <c r="W292" s="553" t="str">
        <f t="shared" si="87"/>
        <v>B</v>
      </c>
      <c r="X292" s="554"/>
      <c r="Y292" s="628">
        <f>IF(Q292=0,0,(Q292+R292)*'1.0-Contractblad'!$L$98)</f>
        <v>0</v>
      </c>
      <c r="Z292" s="629">
        <f ca="1">IF(J292=0,0,VLOOKUP(D292,'1.1a-Jaarprijzen'!$B$70:$P$124,14,FALSE)*(K292+J292))</f>
        <v>0</v>
      </c>
      <c r="AA292" s="60">
        <f t="shared" si="88"/>
        <v>0</v>
      </c>
      <c r="AC292" s="60" t="str">
        <f t="shared" si="89"/>
        <v>nvt-0</v>
      </c>
    </row>
    <row r="293" spans="1:29">
      <c r="A293" s="557"/>
      <c r="B293" s="549"/>
      <c r="C293" s="656">
        <v>1</v>
      </c>
      <c r="D293" s="550" t="s">
        <v>1016</v>
      </c>
      <c r="E293" s="657" t="s">
        <v>694</v>
      </c>
      <c r="F293" s="645" t="s">
        <v>842</v>
      </c>
      <c r="G293" s="646" t="s">
        <v>710</v>
      </c>
      <c r="H293" s="644" t="str">
        <f t="shared" si="91"/>
        <v>niet van toepassing</v>
      </c>
      <c r="I293" s="716" t="s">
        <v>785</v>
      </c>
      <c r="J293" s="648"/>
      <c r="K293" s="648">
        <v>8.5399999999999991</v>
      </c>
      <c r="L293" s="660" t="s">
        <v>27</v>
      </c>
      <c r="M293" s="555">
        <f t="shared" ref="M293:M356" si="95">VLOOKUP(L293,Kengetal,2,FALSE)</f>
        <v>0</v>
      </c>
      <c r="N293" s="453"/>
      <c r="O293" s="555">
        <f t="shared" ref="O293:O356" si="96">VLOOKUP(L293,Kengetal,3,FALSE)</f>
        <v>0</v>
      </c>
      <c r="P293" s="630">
        <f t="shared" si="90"/>
        <v>1.1000000000000001</v>
      </c>
      <c r="Q293" s="773">
        <f t="shared" ref="Q293:Q356" si="97">T293*J293*P293</f>
        <v>0</v>
      </c>
      <c r="R293" s="773">
        <f t="shared" ref="R293:R356" si="98">U293*J293*P293</f>
        <v>0</v>
      </c>
      <c r="S293" s="551">
        <f t="shared" ref="S293:S356" si="99">V293*J293*P293</f>
        <v>0</v>
      </c>
      <c r="T293" s="623">
        <f t="shared" si="92"/>
        <v>0</v>
      </c>
      <c r="U293" s="623">
        <f t="shared" si="93"/>
        <v>0</v>
      </c>
      <c r="V293" s="552">
        <f t="shared" si="94"/>
        <v>0</v>
      </c>
      <c r="W293" s="553">
        <f t="shared" ref="W293:W356" si="100">IF(L293="","",VLOOKUP(L293,Kengetal,14,FALSE))</f>
        <v>0</v>
      </c>
      <c r="X293" s="698"/>
      <c r="Y293" s="628">
        <f>IF(Q293=0,0,(Q293+R293)*'1.0-Contractblad'!$L$98)</f>
        <v>0</v>
      </c>
      <c r="Z293" s="629">
        <f>IF(J293=0,0,VLOOKUP(D293,'1.1a-Jaarprijzen'!$B$70:$P$124,14,FALSE)*(K293+J293))</f>
        <v>0</v>
      </c>
      <c r="AA293" s="60">
        <f t="shared" si="88"/>
        <v>0</v>
      </c>
      <c r="AC293" s="60" t="str">
        <f t="shared" si="89"/>
        <v>7200-200</v>
      </c>
    </row>
    <row r="294" spans="1:29">
      <c r="A294" s="557"/>
      <c r="B294" s="549"/>
      <c r="C294" s="656">
        <v>1</v>
      </c>
      <c r="D294" s="550" t="s">
        <v>1016</v>
      </c>
      <c r="E294" s="657" t="s">
        <v>694</v>
      </c>
      <c r="F294" s="645" t="s">
        <v>843</v>
      </c>
      <c r="G294" s="646" t="s">
        <v>969</v>
      </c>
      <c r="H294" s="644" t="str">
        <f t="shared" si="91"/>
        <v>leslokaal</v>
      </c>
      <c r="I294" s="716" t="s">
        <v>785</v>
      </c>
      <c r="J294" s="648">
        <v>44.89</v>
      </c>
      <c r="K294" s="648"/>
      <c r="L294" s="650">
        <v>7200</v>
      </c>
      <c r="M294" s="555">
        <f t="shared" si="95"/>
        <v>107</v>
      </c>
      <c r="N294" s="453"/>
      <c r="O294" s="555">
        <f t="shared" si="96"/>
        <v>200</v>
      </c>
      <c r="P294" s="630">
        <f t="shared" si="90"/>
        <v>1.1000000000000001</v>
      </c>
      <c r="Q294" s="773">
        <f t="shared" si="97"/>
        <v>0</v>
      </c>
      <c r="R294" s="773">
        <f t="shared" si="98"/>
        <v>0</v>
      </c>
      <c r="S294" s="551">
        <f t="shared" si="99"/>
        <v>0</v>
      </c>
      <c r="T294" s="623">
        <f t="shared" si="92"/>
        <v>0</v>
      </c>
      <c r="U294" s="623">
        <f t="shared" si="93"/>
        <v>0</v>
      </c>
      <c r="V294" s="552">
        <f t="shared" si="94"/>
        <v>0</v>
      </c>
      <c r="W294" s="553" t="str">
        <f t="shared" si="100"/>
        <v>L</v>
      </c>
      <c r="X294" s="554"/>
      <c r="Y294" s="628">
        <f>IF(Q294=0,0,(Q294+R294)*'1.0-Contractblad'!$L$98)</f>
        <v>0</v>
      </c>
      <c r="Z294" s="629">
        <f ca="1">IF(J294=0,0,VLOOKUP(D294,'1.1a-Jaarprijzen'!$B$70:$P$124,14,FALSE)*(K294+J294))</f>
        <v>0</v>
      </c>
      <c r="AA294" s="60">
        <f t="shared" si="88"/>
        <v>0</v>
      </c>
      <c r="AC294" s="60" t="str">
        <f t="shared" si="89"/>
        <v>7200-200</v>
      </c>
    </row>
    <row r="295" spans="1:29">
      <c r="A295" s="557"/>
      <c r="B295" s="549"/>
      <c r="C295" s="656">
        <v>1</v>
      </c>
      <c r="D295" s="550" t="s">
        <v>1016</v>
      </c>
      <c r="E295" s="657" t="s">
        <v>694</v>
      </c>
      <c r="F295" s="645" t="s">
        <v>844</v>
      </c>
      <c r="G295" s="646" t="s">
        <v>969</v>
      </c>
      <c r="H295" s="644" t="str">
        <f t="shared" si="91"/>
        <v>leslokaal</v>
      </c>
      <c r="I295" s="716" t="s">
        <v>785</v>
      </c>
      <c r="J295" s="648">
        <v>43.41</v>
      </c>
      <c r="K295" s="648"/>
      <c r="L295" s="650">
        <v>7200</v>
      </c>
      <c r="M295" s="555">
        <f t="shared" si="95"/>
        <v>107</v>
      </c>
      <c r="N295" s="453"/>
      <c r="O295" s="555">
        <f t="shared" si="96"/>
        <v>200</v>
      </c>
      <c r="P295" s="630">
        <f t="shared" si="90"/>
        <v>1.1000000000000001</v>
      </c>
      <c r="Q295" s="773">
        <f t="shared" si="97"/>
        <v>0</v>
      </c>
      <c r="R295" s="773">
        <f t="shared" si="98"/>
        <v>0</v>
      </c>
      <c r="S295" s="551">
        <f t="shared" si="99"/>
        <v>0</v>
      </c>
      <c r="T295" s="623">
        <f t="shared" si="92"/>
        <v>0</v>
      </c>
      <c r="U295" s="623">
        <f t="shared" si="93"/>
        <v>0</v>
      </c>
      <c r="V295" s="552">
        <f t="shared" si="94"/>
        <v>0</v>
      </c>
      <c r="W295" s="553" t="str">
        <f t="shared" si="100"/>
        <v>L</v>
      </c>
      <c r="X295" s="554"/>
      <c r="Y295" s="628">
        <f>IF(Q295=0,0,(Q295+R295)*'1.0-Contractblad'!$L$98)</f>
        <v>0</v>
      </c>
      <c r="Z295" s="629">
        <f ca="1">IF(J295=0,0,VLOOKUP(D295,'1.1a-Jaarprijzen'!$B$70:$P$124,14,FALSE)*(K295+J295))</f>
        <v>0</v>
      </c>
      <c r="AA295" s="60">
        <f t="shared" si="88"/>
        <v>0</v>
      </c>
      <c r="AC295" s="60" t="str">
        <f t="shared" si="89"/>
        <v>6200-200</v>
      </c>
    </row>
    <row r="296" spans="1:29">
      <c r="A296" s="557"/>
      <c r="B296" s="549"/>
      <c r="C296" s="656">
        <v>1</v>
      </c>
      <c r="D296" s="550" t="s">
        <v>1016</v>
      </c>
      <c r="E296" s="657" t="s">
        <v>694</v>
      </c>
      <c r="F296" s="645" t="s">
        <v>498</v>
      </c>
      <c r="G296" s="646" t="s">
        <v>971</v>
      </c>
      <c r="H296" s="644" t="str">
        <f t="shared" si="91"/>
        <v>praktijklokaal</v>
      </c>
      <c r="I296" s="716" t="s">
        <v>785</v>
      </c>
      <c r="J296" s="648">
        <v>48.46</v>
      </c>
      <c r="K296" s="648"/>
      <c r="L296" s="649">
        <v>6200</v>
      </c>
      <c r="M296" s="555">
        <f t="shared" si="95"/>
        <v>107</v>
      </c>
      <c r="N296" s="453"/>
      <c r="O296" s="555">
        <f t="shared" si="96"/>
        <v>200</v>
      </c>
      <c r="P296" s="630">
        <f t="shared" si="90"/>
        <v>1.1000000000000001</v>
      </c>
      <c r="Q296" s="773">
        <f t="shared" si="97"/>
        <v>0</v>
      </c>
      <c r="R296" s="773">
        <f t="shared" si="98"/>
        <v>0</v>
      </c>
      <c r="S296" s="551">
        <f t="shared" si="99"/>
        <v>0</v>
      </c>
      <c r="T296" s="623">
        <f t="shared" si="92"/>
        <v>0</v>
      </c>
      <c r="U296" s="623">
        <f t="shared" si="93"/>
        <v>0</v>
      </c>
      <c r="V296" s="552">
        <f t="shared" si="94"/>
        <v>0</v>
      </c>
      <c r="W296" s="553" t="str">
        <f t="shared" si="100"/>
        <v>L</v>
      </c>
      <c r="X296" s="554"/>
      <c r="Y296" s="628">
        <f>IF(Q296=0,0,(Q296+R296)*'1.0-Contractblad'!$L$98)</f>
        <v>0</v>
      </c>
      <c r="Z296" s="629">
        <f ca="1">IF(J296=0,0,VLOOKUP(D296,'1.1a-Jaarprijzen'!$B$70:$P$124,14,FALSE)*(K296+J296))</f>
        <v>0</v>
      </c>
      <c r="AA296" s="60">
        <f t="shared" si="88"/>
        <v>0</v>
      </c>
      <c r="AC296" s="60" t="str">
        <f t="shared" si="89"/>
        <v>3200-200</v>
      </c>
    </row>
    <row r="297" spans="1:29">
      <c r="A297" s="557"/>
      <c r="B297" s="549"/>
      <c r="C297" s="656">
        <v>1</v>
      </c>
      <c r="D297" s="550" t="s">
        <v>1016</v>
      </c>
      <c r="E297" s="657" t="s">
        <v>694</v>
      </c>
      <c r="F297" s="645" t="s">
        <v>499</v>
      </c>
      <c r="G297" s="646" t="s">
        <v>781</v>
      </c>
      <c r="H297" s="644" t="str">
        <f t="shared" si="91"/>
        <v>entree, gang, hal, repro, kopieer, was/droogruimte</v>
      </c>
      <c r="I297" s="716" t="s">
        <v>785</v>
      </c>
      <c r="J297" s="648">
        <v>28.95</v>
      </c>
      <c r="K297" s="648"/>
      <c r="L297" s="649">
        <v>3200</v>
      </c>
      <c r="M297" s="555">
        <f t="shared" si="95"/>
        <v>103</v>
      </c>
      <c r="N297" s="453"/>
      <c r="O297" s="555">
        <f t="shared" si="96"/>
        <v>200</v>
      </c>
      <c r="P297" s="630">
        <f t="shared" si="90"/>
        <v>1.1000000000000001</v>
      </c>
      <c r="Q297" s="773">
        <f t="shared" si="97"/>
        <v>0</v>
      </c>
      <c r="R297" s="773">
        <f t="shared" si="98"/>
        <v>0</v>
      </c>
      <c r="S297" s="551">
        <f t="shared" si="99"/>
        <v>0</v>
      </c>
      <c r="T297" s="623">
        <f t="shared" si="92"/>
        <v>0</v>
      </c>
      <c r="U297" s="623">
        <f t="shared" si="93"/>
        <v>0</v>
      </c>
      <c r="V297" s="552">
        <f t="shared" si="94"/>
        <v>0</v>
      </c>
      <c r="W297" s="553" t="str">
        <f t="shared" si="100"/>
        <v>V</v>
      </c>
      <c r="X297" s="554"/>
      <c r="Y297" s="628">
        <f>IF(Q297=0,0,(Q297+R297)*'1.0-Contractblad'!$L$98)</f>
        <v>0</v>
      </c>
      <c r="Z297" s="629">
        <f ca="1">IF(J297=0,0,VLOOKUP(D297,'1.1a-Jaarprijzen'!$B$70:$P$124,14,FALSE)*(K297+J297))</f>
        <v>0</v>
      </c>
      <c r="AA297" s="60">
        <f t="shared" si="88"/>
        <v>0</v>
      </c>
      <c r="AC297" s="60" t="str">
        <f t="shared" si="89"/>
        <v>7200-200</v>
      </c>
    </row>
    <row r="298" spans="1:29">
      <c r="A298" s="557"/>
      <c r="B298" s="549"/>
      <c r="C298" s="656">
        <v>1</v>
      </c>
      <c r="D298" s="550" t="s">
        <v>1016</v>
      </c>
      <c r="E298" s="657" t="s">
        <v>694</v>
      </c>
      <c r="F298" s="645" t="s">
        <v>500</v>
      </c>
      <c r="G298" s="646" t="s">
        <v>969</v>
      </c>
      <c r="H298" s="644" t="str">
        <f t="shared" si="91"/>
        <v>leslokaal</v>
      </c>
      <c r="I298" s="716" t="s">
        <v>785</v>
      </c>
      <c r="J298" s="648">
        <v>44.4</v>
      </c>
      <c r="K298" s="648"/>
      <c r="L298" s="650">
        <v>7200</v>
      </c>
      <c r="M298" s="555">
        <f t="shared" si="95"/>
        <v>107</v>
      </c>
      <c r="N298" s="453"/>
      <c r="O298" s="555">
        <f t="shared" si="96"/>
        <v>200</v>
      </c>
      <c r="P298" s="630">
        <f t="shared" si="90"/>
        <v>1.1000000000000001</v>
      </c>
      <c r="Q298" s="773">
        <f t="shared" si="97"/>
        <v>0</v>
      </c>
      <c r="R298" s="773">
        <f t="shared" si="98"/>
        <v>0</v>
      </c>
      <c r="S298" s="551">
        <f t="shared" si="99"/>
        <v>0</v>
      </c>
      <c r="T298" s="623">
        <f t="shared" si="92"/>
        <v>0</v>
      </c>
      <c r="U298" s="623">
        <f t="shared" si="93"/>
        <v>0</v>
      </c>
      <c r="V298" s="552">
        <f t="shared" si="94"/>
        <v>0</v>
      </c>
      <c r="W298" s="553" t="str">
        <f t="shared" si="100"/>
        <v>L</v>
      </c>
      <c r="X298" s="554"/>
      <c r="Y298" s="628">
        <f>IF(Q298=0,0,(Q298+R298)*'1.0-Contractblad'!$L$98)</f>
        <v>0</v>
      </c>
      <c r="Z298" s="629">
        <f ca="1">IF(J298=0,0,VLOOKUP(D298,'1.1a-Jaarprijzen'!$B$70:$P$124,14,FALSE)*(K298+J298))</f>
        <v>0</v>
      </c>
      <c r="AA298" s="60">
        <f t="shared" si="88"/>
        <v>0</v>
      </c>
      <c r="AC298" s="60" t="str">
        <f t="shared" si="89"/>
        <v>7200-200</v>
      </c>
    </row>
    <row r="299" spans="1:29">
      <c r="A299" s="557"/>
      <c r="B299" s="549"/>
      <c r="C299" s="656">
        <v>1</v>
      </c>
      <c r="D299" s="550" t="s">
        <v>1016</v>
      </c>
      <c r="E299" s="657" t="s">
        <v>694</v>
      </c>
      <c r="F299" s="645" t="s">
        <v>501</v>
      </c>
      <c r="G299" s="646" t="s">
        <v>969</v>
      </c>
      <c r="H299" s="644" t="str">
        <f t="shared" si="91"/>
        <v>leslokaal</v>
      </c>
      <c r="I299" s="716" t="s">
        <v>785</v>
      </c>
      <c r="J299" s="648">
        <v>43.02</v>
      </c>
      <c r="K299" s="648"/>
      <c r="L299" s="650">
        <v>7200</v>
      </c>
      <c r="M299" s="555">
        <f t="shared" si="95"/>
        <v>107</v>
      </c>
      <c r="N299" s="453"/>
      <c r="O299" s="555">
        <f t="shared" si="96"/>
        <v>200</v>
      </c>
      <c r="P299" s="630">
        <f t="shared" si="90"/>
        <v>1.1000000000000001</v>
      </c>
      <c r="Q299" s="773">
        <f t="shared" si="97"/>
        <v>0</v>
      </c>
      <c r="R299" s="773">
        <f t="shared" si="98"/>
        <v>0</v>
      </c>
      <c r="S299" s="551">
        <f t="shared" si="99"/>
        <v>0</v>
      </c>
      <c r="T299" s="623">
        <f t="shared" si="92"/>
        <v>0</v>
      </c>
      <c r="U299" s="623">
        <f t="shared" si="93"/>
        <v>0</v>
      </c>
      <c r="V299" s="552">
        <f t="shared" si="94"/>
        <v>0</v>
      </c>
      <c r="W299" s="553" t="str">
        <f t="shared" si="100"/>
        <v>L</v>
      </c>
      <c r="X299" s="554"/>
      <c r="Y299" s="628">
        <f>IF(Q299=0,0,(Q299+R299)*'1.0-Contractblad'!$L$98)</f>
        <v>0</v>
      </c>
      <c r="Z299" s="629">
        <f ca="1">IF(J299=0,0,VLOOKUP(D299,'1.1a-Jaarprijzen'!$B$70:$P$124,14,FALSE)*(K299+J299))</f>
        <v>0</v>
      </c>
      <c r="AA299" s="60">
        <f t="shared" si="88"/>
        <v>0</v>
      </c>
      <c r="AC299" s="60" t="str">
        <f t="shared" si="89"/>
        <v>7200-200</v>
      </c>
    </row>
    <row r="300" spans="1:29">
      <c r="A300" s="557"/>
      <c r="B300" s="549"/>
      <c r="C300" s="656">
        <v>1</v>
      </c>
      <c r="D300" s="550" t="s">
        <v>1016</v>
      </c>
      <c r="E300" s="657" t="s">
        <v>694</v>
      </c>
      <c r="F300" s="645" t="s">
        <v>503</v>
      </c>
      <c r="G300" s="646" t="s">
        <v>969</v>
      </c>
      <c r="H300" s="644" t="str">
        <f t="shared" si="91"/>
        <v>leslokaal</v>
      </c>
      <c r="I300" s="716" t="s">
        <v>785</v>
      </c>
      <c r="J300" s="648">
        <v>43.38</v>
      </c>
      <c r="K300" s="648"/>
      <c r="L300" s="650">
        <v>7200</v>
      </c>
      <c r="M300" s="555">
        <f t="shared" si="95"/>
        <v>107</v>
      </c>
      <c r="N300" s="453"/>
      <c r="O300" s="555">
        <f t="shared" si="96"/>
        <v>200</v>
      </c>
      <c r="P300" s="630">
        <f t="shared" si="90"/>
        <v>1.1000000000000001</v>
      </c>
      <c r="Q300" s="773">
        <f t="shared" si="97"/>
        <v>0</v>
      </c>
      <c r="R300" s="773">
        <f t="shared" si="98"/>
        <v>0</v>
      </c>
      <c r="S300" s="551">
        <f t="shared" si="99"/>
        <v>0</v>
      </c>
      <c r="T300" s="623">
        <f t="shared" si="92"/>
        <v>0</v>
      </c>
      <c r="U300" s="623">
        <f t="shared" si="93"/>
        <v>0</v>
      </c>
      <c r="V300" s="552">
        <f t="shared" si="94"/>
        <v>0</v>
      </c>
      <c r="W300" s="553" t="str">
        <f t="shared" si="100"/>
        <v>L</v>
      </c>
      <c r="X300" s="554"/>
      <c r="Y300" s="628">
        <f>IF(Q300=0,0,(Q300+R300)*'1.0-Contractblad'!$L$98)</f>
        <v>0</v>
      </c>
      <c r="Z300" s="629">
        <f ca="1">IF(J300=0,0,VLOOKUP(D300,'1.1a-Jaarprijzen'!$B$70:$P$124,14,FALSE)*(K300+J300))</f>
        <v>0</v>
      </c>
      <c r="AA300" s="60">
        <f t="shared" si="88"/>
        <v>0</v>
      </c>
      <c r="AC300" s="60" t="str">
        <f t="shared" si="89"/>
        <v>7200-200</v>
      </c>
    </row>
    <row r="301" spans="1:29">
      <c r="A301" s="557"/>
      <c r="B301" s="549"/>
      <c r="C301" s="656">
        <v>1</v>
      </c>
      <c r="D301" s="550" t="s">
        <v>1016</v>
      </c>
      <c r="E301" s="657" t="s">
        <v>694</v>
      </c>
      <c r="F301" s="645" t="s">
        <v>504</v>
      </c>
      <c r="G301" s="646" t="s">
        <v>969</v>
      </c>
      <c r="H301" s="644" t="str">
        <f t="shared" si="91"/>
        <v>leslokaal</v>
      </c>
      <c r="I301" s="716" t="s">
        <v>785</v>
      </c>
      <c r="J301" s="648">
        <v>43.01</v>
      </c>
      <c r="K301" s="648"/>
      <c r="L301" s="650">
        <v>7200</v>
      </c>
      <c r="M301" s="555">
        <f t="shared" si="95"/>
        <v>107</v>
      </c>
      <c r="N301" s="453"/>
      <c r="O301" s="555">
        <f t="shared" si="96"/>
        <v>200</v>
      </c>
      <c r="P301" s="630">
        <f t="shared" si="90"/>
        <v>1.1000000000000001</v>
      </c>
      <c r="Q301" s="773">
        <f t="shared" si="97"/>
        <v>0</v>
      </c>
      <c r="R301" s="773">
        <f t="shared" si="98"/>
        <v>0</v>
      </c>
      <c r="S301" s="551">
        <f t="shared" si="99"/>
        <v>0</v>
      </c>
      <c r="T301" s="623">
        <f t="shared" si="92"/>
        <v>0</v>
      </c>
      <c r="U301" s="623">
        <f t="shared" si="93"/>
        <v>0</v>
      </c>
      <c r="V301" s="552">
        <f t="shared" si="94"/>
        <v>0</v>
      </c>
      <c r="W301" s="553" t="str">
        <f t="shared" si="100"/>
        <v>L</v>
      </c>
      <c r="X301" s="554"/>
      <c r="Y301" s="628">
        <f>IF(Q301=0,0,(Q301+R301)*'1.0-Contractblad'!$L$98)</f>
        <v>0</v>
      </c>
      <c r="Z301" s="629">
        <f ca="1">IF(J301=0,0,VLOOKUP(D301,'1.1a-Jaarprijzen'!$B$70:$P$124,14,FALSE)*(K301+J301))</f>
        <v>0</v>
      </c>
      <c r="AA301" s="60">
        <f t="shared" si="88"/>
        <v>0</v>
      </c>
      <c r="AC301" s="60" t="str">
        <f t="shared" si="89"/>
        <v>3200-200</v>
      </c>
    </row>
    <row r="302" spans="1:29">
      <c r="A302" s="557"/>
      <c r="B302" s="549"/>
      <c r="C302" s="656">
        <v>1</v>
      </c>
      <c r="D302" s="550" t="s">
        <v>1016</v>
      </c>
      <c r="E302" s="657" t="s">
        <v>1010</v>
      </c>
      <c r="F302" s="645" t="s">
        <v>845</v>
      </c>
      <c r="G302" s="646" t="s">
        <v>722</v>
      </c>
      <c r="H302" s="644" t="str">
        <f t="shared" si="91"/>
        <v>entree, gang, hal, repro, kopieer, was/droogruimte</v>
      </c>
      <c r="I302" s="716" t="s">
        <v>785</v>
      </c>
      <c r="J302" s="648">
        <v>69.180000000000007</v>
      </c>
      <c r="K302" s="648"/>
      <c r="L302" s="649">
        <v>3200</v>
      </c>
      <c r="M302" s="555">
        <f t="shared" si="95"/>
        <v>103</v>
      </c>
      <c r="N302" s="453"/>
      <c r="O302" s="555">
        <f t="shared" si="96"/>
        <v>200</v>
      </c>
      <c r="P302" s="630">
        <f t="shared" si="90"/>
        <v>1.1000000000000001</v>
      </c>
      <c r="Q302" s="773">
        <f t="shared" si="97"/>
        <v>0</v>
      </c>
      <c r="R302" s="773">
        <f t="shared" si="98"/>
        <v>0</v>
      </c>
      <c r="S302" s="551">
        <f t="shared" si="99"/>
        <v>0</v>
      </c>
      <c r="T302" s="623">
        <f t="shared" si="92"/>
        <v>0</v>
      </c>
      <c r="U302" s="623">
        <f t="shared" si="93"/>
        <v>0</v>
      </c>
      <c r="V302" s="552">
        <f t="shared" si="94"/>
        <v>0</v>
      </c>
      <c r="W302" s="553" t="str">
        <f t="shared" si="100"/>
        <v>V</v>
      </c>
      <c r="X302" s="554"/>
      <c r="Y302" s="628">
        <f>IF(Q302=0,0,(Q302+R302)*'1.0-Contractblad'!$L$98)</f>
        <v>0</v>
      </c>
      <c r="Z302" s="629">
        <f ca="1">IF(J302=0,0,VLOOKUP(D302,'1.1a-Jaarprijzen'!$B$70:$P$124,14,FALSE)*(K302+J302))</f>
        <v>0</v>
      </c>
      <c r="AA302" s="60">
        <f t="shared" si="88"/>
        <v>0</v>
      </c>
      <c r="AC302" s="60" t="str">
        <f t="shared" si="89"/>
        <v>1200-200</v>
      </c>
    </row>
    <row r="303" spans="1:29">
      <c r="A303" s="557"/>
      <c r="B303" s="549"/>
      <c r="C303" s="656">
        <v>1</v>
      </c>
      <c r="D303" s="550" t="s">
        <v>1016</v>
      </c>
      <c r="E303" s="657" t="s">
        <v>1010</v>
      </c>
      <c r="F303" s="645" t="s">
        <v>846</v>
      </c>
      <c r="G303" s="646" t="s">
        <v>731</v>
      </c>
      <c r="H303" s="644" t="str">
        <f t="shared" si="91"/>
        <v>administratieve -, personeels- en vergaderruimte</v>
      </c>
      <c r="I303" s="716" t="s">
        <v>785</v>
      </c>
      <c r="J303" s="648">
        <v>11.85</v>
      </c>
      <c r="K303" s="648"/>
      <c r="L303" s="649">
        <v>1200</v>
      </c>
      <c r="M303" s="555">
        <f t="shared" si="95"/>
        <v>101</v>
      </c>
      <c r="N303" s="453"/>
      <c r="O303" s="555">
        <f t="shared" si="96"/>
        <v>200</v>
      </c>
      <c r="P303" s="630">
        <f t="shared" si="90"/>
        <v>1.1000000000000001</v>
      </c>
      <c r="Q303" s="773">
        <f t="shared" si="97"/>
        <v>0</v>
      </c>
      <c r="R303" s="773">
        <f t="shared" si="98"/>
        <v>0</v>
      </c>
      <c r="S303" s="551">
        <f t="shared" si="99"/>
        <v>0</v>
      </c>
      <c r="T303" s="623">
        <f t="shared" si="92"/>
        <v>0</v>
      </c>
      <c r="U303" s="623">
        <f t="shared" si="93"/>
        <v>0</v>
      </c>
      <c r="V303" s="552">
        <f t="shared" si="94"/>
        <v>0</v>
      </c>
      <c r="W303" s="553" t="str">
        <f t="shared" si="100"/>
        <v>B</v>
      </c>
      <c r="X303" s="554"/>
      <c r="Y303" s="628">
        <f>IF(Q303=0,0,(Q303+R303)*'1.0-Contractblad'!$L$98)</f>
        <v>0</v>
      </c>
      <c r="Z303" s="629">
        <f ca="1">IF(J303=0,0,VLOOKUP(D303,'1.1a-Jaarprijzen'!$B$70:$P$124,14,FALSE)*(K303+J303))</f>
        <v>0</v>
      </c>
      <c r="AA303" s="60">
        <f t="shared" si="88"/>
        <v>0</v>
      </c>
      <c r="AC303" s="60" t="str">
        <f t="shared" si="89"/>
        <v>1200-200</v>
      </c>
    </row>
    <row r="304" spans="1:29">
      <c r="A304" s="557"/>
      <c r="B304" s="549"/>
      <c r="C304" s="656">
        <v>1</v>
      </c>
      <c r="D304" s="550" t="s">
        <v>1016</v>
      </c>
      <c r="E304" s="657" t="s">
        <v>1010</v>
      </c>
      <c r="F304" s="645" t="s">
        <v>847</v>
      </c>
      <c r="G304" s="646" t="s">
        <v>709</v>
      </c>
      <c r="H304" s="644" t="str">
        <f t="shared" si="91"/>
        <v>administratieve -, personeels- en vergaderruimte</v>
      </c>
      <c r="I304" s="716" t="s">
        <v>785</v>
      </c>
      <c r="J304" s="648">
        <v>12.59</v>
      </c>
      <c r="K304" s="648"/>
      <c r="L304" s="649">
        <v>1200</v>
      </c>
      <c r="M304" s="555">
        <f t="shared" si="95"/>
        <v>101</v>
      </c>
      <c r="N304" s="453"/>
      <c r="O304" s="555">
        <f t="shared" si="96"/>
        <v>200</v>
      </c>
      <c r="P304" s="630">
        <f t="shared" si="90"/>
        <v>1.1000000000000001</v>
      </c>
      <c r="Q304" s="773">
        <f t="shared" si="97"/>
        <v>0</v>
      </c>
      <c r="R304" s="773">
        <f t="shared" si="98"/>
        <v>0</v>
      </c>
      <c r="S304" s="551">
        <f t="shared" si="99"/>
        <v>0</v>
      </c>
      <c r="T304" s="623">
        <f t="shared" si="92"/>
        <v>0</v>
      </c>
      <c r="U304" s="623">
        <f t="shared" si="93"/>
        <v>0</v>
      </c>
      <c r="V304" s="552">
        <f t="shared" si="94"/>
        <v>0</v>
      </c>
      <c r="W304" s="553" t="str">
        <f t="shared" si="100"/>
        <v>B</v>
      </c>
      <c r="X304" s="554"/>
      <c r="Y304" s="628">
        <f>IF(Q304=0,0,(Q304+R304)*'1.0-Contractblad'!$L$98)</f>
        <v>0</v>
      </c>
      <c r="Z304" s="629">
        <f ca="1">IF(J304=0,0,VLOOKUP(D304,'1.1a-Jaarprijzen'!$B$70:$P$124,14,FALSE)*(K304+J304))</f>
        <v>0</v>
      </c>
      <c r="AA304" s="60">
        <f t="shared" si="88"/>
        <v>0</v>
      </c>
      <c r="AC304" s="60" t="str">
        <f t="shared" si="89"/>
        <v>4200-200</v>
      </c>
    </row>
    <row r="305" spans="1:29">
      <c r="A305" s="557"/>
      <c r="B305" s="549"/>
      <c r="C305" s="656">
        <v>1</v>
      </c>
      <c r="D305" s="550" t="s">
        <v>1016</v>
      </c>
      <c r="E305" s="657" t="s">
        <v>1010</v>
      </c>
      <c r="F305" s="645" t="s">
        <v>848</v>
      </c>
      <c r="G305" s="646" t="s">
        <v>712</v>
      </c>
      <c r="H305" s="644" t="str">
        <f t="shared" si="91"/>
        <v>sanitaire ruimte (toilet-/doucheruimte)</v>
      </c>
      <c r="I305" s="716" t="s">
        <v>785</v>
      </c>
      <c r="J305" s="648">
        <v>6.44</v>
      </c>
      <c r="K305" s="648"/>
      <c r="L305" s="649">
        <v>4200</v>
      </c>
      <c r="M305" s="555">
        <f t="shared" si="95"/>
        <v>104</v>
      </c>
      <c r="N305" s="453"/>
      <c r="O305" s="555">
        <f t="shared" si="96"/>
        <v>200</v>
      </c>
      <c r="P305" s="630">
        <f t="shared" si="90"/>
        <v>1.1000000000000001</v>
      </c>
      <c r="Q305" s="773">
        <f t="shared" si="97"/>
        <v>0</v>
      </c>
      <c r="R305" s="773">
        <f t="shared" si="98"/>
        <v>0</v>
      </c>
      <c r="S305" s="551">
        <f t="shared" si="99"/>
        <v>0</v>
      </c>
      <c r="T305" s="623">
        <f t="shared" si="92"/>
        <v>0</v>
      </c>
      <c r="U305" s="623">
        <f t="shared" si="93"/>
        <v>0</v>
      </c>
      <c r="V305" s="552">
        <f t="shared" si="94"/>
        <v>0</v>
      </c>
      <c r="W305" s="553" t="str">
        <f t="shared" si="100"/>
        <v>S</v>
      </c>
      <c r="X305" s="554"/>
      <c r="Y305" s="628">
        <f>IF(Q305=0,0,(Q305+R305)*'1.0-Contractblad'!$L$98)</f>
        <v>0</v>
      </c>
      <c r="Z305" s="629">
        <f ca="1">IF(J305=0,0,VLOOKUP(D305,'1.1a-Jaarprijzen'!$B$70:$P$124,14,FALSE)*(K305+J305))</f>
        <v>0</v>
      </c>
      <c r="AA305" s="60">
        <f t="shared" si="88"/>
        <v>0</v>
      </c>
      <c r="AC305" s="60" t="str">
        <f t="shared" si="89"/>
        <v>4200-200</v>
      </c>
    </row>
    <row r="306" spans="1:29">
      <c r="A306" s="557"/>
      <c r="B306" s="549"/>
      <c r="C306" s="656">
        <v>1</v>
      </c>
      <c r="D306" s="550" t="s">
        <v>1016</v>
      </c>
      <c r="E306" s="657" t="s">
        <v>1010</v>
      </c>
      <c r="F306" s="645" t="s">
        <v>849</v>
      </c>
      <c r="G306" s="646" t="s">
        <v>721</v>
      </c>
      <c r="H306" s="644" t="str">
        <f t="shared" si="91"/>
        <v>sanitaire ruimte (toilet-/doucheruimte)</v>
      </c>
      <c r="I306" s="716" t="s">
        <v>785</v>
      </c>
      <c r="J306" s="648">
        <v>3.45</v>
      </c>
      <c r="K306" s="648"/>
      <c r="L306" s="649">
        <v>4200</v>
      </c>
      <c r="M306" s="555">
        <f t="shared" si="95"/>
        <v>104</v>
      </c>
      <c r="N306" s="453"/>
      <c r="O306" s="555">
        <f t="shared" si="96"/>
        <v>200</v>
      </c>
      <c r="P306" s="630">
        <f t="shared" si="90"/>
        <v>1.1000000000000001</v>
      </c>
      <c r="Q306" s="773">
        <f t="shared" si="97"/>
        <v>0</v>
      </c>
      <c r="R306" s="773">
        <f t="shared" si="98"/>
        <v>0</v>
      </c>
      <c r="S306" s="551">
        <f t="shared" si="99"/>
        <v>0</v>
      </c>
      <c r="T306" s="623">
        <f t="shared" si="92"/>
        <v>0</v>
      </c>
      <c r="U306" s="623">
        <f t="shared" si="93"/>
        <v>0</v>
      </c>
      <c r="V306" s="552">
        <f t="shared" si="94"/>
        <v>0</v>
      </c>
      <c r="W306" s="553" t="str">
        <f t="shared" si="100"/>
        <v>S</v>
      </c>
      <c r="X306" s="554"/>
      <c r="Y306" s="628">
        <f>IF(Q306=0,0,(Q306+R306)*'1.0-Contractblad'!$L$98)</f>
        <v>0</v>
      </c>
      <c r="Z306" s="629">
        <f ca="1">IF(J306=0,0,VLOOKUP(D306,'1.1a-Jaarprijzen'!$B$70:$P$124,14,FALSE)*(K306+J306))</f>
        <v>0</v>
      </c>
      <c r="AA306" s="60">
        <f t="shared" si="88"/>
        <v>0</v>
      </c>
      <c r="AC306" s="60" t="str">
        <f t="shared" si="89"/>
        <v>2200-200</v>
      </c>
    </row>
    <row r="307" spans="1:29">
      <c r="A307" s="557"/>
      <c r="B307" s="549"/>
      <c r="C307" s="656">
        <v>1</v>
      </c>
      <c r="D307" s="550" t="s">
        <v>1016</v>
      </c>
      <c r="E307" s="657" t="s">
        <v>1010</v>
      </c>
      <c r="F307" s="645" t="s">
        <v>850</v>
      </c>
      <c r="G307" s="646" t="s">
        <v>713</v>
      </c>
      <c r="H307" s="644" t="str">
        <f t="shared" si="91"/>
        <v>aula, gemeenschappelijke ruimte, bibliotheek</v>
      </c>
      <c r="I307" s="716" t="s">
        <v>785</v>
      </c>
      <c r="J307" s="648">
        <v>100.51</v>
      </c>
      <c r="K307" s="648"/>
      <c r="L307" s="651">
        <v>2200</v>
      </c>
      <c r="M307" s="555">
        <f t="shared" si="95"/>
        <v>102</v>
      </c>
      <c r="N307" s="453"/>
      <c r="O307" s="555">
        <f t="shared" si="96"/>
        <v>200</v>
      </c>
      <c r="P307" s="630">
        <f t="shared" si="90"/>
        <v>1.1000000000000001</v>
      </c>
      <c r="Q307" s="773">
        <f t="shared" si="97"/>
        <v>0</v>
      </c>
      <c r="R307" s="773">
        <f t="shared" si="98"/>
        <v>0</v>
      </c>
      <c r="S307" s="551">
        <f t="shared" si="99"/>
        <v>0</v>
      </c>
      <c r="T307" s="623">
        <f t="shared" si="92"/>
        <v>0</v>
      </c>
      <c r="U307" s="623">
        <f t="shared" si="93"/>
        <v>0</v>
      </c>
      <c r="V307" s="552">
        <f t="shared" si="94"/>
        <v>0</v>
      </c>
      <c r="W307" s="553" t="str">
        <f t="shared" si="100"/>
        <v>V</v>
      </c>
      <c r="X307" s="554"/>
      <c r="Y307" s="628">
        <f>IF(Q307=0,0,(Q307+R307)*'1.0-Contractblad'!$L$98)</f>
        <v>0</v>
      </c>
      <c r="Z307" s="629">
        <f ca="1">IF(J307=0,0,VLOOKUP(D307,'1.1a-Jaarprijzen'!$B$70:$P$124,14,FALSE)*(K307+J307))</f>
        <v>0</v>
      </c>
      <c r="AA307" s="60">
        <f t="shared" si="88"/>
        <v>0</v>
      </c>
      <c r="AC307" s="60" t="str">
        <f t="shared" si="89"/>
        <v>3200-200</v>
      </c>
    </row>
    <row r="308" spans="1:29">
      <c r="A308" s="557"/>
      <c r="B308" s="549"/>
      <c r="C308" s="656">
        <v>1</v>
      </c>
      <c r="D308" s="550" t="s">
        <v>1016</v>
      </c>
      <c r="E308" s="657" t="s">
        <v>1010</v>
      </c>
      <c r="F308" s="645" t="s">
        <v>851</v>
      </c>
      <c r="G308" s="646" t="s">
        <v>715</v>
      </c>
      <c r="H308" s="644" t="str">
        <f t="shared" si="91"/>
        <v>entree, gang, hal, repro, kopieer, was/droogruimte</v>
      </c>
      <c r="I308" s="716" t="s">
        <v>785</v>
      </c>
      <c r="J308" s="648">
        <v>51.43</v>
      </c>
      <c r="K308" s="648"/>
      <c r="L308" s="649">
        <v>3200</v>
      </c>
      <c r="M308" s="555">
        <f t="shared" si="95"/>
        <v>103</v>
      </c>
      <c r="N308" s="453"/>
      <c r="O308" s="555">
        <f t="shared" si="96"/>
        <v>200</v>
      </c>
      <c r="P308" s="630">
        <f t="shared" si="90"/>
        <v>1.1000000000000001</v>
      </c>
      <c r="Q308" s="773">
        <f t="shared" si="97"/>
        <v>0</v>
      </c>
      <c r="R308" s="773">
        <f t="shared" si="98"/>
        <v>0</v>
      </c>
      <c r="S308" s="551">
        <f t="shared" si="99"/>
        <v>0</v>
      </c>
      <c r="T308" s="623">
        <f t="shared" si="92"/>
        <v>0</v>
      </c>
      <c r="U308" s="623">
        <f t="shared" si="93"/>
        <v>0</v>
      </c>
      <c r="V308" s="552">
        <f t="shared" si="94"/>
        <v>0</v>
      </c>
      <c r="W308" s="553" t="str">
        <f t="shared" si="100"/>
        <v>V</v>
      </c>
      <c r="X308" s="554"/>
      <c r="Y308" s="628">
        <f>IF(Q308=0,0,(Q308+R308)*'1.0-Contractblad'!$L$98)</f>
        <v>0</v>
      </c>
      <c r="Z308" s="629">
        <f ca="1">IF(J308=0,0,VLOOKUP(D308,'1.1a-Jaarprijzen'!$B$70:$P$124,14,FALSE)*(K308+J308))</f>
        <v>0</v>
      </c>
      <c r="AA308" s="60">
        <f t="shared" si="88"/>
        <v>0</v>
      </c>
      <c r="AC308" s="60" t="str">
        <f t="shared" si="89"/>
        <v>18040-40</v>
      </c>
    </row>
    <row r="309" spans="1:29">
      <c r="A309" s="557"/>
      <c r="B309" s="549"/>
      <c r="C309" s="656">
        <v>1</v>
      </c>
      <c r="D309" s="550" t="s">
        <v>1016</v>
      </c>
      <c r="E309" s="657" t="s">
        <v>1010</v>
      </c>
      <c r="F309" s="645" t="s">
        <v>852</v>
      </c>
      <c r="G309" s="646" t="s">
        <v>306</v>
      </c>
      <c r="H309" s="644" t="str">
        <f t="shared" si="91"/>
        <v>Keuken</v>
      </c>
      <c r="I309" s="716" t="s">
        <v>785</v>
      </c>
      <c r="J309" s="648">
        <v>55.85</v>
      </c>
      <c r="K309" s="648"/>
      <c r="L309" s="649">
        <v>18040</v>
      </c>
      <c r="M309" s="555" t="str">
        <f t="shared" si="95"/>
        <v>nvt</v>
      </c>
      <c r="N309" s="453"/>
      <c r="O309" s="555">
        <f t="shared" si="96"/>
        <v>40</v>
      </c>
      <c r="P309" s="630">
        <f t="shared" si="90"/>
        <v>1.1000000000000001</v>
      </c>
      <c r="Q309" s="773">
        <f t="shared" si="97"/>
        <v>0</v>
      </c>
      <c r="R309" s="773">
        <f t="shared" si="98"/>
        <v>0</v>
      </c>
      <c r="S309" s="551">
        <f t="shared" si="99"/>
        <v>0</v>
      </c>
      <c r="T309" s="623">
        <f t="shared" si="92"/>
        <v>0</v>
      </c>
      <c r="U309" s="623">
        <f t="shared" si="93"/>
        <v>0</v>
      </c>
      <c r="V309" s="552">
        <f t="shared" si="94"/>
        <v>0</v>
      </c>
      <c r="W309" s="553" t="str">
        <f t="shared" si="100"/>
        <v>V</v>
      </c>
      <c r="X309" s="554"/>
      <c r="Y309" s="628">
        <f>IF(Q309=0,0,(Q309+R309)*'1.0-Contractblad'!$L$98)</f>
        <v>0</v>
      </c>
      <c r="Z309" s="629">
        <f ca="1">IF(J309=0,0,VLOOKUP(D309,'1.1a-Jaarprijzen'!$B$70:$P$124,14,FALSE)*(K309+J309))</f>
        <v>0</v>
      </c>
      <c r="AA309" s="60">
        <f t="shared" si="88"/>
        <v>0</v>
      </c>
      <c r="AC309" s="60" t="str">
        <f t="shared" si="89"/>
        <v>nvt-0</v>
      </c>
    </row>
    <row r="310" spans="1:29">
      <c r="A310" s="557"/>
      <c r="B310" s="549"/>
      <c r="C310" s="656">
        <v>1</v>
      </c>
      <c r="D310" s="550" t="s">
        <v>1016</v>
      </c>
      <c r="E310" s="657" t="s">
        <v>1010</v>
      </c>
      <c r="F310" s="645" t="s">
        <v>853</v>
      </c>
      <c r="G310" s="646" t="s">
        <v>732</v>
      </c>
      <c r="H310" s="644" t="str">
        <f t="shared" si="91"/>
        <v>niet van toepassing</v>
      </c>
      <c r="I310" s="716" t="s">
        <v>785</v>
      </c>
      <c r="J310" s="648"/>
      <c r="K310" s="648">
        <v>11.26</v>
      </c>
      <c r="L310" s="660" t="s">
        <v>27</v>
      </c>
      <c r="M310" s="555">
        <f t="shared" si="95"/>
        <v>0</v>
      </c>
      <c r="N310" s="453"/>
      <c r="O310" s="555">
        <f t="shared" si="96"/>
        <v>0</v>
      </c>
      <c r="P310" s="630">
        <f t="shared" si="90"/>
        <v>1.1000000000000001</v>
      </c>
      <c r="Q310" s="773">
        <f t="shared" si="97"/>
        <v>0</v>
      </c>
      <c r="R310" s="773">
        <f t="shared" si="98"/>
        <v>0</v>
      </c>
      <c r="S310" s="551">
        <f t="shared" si="99"/>
        <v>0</v>
      </c>
      <c r="T310" s="623">
        <f t="shared" si="92"/>
        <v>0</v>
      </c>
      <c r="U310" s="623">
        <f t="shared" si="93"/>
        <v>0</v>
      </c>
      <c r="V310" s="552">
        <f t="shared" si="94"/>
        <v>0</v>
      </c>
      <c r="W310" s="553">
        <f t="shared" si="100"/>
        <v>0</v>
      </c>
      <c r="X310" s="698"/>
      <c r="Y310" s="628">
        <f>IF(Q310=0,0,(Q310+R310)*'1.0-Contractblad'!$L$98)</f>
        <v>0</v>
      </c>
      <c r="Z310" s="629">
        <f>IF(J310=0,0,VLOOKUP(D310,'1.1a-Jaarprijzen'!$B$70:$P$124,14,FALSE)*(K310+J310))</f>
        <v>0</v>
      </c>
      <c r="AA310" s="60">
        <f t="shared" si="88"/>
        <v>0</v>
      </c>
      <c r="AC310" s="60" t="str">
        <f t="shared" si="89"/>
        <v>6200-200</v>
      </c>
    </row>
    <row r="311" spans="1:29">
      <c r="A311" s="557"/>
      <c r="B311" s="549"/>
      <c r="C311" s="656">
        <v>1</v>
      </c>
      <c r="D311" s="550" t="s">
        <v>1016</v>
      </c>
      <c r="E311" s="657" t="s">
        <v>1010</v>
      </c>
      <c r="F311" s="645" t="s">
        <v>505</v>
      </c>
      <c r="G311" s="646" t="s">
        <v>733</v>
      </c>
      <c r="H311" s="644" t="str">
        <f t="shared" si="91"/>
        <v>praktijklokaal</v>
      </c>
      <c r="I311" s="716" t="s">
        <v>785</v>
      </c>
      <c r="J311" s="648">
        <v>54.36</v>
      </c>
      <c r="K311" s="648"/>
      <c r="L311" s="649">
        <v>6200</v>
      </c>
      <c r="M311" s="555">
        <f t="shared" si="95"/>
        <v>107</v>
      </c>
      <c r="N311" s="453"/>
      <c r="O311" s="555">
        <f t="shared" si="96"/>
        <v>200</v>
      </c>
      <c r="P311" s="630">
        <f t="shared" si="90"/>
        <v>1.1000000000000001</v>
      </c>
      <c r="Q311" s="773">
        <f t="shared" si="97"/>
        <v>0</v>
      </c>
      <c r="R311" s="773">
        <f t="shared" si="98"/>
        <v>0</v>
      </c>
      <c r="S311" s="551">
        <f t="shared" si="99"/>
        <v>0</v>
      </c>
      <c r="T311" s="623">
        <f t="shared" si="92"/>
        <v>0</v>
      </c>
      <c r="U311" s="623">
        <f t="shared" si="93"/>
        <v>0</v>
      </c>
      <c r="V311" s="552">
        <f t="shared" si="94"/>
        <v>0</v>
      </c>
      <c r="W311" s="553" t="str">
        <f t="shared" si="100"/>
        <v>L</v>
      </c>
      <c r="X311" s="554"/>
      <c r="Y311" s="628">
        <f>IF(Q311=0,0,(Q311+R311)*'1.0-Contractblad'!$L$98)</f>
        <v>0</v>
      </c>
      <c r="Z311" s="629">
        <f ca="1">IF(J311=0,0,VLOOKUP(D311,'1.1a-Jaarprijzen'!$B$70:$P$124,14,FALSE)*(K311+J311))</f>
        <v>0</v>
      </c>
      <c r="AA311" s="60">
        <f t="shared" si="88"/>
        <v>0</v>
      </c>
      <c r="AC311" s="60" t="str">
        <f t="shared" si="89"/>
        <v>nvt-0</v>
      </c>
    </row>
    <row r="312" spans="1:29">
      <c r="A312" s="557"/>
      <c r="B312" s="549"/>
      <c r="C312" s="656">
        <v>1</v>
      </c>
      <c r="D312" s="550" t="s">
        <v>1016</v>
      </c>
      <c r="E312" s="657" t="s">
        <v>1010</v>
      </c>
      <c r="F312" s="645" t="s">
        <v>506</v>
      </c>
      <c r="G312" s="646" t="s">
        <v>734</v>
      </c>
      <c r="H312" s="644" t="str">
        <f t="shared" si="91"/>
        <v>niet van toepassing</v>
      </c>
      <c r="I312" s="716" t="s">
        <v>785</v>
      </c>
      <c r="J312" s="648"/>
      <c r="K312" s="648">
        <v>4.91</v>
      </c>
      <c r="L312" s="660" t="s">
        <v>27</v>
      </c>
      <c r="M312" s="555">
        <f t="shared" si="95"/>
        <v>0</v>
      </c>
      <c r="N312" s="453"/>
      <c r="O312" s="555">
        <f t="shared" si="96"/>
        <v>0</v>
      </c>
      <c r="P312" s="630">
        <f t="shared" si="90"/>
        <v>1.1000000000000001</v>
      </c>
      <c r="Q312" s="773">
        <f t="shared" si="97"/>
        <v>0</v>
      </c>
      <c r="R312" s="773">
        <f t="shared" si="98"/>
        <v>0</v>
      </c>
      <c r="S312" s="551">
        <f t="shared" si="99"/>
        <v>0</v>
      </c>
      <c r="T312" s="623">
        <f t="shared" si="92"/>
        <v>0</v>
      </c>
      <c r="U312" s="623">
        <f t="shared" si="93"/>
        <v>0</v>
      </c>
      <c r="V312" s="552">
        <f t="shared" si="94"/>
        <v>0</v>
      </c>
      <c r="W312" s="553">
        <f t="shared" si="100"/>
        <v>0</v>
      </c>
      <c r="X312" s="698"/>
      <c r="Y312" s="628">
        <f>IF(Q312=0,0,(Q312+R312)*'1.0-Contractblad'!$L$98)</f>
        <v>0</v>
      </c>
      <c r="Z312" s="629">
        <f>IF(J312=0,0,VLOOKUP(D312,'1.1a-Jaarprijzen'!$B$70:$P$124,14,FALSE)*(K312+J312))</f>
        <v>0</v>
      </c>
      <c r="AA312" s="60">
        <f t="shared" si="88"/>
        <v>0</v>
      </c>
      <c r="AC312" s="60" t="str">
        <f t="shared" si="89"/>
        <v>nvt-0</v>
      </c>
    </row>
    <row r="313" spans="1:29">
      <c r="A313" s="557"/>
      <c r="B313" s="549"/>
      <c r="C313" s="656">
        <v>1</v>
      </c>
      <c r="D313" s="550" t="s">
        <v>1016</v>
      </c>
      <c r="E313" s="657" t="s">
        <v>1010</v>
      </c>
      <c r="F313" s="645" t="s">
        <v>507</v>
      </c>
      <c r="G313" s="646" t="s">
        <v>972</v>
      </c>
      <c r="H313" s="644" t="str">
        <f t="shared" si="91"/>
        <v>niet van toepassing</v>
      </c>
      <c r="I313" s="716" t="s">
        <v>785</v>
      </c>
      <c r="J313" s="648"/>
      <c r="K313" s="648">
        <v>12.62</v>
      </c>
      <c r="L313" s="660" t="s">
        <v>27</v>
      </c>
      <c r="M313" s="555">
        <f t="shared" si="95"/>
        <v>0</v>
      </c>
      <c r="N313" s="453"/>
      <c r="O313" s="555">
        <f t="shared" si="96"/>
        <v>0</v>
      </c>
      <c r="P313" s="630">
        <f t="shared" si="90"/>
        <v>1.1000000000000001</v>
      </c>
      <c r="Q313" s="773">
        <f t="shared" si="97"/>
        <v>0</v>
      </c>
      <c r="R313" s="773">
        <f t="shared" si="98"/>
        <v>0</v>
      </c>
      <c r="S313" s="551">
        <f t="shared" si="99"/>
        <v>0</v>
      </c>
      <c r="T313" s="623">
        <f t="shared" si="92"/>
        <v>0</v>
      </c>
      <c r="U313" s="623">
        <f t="shared" si="93"/>
        <v>0</v>
      </c>
      <c r="V313" s="552">
        <f t="shared" si="94"/>
        <v>0</v>
      </c>
      <c r="W313" s="553">
        <f t="shared" si="100"/>
        <v>0</v>
      </c>
      <c r="X313" s="698"/>
      <c r="Y313" s="628">
        <f>IF(Q313=0,0,(Q313+R313)*'1.0-Contractblad'!$L$98)</f>
        <v>0</v>
      </c>
      <c r="Z313" s="629">
        <f>IF(J313=0,0,VLOOKUP(D313,'1.1a-Jaarprijzen'!$B$70:$P$124,14,FALSE)*(K313+J313))</f>
        <v>0</v>
      </c>
      <c r="AA313" s="60">
        <f t="shared" si="88"/>
        <v>0</v>
      </c>
      <c r="AC313" s="60" t="str">
        <f t="shared" si="89"/>
        <v>6200-200</v>
      </c>
    </row>
    <row r="314" spans="1:29">
      <c r="A314" s="557"/>
      <c r="B314" s="549"/>
      <c r="C314" s="656">
        <v>1</v>
      </c>
      <c r="D314" s="550" t="s">
        <v>1016</v>
      </c>
      <c r="E314" s="657" t="s">
        <v>1010</v>
      </c>
      <c r="F314" s="645" t="s">
        <v>508</v>
      </c>
      <c r="G314" s="646" t="s">
        <v>973</v>
      </c>
      <c r="H314" s="644" t="str">
        <f t="shared" si="91"/>
        <v>praktijklokaal</v>
      </c>
      <c r="I314" s="716" t="s">
        <v>785</v>
      </c>
      <c r="J314" s="648">
        <v>53.39</v>
      </c>
      <c r="K314" s="648"/>
      <c r="L314" s="649">
        <v>6200</v>
      </c>
      <c r="M314" s="555">
        <f t="shared" si="95"/>
        <v>107</v>
      </c>
      <c r="N314" s="453"/>
      <c r="O314" s="555">
        <f t="shared" si="96"/>
        <v>200</v>
      </c>
      <c r="P314" s="630">
        <f t="shared" si="90"/>
        <v>1.1000000000000001</v>
      </c>
      <c r="Q314" s="773">
        <f t="shared" si="97"/>
        <v>0</v>
      </c>
      <c r="R314" s="773">
        <f t="shared" si="98"/>
        <v>0</v>
      </c>
      <c r="S314" s="551">
        <f t="shared" si="99"/>
        <v>0</v>
      </c>
      <c r="T314" s="623">
        <f t="shared" si="92"/>
        <v>0</v>
      </c>
      <c r="U314" s="623">
        <f t="shared" si="93"/>
        <v>0</v>
      </c>
      <c r="V314" s="552">
        <f t="shared" si="94"/>
        <v>0</v>
      </c>
      <c r="W314" s="553" t="str">
        <f t="shared" si="100"/>
        <v>L</v>
      </c>
      <c r="X314" s="554"/>
      <c r="Y314" s="628">
        <f>IF(Q314=0,0,(Q314+R314)*'1.0-Contractblad'!$L$98)</f>
        <v>0</v>
      </c>
      <c r="Z314" s="629">
        <f ca="1">IF(J314=0,0,VLOOKUP(D314,'1.1a-Jaarprijzen'!$B$70:$P$124,14,FALSE)*(K314+J314))</f>
        <v>0</v>
      </c>
      <c r="AA314" s="60">
        <f t="shared" si="88"/>
        <v>0</v>
      </c>
      <c r="AC314" s="60" t="str">
        <f t="shared" si="89"/>
        <v>op afroep-0</v>
      </c>
    </row>
    <row r="315" spans="1:29">
      <c r="A315" s="557"/>
      <c r="B315" s="700"/>
      <c r="C315" s="656">
        <v>1</v>
      </c>
      <c r="D315" s="550" t="s">
        <v>1016</v>
      </c>
      <c r="E315" s="657" t="s">
        <v>1010</v>
      </c>
      <c r="F315" s="645" t="s">
        <v>509</v>
      </c>
      <c r="G315" s="646" t="s">
        <v>728</v>
      </c>
      <c r="H315" s="644" t="str">
        <f t="shared" si="91"/>
        <v>op afroep</v>
      </c>
      <c r="I315" s="716" t="s">
        <v>785</v>
      </c>
      <c r="J315" s="648">
        <v>34.25</v>
      </c>
      <c r="K315" s="648"/>
      <c r="L315" s="697" t="s">
        <v>1057</v>
      </c>
      <c r="M315" s="555">
        <f t="shared" si="95"/>
        <v>0</v>
      </c>
      <c r="N315" s="453"/>
      <c r="O315" s="555">
        <f t="shared" si="96"/>
        <v>0</v>
      </c>
      <c r="P315" s="630">
        <f t="shared" si="90"/>
        <v>1.1000000000000001</v>
      </c>
      <c r="Q315" s="773">
        <f t="shared" si="97"/>
        <v>0</v>
      </c>
      <c r="R315" s="773">
        <f t="shared" si="98"/>
        <v>0</v>
      </c>
      <c r="S315" s="551">
        <f t="shared" si="99"/>
        <v>0</v>
      </c>
      <c r="T315" s="623">
        <f t="shared" si="92"/>
        <v>0</v>
      </c>
      <c r="U315" s="623">
        <f t="shared" si="93"/>
        <v>0</v>
      </c>
      <c r="V315" s="552">
        <f t="shared" si="94"/>
        <v>0</v>
      </c>
      <c r="W315" s="553">
        <f t="shared" si="100"/>
        <v>0</v>
      </c>
      <c r="X315" s="554"/>
      <c r="Y315" s="628">
        <f>IF(Q315=0,0,(Q315+R315)*'1.0-Contractblad'!$L$98)</f>
        <v>0</v>
      </c>
      <c r="Z315" s="629">
        <f ca="1">IF(J315=0,0,VLOOKUP(D315,'1.1a-Jaarprijzen'!$B$70:$P$124,14,FALSE)*(K315+J315))</f>
        <v>0</v>
      </c>
      <c r="AA315" s="60">
        <f t="shared" si="88"/>
        <v>0</v>
      </c>
      <c r="AC315" s="60" t="str">
        <f t="shared" si="89"/>
        <v>6200-200</v>
      </c>
    </row>
    <row r="316" spans="1:29">
      <c r="A316" s="557"/>
      <c r="B316" s="549"/>
      <c r="C316" s="656">
        <v>1</v>
      </c>
      <c r="D316" s="550" t="s">
        <v>1016</v>
      </c>
      <c r="E316" s="657" t="s">
        <v>1010</v>
      </c>
      <c r="F316" s="645" t="s">
        <v>510</v>
      </c>
      <c r="G316" s="646" t="s">
        <v>714</v>
      </c>
      <c r="H316" s="644" t="str">
        <f t="shared" si="91"/>
        <v>praktijklokaal</v>
      </c>
      <c r="I316" s="716" t="s">
        <v>785</v>
      </c>
      <c r="J316" s="648">
        <v>53.8</v>
      </c>
      <c r="K316" s="648"/>
      <c r="L316" s="649">
        <v>6200</v>
      </c>
      <c r="M316" s="555">
        <f t="shared" si="95"/>
        <v>107</v>
      </c>
      <c r="N316" s="453"/>
      <c r="O316" s="555">
        <f t="shared" si="96"/>
        <v>200</v>
      </c>
      <c r="P316" s="630">
        <f t="shared" si="90"/>
        <v>1.1000000000000001</v>
      </c>
      <c r="Q316" s="773">
        <f t="shared" si="97"/>
        <v>0</v>
      </c>
      <c r="R316" s="773">
        <f t="shared" si="98"/>
        <v>0</v>
      </c>
      <c r="S316" s="551">
        <f t="shared" si="99"/>
        <v>0</v>
      </c>
      <c r="T316" s="623">
        <f t="shared" si="92"/>
        <v>0</v>
      </c>
      <c r="U316" s="623">
        <f t="shared" si="93"/>
        <v>0</v>
      </c>
      <c r="V316" s="552">
        <f t="shared" si="94"/>
        <v>0</v>
      </c>
      <c r="W316" s="553" t="str">
        <f t="shared" si="100"/>
        <v>L</v>
      </c>
      <c r="X316" s="554"/>
      <c r="Y316" s="628">
        <f>IF(Q316=0,0,(Q316+R316)*'1.0-Contractblad'!$L$98)</f>
        <v>0</v>
      </c>
      <c r="Z316" s="629">
        <f ca="1">IF(J316=0,0,VLOOKUP(D316,'1.1a-Jaarprijzen'!$B$70:$P$124,14,FALSE)*(K316+J316))</f>
        <v>0</v>
      </c>
      <c r="AA316" s="60">
        <f t="shared" si="88"/>
        <v>0</v>
      </c>
      <c r="AC316" s="60" t="str">
        <f t="shared" si="89"/>
        <v>nvt-0</v>
      </c>
    </row>
    <row r="317" spans="1:29">
      <c r="A317" s="557"/>
      <c r="B317" s="549"/>
      <c r="C317" s="656">
        <v>1</v>
      </c>
      <c r="D317" s="550" t="s">
        <v>1016</v>
      </c>
      <c r="E317" s="657" t="s">
        <v>1010</v>
      </c>
      <c r="F317" s="645" t="s">
        <v>511</v>
      </c>
      <c r="G317" s="646" t="s">
        <v>710</v>
      </c>
      <c r="H317" s="644" t="str">
        <f t="shared" si="91"/>
        <v>niet van toepassing</v>
      </c>
      <c r="I317" s="716" t="s">
        <v>785</v>
      </c>
      <c r="J317" s="648"/>
      <c r="K317" s="648">
        <v>2.94</v>
      </c>
      <c r="L317" s="660" t="s">
        <v>27</v>
      </c>
      <c r="M317" s="555">
        <f t="shared" si="95"/>
        <v>0</v>
      </c>
      <c r="N317" s="453"/>
      <c r="O317" s="555">
        <f t="shared" si="96"/>
        <v>0</v>
      </c>
      <c r="P317" s="630">
        <f t="shared" si="90"/>
        <v>1.1000000000000001</v>
      </c>
      <c r="Q317" s="773">
        <f t="shared" si="97"/>
        <v>0</v>
      </c>
      <c r="R317" s="773">
        <f t="shared" si="98"/>
        <v>0</v>
      </c>
      <c r="S317" s="551">
        <f t="shared" si="99"/>
        <v>0</v>
      </c>
      <c r="T317" s="623">
        <f t="shared" si="92"/>
        <v>0</v>
      </c>
      <c r="U317" s="623">
        <f t="shared" si="93"/>
        <v>0</v>
      </c>
      <c r="V317" s="552">
        <f t="shared" si="94"/>
        <v>0</v>
      </c>
      <c r="W317" s="553">
        <f t="shared" si="100"/>
        <v>0</v>
      </c>
      <c r="X317" s="698"/>
      <c r="Y317" s="628">
        <f>IF(Q317=0,0,(Q317+R317)*'1.0-Contractblad'!$L$98)</f>
        <v>0</v>
      </c>
      <c r="Z317" s="629">
        <f>IF(J317=0,0,VLOOKUP(D317,'1.1a-Jaarprijzen'!$B$70:$P$124,14,FALSE)*(K317+J317))</f>
        <v>0</v>
      </c>
      <c r="AA317" s="60">
        <f t="shared" si="88"/>
        <v>0</v>
      </c>
      <c r="AC317" s="60" t="str">
        <f t="shared" si="89"/>
        <v>nvt-0</v>
      </c>
    </row>
    <row r="318" spans="1:29">
      <c r="A318" s="557"/>
      <c r="B318" s="549"/>
      <c r="C318" s="656">
        <v>1</v>
      </c>
      <c r="D318" s="550" t="s">
        <v>1016</v>
      </c>
      <c r="E318" s="657" t="s">
        <v>1010</v>
      </c>
      <c r="F318" s="645" t="s">
        <v>512</v>
      </c>
      <c r="G318" s="646" t="s">
        <v>717</v>
      </c>
      <c r="H318" s="644" t="str">
        <f t="shared" si="91"/>
        <v>niet van toepassing</v>
      </c>
      <c r="I318" s="716" t="s">
        <v>785</v>
      </c>
      <c r="J318" s="648"/>
      <c r="K318" s="648">
        <v>21.98</v>
      </c>
      <c r="L318" s="778" t="s">
        <v>27</v>
      </c>
      <c r="M318" s="555">
        <f t="shared" si="95"/>
        <v>0</v>
      </c>
      <c r="N318" s="453"/>
      <c r="O318" s="555">
        <f t="shared" si="96"/>
        <v>0</v>
      </c>
      <c r="P318" s="630">
        <f t="shared" si="90"/>
        <v>1.1000000000000001</v>
      </c>
      <c r="Q318" s="773">
        <f t="shared" si="97"/>
        <v>0</v>
      </c>
      <c r="R318" s="773">
        <f t="shared" si="98"/>
        <v>0</v>
      </c>
      <c r="S318" s="551">
        <f t="shared" si="99"/>
        <v>0</v>
      </c>
      <c r="T318" s="623">
        <f t="shared" si="92"/>
        <v>0</v>
      </c>
      <c r="U318" s="623">
        <f t="shared" si="93"/>
        <v>0</v>
      </c>
      <c r="V318" s="552">
        <f t="shared" si="94"/>
        <v>0</v>
      </c>
      <c r="W318" s="553">
        <f t="shared" si="100"/>
        <v>0</v>
      </c>
      <c r="X318" s="698"/>
      <c r="Y318" s="628">
        <f>IF(Q318=0,0,(Q318+R318)*'1.0-Contractblad'!$L$98)</f>
        <v>0</v>
      </c>
      <c r="Z318" s="629">
        <f>IF(J318=0,0,VLOOKUP(D318,'1.1a-Jaarprijzen'!$B$70:$P$124,14,FALSE)*(K318+J318))</f>
        <v>0</v>
      </c>
      <c r="AA318" s="60">
        <f t="shared" si="88"/>
        <v>0</v>
      </c>
      <c r="AC318" s="60" t="str">
        <f t="shared" si="89"/>
        <v>nvt-0</v>
      </c>
    </row>
    <row r="319" spans="1:29">
      <c r="A319" s="557"/>
      <c r="B319" s="549"/>
      <c r="C319" s="656">
        <v>1</v>
      </c>
      <c r="D319" s="550" t="s">
        <v>1016</v>
      </c>
      <c r="E319" s="657" t="s">
        <v>1010</v>
      </c>
      <c r="F319" s="645" t="s">
        <v>513</v>
      </c>
      <c r="G319" s="646" t="s">
        <v>559</v>
      </c>
      <c r="H319" s="644" t="str">
        <f t="shared" si="91"/>
        <v>niet van toepassing</v>
      </c>
      <c r="I319" s="716" t="s">
        <v>785</v>
      </c>
      <c r="J319" s="648"/>
      <c r="K319" s="648">
        <v>4.5999999999999996</v>
      </c>
      <c r="L319" s="660" t="s">
        <v>27</v>
      </c>
      <c r="M319" s="555">
        <f t="shared" si="95"/>
        <v>0</v>
      </c>
      <c r="N319" s="453"/>
      <c r="O319" s="555">
        <f t="shared" si="96"/>
        <v>0</v>
      </c>
      <c r="P319" s="630">
        <f t="shared" si="90"/>
        <v>1.1000000000000001</v>
      </c>
      <c r="Q319" s="773">
        <f t="shared" si="97"/>
        <v>0</v>
      </c>
      <c r="R319" s="773">
        <f t="shared" si="98"/>
        <v>0</v>
      </c>
      <c r="S319" s="551">
        <f t="shared" si="99"/>
        <v>0</v>
      </c>
      <c r="T319" s="623">
        <f t="shared" si="92"/>
        <v>0</v>
      </c>
      <c r="U319" s="623">
        <f t="shared" si="93"/>
        <v>0</v>
      </c>
      <c r="V319" s="552">
        <f t="shared" si="94"/>
        <v>0</v>
      </c>
      <c r="W319" s="553">
        <f t="shared" si="100"/>
        <v>0</v>
      </c>
      <c r="X319" s="698"/>
      <c r="Y319" s="628">
        <f>IF(Q319=0,0,(Q319+R319)*'1.0-Contractblad'!$L$98)</f>
        <v>0</v>
      </c>
      <c r="Z319" s="629">
        <f>IF(J319=0,0,VLOOKUP(D319,'1.1a-Jaarprijzen'!$B$70:$P$124,14,FALSE)*(K319+J319))</f>
        <v>0</v>
      </c>
      <c r="AA319" s="60">
        <f t="shared" si="88"/>
        <v>0</v>
      </c>
      <c r="AC319" s="60" t="str">
        <f t="shared" si="89"/>
        <v>1200-200</v>
      </c>
    </row>
    <row r="320" spans="1:29">
      <c r="A320" s="557"/>
      <c r="B320" s="549"/>
      <c r="C320" s="656">
        <v>1</v>
      </c>
      <c r="D320" s="550" t="s">
        <v>1016</v>
      </c>
      <c r="E320" s="657" t="s">
        <v>1010</v>
      </c>
      <c r="F320" s="645" t="s">
        <v>514</v>
      </c>
      <c r="G320" s="646" t="s">
        <v>735</v>
      </c>
      <c r="H320" s="644" t="str">
        <f t="shared" si="91"/>
        <v>administratieve -, personeels- en vergaderruimte</v>
      </c>
      <c r="I320" s="716" t="s">
        <v>785</v>
      </c>
      <c r="J320" s="648">
        <v>9.0399999999999991</v>
      </c>
      <c r="K320" s="648"/>
      <c r="L320" s="649">
        <v>1200</v>
      </c>
      <c r="M320" s="555">
        <f t="shared" si="95"/>
        <v>101</v>
      </c>
      <c r="N320" s="453"/>
      <c r="O320" s="555">
        <f t="shared" si="96"/>
        <v>200</v>
      </c>
      <c r="P320" s="630">
        <f t="shared" si="90"/>
        <v>1.1000000000000001</v>
      </c>
      <c r="Q320" s="773">
        <f t="shared" si="97"/>
        <v>0</v>
      </c>
      <c r="R320" s="773">
        <f t="shared" si="98"/>
        <v>0</v>
      </c>
      <c r="S320" s="551">
        <f t="shared" si="99"/>
        <v>0</v>
      </c>
      <c r="T320" s="623">
        <f t="shared" si="92"/>
        <v>0</v>
      </c>
      <c r="U320" s="623">
        <f t="shared" si="93"/>
        <v>0</v>
      </c>
      <c r="V320" s="552">
        <f t="shared" si="94"/>
        <v>0</v>
      </c>
      <c r="W320" s="553" t="str">
        <f t="shared" si="100"/>
        <v>B</v>
      </c>
      <c r="X320" s="554"/>
      <c r="Y320" s="628">
        <f>IF(Q320=0,0,(Q320+R320)*'1.0-Contractblad'!$L$98)</f>
        <v>0</v>
      </c>
      <c r="Z320" s="629">
        <f ca="1">IF(J320=0,0,VLOOKUP(D320,'1.1a-Jaarprijzen'!$B$70:$P$124,14,FALSE)*(K320+J320))</f>
        <v>0</v>
      </c>
      <c r="AA320" s="60">
        <f t="shared" si="88"/>
        <v>0</v>
      </c>
      <c r="AC320" s="60" t="str">
        <f t="shared" si="89"/>
        <v>nvt-0</v>
      </c>
    </row>
    <row r="321" spans="1:29">
      <c r="A321" s="557"/>
      <c r="B321" s="549"/>
      <c r="C321" s="656">
        <v>1</v>
      </c>
      <c r="D321" s="550" t="s">
        <v>1016</v>
      </c>
      <c r="E321" s="657" t="s">
        <v>1010</v>
      </c>
      <c r="F321" s="645" t="s">
        <v>515</v>
      </c>
      <c r="G321" s="646" t="s">
        <v>736</v>
      </c>
      <c r="H321" s="644" t="str">
        <f t="shared" si="91"/>
        <v>niet van toepassing</v>
      </c>
      <c r="I321" s="716" t="s">
        <v>785</v>
      </c>
      <c r="J321" s="648"/>
      <c r="K321" s="648">
        <v>5.22</v>
      </c>
      <c r="L321" s="660" t="s">
        <v>27</v>
      </c>
      <c r="M321" s="555">
        <f t="shared" si="95"/>
        <v>0</v>
      </c>
      <c r="N321" s="453"/>
      <c r="O321" s="555">
        <f t="shared" si="96"/>
        <v>0</v>
      </c>
      <c r="P321" s="630">
        <f t="shared" si="90"/>
        <v>1.1000000000000001</v>
      </c>
      <c r="Q321" s="773">
        <f t="shared" si="97"/>
        <v>0</v>
      </c>
      <c r="R321" s="773">
        <f t="shared" si="98"/>
        <v>0</v>
      </c>
      <c r="S321" s="551">
        <f t="shared" si="99"/>
        <v>0</v>
      </c>
      <c r="T321" s="623">
        <f t="shared" si="92"/>
        <v>0</v>
      </c>
      <c r="U321" s="623">
        <f t="shared" si="93"/>
        <v>0</v>
      </c>
      <c r="V321" s="552">
        <f t="shared" si="94"/>
        <v>0</v>
      </c>
      <c r="W321" s="553">
        <f t="shared" si="100"/>
        <v>0</v>
      </c>
      <c r="X321" s="698"/>
      <c r="Y321" s="628">
        <f>IF(Q321=0,0,(Q321+R321)*'1.0-Contractblad'!$L$98)</f>
        <v>0</v>
      </c>
      <c r="Z321" s="629">
        <f>IF(J321=0,0,VLOOKUP(D321,'1.1a-Jaarprijzen'!$B$70:$P$124,14,FALSE)*(K321+J321))</f>
        <v>0</v>
      </c>
      <c r="AA321" s="60">
        <f t="shared" si="88"/>
        <v>0</v>
      </c>
      <c r="AC321" s="60" t="str">
        <f t="shared" si="89"/>
        <v>nvt-0</v>
      </c>
    </row>
    <row r="322" spans="1:29">
      <c r="A322" s="557"/>
      <c r="B322" s="549"/>
      <c r="C322" s="656">
        <v>1</v>
      </c>
      <c r="D322" s="550" t="s">
        <v>1016</v>
      </c>
      <c r="E322" s="657" t="s">
        <v>1010</v>
      </c>
      <c r="F322" s="645" t="s">
        <v>516</v>
      </c>
      <c r="G322" s="646" t="s">
        <v>737</v>
      </c>
      <c r="H322" s="644" t="str">
        <f t="shared" si="91"/>
        <v>niet van toepassing</v>
      </c>
      <c r="I322" s="716" t="s">
        <v>785</v>
      </c>
      <c r="J322" s="648"/>
      <c r="K322" s="648">
        <v>2.97</v>
      </c>
      <c r="L322" s="660" t="s">
        <v>27</v>
      </c>
      <c r="M322" s="555">
        <f t="shared" si="95"/>
        <v>0</v>
      </c>
      <c r="N322" s="453"/>
      <c r="O322" s="555">
        <f t="shared" si="96"/>
        <v>0</v>
      </c>
      <c r="P322" s="630">
        <f t="shared" ref="P322:P385" si="101">P321</f>
        <v>1.1000000000000001</v>
      </c>
      <c r="Q322" s="773">
        <f t="shared" si="97"/>
        <v>0</v>
      </c>
      <c r="R322" s="773">
        <f t="shared" si="98"/>
        <v>0</v>
      </c>
      <c r="S322" s="551">
        <f t="shared" si="99"/>
        <v>0</v>
      </c>
      <c r="T322" s="623">
        <f t="shared" si="92"/>
        <v>0</v>
      </c>
      <c r="U322" s="623">
        <f t="shared" si="93"/>
        <v>0</v>
      </c>
      <c r="V322" s="552">
        <f t="shared" si="94"/>
        <v>0</v>
      </c>
      <c r="W322" s="553">
        <f t="shared" si="100"/>
        <v>0</v>
      </c>
      <c r="X322" s="698"/>
      <c r="Y322" s="628">
        <f>IF(Q322=0,0,(Q322+R322)*'1.0-Contractblad'!$L$98)</f>
        <v>0</v>
      </c>
      <c r="Z322" s="629">
        <f>IF(J322=0,0,VLOOKUP(D322,'1.1a-Jaarprijzen'!$B$70:$P$124,14,FALSE)*(K322+J322))</f>
        <v>0</v>
      </c>
      <c r="AA322" s="60">
        <f t="shared" si="88"/>
        <v>0</v>
      </c>
      <c r="AC322" s="60" t="str">
        <f t="shared" si="89"/>
        <v>3200-200</v>
      </c>
    </row>
    <row r="323" spans="1:29">
      <c r="A323" s="557"/>
      <c r="B323" s="549"/>
      <c r="C323" s="656">
        <v>1</v>
      </c>
      <c r="D323" s="550" t="s">
        <v>1016</v>
      </c>
      <c r="E323" s="657" t="s">
        <v>1010</v>
      </c>
      <c r="F323" s="645" t="s">
        <v>517</v>
      </c>
      <c r="G323" s="646" t="s">
        <v>715</v>
      </c>
      <c r="H323" s="644" t="str">
        <f t="shared" si="91"/>
        <v>entree, gang, hal, repro, kopieer, was/droogruimte</v>
      </c>
      <c r="I323" s="716" t="s">
        <v>785</v>
      </c>
      <c r="J323" s="648">
        <v>67.010000000000005</v>
      </c>
      <c r="K323" s="648"/>
      <c r="L323" s="649">
        <v>3200</v>
      </c>
      <c r="M323" s="555">
        <f t="shared" si="95"/>
        <v>103</v>
      </c>
      <c r="N323" s="453"/>
      <c r="O323" s="555">
        <f t="shared" si="96"/>
        <v>200</v>
      </c>
      <c r="P323" s="630">
        <f t="shared" si="101"/>
        <v>1.1000000000000001</v>
      </c>
      <c r="Q323" s="773">
        <f t="shared" si="97"/>
        <v>0</v>
      </c>
      <c r="R323" s="773">
        <f t="shared" si="98"/>
        <v>0</v>
      </c>
      <c r="S323" s="551">
        <f t="shared" si="99"/>
        <v>0</v>
      </c>
      <c r="T323" s="623">
        <f t="shared" si="92"/>
        <v>0</v>
      </c>
      <c r="U323" s="623">
        <f t="shared" si="93"/>
        <v>0</v>
      </c>
      <c r="V323" s="552">
        <f t="shared" si="94"/>
        <v>0</v>
      </c>
      <c r="W323" s="553" t="str">
        <f t="shared" si="100"/>
        <v>V</v>
      </c>
      <c r="X323" s="554"/>
      <c r="Y323" s="628">
        <f>IF(Q323=0,0,(Q323+R323)*'1.0-Contractblad'!$L$98)</f>
        <v>0</v>
      </c>
      <c r="Z323" s="629">
        <f ca="1">IF(J323=0,0,VLOOKUP(D323,'1.1a-Jaarprijzen'!$B$70:$P$124,14,FALSE)*(K323+J323))</f>
        <v>0</v>
      </c>
      <c r="AA323" s="60">
        <f t="shared" si="88"/>
        <v>0</v>
      </c>
      <c r="AC323" s="60" t="str">
        <f t="shared" si="89"/>
        <v>6200-200</v>
      </c>
    </row>
    <row r="324" spans="1:29">
      <c r="A324" s="557"/>
      <c r="B324" s="549"/>
      <c r="C324" s="656">
        <v>1</v>
      </c>
      <c r="D324" s="550" t="s">
        <v>1016</v>
      </c>
      <c r="E324" s="657" t="s">
        <v>1010</v>
      </c>
      <c r="F324" s="645" t="s">
        <v>518</v>
      </c>
      <c r="G324" s="646" t="s">
        <v>738</v>
      </c>
      <c r="H324" s="644" t="str">
        <f t="shared" si="91"/>
        <v>praktijklokaal</v>
      </c>
      <c r="I324" s="716" t="s">
        <v>785</v>
      </c>
      <c r="J324" s="648">
        <v>47.94</v>
      </c>
      <c r="K324" s="648"/>
      <c r="L324" s="649">
        <v>6200</v>
      </c>
      <c r="M324" s="555">
        <f t="shared" si="95"/>
        <v>107</v>
      </c>
      <c r="N324" s="453"/>
      <c r="O324" s="555">
        <f t="shared" si="96"/>
        <v>200</v>
      </c>
      <c r="P324" s="630">
        <f t="shared" si="101"/>
        <v>1.1000000000000001</v>
      </c>
      <c r="Q324" s="773">
        <f t="shared" si="97"/>
        <v>0</v>
      </c>
      <c r="R324" s="773">
        <f t="shared" si="98"/>
        <v>0</v>
      </c>
      <c r="S324" s="551">
        <f t="shared" si="99"/>
        <v>0</v>
      </c>
      <c r="T324" s="623">
        <f t="shared" si="92"/>
        <v>0</v>
      </c>
      <c r="U324" s="623">
        <f t="shared" si="93"/>
        <v>0</v>
      </c>
      <c r="V324" s="552">
        <f t="shared" si="94"/>
        <v>0</v>
      </c>
      <c r="W324" s="553" t="str">
        <f t="shared" si="100"/>
        <v>L</v>
      </c>
      <c r="X324" s="554"/>
      <c r="Y324" s="628">
        <f>IF(Q324=0,0,(Q324+R324)*'1.0-Contractblad'!$L$98)</f>
        <v>0</v>
      </c>
      <c r="Z324" s="629">
        <f ca="1">IF(J324=0,0,VLOOKUP(D324,'1.1a-Jaarprijzen'!$B$70:$P$124,14,FALSE)*(K324+J324))</f>
        <v>0</v>
      </c>
      <c r="AA324" s="60">
        <f t="shared" si="88"/>
        <v>0</v>
      </c>
      <c r="AC324" s="60" t="str">
        <f t="shared" si="89"/>
        <v>nvt-0</v>
      </c>
    </row>
    <row r="325" spans="1:29">
      <c r="A325" s="557"/>
      <c r="B325" s="549"/>
      <c r="C325" s="656">
        <v>1</v>
      </c>
      <c r="D325" s="550" t="s">
        <v>1016</v>
      </c>
      <c r="E325" s="657" t="s">
        <v>1010</v>
      </c>
      <c r="F325" s="645" t="s">
        <v>519</v>
      </c>
      <c r="G325" s="646" t="s">
        <v>739</v>
      </c>
      <c r="H325" s="644" t="str">
        <f t="shared" si="91"/>
        <v>niet van toepassing</v>
      </c>
      <c r="I325" s="716" t="s">
        <v>785</v>
      </c>
      <c r="J325" s="648"/>
      <c r="K325" s="648">
        <v>3.13</v>
      </c>
      <c r="L325" s="660" t="s">
        <v>27</v>
      </c>
      <c r="M325" s="555">
        <f t="shared" si="95"/>
        <v>0</v>
      </c>
      <c r="N325" s="453"/>
      <c r="O325" s="555">
        <f t="shared" si="96"/>
        <v>0</v>
      </c>
      <c r="P325" s="630">
        <f t="shared" si="101"/>
        <v>1.1000000000000001</v>
      </c>
      <c r="Q325" s="773">
        <f t="shared" si="97"/>
        <v>0</v>
      </c>
      <c r="R325" s="773">
        <f t="shared" si="98"/>
        <v>0</v>
      </c>
      <c r="S325" s="551">
        <f t="shared" si="99"/>
        <v>0</v>
      </c>
      <c r="T325" s="623">
        <f t="shared" si="92"/>
        <v>0</v>
      </c>
      <c r="U325" s="623">
        <f t="shared" si="93"/>
        <v>0</v>
      </c>
      <c r="V325" s="552">
        <f t="shared" si="94"/>
        <v>0</v>
      </c>
      <c r="W325" s="553">
        <f t="shared" si="100"/>
        <v>0</v>
      </c>
      <c r="X325" s="698"/>
      <c r="Y325" s="628">
        <f>IF(Q325=0,0,(Q325+R325)*'1.0-Contractblad'!$L$98)</f>
        <v>0</v>
      </c>
      <c r="Z325" s="629">
        <f>IF(J325=0,0,VLOOKUP(D325,'1.1a-Jaarprijzen'!$B$70:$P$124,14,FALSE)*(K325+J325))</f>
        <v>0</v>
      </c>
      <c r="AA325" s="60">
        <f t="shared" si="88"/>
        <v>0</v>
      </c>
      <c r="AC325" s="60" t="str">
        <f t="shared" si="89"/>
        <v>3200-200</v>
      </c>
    </row>
    <row r="326" spans="1:29">
      <c r="A326" s="557"/>
      <c r="B326" s="549"/>
      <c r="C326" s="656">
        <v>1</v>
      </c>
      <c r="D326" s="550" t="s">
        <v>1016</v>
      </c>
      <c r="E326" s="657" t="s">
        <v>1010</v>
      </c>
      <c r="F326" s="645" t="s">
        <v>520</v>
      </c>
      <c r="G326" s="646" t="s">
        <v>740</v>
      </c>
      <c r="H326" s="644" t="str">
        <f t="shared" si="91"/>
        <v>entree, gang, hal, repro, kopieer, was/droogruimte</v>
      </c>
      <c r="I326" s="716" t="s">
        <v>785</v>
      </c>
      <c r="J326" s="648">
        <v>5.98</v>
      </c>
      <c r="K326" s="648"/>
      <c r="L326" s="649">
        <v>3200</v>
      </c>
      <c r="M326" s="555">
        <f t="shared" si="95"/>
        <v>103</v>
      </c>
      <c r="N326" s="453"/>
      <c r="O326" s="555">
        <f t="shared" si="96"/>
        <v>200</v>
      </c>
      <c r="P326" s="630">
        <f t="shared" si="101"/>
        <v>1.1000000000000001</v>
      </c>
      <c r="Q326" s="773">
        <f t="shared" si="97"/>
        <v>0</v>
      </c>
      <c r="R326" s="773">
        <f t="shared" si="98"/>
        <v>0</v>
      </c>
      <c r="S326" s="551">
        <f t="shared" si="99"/>
        <v>0</v>
      </c>
      <c r="T326" s="623">
        <f t="shared" si="92"/>
        <v>0</v>
      </c>
      <c r="U326" s="623">
        <f t="shared" si="93"/>
        <v>0</v>
      </c>
      <c r="V326" s="552">
        <f t="shared" si="94"/>
        <v>0</v>
      </c>
      <c r="W326" s="553" t="str">
        <f t="shared" si="100"/>
        <v>V</v>
      </c>
      <c r="X326" s="554"/>
      <c r="Y326" s="628">
        <f>IF(Q326=0,0,(Q326+R326)*'1.0-Contractblad'!$L$98)</f>
        <v>0</v>
      </c>
      <c r="Z326" s="629">
        <f ca="1">IF(J326=0,0,VLOOKUP(D326,'1.1a-Jaarprijzen'!$B$70:$P$124,14,FALSE)*(K326+J326))</f>
        <v>0</v>
      </c>
      <c r="AA326" s="60">
        <f t="shared" si="88"/>
        <v>0</v>
      </c>
      <c r="AC326" s="60" t="str">
        <f t="shared" si="89"/>
        <v>1200-200</v>
      </c>
    </row>
    <row r="327" spans="1:29">
      <c r="A327" s="557"/>
      <c r="B327" s="549"/>
      <c r="C327" s="656">
        <v>1</v>
      </c>
      <c r="D327" s="550" t="s">
        <v>1016</v>
      </c>
      <c r="E327" s="657" t="s">
        <v>1010</v>
      </c>
      <c r="F327" s="645" t="s">
        <v>521</v>
      </c>
      <c r="G327" s="646" t="s">
        <v>741</v>
      </c>
      <c r="H327" s="644" t="str">
        <f t="shared" si="91"/>
        <v>administratieve -, personeels- en vergaderruimte</v>
      </c>
      <c r="I327" s="716" t="s">
        <v>785</v>
      </c>
      <c r="J327" s="648">
        <v>53.61</v>
      </c>
      <c r="K327" s="648"/>
      <c r="L327" s="649">
        <v>1200</v>
      </c>
      <c r="M327" s="555">
        <f t="shared" si="95"/>
        <v>101</v>
      </c>
      <c r="N327" s="453"/>
      <c r="O327" s="555">
        <f t="shared" si="96"/>
        <v>200</v>
      </c>
      <c r="P327" s="630">
        <f t="shared" si="101"/>
        <v>1.1000000000000001</v>
      </c>
      <c r="Q327" s="773">
        <f t="shared" si="97"/>
        <v>0</v>
      </c>
      <c r="R327" s="773">
        <f t="shared" si="98"/>
        <v>0</v>
      </c>
      <c r="S327" s="551">
        <f t="shared" si="99"/>
        <v>0</v>
      </c>
      <c r="T327" s="623">
        <f t="shared" si="92"/>
        <v>0</v>
      </c>
      <c r="U327" s="623">
        <f t="shared" si="93"/>
        <v>0</v>
      </c>
      <c r="V327" s="552">
        <f t="shared" si="94"/>
        <v>0</v>
      </c>
      <c r="W327" s="553" t="str">
        <f t="shared" si="100"/>
        <v>B</v>
      </c>
      <c r="X327" s="554"/>
      <c r="Y327" s="628">
        <f>IF(Q327=0,0,(Q327+R327)*'1.0-Contractblad'!$L$98)</f>
        <v>0</v>
      </c>
      <c r="Z327" s="629">
        <f ca="1">IF(J327=0,0,VLOOKUP(D327,'1.1a-Jaarprijzen'!$B$70:$P$124,14,FALSE)*(K327+J327))</f>
        <v>0</v>
      </c>
      <c r="AA327" s="60">
        <f t="shared" si="88"/>
        <v>0</v>
      </c>
      <c r="AC327" s="60" t="str">
        <f t="shared" si="89"/>
        <v>4200-200</v>
      </c>
    </row>
    <row r="328" spans="1:29">
      <c r="A328" s="557"/>
      <c r="B328" s="549"/>
      <c r="C328" s="656">
        <v>1</v>
      </c>
      <c r="D328" s="550" t="s">
        <v>1016</v>
      </c>
      <c r="E328" s="657" t="s">
        <v>1010</v>
      </c>
      <c r="F328" s="645" t="s">
        <v>522</v>
      </c>
      <c r="G328" s="646" t="s">
        <v>742</v>
      </c>
      <c r="H328" s="644" t="str">
        <f t="shared" si="91"/>
        <v>sanitaire ruimte (toilet-/doucheruimte)</v>
      </c>
      <c r="I328" s="716" t="s">
        <v>1009</v>
      </c>
      <c r="J328" s="648">
        <v>4.3099999999999996</v>
      </c>
      <c r="K328" s="648"/>
      <c r="L328" s="649">
        <v>4200</v>
      </c>
      <c r="M328" s="555">
        <f t="shared" si="95"/>
        <v>104</v>
      </c>
      <c r="N328" s="453"/>
      <c r="O328" s="555">
        <f t="shared" si="96"/>
        <v>200</v>
      </c>
      <c r="P328" s="630">
        <f t="shared" si="101"/>
        <v>1.1000000000000001</v>
      </c>
      <c r="Q328" s="773">
        <f t="shared" si="97"/>
        <v>0</v>
      </c>
      <c r="R328" s="773">
        <f t="shared" si="98"/>
        <v>0</v>
      </c>
      <c r="S328" s="551">
        <f t="shared" si="99"/>
        <v>0</v>
      </c>
      <c r="T328" s="623">
        <f t="shared" si="92"/>
        <v>0</v>
      </c>
      <c r="U328" s="623">
        <f t="shared" si="93"/>
        <v>0</v>
      </c>
      <c r="V328" s="552">
        <f t="shared" si="94"/>
        <v>0</v>
      </c>
      <c r="W328" s="553" t="str">
        <f t="shared" si="100"/>
        <v>S</v>
      </c>
      <c r="X328" s="554"/>
      <c r="Y328" s="628">
        <f>IF(Q328=0,0,(Q328+R328)*'1.0-Contractblad'!$L$98)</f>
        <v>0</v>
      </c>
      <c r="Z328" s="629">
        <f ca="1">IF(J328=0,0,VLOOKUP(D328,'1.1a-Jaarprijzen'!$B$70:$P$124,14,FALSE)*(K328+J328))</f>
        <v>0</v>
      </c>
      <c r="AA328" s="60">
        <f t="shared" si="88"/>
        <v>0</v>
      </c>
      <c r="AC328" s="60" t="str">
        <f t="shared" si="89"/>
        <v>4200-200</v>
      </c>
    </row>
    <row r="329" spans="1:29">
      <c r="A329" s="557"/>
      <c r="B329" s="549"/>
      <c r="C329" s="656">
        <v>1</v>
      </c>
      <c r="D329" s="550" t="s">
        <v>1016</v>
      </c>
      <c r="E329" s="657" t="s">
        <v>1010</v>
      </c>
      <c r="F329" s="645" t="s">
        <v>523</v>
      </c>
      <c r="G329" s="646" t="s">
        <v>743</v>
      </c>
      <c r="H329" s="644" t="str">
        <f t="shared" si="91"/>
        <v>sanitaire ruimte (toilet-/doucheruimte)</v>
      </c>
      <c r="I329" s="716" t="s">
        <v>1009</v>
      </c>
      <c r="J329" s="648">
        <v>9.4600000000000009</v>
      </c>
      <c r="K329" s="648"/>
      <c r="L329" s="649">
        <v>4200</v>
      </c>
      <c r="M329" s="555">
        <f t="shared" si="95"/>
        <v>104</v>
      </c>
      <c r="N329" s="453"/>
      <c r="O329" s="555">
        <f t="shared" si="96"/>
        <v>200</v>
      </c>
      <c r="P329" s="630">
        <f t="shared" si="101"/>
        <v>1.1000000000000001</v>
      </c>
      <c r="Q329" s="773">
        <f t="shared" si="97"/>
        <v>0</v>
      </c>
      <c r="R329" s="773">
        <f t="shared" si="98"/>
        <v>0</v>
      </c>
      <c r="S329" s="551">
        <f t="shared" si="99"/>
        <v>0</v>
      </c>
      <c r="T329" s="623">
        <f t="shared" si="92"/>
        <v>0</v>
      </c>
      <c r="U329" s="623">
        <f t="shared" si="93"/>
        <v>0</v>
      </c>
      <c r="V329" s="552">
        <f t="shared" si="94"/>
        <v>0</v>
      </c>
      <c r="W329" s="553" t="str">
        <f t="shared" si="100"/>
        <v>S</v>
      </c>
      <c r="X329" s="554"/>
      <c r="Y329" s="628">
        <f>IF(Q329=0,0,(Q329+R329)*'1.0-Contractblad'!$L$98)</f>
        <v>0</v>
      </c>
      <c r="Z329" s="629">
        <f ca="1">IF(J329=0,0,VLOOKUP(D329,'1.1a-Jaarprijzen'!$B$70:$P$124,14,FALSE)*(K329+J329))</f>
        <v>0</v>
      </c>
      <c r="AA329" s="60">
        <f t="shared" si="88"/>
        <v>0</v>
      </c>
      <c r="AC329" s="60" t="str">
        <f t="shared" si="89"/>
        <v>nvt-0</v>
      </c>
    </row>
    <row r="330" spans="1:29">
      <c r="A330" s="557"/>
      <c r="B330" s="549"/>
      <c r="C330" s="656">
        <v>1</v>
      </c>
      <c r="D330" s="550" t="s">
        <v>1016</v>
      </c>
      <c r="E330" s="657" t="s">
        <v>1010</v>
      </c>
      <c r="F330" s="645" t="s">
        <v>524</v>
      </c>
      <c r="G330" s="646" t="s">
        <v>744</v>
      </c>
      <c r="H330" s="644" t="str">
        <f t="shared" si="91"/>
        <v>niet van toepassing</v>
      </c>
      <c r="I330" s="716" t="s">
        <v>785</v>
      </c>
      <c r="J330" s="648"/>
      <c r="K330" s="648">
        <v>16.8</v>
      </c>
      <c r="L330" s="660" t="s">
        <v>27</v>
      </c>
      <c r="M330" s="555">
        <f t="shared" si="95"/>
        <v>0</v>
      </c>
      <c r="N330" s="453"/>
      <c r="O330" s="555">
        <f t="shared" si="96"/>
        <v>0</v>
      </c>
      <c r="P330" s="630">
        <f t="shared" si="101"/>
        <v>1.1000000000000001</v>
      </c>
      <c r="Q330" s="773">
        <f t="shared" si="97"/>
        <v>0</v>
      </c>
      <c r="R330" s="773">
        <f t="shared" si="98"/>
        <v>0</v>
      </c>
      <c r="S330" s="551">
        <f t="shared" si="99"/>
        <v>0</v>
      </c>
      <c r="T330" s="623">
        <f t="shared" si="92"/>
        <v>0</v>
      </c>
      <c r="U330" s="623">
        <f t="shared" si="93"/>
        <v>0</v>
      </c>
      <c r="V330" s="552">
        <f t="shared" si="94"/>
        <v>0</v>
      </c>
      <c r="W330" s="553">
        <f t="shared" si="100"/>
        <v>0</v>
      </c>
      <c r="X330" s="698"/>
      <c r="Y330" s="628">
        <f>IF(Q330=0,0,(Q330+R330)*'1.0-Contractblad'!$L$98)</f>
        <v>0</v>
      </c>
      <c r="Z330" s="629">
        <f>IF(J330=0,0,VLOOKUP(D330,'1.1a-Jaarprijzen'!$B$70:$P$124,14,FALSE)*(K330+J330))</f>
        <v>0</v>
      </c>
      <c r="AA330" s="60">
        <f t="shared" si="88"/>
        <v>0</v>
      </c>
      <c r="AC330" s="60" t="str">
        <f t="shared" si="89"/>
        <v>6200-200</v>
      </c>
    </row>
    <row r="331" spans="1:29">
      <c r="A331" s="557"/>
      <c r="B331" s="549"/>
      <c r="C331" s="656">
        <v>1</v>
      </c>
      <c r="D331" s="550" t="s">
        <v>1016</v>
      </c>
      <c r="E331" s="657" t="s">
        <v>1010</v>
      </c>
      <c r="F331" s="645" t="s">
        <v>525</v>
      </c>
      <c r="G331" s="646" t="s">
        <v>974</v>
      </c>
      <c r="H331" s="644" t="str">
        <f t="shared" si="91"/>
        <v>praktijklokaal</v>
      </c>
      <c r="I331" s="716" t="s">
        <v>785</v>
      </c>
      <c r="J331" s="648">
        <v>44.04</v>
      </c>
      <c r="K331" s="648"/>
      <c r="L331" s="649">
        <v>6200</v>
      </c>
      <c r="M331" s="555">
        <f t="shared" si="95"/>
        <v>107</v>
      </c>
      <c r="N331" s="453"/>
      <c r="O331" s="555">
        <f t="shared" si="96"/>
        <v>200</v>
      </c>
      <c r="P331" s="630">
        <f t="shared" si="101"/>
        <v>1.1000000000000001</v>
      </c>
      <c r="Q331" s="773">
        <f t="shared" si="97"/>
        <v>0</v>
      </c>
      <c r="R331" s="773">
        <f t="shared" si="98"/>
        <v>0</v>
      </c>
      <c r="S331" s="551">
        <f t="shared" si="99"/>
        <v>0</v>
      </c>
      <c r="T331" s="623">
        <f t="shared" si="92"/>
        <v>0</v>
      </c>
      <c r="U331" s="623">
        <f t="shared" si="93"/>
        <v>0</v>
      </c>
      <c r="V331" s="552">
        <f t="shared" si="94"/>
        <v>0</v>
      </c>
      <c r="W331" s="553" t="str">
        <f t="shared" si="100"/>
        <v>L</v>
      </c>
      <c r="X331" s="554"/>
      <c r="Y331" s="628">
        <f>IF(Q331=0,0,(Q331+R331)*'1.0-Contractblad'!$L$98)</f>
        <v>0</v>
      </c>
      <c r="Z331" s="629">
        <f ca="1">IF(J331=0,0,VLOOKUP(D331,'1.1a-Jaarprijzen'!$B$70:$P$124,14,FALSE)*(K331+J331))</f>
        <v>0</v>
      </c>
      <c r="AA331" s="60">
        <f t="shared" si="88"/>
        <v>0</v>
      </c>
      <c r="AC331" s="60" t="str">
        <f t="shared" si="89"/>
        <v>nvt-0</v>
      </c>
    </row>
    <row r="332" spans="1:29">
      <c r="A332" s="557"/>
      <c r="B332" s="549"/>
      <c r="C332" s="656">
        <v>1</v>
      </c>
      <c r="D332" s="550" t="s">
        <v>1016</v>
      </c>
      <c r="E332" s="657" t="s">
        <v>1010</v>
      </c>
      <c r="F332" s="645" t="s">
        <v>526</v>
      </c>
      <c r="G332" s="646" t="s">
        <v>975</v>
      </c>
      <c r="H332" s="644" t="str">
        <f t="shared" si="91"/>
        <v>niet van toepassing</v>
      </c>
      <c r="I332" s="716" t="s">
        <v>785</v>
      </c>
      <c r="J332" s="648"/>
      <c r="K332" s="648">
        <v>3.52</v>
      </c>
      <c r="L332" s="660" t="s">
        <v>27</v>
      </c>
      <c r="M332" s="555">
        <f t="shared" si="95"/>
        <v>0</v>
      </c>
      <c r="N332" s="453"/>
      <c r="O332" s="555">
        <f t="shared" si="96"/>
        <v>0</v>
      </c>
      <c r="P332" s="630">
        <f t="shared" si="101"/>
        <v>1.1000000000000001</v>
      </c>
      <c r="Q332" s="773">
        <f t="shared" si="97"/>
        <v>0</v>
      </c>
      <c r="R332" s="773">
        <f t="shared" si="98"/>
        <v>0</v>
      </c>
      <c r="S332" s="551">
        <f t="shared" si="99"/>
        <v>0</v>
      </c>
      <c r="T332" s="623">
        <f t="shared" si="92"/>
        <v>0</v>
      </c>
      <c r="U332" s="623">
        <f t="shared" si="93"/>
        <v>0</v>
      </c>
      <c r="V332" s="552">
        <f t="shared" si="94"/>
        <v>0</v>
      </c>
      <c r="W332" s="553">
        <f t="shared" si="100"/>
        <v>0</v>
      </c>
      <c r="X332" s="698"/>
      <c r="Y332" s="628">
        <f>IF(Q332=0,0,(Q332+R332)*'1.0-Contractblad'!$L$98)</f>
        <v>0</v>
      </c>
      <c r="Z332" s="629">
        <f>IF(J332=0,0,VLOOKUP(D332,'1.1a-Jaarprijzen'!$B$70:$P$124,14,FALSE)*(K332+J332))</f>
        <v>0</v>
      </c>
      <c r="AA332" s="60">
        <f t="shared" si="88"/>
        <v>0</v>
      </c>
      <c r="AC332" s="60" t="str">
        <f t="shared" si="89"/>
        <v>nvt-0</v>
      </c>
    </row>
    <row r="333" spans="1:29">
      <c r="A333" s="557"/>
      <c r="B333" s="549"/>
      <c r="C333" s="656">
        <v>1</v>
      </c>
      <c r="D333" s="550" t="s">
        <v>1016</v>
      </c>
      <c r="E333" s="657" t="s">
        <v>1010</v>
      </c>
      <c r="F333" s="645" t="s">
        <v>527</v>
      </c>
      <c r="G333" s="646" t="s">
        <v>717</v>
      </c>
      <c r="H333" s="644" t="str">
        <f t="shared" si="91"/>
        <v>niet van toepassing</v>
      </c>
      <c r="I333" s="716" t="s">
        <v>785</v>
      </c>
      <c r="J333" s="648"/>
      <c r="K333" s="648">
        <v>4.4800000000000004</v>
      </c>
      <c r="L333" s="778" t="s">
        <v>27</v>
      </c>
      <c r="M333" s="555">
        <f t="shared" si="95"/>
        <v>0</v>
      </c>
      <c r="N333" s="453"/>
      <c r="O333" s="555">
        <f t="shared" si="96"/>
        <v>0</v>
      </c>
      <c r="P333" s="630">
        <f t="shared" si="101"/>
        <v>1.1000000000000001</v>
      </c>
      <c r="Q333" s="773">
        <f t="shared" si="97"/>
        <v>0</v>
      </c>
      <c r="R333" s="773">
        <f t="shared" si="98"/>
        <v>0</v>
      </c>
      <c r="S333" s="551">
        <f t="shared" si="99"/>
        <v>0</v>
      </c>
      <c r="T333" s="623">
        <f t="shared" si="92"/>
        <v>0</v>
      </c>
      <c r="U333" s="623">
        <f t="shared" si="93"/>
        <v>0</v>
      </c>
      <c r="V333" s="552">
        <f t="shared" si="94"/>
        <v>0</v>
      </c>
      <c r="W333" s="553">
        <f t="shared" si="100"/>
        <v>0</v>
      </c>
      <c r="X333" s="698"/>
      <c r="Y333" s="628">
        <f>IF(Q333=0,0,(Q333+R333)*'1.0-Contractblad'!$L$98)</f>
        <v>0</v>
      </c>
      <c r="Z333" s="629">
        <f>IF(J333=0,0,VLOOKUP(D333,'1.1a-Jaarprijzen'!$B$70:$P$124,14,FALSE)*(K333+J333))</f>
        <v>0</v>
      </c>
      <c r="AA333" s="60">
        <f t="shared" si="88"/>
        <v>0</v>
      </c>
      <c r="AC333" s="60" t="str">
        <f t="shared" si="89"/>
        <v>7200-200</v>
      </c>
    </row>
    <row r="334" spans="1:29">
      <c r="A334" s="557"/>
      <c r="B334" s="549"/>
      <c r="C334" s="656">
        <v>1</v>
      </c>
      <c r="D334" s="550" t="s">
        <v>1016</v>
      </c>
      <c r="E334" s="657" t="s">
        <v>1010</v>
      </c>
      <c r="F334" s="645" t="s">
        <v>528</v>
      </c>
      <c r="G334" s="646" t="s">
        <v>716</v>
      </c>
      <c r="H334" s="644" t="str">
        <f t="shared" si="91"/>
        <v>leslokaal</v>
      </c>
      <c r="I334" s="716" t="s">
        <v>785</v>
      </c>
      <c r="J334" s="648">
        <v>42.29</v>
      </c>
      <c r="K334" s="648"/>
      <c r="L334" s="650">
        <v>7200</v>
      </c>
      <c r="M334" s="555">
        <f t="shared" si="95"/>
        <v>107</v>
      </c>
      <c r="N334" s="453"/>
      <c r="O334" s="555">
        <f t="shared" si="96"/>
        <v>200</v>
      </c>
      <c r="P334" s="630">
        <f t="shared" si="101"/>
        <v>1.1000000000000001</v>
      </c>
      <c r="Q334" s="773">
        <f t="shared" si="97"/>
        <v>0</v>
      </c>
      <c r="R334" s="773">
        <f t="shared" si="98"/>
        <v>0</v>
      </c>
      <c r="S334" s="551">
        <f t="shared" si="99"/>
        <v>0</v>
      </c>
      <c r="T334" s="623">
        <f t="shared" si="92"/>
        <v>0</v>
      </c>
      <c r="U334" s="623">
        <f t="shared" si="93"/>
        <v>0</v>
      </c>
      <c r="V334" s="552">
        <f t="shared" si="94"/>
        <v>0</v>
      </c>
      <c r="W334" s="553" t="str">
        <f t="shared" si="100"/>
        <v>L</v>
      </c>
      <c r="X334" s="554"/>
      <c r="Y334" s="628">
        <f>IF(Q334=0,0,(Q334+R334)*'1.0-Contractblad'!$L$98)</f>
        <v>0</v>
      </c>
      <c r="Z334" s="629">
        <f ca="1">IF(J334=0,0,VLOOKUP(D334,'1.1a-Jaarprijzen'!$B$70:$P$124,14,FALSE)*(K334+J334))</f>
        <v>0</v>
      </c>
      <c r="AA334" s="60">
        <f t="shared" si="88"/>
        <v>0</v>
      </c>
      <c r="AC334" s="60" t="str">
        <f t="shared" si="89"/>
        <v>7200-200</v>
      </c>
    </row>
    <row r="335" spans="1:29">
      <c r="A335" s="557"/>
      <c r="B335" s="549"/>
      <c r="C335" s="656">
        <v>1</v>
      </c>
      <c r="D335" s="550" t="s">
        <v>1016</v>
      </c>
      <c r="E335" s="657" t="s">
        <v>1010</v>
      </c>
      <c r="F335" s="645" t="s">
        <v>529</v>
      </c>
      <c r="G335" s="646" t="s">
        <v>718</v>
      </c>
      <c r="H335" s="644" t="str">
        <f t="shared" si="91"/>
        <v>leslokaal</v>
      </c>
      <c r="I335" s="716" t="s">
        <v>785</v>
      </c>
      <c r="J335" s="648">
        <v>43.38</v>
      </c>
      <c r="K335" s="648"/>
      <c r="L335" s="650">
        <v>7200</v>
      </c>
      <c r="M335" s="555">
        <f t="shared" si="95"/>
        <v>107</v>
      </c>
      <c r="N335" s="453"/>
      <c r="O335" s="555">
        <f t="shared" si="96"/>
        <v>200</v>
      </c>
      <c r="P335" s="630">
        <f t="shared" si="101"/>
        <v>1.1000000000000001</v>
      </c>
      <c r="Q335" s="773">
        <f t="shared" si="97"/>
        <v>0</v>
      </c>
      <c r="R335" s="773">
        <f t="shared" si="98"/>
        <v>0</v>
      </c>
      <c r="S335" s="551">
        <f t="shared" si="99"/>
        <v>0</v>
      </c>
      <c r="T335" s="623">
        <f t="shared" si="92"/>
        <v>0</v>
      </c>
      <c r="U335" s="623">
        <f t="shared" si="93"/>
        <v>0</v>
      </c>
      <c r="V335" s="552">
        <f t="shared" si="94"/>
        <v>0</v>
      </c>
      <c r="W335" s="553" t="str">
        <f t="shared" si="100"/>
        <v>L</v>
      </c>
      <c r="X335" s="554"/>
      <c r="Y335" s="628">
        <f>IF(Q335=0,0,(Q335+R335)*'1.0-Contractblad'!$L$98)</f>
        <v>0</v>
      </c>
      <c r="Z335" s="629">
        <f ca="1">IF(J335=0,0,VLOOKUP(D335,'1.1a-Jaarprijzen'!$B$70:$P$124,14,FALSE)*(K335+J335))</f>
        <v>0</v>
      </c>
      <c r="AA335" s="60">
        <f t="shared" si="88"/>
        <v>0</v>
      </c>
      <c r="AC335" s="60" t="str">
        <f t="shared" si="89"/>
        <v>7200-200</v>
      </c>
    </row>
    <row r="336" spans="1:29">
      <c r="A336" s="557"/>
      <c r="B336" s="549"/>
      <c r="C336" s="656">
        <v>1</v>
      </c>
      <c r="D336" s="550" t="s">
        <v>1016</v>
      </c>
      <c r="E336" s="657" t="s">
        <v>1010</v>
      </c>
      <c r="F336" s="645" t="s">
        <v>530</v>
      </c>
      <c r="G336" s="646" t="s">
        <v>724</v>
      </c>
      <c r="H336" s="644" t="str">
        <f t="shared" si="91"/>
        <v>leslokaal</v>
      </c>
      <c r="I336" s="716" t="s">
        <v>785</v>
      </c>
      <c r="J336" s="648">
        <v>43.4</v>
      </c>
      <c r="K336" s="648"/>
      <c r="L336" s="650">
        <v>7200</v>
      </c>
      <c r="M336" s="555">
        <f t="shared" si="95"/>
        <v>107</v>
      </c>
      <c r="N336" s="453"/>
      <c r="O336" s="555">
        <f t="shared" si="96"/>
        <v>200</v>
      </c>
      <c r="P336" s="630">
        <f t="shared" si="101"/>
        <v>1.1000000000000001</v>
      </c>
      <c r="Q336" s="773">
        <f t="shared" si="97"/>
        <v>0</v>
      </c>
      <c r="R336" s="773">
        <f t="shared" si="98"/>
        <v>0</v>
      </c>
      <c r="S336" s="551">
        <f t="shared" si="99"/>
        <v>0</v>
      </c>
      <c r="T336" s="623">
        <f t="shared" si="92"/>
        <v>0</v>
      </c>
      <c r="U336" s="623">
        <f t="shared" si="93"/>
        <v>0</v>
      </c>
      <c r="V336" s="552">
        <f t="shared" si="94"/>
        <v>0</v>
      </c>
      <c r="W336" s="553" t="str">
        <f t="shared" si="100"/>
        <v>L</v>
      </c>
      <c r="X336" s="554"/>
      <c r="Y336" s="628">
        <f>IF(Q336=0,0,(Q336+R336)*'1.0-Contractblad'!$L$98)</f>
        <v>0</v>
      </c>
      <c r="Z336" s="629">
        <f ca="1">IF(J336=0,0,VLOOKUP(D336,'1.1a-Jaarprijzen'!$B$70:$P$124,14,FALSE)*(K336+J336))</f>
        <v>0</v>
      </c>
      <c r="AA336" s="60">
        <f t="shared" si="88"/>
        <v>0</v>
      </c>
      <c r="AC336" s="60" t="str">
        <f t="shared" si="89"/>
        <v>7200-200</v>
      </c>
    </row>
    <row r="337" spans="1:29">
      <c r="A337" s="557"/>
      <c r="B337" s="549"/>
      <c r="C337" s="656">
        <v>1</v>
      </c>
      <c r="D337" s="550" t="s">
        <v>1016</v>
      </c>
      <c r="E337" s="657" t="s">
        <v>1010</v>
      </c>
      <c r="F337" s="645" t="s">
        <v>531</v>
      </c>
      <c r="G337" s="646" t="s">
        <v>725</v>
      </c>
      <c r="H337" s="644" t="str">
        <f t="shared" si="91"/>
        <v>leslokaal</v>
      </c>
      <c r="I337" s="716" t="s">
        <v>785</v>
      </c>
      <c r="J337" s="648">
        <v>43.4</v>
      </c>
      <c r="K337" s="648"/>
      <c r="L337" s="650">
        <v>7200</v>
      </c>
      <c r="M337" s="555">
        <f t="shared" si="95"/>
        <v>107</v>
      </c>
      <c r="N337" s="453"/>
      <c r="O337" s="555">
        <f t="shared" si="96"/>
        <v>200</v>
      </c>
      <c r="P337" s="630">
        <f t="shared" si="101"/>
        <v>1.1000000000000001</v>
      </c>
      <c r="Q337" s="773">
        <f t="shared" si="97"/>
        <v>0</v>
      </c>
      <c r="R337" s="773">
        <f t="shared" si="98"/>
        <v>0</v>
      </c>
      <c r="S337" s="551">
        <f t="shared" si="99"/>
        <v>0</v>
      </c>
      <c r="T337" s="623">
        <f t="shared" si="92"/>
        <v>0</v>
      </c>
      <c r="U337" s="623">
        <f t="shared" si="93"/>
        <v>0</v>
      </c>
      <c r="V337" s="552">
        <f t="shared" si="94"/>
        <v>0</v>
      </c>
      <c r="W337" s="553" t="str">
        <f t="shared" si="100"/>
        <v>L</v>
      </c>
      <c r="X337" s="554"/>
      <c r="Y337" s="628">
        <f>IF(Q337=0,0,(Q337+R337)*'1.0-Contractblad'!$L$98)</f>
        <v>0</v>
      </c>
      <c r="Z337" s="629">
        <f ca="1">IF(J337=0,0,VLOOKUP(D337,'1.1a-Jaarprijzen'!$B$70:$P$124,14,FALSE)*(K337+J337))</f>
        <v>0</v>
      </c>
      <c r="AA337" s="60">
        <f t="shared" si="88"/>
        <v>0</v>
      </c>
      <c r="AC337" s="60" t="str">
        <f t="shared" si="89"/>
        <v>1200-200</v>
      </c>
    </row>
    <row r="338" spans="1:29">
      <c r="A338" s="557"/>
      <c r="B338" s="549"/>
      <c r="C338" s="656">
        <v>1</v>
      </c>
      <c r="D338" s="550" t="s">
        <v>1016</v>
      </c>
      <c r="E338" s="657" t="s">
        <v>1010</v>
      </c>
      <c r="F338" s="645" t="s">
        <v>532</v>
      </c>
      <c r="G338" s="646" t="s">
        <v>745</v>
      </c>
      <c r="H338" s="644" t="str">
        <f t="shared" si="91"/>
        <v>administratieve -, personeels- en vergaderruimte</v>
      </c>
      <c r="I338" s="716" t="s">
        <v>785</v>
      </c>
      <c r="J338" s="648">
        <v>20.78</v>
      </c>
      <c r="K338" s="648"/>
      <c r="L338" s="649">
        <v>1200</v>
      </c>
      <c r="M338" s="555">
        <f t="shared" si="95"/>
        <v>101</v>
      </c>
      <c r="N338" s="453"/>
      <c r="O338" s="555">
        <f t="shared" si="96"/>
        <v>200</v>
      </c>
      <c r="P338" s="630">
        <f t="shared" si="101"/>
        <v>1.1000000000000001</v>
      </c>
      <c r="Q338" s="773">
        <f t="shared" si="97"/>
        <v>0</v>
      </c>
      <c r="R338" s="773">
        <f t="shared" si="98"/>
        <v>0</v>
      </c>
      <c r="S338" s="551">
        <f t="shared" si="99"/>
        <v>0</v>
      </c>
      <c r="T338" s="623">
        <f t="shared" si="92"/>
        <v>0</v>
      </c>
      <c r="U338" s="623">
        <f t="shared" si="93"/>
        <v>0</v>
      </c>
      <c r="V338" s="552">
        <f t="shared" si="94"/>
        <v>0</v>
      </c>
      <c r="W338" s="553" t="str">
        <f t="shared" si="100"/>
        <v>B</v>
      </c>
      <c r="X338" s="554"/>
      <c r="Y338" s="628">
        <f>IF(Q338=0,0,(Q338+R338)*'1.0-Contractblad'!$L$98)</f>
        <v>0</v>
      </c>
      <c r="Z338" s="629">
        <f ca="1">IF(J338=0,0,VLOOKUP(D338,'1.1a-Jaarprijzen'!$B$70:$P$124,14,FALSE)*(K338+J338))</f>
        <v>0</v>
      </c>
      <c r="AA338" s="60">
        <f t="shared" si="88"/>
        <v>0</v>
      </c>
      <c r="AC338" s="60" t="str">
        <f t="shared" si="89"/>
        <v>1200-200</v>
      </c>
    </row>
    <row r="339" spans="1:29">
      <c r="A339" s="557"/>
      <c r="B339" s="549"/>
      <c r="C339" s="656">
        <v>1</v>
      </c>
      <c r="D339" s="550" t="s">
        <v>1016</v>
      </c>
      <c r="E339" s="657" t="s">
        <v>1010</v>
      </c>
      <c r="F339" s="645" t="s">
        <v>533</v>
      </c>
      <c r="G339" s="646" t="s">
        <v>719</v>
      </c>
      <c r="H339" s="644" t="str">
        <f t="shared" si="91"/>
        <v>administratieve -, personeels- en vergaderruimte</v>
      </c>
      <c r="I339" s="716" t="s">
        <v>785</v>
      </c>
      <c r="J339" s="648">
        <v>13.18</v>
      </c>
      <c r="K339" s="648"/>
      <c r="L339" s="649">
        <v>1200</v>
      </c>
      <c r="M339" s="555">
        <f t="shared" si="95"/>
        <v>101</v>
      </c>
      <c r="N339" s="453"/>
      <c r="O339" s="555">
        <f t="shared" si="96"/>
        <v>200</v>
      </c>
      <c r="P339" s="630">
        <f t="shared" si="101"/>
        <v>1.1000000000000001</v>
      </c>
      <c r="Q339" s="773">
        <f t="shared" si="97"/>
        <v>0</v>
      </c>
      <c r="R339" s="773">
        <f t="shared" si="98"/>
        <v>0</v>
      </c>
      <c r="S339" s="551">
        <f t="shared" si="99"/>
        <v>0</v>
      </c>
      <c r="T339" s="623">
        <f t="shared" si="92"/>
        <v>0</v>
      </c>
      <c r="U339" s="623">
        <f t="shared" si="93"/>
        <v>0</v>
      </c>
      <c r="V339" s="552">
        <f t="shared" si="94"/>
        <v>0</v>
      </c>
      <c r="W339" s="553" t="str">
        <f t="shared" si="100"/>
        <v>B</v>
      </c>
      <c r="X339" s="554"/>
      <c r="Y339" s="628">
        <f>IF(Q339=0,0,(Q339+R339)*'1.0-Contractblad'!$L$98)</f>
        <v>0</v>
      </c>
      <c r="Z339" s="629">
        <f ca="1">IF(J339=0,0,VLOOKUP(D339,'1.1a-Jaarprijzen'!$B$70:$P$124,14,FALSE)*(K339+J339))</f>
        <v>0</v>
      </c>
      <c r="AA339" s="60">
        <f t="shared" si="88"/>
        <v>0</v>
      </c>
      <c r="AC339" s="60" t="str">
        <f t="shared" si="89"/>
        <v>1200-200</v>
      </c>
    </row>
    <row r="340" spans="1:29">
      <c r="A340" s="557"/>
      <c r="B340" s="549"/>
      <c r="C340" s="656">
        <v>1</v>
      </c>
      <c r="D340" s="550" t="s">
        <v>1016</v>
      </c>
      <c r="E340" s="657" t="s">
        <v>1010</v>
      </c>
      <c r="F340" s="645" t="s">
        <v>534</v>
      </c>
      <c r="G340" s="646" t="s">
        <v>720</v>
      </c>
      <c r="H340" s="644" t="str">
        <f t="shared" si="91"/>
        <v>administratieve -, personeels- en vergaderruimte</v>
      </c>
      <c r="I340" s="716" t="s">
        <v>785</v>
      </c>
      <c r="J340" s="648">
        <v>12.93</v>
      </c>
      <c r="K340" s="648"/>
      <c r="L340" s="649">
        <v>1200</v>
      </c>
      <c r="M340" s="555">
        <f t="shared" si="95"/>
        <v>101</v>
      </c>
      <c r="N340" s="453"/>
      <c r="O340" s="555">
        <f t="shared" si="96"/>
        <v>200</v>
      </c>
      <c r="P340" s="630">
        <f t="shared" si="101"/>
        <v>1.1000000000000001</v>
      </c>
      <c r="Q340" s="773">
        <f t="shared" si="97"/>
        <v>0</v>
      </c>
      <c r="R340" s="773">
        <f t="shared" si="98"/>
        <v>0</v>
      </c>
      <c r="S340" s="551">
        <f t="shared" si="99"/>
        <v>0</v>
      </c>
      <c r="T340" s="623">
        <f t="shared" si="92"/>
        <v>0</v>
      </c>
      <c r="U340" s="623">
        <f t="shared" si="93"/>
        <v>0</v>
      </c>
      <c r="V340" s="552">
        <f t="shared" si="94"/>
        <v>0</v>
      </c>
      <c r="W340" s="553" t="str">
        <f t="shared" si="100"/>
        <v>B</v>
      </c>
      <c r="X340" s="554"/>
      <c r="Y340" s="628">
        <f>IF(Q340=0,0,(Q340+R340)*'1.0-Contractblad'!$L$98)</f>
        <v>0</v>
      </c>
      <c r="Z340" s="629">
        <f ca="1">IF(J340=0,0,VLOOKUP(D340,'1.1a-Jaarprijzen'!$B$70:$P$124,14,FALSE)*(K340+J340))</f>
        <v>0</v>
      </c>
      <c r="AA340" s="60">
        <f t="shared" si="88"/>
        <v>0</v>
      </c>
      <c r="AC340" s="60" t="str">
        <f t="shared" si="89"/>
        <v>3200-200</v>
      </c>
    </row>
    <row r="341" spans="1:29">
      <c r="A341" s="557"/>
      <c r="B341" s="549"/>
      <c r="C341" s="656">
        <v>1</v>
      </c>
      <c r="D341" s="550" t="s">
        <v>1016</v>
      </c>
      <c r="E341" s="657" t="s">
        <v>694</v>
      </c>
      <c r="F341" s="645" t="s">
        <v>854</v>
      </c>
      <c r="G341" s="646" t="s">
        <v>746</v>
      </c>
      <c r="H341" s="644" t="str">
        <f t="shared" si="91"/>
        <v>entree, gang, hal, repro, kopieer, was/droogruimte</v>
      </c>
      <c r="I341" s="716" t="s">
        <v>785</v>
      </c>
      <c r="J341" s="648">
        <v>50.85</v>
      </c>
      <c r="K341" s="648"/>
      <c r="L341" s="649">
        <v>3200</v>
      </c>
      <c r="M341" s="555">
        <f t="shared" si="95"/>
        <v>103</v>
      </c>
      <c r="N341" s="453"/>
      <c r="O341" s="555">
        <f t="shared" si="96"/>
        <v>200</v>
      </c>
      <c r="P341" s="630">
        <f t="shared" si="101"/>
        <v>1.1000000000000001</v>
      </c>
      <c r="Q341" s="773">
        <f t="shared" si="97"/>
        <v>0</v>
      </c>
      <c r="R341" s="773">
        <f t="shared" si="98"/>
        <v>0</v>
      </c>
      <c r="S341" s="551">
        <f t="shared" si="99"/>
        <v>0</v>
      </c>
      <c r="T341" s="623">
        <f t="shared" si="92"/>
        <v>0</v>
      </c>
      <c r="U341" s="623">
        <f t="shared" si="93"/>
        <v>0</v>
      </c>
      <c r="V341" s="552">
        <f t="shared" si="94"/>
        <v>0</v>
      </c>
      <c r="W341" s="553" t="str">
        <f t="shared" si="100"/>
        <v>V</v>
      </c>
      <c r="X341" s="554"/>
      <c r="Y341" s="628">
        <f>IF(Q341=0,0,(Q341+R341)*'1.0-Contractblad'!$L$98)</f>
        <v>0</v>
      </c>
      <c r="Z341" s="629">
        <f ca="1">IF(J341=0,0,VLOOKUP(D341,'1.1a-Jaarprijzen'!$B$70:$P$124,14,FALSE)*(K341+J341))</f>
        <v>0</v>
      </c>
      <c r="AA341" s="60">
        <f t="shared" si="88"/>
        <v>0</v>
      </c>
      <c r="AC341" s="60" t="str">
        <f t="shared" si="89"/>
        <v>4200-200</v>
      </c>
    </row>
    <row r="342" spans="1:29">
      <c r="A342" s="557"/>
      <c r="B342" s="549"/>
      <c r="C342" s="656">
        <v>1</v>
      </c>
      <c r="D342" s="550" t="s">
        <v>1016</v>
      </c>
      <c r="E342" s="657" t="s">
        <v>694</v>
      </c>
      <c r="F342" s="645" t="s">
        <v>855</v>
      </c>
      <c r="G342" s="646" t="s">
        <v>712</v>
      </c>
      <c r="H342" s="644" t="str">
        <f t="shared" si="91"/>
        <v>sanitaire ruimte (toilet-/doucheruimte)</v>
      </c>
      <c r="I342" s="716" t="s">
        <v>1009</v>
      </c>
      <c r="J342" s="648">
        <v>9.6999999999999993</v>
      </c>
      <c r="K342" s="648"/>
      <c r="L342" s="649">
        <v>4200</v>
      </c>
      <c r="M342" s="555">
        <f t="shared" si="95"/>
        <v>104</v>
      </c>
      <c r="N342" s="453"/>
      <c r="O342" s="555">
        <f t="shared" si="96"/>
        <v>200</v>
      </c>
      <c r="P342" s="630">
        <f t="shared" si="101"/>
        <v>1.1000000000000001</v>
      </c>
      <c r="Q342" s="773">
        <f t="shared" si="97"/>
        <v>0</v>
      </c>
      <c r="R342" s="773">
        <f t="shared" si="98"/>
        <v>0</v>
      </c>
      <c r="S342" s="551">
        <f t="shared" si="99"/>
        <v>0</v>
      </c>
      <c r="T342" s="623">
        <f t="shared" si="92"/>
        <v>0</v>
      </c>
      <c r="U342" s="623">
        <f t="shared" si="93"/>
        <v>0</v>
      </c>
      <c r="V342" s="552">
        <f t="shared" si="94"/>
        <v>0</v>
      </c>
      <c r="W342" s="553" t="str">
        <f t="shared" si="100"/>
        <v>S</v>
      </c>
      <c r="X342" s="554"/>
      <c r="Y342" s="628">
        <f>IF(Q342=0,0,(Q342+R342)*'1.0-Contractblad'!$L$98)</f>
        <v>0</v>
      </c>
      <c r="Z342" s="629">
        <f ca="1">IF(J342=0,0,VLOOKUP(D342,'1.1a-Jaarprijzen'!$B$70:$P$124,14,FALSE)*(K342+J342))</f>
        <v>0</v>
      </c>
      <c r="AA342" s="60">
        <f t="shared" si="88"/>
        <v>0</v>
      </c>
      <c r="AC342" s="60" t="str">
        <f t="shared" si="89"/>
        <v>1200-200</v>
      </c>
    </row>
    <row r="343" spans="1:29">
      <c r="A343" s="557"/>
      <c r="B343" s="549"/>
      <c r="C343" s="656">
        <v>1</v>
      </c>
      <c r="D343" s="550" t="s">
        <v>1016</v>
      </c>
      <c r="E343" s="657" t="s">
        <v>694</v>
      </c>
      <c r="F343" s="645" t="s">
        <v>856</v>
      </c>
      <c r="G343" s="646" t="s">
        <v>709</v>
      </c>
      <c r="H343" s="644" t="str">
        <f t="shared" si="91"/>
        <v>administratieve -, personeels- en vergaderruimte</v>
      </c>
      <c r="I343" s="716" t="s">
        <v>785</v>
      </c>
      <c r="J343" s="648">
        <v>13.3</v>
      </c>
      <c r="K343" s="648"/>
      <c r="L343" s="649">
        <v>1200</v>
      </c>
      <c r="M343" s="555">
        <f t="shared" si="95"/>
        <v>101</v>
      </c>
      <c r="N343" s="453"/>
      <c r="O343" s="555">
        <f t="shared" si="96"/>
        <v>200</v>
      </c>
      <c r="P343" s="630">
        <f t="shared" si="101"/>
        <v>1.1000000000000001</v>
      </c>
      <c r="Q343" s="773">
        <f t="shared" si="97"/>
        <v>0</v>
      </c>
      <c r="R343" s="773">
        <f t="shared" si="98"/>
        <v>0</v>
      </c>
      <c r="S343" s="551">
        <f t="shared" si="99"/>
        <v>0</v>
      </c>
      <c r="T343" s="623">
        <f t="shared" si="92"/>
        <v>0</v>
      </c>
      <c r="U343" s="623">
        <f t="shared" si="93"/>
        <v>0</v>
      </c>
      <c r="V343" s="552">
        <f t="shared" si="94"/>
        <v>0</v>
      </c>
      <c r="W343" s="553" t="str">
        <f t="shared" si="100"/>
        <v>B</v>
      </c>
      <c r="X343" s="554"/>
      <c r="Y343" s="628">
        <f>IF(Q343=0,0,(Q343+R343)*'1.0-Contractblad'!$L$98)</f>
        <v>0</v>
      </c>
      <c r="Z343" s="629">
        <f ca="1">IF(J343=0,0,VLOOKUP(D343,'1.1a-Jaarprijzen'!$B$70:$P$124,14,FALSE)*(K343+J343))</f>
        <v>0</v>
      </c>
      <c r="AA343" s="60">
        <f t="shared" si="88"/>
        <v>0</v>
      </c>
      <c r="AC343" s="60" t="str">
        <f t="shared" si="89"/>
        <v>1200-200</v>
      </c>
    </row>
    <row r="344" spans="1:29">
      <c r="A344" s="557"/>
      <c r="B344" s="549"/>
      <c r="C344" s="656">
        <v>1</v>
      </c>
      <c r="D344" s="550" t="s">
        <v>1016</v>
      </c>
      <c r="E344" s="657" t="s">
        <v>694</v>
      </c>
      <c r="F344" s="645" t="s">
        <v>857</v>
      </c>
      <c r="G344" s="646" t="s">
        <v>709</v>
      </c>
      <c r="H344" s="644" t="str">
        <f t="shared" si="91"/>
        <v>administratieve -, personeels- en vergaderruimte</v>
      </c>
      <c r="I344" s="716" t="s">
        <v>785</v>
      </c>
      <c r="J344" s="648">
        <v>14.86</v>
      </c>
      <c r="K344" s="648"/>
      <c r="L344" s="649">
        <v>1200</v>
      </c>
      <c r="M344" s="555">
        <f t="shared" si="95"/>
        <v>101</v>
      </c>
      <c r="N344" s="453"/>
      <c r="O344" s="555">
        <f t="shared" si="96"/>
        <v>200</v>
      </c>
      <c r="P344" s="630">
        <f t="shared" si="101"/>
        <v>1.1000000000000001</v>
      </c>
      <c r="Q344" s="773">
        <f t="shared" si="97"/>
        <v>0</v>
      </c>
      <c r="R344" s="773">
        <f t="shared" si="98"/>
        <v>0</v>
      </c>
      <c r="S344" s="551">
        <f t="shared" si="99"/>
        <v>0</v>
      </c>
      <c r="T344" s="623">
        <f t="shared" si="92"/>
        <v>0</v>
      </c>
      <c r="U344" s="623">
        <f t="shared" si="93"/>
        <v>0</v>
      </c>
      <c r="V344" s="552">
        <f t="shared" si="94"/>
        <v>0</v>
      </c>
      <c r="W344" s="553" t="str">
        <f t="shared" si="100"/>
        <v>B</v>
      </c>
      <c r="X344" s="554"/>
      <c r="Y344" s="628">
        <f>IF(Q344=0,0,(Q344+R344)*'1.0-Contractblad'!$L$98)</f>
        <v>0</v>
      </c>
      <c r="Z344" s="629">
        <f ca="1">IF(J344=0,0,VLOOKUP(D344,'1.1a-Jaarprijzen'!$B$70:$P$124,14,FALSE)*(K344+J344))</f>
        <v>0</v>
      </c>
      <c r="AA344" s="60">
        <f t="shared" si="88"/>
        <v>0</v>
      </c>
      <c r="AC344" s="60" t="str">
        <f t="shared" si="89"/>
        <v>4200-200</v>
      </c>
    </row>
    <row r="345" spans="1:29">
      <c r="A345" s="557"/>
      <c r="B345" s="549"/>
      <c r="C345" s="656">
        <v>1</v>
      </c>
      <c r="D345" s="550" t="s">
        <v>1016</v>
      </c>
      <c r="E345" s="657" t="s">
        <v>694</v>
      </c>
      <c r="F345" s="645" t="s">
        <v>858</v>
      </c>
      <c r="G345" s="646" t="s">
        <v>742</v>
      </c>
      <c r="H345" s="644" t="str">
        <f t="shared" si="91"/>
        <v>sanitaire ruimte (toilet-/doucheruimte)</v>
      </c>
      <c r="I345" s="716" t="s">
        <v>785</v>
      </c>
      <c r="J345" s="648">
        <v>3.81</v>
      </c>
      <c r="K345" s="648"/>
      <c r="L345" s="649">
        <v>4200</v>
      </c>
      <c r="M345" s="555">
        <f t="shared" si="95"/>
        <v>104</v>
      </c>
      <c r="N345" s="453"/>
      <c r="O345" s="555">
        <f t="shared" si="96"/>
        <v>200</v>
      </c>
      <c r="P345" s="630">
        <f t="shared" si="101"/>
        <v>1.1000000000000001</v>
      </c>
      <c r="Q345" s="773">
        <f t="shared" si="97"/>
        <v>0</v>
      </c>
      <c r="R345" s="773">
        <f t="shared" si="98"/>
        <v>0</v>
      </c>
      <c r="S345" s="551">
        <f t="shared" si="99"/>
        <v>0</v>
      </c>
      <c r="T345" s="623">
        <f t="shared" si="92"/>
        <v>0</v>
      </c>
      <c r="U345" s="623">
        <f t="shared" si="93"/>
        <v>0</v>
      </c>
      <c r="V345" s="552">
        <f t="shared" si="94"/>
        <v>0</v>
      </c>
      <c r="W345" s="553" t="str">
        <f t="shared" si="100"/>
        <v>S</v>
      </c>
      <c r="X345" s="554"/>
      <c r="Y345" s="628">
        <f>IF(Q345=0,0,(Q345+R345)*'1.0-Contractblad'!$L$98)</f>
        <v>0</v>
      </c>
      <c r="Z345" s="629">
        <f ca="1">IF(J345=0,0,VLOOKUP(D345,'1.1a-Jaarprijzen'!$B$70:$P$124,14,FALSE)*(K345+J345))</f>
        <v>0</v>
      </c>
      <c r="AA345" s="60">
        <f t="shared" si="88"/>
        <v>0</v>
      </c>
      <c r="AC345" s="60" t="str">
        <f t="shared" si="89"/>
        <v>4200-200</v>
      </c>
    </row>
    <row r="346" spans="1:29">
      <c r="A346" s="557"/>
      <c r="B346" s="549"/>
      <c r="C346" s="656">
        <v>1</v>
      </c>
      <c r="D346" s="550" t="s">
        <v>1016</v>
      </c>
      <c r="E346" s="657" t="s">
        <v>694</v>
      </c>
      <c r="F346" s="645" t="s">
        <v>859</v>
      </c>
      <c r="G346" s="646" t="s">
        <v>721</v>
      </c>
      <c r="H346" s="644" t="str">
        <f t="shared" si="91"/>
        <v>sanitaire ruimte (toilet-/doucheruimte)</v>
      </c>
      <c r="I346" s="716" t="s">
        <v>1009</v>
      </c>
      <c r="J346" s="648">
        <v>3.82</v>
      </c>
      <c r="K346" s="648"/>
      <c r="L346" s="649">
        <v>4200</v>
      </c>
      <c r="M346" s="555">
        <f t="shared" si="95"/>
        <v>104</v>
      </c>
      <c r="N346" s="453"/>
      <c r="O346" s="555">
        <f t="shared" si="96"/>
        <v>200</v>
      </c>
      <c r="P346" s="630">
        <f t="shared" si="101"/>
        <v>1.1000000000000001</v>
      </c>
      <c r="Q346" s="773">
        <f t="shared" si="97"/>
        <v>0</v>
      </c>
      <c r="R346" s="773">
        <f t="shared" si="98"/>
        <v>0</v>
      </c>
      <c r="S346" s="551">
        <f t="shared" si="99"/>
        <v>0</v>
      </c>
      <c r="T346" s="623">
        <f t="shared" si="92"/>
        <v>0</v>
      </c>
      <c r="U346" s="623">
        <f t="shared" si="93"/>
        <v>0</v>
      </c>
      <c r="V346" s="552">
        <f t="shared" si="94"/>
        <v>0</v>
      </c>
      <c r="W346" s="553" t="str">
        <f t="shared" si="100"/>
        <v>S</v>
      </c>
      <c r="X346" s="554"/>
      <c r="Y346" s="628">
        <f>IF(Q346=0,0,(Q346+R346)*'1.0-Contractblad'!$L$98)</f>
        <v>0</v>
      </c>
      <c r="Z346" s="629">
        <f ca="1">IF(J346=0,0,VLOOKUP(D346,'1.1a-Jaarprijzen'!$B$70:$P$124,14,FALSE)*(K346+J346))</f>
        <v>0</v>
      </c>
      <c r="AA346" s="60">
        <f t="shared" si="88"/>
        <v>0</v>
      </c>
      <c r="AC346" s="60" t="str">
        <f t="shared" si="89"/>
        <v>3200-200</v>
      </c>
    </row>
    <row r="347" spans="1:29">
      <c r="A347" s="557"/>
      <c r="B347" s="549"/>
      <c r="C347" s="656">
        <v>1</v>
      </c>
      <c r="D347" s="550" t="s">
        <v>1016</v>
      </c>
      <c r="E347" s="657" t="s">
        <v>694</v>
      </c>
      <c r="F347" s="645" t="s">
        <v>860</v>
      </c>
      <c r="G347" s="646" t="s">
        <v>715</v>
      </c>
      <c r="H347" s="644" t="str">
        <f t="shared" si="91"/>
        <v>entree, gang, hal, repro, kopieer, was/droogruimte</v>
      </c>
      <c r="I347" s="716" t="s">
        <v>785</v>
      </c>
      <c r="J347" s="648">
        <v>43.83</v>
      </c>
      <c r="K347" s="648"/>
      <c r="L347" s="649">
        <v>3200</v>
      </c>
      <c r="M347" s="555">
        <f t="shared" si="95"/>
        <v>103</v>
      </c>
      <c r="N347" s="453"/>
      <c r="O347" s="555">
        <f t="shared" si="96"/>
        <v>200</v>
      </c>
      <c r="P347" s="630">
        <f t="shared" si="101"/>
        <v>1.1000000000000001</v>
      </c>
      <c r="Q347" s="773">
        <f t="shared" si="97"/>
        <v>0</v>
      </c>
      <c r="R347" s="773">
        <f t="shared" si="98"/>
        <v>0</v>
      </c>
      <c r="S347" s="551">
        <f t="shared" si="99"/>
        <v>0</v>
      </c>
      <c r="T347" s="623">
        <f t="shared" si="92"/>
        <v>0</v>
      </c>
      <c r="U347" s="623">
        <f t="shared" si="93"/>
        <v>0</v>
      </c>
      <c r="V347" s="552">
        <f t="shared" si="94"/>
        <v>0</v>
      </c>
      <c r="W347" s="553" t="str">
        <f t="shared" si="100"/>
        <v>V</v>
      </c>
      <c r="X347" s="554"/>
      <c r="Y347" s="628">
        <f>IF(Q347=0,0,(Q347+R347)*'1.0-Contractblad'!$L$98)</f>
        <v>0</v>
      </c>
      <c r="Z347" s="629">
        <f ca="1">IF(J347=0,0,VLOOKUP(D347,'1.1a-Jaarprijzen'!$B$70:$P$124,14,FALSE)*(K347+J347))</f>
        <v>0</v>
      </c>
      <c r="AA347" s="60">
        <f t="shared" si="88"/>
        <v>0</v>
      </c>
      <c r="AC347" s="60" t="str">
        <f t="shared" si="89"/>
        <v>nvt-0</v>
      </c>
    </row>
    <row r="348" spans="1:29">
      <c r="A348" s="557"/>
      <c r="B348" s="549"/>
      <c r="C348" s="656">
        <v>1</v>
      </c>
      <c r="D348" s="550" t="s">
        <v>1016</v>
      </c>
      <c r="E348" s="657" t="s">
        <v>694</v>
      </c>
      <c r="F348" s="645" t="s">
        <v>861</v>
      </c>
      <c r="G348" s="646" t="s">
        <v>559</v>
      </c>
      <c r="H348" s="644" t="str">
        <f t="shared" si="91"/>
        <v>niet van toepassing</v>
      </c>
      <c r="I348" s="716" t="s">
        <v>785</v>
      </c>
      <c r="J348" s="648"/>
      <c r="K348" s="648">
        <v>3.21</v>
      </c>
      <c r="L348" s="660" t="s">
        <v>27</v>
      </c>
      <c r="M348" s="555">
        <f t="shared" si="95"/>
        <v>0</v>
      </c>
      <c r="N348" s="453"/>
      <c r="O348" s="555">
        <f t="shared" si="96"/>
        <v>0</v>
      </c>
      <c r="P348" s="630">
        <f t="shared" si="101"/>
        <v>1.1000000000000001</v>
      </c>
      <c r="Q348" s="773">
        <f t="shared" si="97"/>
        <v>0</v>
      </c>
      <c r="R348" s="773">
        <f t="shared" si="98"/>
        <v>0</v>
      </c>
      <c r="S348" s="551">
        <f t="shared" si="99"/>
        <v>0</v>
      </c>
      <c r="T348" s="623">
        <f t="shared" si="92"/>
        <v>0</v>
      </c>
      <c r="U348" s="623">
        <f t="shared" si="93"/>
        <v>0</v>
      </c>
      <c r="V348" s="552">
        <f t="shared" si="94"/>
        <v>0</v>
      </c>
      <c r="W348" s="553">
        <f t="shared" si="100"/>
        <v>0</v>
      </c>
      <c r="X348" s="698"/>
      <c r="Y348" s="628">
        <f>IF(Q348=0,0,(Q348+R348)*'1.0-Contractblad'!$L$98)</f>
        <v>0</v>
      </c>
      <c r="Z348" s="629">
        <f>IF(J348=0,0,VLOOKUP(D348,'1.1a-Jaarprijzen'!$B$70:$P$124,14,FALSE)*(K348+J348))</f>
        <v>0</v>
      </c>
      <c r="AA348" s="60">
        <f t="shared" si="88"/>
        <v>0</v>
      </c>
      <c r="AC348" s="60" t="str">
        <f t="shared" si="89"/>
        <v>4200-200</v>
      </c>
    </row>
    <row r="349" spans="1:29">
      <c r="A349" s="557"/>
      <c r="B349" s="549"/>
      <c r="C349" s="656">
        <v>1</v>
      </c>
      <c r="D349" s="550" t="s">
        <v>1016</v>
      </c>
      <c r="E349" s="657" t="s">
        <v>694</v>
      </c>
      <c r="F349" s="645" t="s">
        <v>535</v>
      </c>
      <c r="G349" s="646" t="s">
        <v>723</v>
      </c>
      <c r="H349" s="644" t="str">
        <f t="shared" si="91"/>
        <v>sanitaire ruimte (toilet-/doucheruimte)</v>
      </c>
      <c r="I349" s="716" t="s">
        <v>785</v>
      </c>
      <c r="J349" s="648">
        <v>4.83</v>
      </c>
      <c r="K349" s="648"/>
      <c r="L349" s="649">
        <v>4200</v>
      </c>
      <c r="M349" s="555">
        <f t="shared" si="95"/>
        <v>104</v>
      </c>
      <c r="N349" s="453"/>
      <c r="O349" s="555">
        <f t="shared" si="96"/>
        <v>200</v>
      </c>
      <c r="P349" s="630">
        <f t="shared" si="101"/>
        <v>1.1000000000000001</v>
      </c>
      <c r="Q349" s="773">
        <f t="shared" si="97"/>
        <v>0</v>
      </c>
      <c r="R349" s="773">
        <f t="shared" si="98"/>
        <v>0</v>
      </c>
      <c r="S349" s="551">
        <f t="shared" si="99"/>
        <v>0</v>
      </c>
      <c r="T349" s="623">
        <f t="shared" si="92"/>
        <v>0</v>
      </c>
      <c r="U349" s="623">
        <f t="shared" si="93"/>
        <v>0</v>
      </c>
      <c r="V349" s="552">
        <f t="shared" si="94"/>
        <v>0</v>
      </c>
      <c r="W349" s="553" t="str">
        <f t="shared" si="100"/>
        <v>S</v>
      </c>
      <c r="X349" s="554"/>
      <c r="Y349" s="628">
        <f>IF(Q349=0,0,(Q349+R349)*'1.0-Contractblad'!$L$98)</f>
        <v>0</v>
      </c>
      <c r="Z349" s="629">
        <f ca="1">IF(J349=0,0,VLOOKUP(D349,'1.1a-Jaarprijzen'!$B$70:$P$124,14,FALSE)*(K349+J349))</f>
        <v>0</v>
      </c>
      <c r="AA349" s="60">
        <f t="shared" si="88"/>
        <v>0</v>
      </c>
      <c r="AC349" s="60" t="str">
        <f t="shared" si="89"/>
        <v>7200-200</v>
      </c>
    </row>
    <row r="350" spans="1:29">
      <c r="A350" s="557"/>
      <c r="B350" s="549"/>
      <c r="C350" s="656">
        <v>1</v>
      </c>
      <c r="D350" s="550" t="s">
        <v>1016</v>
      </c>
      <c r="E350" s="657" t="s">
        <v>694</v>
      </c>
      <c r="F350" s="645" t="s">
        <v>536</v>
      </c>
      <c r="G350" s="646" t="s">
        <v>747</v>
      </c>
      <c r="H350" s="644" t="str">
        <f t="shared" si="91"/>
        <v>leslokaal</v>
      </c>
      <c r="I350" s="716" t="s">
        <v>785</v>
      </c>
      <c r="J350" s="648">
        <v>44.3</v>
      </c>
      <c r="K350" s="648"/>
      <c r="L350" s="650">
        <v>7200</v>
      </c>
      <c r="M350" s="555">
        <f t="shared" si="95"/>
        <v>107</v>
      </c>
      <c r="N350" s="453"/>
      <c r="O350" s="555">
        <f t="shared" si="96"/>
        <v>200</v>
      </c>
      <c r="P350" s="630">
        <f t="shared" si="101"/>
        <v>1.1000000000000001</v>
      </c>
      <c r="Q350" s="773">
        <f t="shared" si="97"/>
        <v>0</v>
      </c>
      <c r="R350" s="773">
        <f t="shared" si="98"/>
        <v>0</v>
      </c>
      <c r="S350" s="551">
        <f t="shared" si="99"/>
        <v>0</v>
      </c>
      <c r="T350" s="623">
        <f t="shared" si="92"/>
        <v>0</v>
      </c>
      <c r="U350" s="623">
        <f t="shared" si="93"/>
        <v>0</v>
      </c>
      <c r="V350" s="552">
        <f t="shared" si="94"/>
        <v>0</v>
      </c>
      <c r="W350" s="553" t="str">
        <f t="shared" si="100"/>
        <v>L</v>
      </c>
      <c r="X350" s="554"/>
      <c r="Y350" s="628">
        <f>IF(Q350=0,0,(Q350+R350)*'1.0-Contractblad'!$L$98)</f>
        <v>0</v>
      </c>
      <c r="Z350" s="629">
        <f ca="1">IF(J350=0,0,VLOOKUP(D350,'1.1a-Jaarprijzen'!$B$70:$P$124,14,FALSE)*(K350+J350))</f>
        <v>0</v>
      </c>
      <c r="AA350" s="60">
        <f t="shared" si="88"/>
        <v>0</v>
      </c>
      <c r="AC350" s="60" t="str">
        <f t="shared" si="89"/>
        <v>7200-200</v>
      </c>
    </row>
    <row r="351" spans="1:29">
      <c r="A351" s="557"/>
      <c r="B351" s="549"/>
      <c r="C351" s="656">
        <v>1</v>
      </c>
      <c r="D351" s="550" t="s">
        <v>1016</v>
      </c>
      <c r="E351" s="657" t="s">
        <v>694</v>
      </c>
      <c r="F351" s="645" t="s">
        <v>537</v>
      </c>
      <c r="G351" s="646" t="s">
        <v>748</v>
      </c>
      <c r="H351" s="644" t="str">
        <f t="shared" si="91"/>
        <v>leslokaal</v>
      </c>
      <c r="I351" s="716" t="s">
        <v>785</v>
      </c>
      <c r="J351" s="648">
        <v>43.15</v>
      </c>
      <c r="K351" s="648"/>
      <c r="L351" s="650">
        <v>7200</v>
      </c>
      <c r="M351" s="555">
        <f t="shared" si="95"/>
        <v>107</v>
      </c>
      <c r="N351" s="453"/>
      <c r="O351" s="555">
        <f t="shared" si="96"/>
        <v>200</v>
      </c>
      <c r="P351" s="630">
        <f t="shared" si="101"/>
        <v>1.1000000000000001</v>
      </c>
      <c r="Q351" s="773">
        <f t="shared" si="97"/>
        <v>0</v>
      </c>
      <c r="R351" s="773">
        <f t="shared" si="98"/>
        <v>0</v>
      </c>
      <c r="S351" s="551">
        <f t="shared" si="99"/>
        <v>0</v>
      </c>
      <c r="T351" s="623">
        <f t="shared" si="92"/>
        <v>0</v>
      </c>
      <c r="U351" s="623">
        <f t="shared" si="93"/>
        <v>0</v>
      </c>
      <c r="V351" s="552">
        <f t="shared" si="94"/>
        <v>0</v>
      </c>
      <c r="W351" s="553" t="str">
        <f t="shared" si="100"/>
        <v>L</v>
      </c>
      <c r="X351" s="554"/>
      <c r="Y351" s="628">
        <f>IF(Q351=0,0,(Q351+R351)*'1.0-Contractblad'!$L$98)</f>
        <v>0</v>
      </c>
      <c r="Z351" s="629">
        <f ca="1">IF(J351=0,0,VLOOKUP(D351,'1.1a-Jaarprijzen'!$B$70:$P$124,14,FALSE)*(K351+J351))</f>
        <v>0</v>
      </c>
      <c r="AA351" s="60">
        <f t="shared" si="88"/>
        <v>0</v>
      </c>
      <c r="AC351" s="60" t="str">
        <f t="shared" si="89"/>
        <v>7200-200</v>
      </c>
    </row>
    <row r="352" spans="1:29">
      <c r="A352" s="557"/>
      <c r="B352" s="549"/>
      <c r="C352" s="656">
        <v>1</v>
      </c>
      <c r="D352" s="550" t="s">
        <v>1016</v>
      </c>
      <c r="E352" s="657" t="s">
        <v>694</v>
      </c>
      <c r="F352" s="645" t="s">
        <v>538</v>
      </c>
      <c r="G352" s="646" t="s">
        <v>749</v>
      </c>
      <c r="H352" s="644" t="str">
        <f t="shared" si="91"/>
        <v>leslokaal</v>
      </c>
      <c r="I352" s="716" t="s">
        <v>785</v>
      </c>
      <c r="J352" s="648">
        <v>43.14</v>
      </c>
      <c r="K352" s="648"/>
      <c r="L352" s="650">
        <v>7200</v>
      </c>
      <c r="M352" s="555">
        <f t="shared" si="95"/>
        <v>107</v>
      </c>
      <c r="N352" s="453"/>
      <c r="O352" s="555">
        <f t="shared" si="96"/>
        <v>200</v>
      </c>
      <c r="P352" s="630">
        <f t="shared" si="101"/>
        <v>1.1000000000000001</v>
      </c>
      <c r="Q352" s="773">
        <f t="shared" si="97"/>
        <v>0</v>
      </c>
      <c r="R352" s="773">
        <f t="shared" si="98"/>
        <v>0</v>
      </c>
      <c r="S352" s="551">
        <f t="shared" si="99"/>
        <v>0</v>
      </c>
      <c r="T352" s="623">
        <f t="shared" si="92"/>
        <v>0</v>
      </c>
      <c r="U352" s="623">
        <f t="shared" si="93"/>
        <v>0</v>
      </c>
      <c r="V352" s="552">
        <f t="shared" si="94"/>
        <v>0</v>
      </c>
      <c r="W352" s="553" t="str">
        <f t="shared" si="100"/>
        <v>L</v>
      </c>
      <c r="X352" s="554"/>
      <c r="Y352" s="628">
        <f>IF(Q352=0,0,(Q352+R352)*'1.0-Contractblad'!$L$98)</f>
        <v>0</v>
      </c>
      <c r="Z352" s="629">
        <f ca="1">IF(J352=0,0,VLOOKUP(D352,'1.1a-Jaarprijzen'!$B$70:$P$124,14,FALSE)*(K352+J352))</f>
        <v>0</v>
      </c>
      <c r="AA352" s="60">
        <f t="shared" si="88"/>
        <v>0</v>
      </c>
      <c r="AC352" s="60" t="str">
        <f t="shared" si="89"/>
        <v>7200-200</v>
      </c>
    </row>
    <row r="353" spans="1:29">
      <c r="A353" s="557"/>
      <c r="B353" s="549"/>
      <c r="C353" s="656">
        <v>1</v>
      </c>
      <c r="D353" s="550" t="s">
        <v>1016</v>
      </c>
      <c r="E353" s="657" t="s">
        <v>694</v>
      </c>
      <c r="F353" s="645" t="s">
        <v>539</v>
      </c>
      <c r="G353" s="646" t="s">
        <v>750</v>
      </c>
      <c r="H353" s="644" t="str">
        <f t="shared" si="91"/>
        <v>leslokaal</v>
      </c>
      <c r="I353" s="716" t="s">
        <v>785</v>
      </c>
      <c r="J353" s="648">
        <v>41.51</v>
      </c>
      <c r="K353" s="648"/>
      <c r="L353" s="650">
        <v>7200</v>
      </c>
      <c r="M353" s="555">
        <f t="shared" si="95"/>
        <v>107</v>
      </c>
      <c r="N353" s="453"/>
      <c r="O353" s="555">
        <f t="shared" si="96"/>
        <v>200</v>
      </c>
      <c r="P353" s="630">
        <f t="shared" si="101"/>
        <v>1.1000000000000001</v>
      </c>
      <c r="Q353" s="773">
        <f t="shared" si="97"/>
        <v>0</v>
      </c>
      <c r="R353" s="773">
        <f t="shared" si="98"/>
        <v>0</v>
      </c>
      <c r="S353" s="551">
        <f t="shared" si="99"/>
        <v>0</v>
      </c>
      <c r="T353" s="623">
        <f t="shared" si="92"/>
        <v>0</v>
      </c>
      <c r="U353" s="623">
        <f t="shared" si="93"/>
        <v>0</v>
      </c>
      <c r="V353" s="552">
        <f t="shared" si="94"/>
        <v>0</v>
      </c>
      <c r="W353" s="553" t="str">
        <f t="shared" si="100"/>
        <v>L</v>
      </c>
      <c r="X353" s="554"/>
      <c r="Y353" s="628">
        <f>IF(Q353=0,0,(Q353+R353)*'1.0-Contractblad'!$L$98)</f>
        <v>0</v>
      </c>
      <c r="Z353" s="629">
        <f ca="1">IF(J353=0,0,VLOOKUP(D353,'1.1a-Jaarprijzen'!$B$70:$P$124,14,FALSE)*(K353+J353))</f>
        <v>0</v>
      </c>
      <c r="AA353" s="60">
        <f t="shared" si="88"/>
        <v>0</v>
      </c>
      <c r="AC353" s="60" t="str">
        <f t="shared" si="89"/>
        <v>7200-200</v>
      </c>
    </row>
    <row r="354" spans="1:29">
      <c r="A354" s="557"/>
      <c r="B354" s="549"/>
      <c r="C354" s="656">
        <v>1</v>
      </c>
      <c r="D354" s="550" t="s">
        <v>1016</v>
      </c>
      <c r="E354" s="657" t="s">
        <v>694</v>
      </c>
      <c r="F354" s="645" t="s">
        <v>540</v>
      </c>
      <c r="G354" s="646" t="s">
        <v>751</v>
      </c>
      <c r="H354" s="644" t="str">
        <f t="shared" si="91"/>
        <v>leslokaal</v>
      </c>
      <c r="I354" s="716" t="s">
        <v>785</v>
      </c>
      <c r="J354" s="648">
        <v>43.34</v>
      </c>
      <c r="K354" s="648"/>
      <c r="L354" s="650">
        <v>7200</v>
      </c>
      <c r="M354" s="555">
        <f t="shared" si="95"/>
        <v>107</v>
      </c>
      <c r="N354" s="453"/>
      <c r="O354" s="555">
        <f t="shared" si="96"/>
        <v>200</v>
      </c>
      <c r="P354" s="630">
        <f t="shared" si="101"/>
        <v>1.1000000000000001</v>
      </c>
      <c r="Q354" s="773">
        <f t="shared" si="97"/>
        <v>0</v>
      </c>
      <c r="R354" s="773">
        <f t="shared" si="98"/>
        <v>0</v>
      </c>
      <c r="S354" s="551">
        <f t="shared" si="99"/>
        <v>0</v>
      </c>
      <c r="T354" s="623">
        <f t="shared" si="92"/>
        <v>0</v>
      </c>
      <c r="U354" s="623">
        <f t="shared" si="93"/>
        <v>0</v>
      </c>
      <c r="V354" s="552">
        <f t="shared" si="94"/>
        <v>0</v>
      </c>
      <c r="W354" s="553" t="str">
        <f t="shared" si="100"/>
        <v>L</v>
      </c>
      <c r="X354" s="554"/>
      <c r="Y354" s="628">
        <f>IF(Q354=0,0,(Q354+R354)*'1.0-Contractblad'!$L$98)</f>
        <v>0</v>
      </c>
      <c r="Z354" s="629">
        <f ca="1">IF(J354=0,0,VLOOKUP(D354,'1.1a-Jaarprijzen'!$B$70:$P$124,14,FALSE)*(K354+J354))</f>
        <v>0</v>
      </c>
      <c r="AA354" s="60">
        <f t="shared" si="88"/>
        <v>0</v>
      </c>
      <c r="AC354" s="60" t="str">
        <f t="shared" si="89"/>
        <v>3200-200</v>
      </c>
    </row>
    <row r="355" spans="1:29">
      <c r="A355" s="557"/>
      <c r="B355" s="549"/>
      <c r="C355" s="656">
        <v>1</v>
      </c>
      <c r="D355" s="550" t="s">
        <v>1016</v>
      </c>
      <c r="E355" s="657" t="s">
        <v>694</v>
      </c>
      <c r="F355" s="645" t="s">
        <v>541</v>
      </c>
      <c r="G355" s="646" t="s">
        <v>715</v>
      </c>
      <c r="H355" s="644" t="str">
        <f t="shared" ref="H355:H418" si="102">IF(L355="","",VLOOKUP(L355,Kengetal,4,FALSE))</f>
        <v>entree, gang, hal, repro, kopieer, was/droogruimte</v>
      </c>
      <c r="I355" s="716" t="s">
        <v>785</v>
      </c>
      <c r="J355" s="648">
        <v>61.23</v>
      </c>
      <c r="K355" s="648"/>
      <c r="L355" s="649">
        <v>3200</v>
      </c>
      <c r="M355" s="555">
        <f t="shared" si="95"/>
        <v>103</v>
      </c>
      <c r="N355" s="453"/>
      <c r="O355" s="555">
        <f t="shared" si="96"/>
        <v>200</v>
      </c>
      <c r="P355" s="630">
        <f t="shared" si="101"/>
        <v>1.1000000000000001</v>
      </c>
      <c r="Q355" s="773">
        <f t="shared" si="97"/>
        <v>0</v>
      </c>
      <c r="R355" s="773">
        <f t="shared" si="98"/>
        <v>0</v>
      </c>
      <c r="S355" s="551">
        <f t="shared" si="99"/>
        <v>0</v>
      </c>
      <c r="T355" s="623">
        <f t="shared" si="92"/>
        <v>0</v>
      </c>
      <c r="U355" s="623">
        <f t="shared" si="93"/>
        <v>0</v>
      </c>
      <c r="V355" s="552">
        <f t="shared" si="94"/>
        <v>0</v>
      </c>
      <c r="W355" s="553" t="str">
        <f t="shared" si="100"/>
        <v>V</v>
      </c>
      <c r="X355" s="554"/>
      <c r="Y355" s="628">
        <f>IF(Q355=0,0,(Q355+R355)*'1.0-Contractblad'!$L$98)</f>
        <v>0</v>
      </c>
      <c r="Z355" s="629">
        <f ca="1">IF(J355=0,0,VLOOKUP(D355,'1.1a-Jaarprijzen'!$B$70:$P$124,14,FALSE)*(K355+J355))</f>
        <v>0</v>
      </c>
      <c r="AA355" s="60">
        <f t="shared" si="88"/>
        <v>0</v>
      </c>
      <c r="AC355" s="60" t="str">
        <f t="shared" si="89"/>
        <v>7200-200</v>
      </c>
    </row>
    <row r="356" spans="1:29">
      <c r="A356" s="557"/>
      <c r="B356" s="549"/>
      <c r="C356" s="656">
        <v>1</v>
      </c>
      <c r="D356" s="550" t="s">
        <v>1016</v>
      </c>
      <c r="E356" s="657" t="s">
        <v>694</v>
      </c>
      <c r="F356" s="645" t="s">
        <v>542</v>
      </c>
      <c r="G356" s="646" t="s">
        <v>726</v>
      </c>
      <c r="H356" s="644" t="str">
        <f t="shared" si="102"/>
        <v>leslokaal</v>
      </c>
      <c r="I356" s="716" t="s">
        <v>785</v>
      </c>
      <c r="J356" s="648">
        <v>43.56</v>
      </c>
      <c r="K356" s="648"/>
      <c r="L356" s="650">
        <v>7200</v>
      </c>
      <c r="M356" s="555">
        <f t="shared" si="95"/>
        <v>107</v>
      </c>
      <c r="N356" s="453"/>
      <c r="O356" s="555">
        <f t="shared" si="96"/>
        <v>200</v>
      </c>
      <c r="P356" s="630">
        <f t="shared" si="101"/>
        <v>1.1000000000000001</v>
      </c>
      <c r="Q356" s="773">
        <f t="shared" si="97"/>
        <v>0</v>
      </c>
      <c r="R356" s="773">
        <f t="shared" si="98"/>
        <v>0</v>
      </c>
      <c r="S356" s="551">
        <f t="shared" si="99"/>
        <v>0</v>
      </c>
      <c r="T356" s="623">
        <f t="shared" ref="T356:T419" si="103">VLOOKUP($L356,Kengetal,6,FALSE)</f>
        <v>0</v>
      </c>
      <c r="U356" s="623">
        <f t="shared" ref="U356:U419" si="104">VLOOKUP($L356,Kengetal,7,FALSE)</f>
        <v>0</v>
      </c>
      <c r="V356" s="552">
        <f t="shared" ref="V356:V419" si="105">VLOOKUP($N356,Kengetal,7,FALSE)</f>
        <v>0</v>
      </c>
      <c r="W356" s="553" t="str">
        <f t="shared" si="100"/>
        <v>L</v>
      </c>
      <c r="X356" s="554"/>
      <c r="Y356" s="628">
        <f>IF(Q356=0,0,(Q356+R356)*'1.0-Contractblad'!$L$98)</f>
        <v>0</v>
      </c>
      <c r="Z356" s="629">
        <f ca="1">IF(J356=0,0,VLOOKUP(D356,'1.1a-Jaarprijzen'!$B$70:$P$124,14,FALSE)*(K356+J356))</f>
        <v>0</v>
      </c>
      <c r="AA356" s="60">
        <f t="shared" si="88"/>
        <v>0</v>
      </c>
      <c r="AC356" s="60" t="str">
        <f t="shared" si="89"/>
        <v>7200-200</v>
      </c>
    </row>
    <row r="357" spans="1:29">
      <c r="A357" s="557"/>
      <c r="B357" s="549"/>
      <c r="C357" s="656">
        <v>1</v>
      </c>
      <c r="D357" s="550" t="s">
        <v>1016</v>
      </c>
      <c r="E357" s="657" t="s">
        <v>694</v>
      </c>
      <c r="F357" s="645" t="s">
        <v>543</v>
      </c>
      <c r="G357" s="646" t="s">
        <v>727</v>
      </c>
      <c r="H357" s="644" t="str">
        <f t="shared" si="102"/>
        <v>leslokaal</v>
      </c>
      <c r="I357" s="716" t="s">
        <v>785</v>
      </c>
      <c r="J357" s="648">
        <v>42.99</v>
      </c>
      <c r="K357" s="648"/>
      <c r="L357" s="650">
        <v>7200</v>
      </c>
      <c r="M357" s="555">
        <f t="shared" ref="M357:M420" si="106">VLOOKUP(L357,Kengetal,2,FALSE)</f>
        <v>107</v>
      </c>
      <c r="N357" s="453"/>
      <c r="O357" s="555">
        <f t="shared" ref="O357:O420" si="107">VLOOKUP(L357,Kengetal,3,FALSE)</f>
        <v>200</v>
      </c>
      <c r="P357" s="630">
        <f t="shared" si="101"/>
        <v>1.1000000000000001</v>
      </c>
      <c r="Q357" s="773">
        <f t="shared" ref="Q357:Q420" si="108">T357*J357*P357</f>
        <v>0</v>
      </c>
      <c r="R357" s="773">
        <f t="shared" ref="R357:R420" si="109">U357*J357*P357</f>
        <v>0</v>
      </c>
      <c r="S357" s="551">
        <f t="shared" ref="S357:S420" si="110">V357*J357*P357</f>
        <v>0</v>
      </c>
      <c r="T357" s="623">
        <f t="shared" si="103"/>
        <v>0</v>
      </c>
      <c r="U357" s="623">
        <f t="shared" si="104"/>
        <v>0</v>
      </c>
      <c r="V357" s="552">
        <f t="shared" si="105"/>
        <v>0</v>
      </c>
      <c r="W357" s="553" t="str">
        <f t="shared" ref="W357:W420" si="111">IF(L357="","",VLOOKUP(L357,Kengetal,14,FALSE))</f>
        <v>L</v>
      </c>
      <c r="X357" s="554"/>
      <c r="Y357" s="628">
        <f>IF(Q357=0,0,(Q357+R357)*'1.0-Contractblad'!$L$98)</f>
        <v>0</v>
      </c>
      <c r="Z357" s="629">
        <f ca="1">IF(J357=0,0,VLOOKUP(D357,'1.1a-Jaarprijzen'!$B$70:$P$124,14,FALSE)*(K357+J357))</f>
        <v>0</v>
      </c>
      <c r="AA357" s="60">
        <f t="shared" si="88"/>
        <v>0</v>
      </c>
      <c r="AC357" s="60" t="str">
        <f t="shared" si="89"/>
        <v>7200-200</v>
      </c>
    </row>
    <row r="358" spans="1:29">
      <c r="A358" s="557"/>
      <c r="B358" s="549"/>
      <c r="C358" s="656">
        <v>1</v>
      </c>
      <c r="D358" s="550" t="s">
        <v>1016</v>
      </c>
      <c r="E358" s="657" t="s">
        <v>694</v>
      </c>
      <c r="F358" s="645" t="s">
        <v>544</v>
      </c>
      <c r="G358" s="646" t="s">
        <v>729</v>
      </c>
      <c r="H358" s="644" t="str">
        <f t="shared" si="102"/>
        <v>leslokaal</v>
      </c>
      <c r="I358" s="716" t="s">
        <v>785</v>
      </c>
      <c r="J358" s="648">
        <v>43.2</v>
      </c>
      <c r="K358" s="648"/>
      <c r="L358" s="650">
        <v>7200</v>
      </c>
      <c r="M358" s="555">
        <f t="shared" si="106"/>
        <v>107</v>
      </c>
      <c r="N358" s="453"/>
      <c r="O358" s="555">
        <f t="shared" si="107"/>
        <v>200</v>
      </c>
      <c r="P358" s="630">
        <f t="shared" si="101"/>
        <v>1.1000000000000001</v>
      </c>
      <c r="Q358" s="773">
        <f t="shared" si="108"/>
        <v>0</v>
      </c>
      <c r="R358" s="773">
        <f t="shared" si="109"/>
        <v>0</v>
      </c>
      <c r="S358" s="551">
        <f t="shared" si="110"/>
        <v>0</v>
      </c>
      <c r="T358" s="623">
        <f t="shared" si="103"/>
        <v>0</v>
      </c>
      <c r="U358" s="623">
        <f t="shared" si="104"/>
        <v>0</v>
      </c>
      <c r="V358" s="552">
        <f t="shared" si="105"/>
        <v>0</v>
      </c>
      <c r="W358" s="553" t="str">
        <f t="shared" si="111"/>
        <v>L</v>
      </c>
      <c r="X358" s="554"/>
      <c r="Y358" s="628">
        <f>IF(Q358=0,0,(Q358+R358)*'1.0-Contractblad'!$L$98)</f>
        <v>0</v>
      </c>
      <c r="Z358" s="629">
        <f ca="1">IF(J358=0,0,VLOOKUP(D358,'1.1a-Jaarprijzen'!$B$70:$P$124,14,FALSE)*(K358+J358))</f>
        <v>0</v>
      </c>
      <c r="AA358" s="60">
        <f t="shared" si="88"/>
        <v>0</v>
      </c>
      <c r="AC358" s="60" t="str">
        <f t="shared" si="89"/>
        <v>7200-200</v>
      </c>
    </row>
    <row r="359" spans="1:29">
      <c r="A359" s="557"/>
      <c r="B359" s="549"/>
      <c r="C359" s="656">
        <v>1</v>
      </c>
      <c r="D359" s="550" t="s">
        <v>1016</v>
      </c>
      <c r="E359" s="657" t="s">
        <v>694</v>
      </c>
      <c r="F359" s="645" t="s">
        <v>545</v>
      </c>
      <c r="G359" s="646" t="s">
        <v>730</v>
      </c>
      <c r="H359" s="644" t="str">
        <f t="shared" si="102"/>
        <v>leslokaal</v>
      </c>
      <c r="I359" s="716" t="s">
        <v>785</v>
      </c>
      <c r="J359" s="648">
        <v>42.97</v>
      </c>
      <c r="K359" s="648"/>
      <c r="L359" s="650">
        <v>7200</v>
      </c>
      <c r="M359" s="555">
        <f t="shared" si="106"/>
        <v>107</v>
      </c>
      <c r="N359" s="453"/>
      <c r="O359" s="555">
        <f t="shared" si="107"/>
        <v>200</v>
      </c>
      <c r="P359" s="630">
        <f t="shared" si="101"/>
        <v>1.1000000000000001</v>
      </c>
      <c r="Q359" s="773">
        <f t="shared" si="108"/>
        <v>0</v>
      </c>
      <c r="R359" s="773">
        <f t="shared" si="109"/>
        <v>0</v>
      </c>
      <c r="S359" s="551">
        <f t="shared" si="110"/>
        <v>0</v>
      </c>
      <c r="T359" s="623">
        <f t="shared" si="103"/>
        <v>0</v>
      </c>
      <c r="U359" s="623">
        <f t="shared" si="104"/>
        <v>0</v>
      </c>
      <c r="V359" s="552">
        <f t="shared" si="105"/>
        <v>0</v>
      </c>
      <c r="W359" s="553" t="str">
        <f t="shared" si="111"/>
        <v>L</v>
      </c>
      <c r="X359" s="554"/>
      <c r="Y359" s="628">
        <f>IF(Q359=0,0,(Q359+R359)*'1.0-Contractblad'!$L$98)</f>
        <v>0</v>
      </c>
      <c r="Z359" s="629">
        <f ca="1">IF(J359=0,0,VLOOKUP(D359,'1.1a-Jaarprijzen'!$B$70:$P$124,14,FALSE)*(K359+J359))</f>
        <v>0</v>
      </c>
      <c r="AA359" s="60">
        <f t="shared" si="88"/>
        <v>0</v>
      </c>
      <c r="AC359" s="60" t="str">
        <f t="shared" si="89"/>
        <v>7200-200</v>
      </c>
    </row>
    <row r="360" spans="1:29">
      <c r="A360" s="557"/>
      <c r="B360" s="549"/>
      <c r="C360" s="656">
        <v>1</v>
      </c>
      <c r="D360" s="550" t="s">
        <v>1016</v>
      </c>
      <c r="E360" s="657" t="s">
        <v>694</v>
      </c>
      <c r="F360" s="645" t="s">
        <v>546</v>
      </c>
      <c r="G360" s="646" t="s">
        <v>752</v>
      </c>
      <c r="H360" s="644" t="str">
        <f t="shared" si="102"/>
        <v>leslokaal</v>
      </c>
      <c r="I360" s="716" t="s">
        <v>785</v>
      </c>
      <c r="J360" s="648">
        <v>42.99</v>
      </c>
      <c r="K360" s="648"/>
      <c r="L360" s="650">
        <v>7200</v>
      </c>
      <c r="M360" s="555">
        <f t="shared" si="106"/>
        <v>107</v>
      </c>
      <c r="N360" s="453"/>
      <c r="O360" s="555">
        <f t="shared" si="107"/>
        <v>200</v>
      </c>
      <c r="P360" s="630">
        <f t="shared" si="101"/>
        <v>1.1000000000000001</v>
      </c>
      <c r="Q360" s="773">
        <f t="shared" si="108"/>
        <v>0</v>
      </c>
      <c r="R360" s="773">
        <f t="shared" si="109"/>
        <v>0</v>
      </c>
      <c r="S360" s="551">
        <f t="shared" si="110"/>
        <v>0</v>
      </c>
      <c r="T360" s="623">
        <f t="shared" si="103"/>
        <v>0</v>
      </c>
      <c r="U360" s="623">
        <f t="shared" si="104"/>
        <v>0</v>
      </c>
      <c r="V360" s="552">
        <f t="shared" si="105"/>
        <v>0</v>
      </c>
      <c r="W360" s="553" t="str">
        <f t="shared" si="111"/>
        <v>L</v>
      </c>
      <c r="X360" s="554"/>
      <c r="Y360" s="628">
        <f>IF(Q360=0,0,(Q360+R360)*'1.0-Contractblad'!$L$98)</f>
        <v>0</v>
      </c>
      <c r="Z360" s="629">
        <f ca="1">IF(J360=0,0,VLOOKUP(D360,'1.1a-Jaarprijzen'!$B$70:$P$124,14,FALSE)*(K360+J360))</f>
        <v>0</v>
      </c>
      <c r="AA360" s="60">
        <f t="shared" si="88"/>
        <v>0</v>
      </c>
      <c r="AC360" s="60" t="str">
        <f t="shared" si="89"/>
        <v>7200-200</v>
      </c>
    </row>
    <row r="361" spans="1:29">
      <c r="A361" s="557"/>
      <c r="B361" s="549"/>
      <c r="C361" s="656">
        <v>1</v>
      </c>
      <c r="D361" s="550" t="s">
        <v>1016</v>
      </c>
      <c r="E361" s="657" t="s">
        <v>694</v>
      </c>
      <c r="F361" s="645" t="s">
        <v>547</v>
      </c>
      <c r="G361" s="646" t="s">
        <v>753</v>
      </c>
      <c r="H361" s="644" t="str">
        <f t="shared" si="102"/>
        <v>leslokaal</v>
      </c>
      <c r="I361" s="716" t="s">
        <v>785</v>
      </c>
      <c r="J361" s="648">
        <v>51.56</v>
      </c>
      <c r="K361" s="648"/>
      <c r="L361" s="650">
        <v>7200</v>
      </c>
      <c r="M361" s="555">
        <f t="shared" si="106"/>
        <v>107</v>
      </c>
      <c r="N361" s="453"/>
      <c r="O361" s="555">
        <f t="shared" si="107"/>
        <v>200</v>
      </c>
      <c r="P361" s="630">
        <f t="shared" si="101"/>
        <v>1.1000000000000001</v>
      </c>
      <c r="Q361" s="773">
        <f t="shared" si="108"/>
        <v>0</v>
      </c>
      <c r="R361" s="773">
        <f t="shared" si="109"/>
        <v>0</v>
      </c>
      <c r="S361" s="551">
        <f t="shared" si="110"/>
        <v>0</v>
      </c>
      <c r="T361" s="623">
        <f t="shared" si="103"/>
        <v>0</v>
      </c>
      <c r="U361" s="623">
        <f t="shared" si="104"/>
        <v>0</v>
      </c>
      <c r="V361" s="552">
        <f t="shared" si="105"/>
        <v>0</v>
      </c>
      <c r="W361" s="553" t="str">
        <f t="shared" si="111"/>
        <v>L</v>
      </c>
      <c r="X361" s="554"/>
      <c r="Y361" s="628">
        <f>IF(Q361=0,0,(Q361+R361)*'1.0-Contractblad'!$L$98)</f>
        <v>0</v>
      </c>
      <c r="Z361" s="629">
        <f ca="1">IF(J361=0,0,VLOOKUP(D361,'1.1a-Jaarprijzen'!$B$70:$P$124,14,FALSE)*(K361+J361))</f>
        <v>0</v>
      </c>
      <c r="AA361" s="60">
        <f t="shared" si="88"/>
        <v>0</v>
      </c>
      <c r="AC361" s="60" t="str">
        <f t="shared" si="89"/>
        <v>7200-200</v>
      </c>
    </row>
    <row r="362" spans="1:29">
      <c r="A362" s="557"/>
      <c r="B362" s="549"/>
      <c r="C362" s="656">
        <v>1</v>
      </c>
      <c r="D362" s="550" t="s">
        <v>1016</v>
      </c>
      <c r="E362" s="657" t="s">
        <v>694</v>
      </c>
      <c r="F362" s="645" t="s">
        <v>548</v>
      </c>
      <c r="G362" s="646" t="s">
        <v>754</v>
      </c>
      <c r="H362" s="644" t="str">
        <f t="shared" si="102"/>
        <v>leslokaal</v>
      </c>
      <c r="I362" s="716" t="s">
        <v>785</v>
      </c>
      <c r="J362" s="648">
        <v>44.88</v>
      </c>
      <c r="K362" s="648"/>
      <c r="L362" s="650">
        <v>7200</v>
      </c>
      <c r="M362" s="555">
        <f t="shared" si="106"/>
        <v>107</v>
      </c>
      <c r="N362" s="453"/>
      <c r="O362" s="555">
        <f t="shared" si="107"/>
        <v>200</v>
      </c>
      <c r="P362" s="630">
        <f t="shared" si="101"/>
        <v>1.1000000000000001</v>
      </c>
      <c r="Q362" s="773">
        <f t="shared" si="108"/>
        <v>0</v>
      </c>
      <c r="R362" s="773">
        <f t="shared" si="109"/>
        <v>0</v>
      </c>
      <c r="S362" s="551">
        <f t="shared" si="110"/>
        <v>0</v>
      </c>
      <c r="T362" s="623">
        <f t="shared" si="103"/>
        <v>0</v>
      </c>
      <c r="U362" s="623">
        <f t="shared" si="104"/>
        <v>0</v>
      </c>
      <c r="V362" s="552">
        <f t="shared" si="105"/>
        <v>0</v>
      </c>
      <c r="W362" s="553" t="str">
        <f t="shared" si="111"/>
        <v>L</v>
      </c>
      <c r="X362" s="554"/>
      <c r="Y362" s="628">
        <f>IF(Q362=0,0,(Q362+R362)*'1.0-Contractblad'!$L$98)</f>
        <v>0</v>
      </c>
      <c r="Z362" s="629">
        <f ca="1">IF(J362=0,0,VLOOKUP(D362,'1.1a-Jaarprijzen'!$B$70:$P$124,14,FALSE)*(K362+J362))</f>
        <v>0</v>
      </c>
      <c r="AA362" s="60">
        <f t="shared" si="88"/>
        <v>0</v>
      </c>
      <c r="AC362" s="60" t="str">
        <f t="shared" si="89"/>
        <v>nvt-0</v>
      </c>
    </row>
    <row r="363" spans="1:29">
      <c r="A363" s="557"/>
      <c r="B363" s="549"/>
      <c r="C363" s="656">
        <v>1</v>
      </c>
      <c r="D363" s="550" t="s">
        <v>1016</v>
      </c>
      <c r="E363" s="657" t="s">
        <v>694</v>
      </c>
      <c r="F363" s="645" t="s">
        <v>549</v>
      </c>
      <c r="G363" s="646" t="s">
        <v>755</v>
      </c>
      <c r="H363" s="644" t="str">
        <f t="shared" si="102"/>
        <v>niet van toepassing</v>
      </c>
      <c r="I363" s="716" t="s">
        <v>785</v>
      </c>
      <c r="J363" s="648"/>
      <c r="K363" s="648">
        <v>8.0500000000000007</v>
      </c>
      <c r="L363" s="660" t="s">
        <v>27</v>
      </c>
      <c r="M363" s="555">
        <f t="shared" si="106"/>
        <v>0</v>
      </c>
      <c r="N363" s="453"/>
      <c r="O363" s="555">
        <f t="shared" si="107"/>
        <v>0</v>
      </c>
      <c r="P363" s="630">
        <f t="shared" si="101"/>
        <v>1.1000000000000001</v>
      </c>
      <c r="Q363" s="773">
        <f t="shared" si="108"/>
        <v>0</v>
      </c>
      <c r="R363" s="773">
        <f t="shared" si="109"/>
        <v>0</v>
      </c>
      <c r="S363" s="551">
        <f t="shared" si="110"/>
        <v>0</v>
      </c>
      <c r="T363" s="623">
        <f t="shared" si="103"/>
        <v>0</v>
      </c>
      <c r="U363" s="623">
        <f t="shared" si="104"/>
        <v>0</v>
      </c>
      <c r="V363" s="552">
        <f t="shared" si="105"/>
        <v>0</v>
      </c>
      <c r="W363" s="553">
        <f t="shared" si="111"/>
        <v>0</v>
      </c>
      <c r="X363" s="698"/>
      <c r="Y363" s="628">
        <f>IF(Q363=0,0,(Q363+R363)*'1.0-Contractblad'!$L$98)</f>
        <v>0</v>
      </c>
      <c r="Z363" s="629">
        <f>IF(J363=0,0,VLOOKUP(D363,'1.1a-Jaarprijzen'!$B$70:$P$124,14,FALSE)*(K363+J363))</f>
        <v>0</v>
      </c>
      <c r="AA363" s="60">
        <f t="shared" si="88"/>
        <v>0</v>
      </c>
      <c r="AC363" s="60" t="str">
        <f t="shared" si="89"/>
        <v>7200-200</v>
      </c>
    </row>
    <row r="364" spans="1:29">
      <c r="A364" s="557"/>
      <c r="B364" s="549"/>
      <c r="C364" s="656">
        <v>1</v>
      </c>
      <c r="D364" s="550" t="s">
        <v>1016</v>
      </c>
      <c r="E364" s="657" t="s">
        <v>694</v>
      </c>
      <c r="F364" s="645" t="s">
        <v>550</v>
      </c>
      <c r="G364" s="646" t="s">
        <v>756</v>
      </c>
      <c r="H364" s="644" t="str">
        <f t="shared" si="102"/>
        <v>leslokaal</v>
      </c>
      <c r="I364" s="716" t="s">
        <v>785</v>
      </c>
      <c r="J364" s="648">
        <v>43.65</v>
      </c>
      <c r="K364" s="648"/>
      <c r="L364" s="650">
        <v>7200</v>
      </c>
      <c r="M364" s="555">
        <f t="shared" si="106"/>
        <v>107</v>
      </c>
      <c r="N364" s="453"/>
      <c r="O364" s="555">
        <f t="shared" si="107"/>
        <v>200</v>
      </c>
      <c r="P364" s="630">
        <f t="shared" si="101"/>
        <v>1.1000000000000001</v>
      </c>
      <c r="Q364" s="773">
        <f t="shared" si="108"/>
        <v>0</v>
      </c>
      <c r="R364" s="773">
        <f t="shared" si="109"/>
        <v>0</v>
      </c>
      <c r="S364" s="551">
        <f t="shared" si="110"/>
        <v>0</v>
      </c>
      <c r="T364" s="623">
        <f t="shared" si="103"/>
        <v>0</v>
      </c>
      <c r="U364" s="623">
        <f t="shared" si="104"/>
        <v>0</v>
      </c>
      <c r="V364" s="552">
        <f t="shared" si="105"/>
        <v>0</v>
      </c>
      <c r="W364" s="553" t="str">
        <f t="shared" si="111"/>
        <v>L</v>
      </c>
      <c r="X364" s="554"/>
      <c r="Y364" s="628">
        <f>IF(Q364=0,0,(Q364+R364)*'1.0-Contractblad'!$L$98)</f>
        <v>0</v>
      </c>
      <c r="Z364" s="629">
        <f ca="1">IF(J364=0,0,VLOOKUP(D364,'1.1a-Jaarprijzen'!$B$70:$P$124,14,FALSE)*(K364+J364))</f>
        <v>0</v>
      </c>
      <c r="AA364" s="60">
        <f t="shared" si="88"/>
        <v>0</v>
      </c>
      <c r="AC364" s="60" t="str">
        <f t="shared" si="89"/>
        <v>7200-200</v>
      </c>
    </row>
    <row r="365" spans="1:29">
      <c r="A365" s="557"/>
      <c r="B365" s="549"/>
      <c r="C365" s="656">
        <v>1</v>
      </c>
      <c r="D365" s="550" t="s">
        <v>1016</v>
      </c>
      <c r="E365" s="657" t="s">
        <v>694</v>
      </c>
      <c r="F365" s="645" t="s">
        <v>551</v>
      </c>
      <c r="G365" s="646" t="s">
        <v>757</v>
      </c>
      <c r="H365" s="644" t="str">
        <f t="shared" si="102"/>
        <v>leslokaal</v>
      </c>
      <c r="I365" s="716" t="s">
        <v>1009</v>
      </c>
      <c r="J365" s="648">
        <v>46.37</v>
      </c>
      <c r="K365" s="648"/>
      <c r="L365" s="650">
        <v>7200</v>
      </c>
      <c r="M365" s="555">
        <f t="shared" si="106"/>
        <v>107</v>
      </c>
      <c r="N365" s="453"/>
      <c r="O365" s="555">
        <f t="shared" si="107"/>
        <v>200</v>
      </c>
      <c r="P365" s="630">
        <f t="shared" si="101"/>
        <v>1.1000000000000001</v>
      </c>
      <c r="Q365" s="773">
        <f t="shared" si="108"/>
        <v>0</v>
      </c>
      <c r="R365" s="773">
        <f t="shared" si="109"/>
        <v>0</v>
      </c>
      <c r="S365" s="551">
        <f t="shared" si="110"/>
        <v>0</v>
      </c>
      <c r="T365" s="623">
        <f t="shared" si="103"/>
        <v>0</v>
      </c>
      <c r="U365" s="623">
        <f t="shared" si="104"/>
        <v>0</v>
      </c>
      <c r="V365" s="552">
        <f t="shared" si="105"/>
        <v>0</v>
      </c>
      <c r="W365" s="553" t="str">
        <f t="shared" si="111"/>
        <v>L</v>
      </c>
      <c r="X365" s="554"/>
      <c r="Y365" s="628">
        <f>IF(Q365=0,0,(Q365+R365)*'1.0-Contractblad'!$L$98)</f>
        <v>0</v>
      </c>
      <c r="Z365" s="629">
        <f ca="1">IF(J365=0,0,VLOOKUP(D365,'1.1a-Jaarprijzen'!$B$70:$P$124,14,FALSE)*(K365+J365))</f>
        <v>0</v>
      </c>
      <c r="AA365" s="60">
        <f t="shared" si="88"/>
        <v>0</v>
      </c>
      <c r="AC365" s="60" t="str">
        <f t="shared" si="89"/>
        <v>7200-200</v>
      </c>
    </row>
    <row r="366" spans="1:29">
      <c r="A366" s="557"/>
      <c r="B366" s="549"/>
      <c r="C366" s="656">
        <v>1</v>
      </c>
      <c r="D366" s="550" t="s">
        <v>1016</v>
      </c>
      <c r="E366" s="657" t="s">
        <v>694</v>
      </c>
      <c r="F366" s="645" t="s">
        <v>552</v>
      </c>
      <c r="G366" s="646" t="s">
        <v>758</v>
      </c>
      <c r="H366" s="644" t="str">
        <f t="shared" si="102"/>
        <v>leslokaal</v>
      </c>
      <c r="I366" s="716" t="s">
        <v>1009</v>
      </c>
      <c r="J366" s="648">
        <v>43.44</v>
      </c>
      <c r="K366" s="648"/>
      <c r="L366" s="650">
        <v>7200</v>
      </c>
      <c r="M366" s="555">
        <f t="shared" si="106"/>
        <v>107</v>
      </c>
      <c r="N366" s="453"/>
      <c r="O366" s="555">
        <f t="shared" si="107"/>
        <v>200</v>
      </c>
      <c r="P366" s="630">
        <f t="shared" si="101"/>
        <v>1.1000000000000001</v>
      </c>
      <c r="Q366" s="773">
        <f t="shared" si="108"/>
        <v>0</v>
      </c>
      <c r="R366" s="773">
        <f t="shared" si="109"/>
        <v>0</v>
      </c>
      <c r="S366" s="551">
        <f t="shared" si="110"/>
        <v>0</v>
      </c>
      <c r="T366" s="623">
        <f t="shared" si="103"/>
        <v>0</v>
      </c>
      <c r="U366" s="623">
        <f t="shared" si="104"/>
        <v>0</v>
      </c>
      <c r="V366" s="552">
        <f t="shared" si="105"/>
        <v>0</v>
      </c>
      <c r="W366" s="553" t="str">
        <f t="shared" si="111"/>
        <v>L</v>
      </c>
      <c r="X366" s="554"/>
      <c r="Y366" s="628">
        <f>IF(Q366=0,0,(Q366+R366)*'1.0-Contractblad'!$L$98)</f>
        <v>0</v>
      </c>
      <c r="Z366" s="629">
        <f ca="1">IF(J366=0,0,VLOOKUP(D366,'1.1a-Jaarprijzen'!$B$70:$P$124,14,FALSE)*(K366+J366))</f>
        <v>0</v>
      </c>
      <c r="AA366" s="60">
        <f t="shared" si="88"/>
        <v>0</v>
      </c>
      <c r="AC366" s="60" t="str">
        <f t="shared" si="89"/>
        <v>3200-200</v>
      </c>
    </row>
    <row r="367" spans="1:29">
      <c r="A367" s="557"/>
      <c r="B367" s="549"/>
      <c r="C367" s="656">
        <v>1</v>
      </c>
      <c r="D367" s="550" t="s">
        <v>1016</v>
      </c>
      <c r="E367" s="657" t="s">
        <v>1010</v>
      </c>
      <c r="F367" s="645" t="s">
        <v>862</v>
      </c>
      <c r="G367" s="646" t="s">
        <v>715</v>
      </c>
      <c r="H367" s="644" t="str">
        <f t="shared" si="102"/>
        <v>entree, gang, hal, repro, kopieer, was/droogruimte</v>
      </c>
      <c r="I367" s="716" t="s">
        <v>785</v>
      </c>
      <c r="J367" s="648">
        <v>37.090000000000003</v>
      </c>
      <c r="K367" s="648"/>
      <c r="L367" s="649">
        <v>3200</v>
      </c>
      <c r="M367" s="555">
        <f t="shared" si="106"/>
        <v>103</v>
      </c>
      <c r="N367" s="453"/>
      <c r="O367" s="555">
        <f t="shared" si="107"/>
        <v>200</v>
      </c>
      <c r="P367" s="630">
        <f t="shared" si="101"/>
        <v>1.1000000000000001</v>
      </c>
      <c r="Q367" s="773">
        <f t="shared" si="108"/>
        <v>0</v>
      </c>
      <c r="R367" s="773">
        <f t="shared" si="109"/>
        <v>0</v>
      </c>
      <c r="S367" s="551">
        <f t="shared" si="110"/>
        <v>0</v>
      </c>
      <c r="T367" s="623">
        <f t="shared" si="103"/>
        <v>0</v>
      </c>
      <c r="U367" s="623">
        <f t="shared" si="104"/>
        <v>0</v>
      </c>
      <c r="V367" s="552">
        <f t="shared" si="105"/>
        <v>0</v>
      </c>
      <c r="W367" s="553" t="str">
        <f t="shared" si="111"/>
        <v>V</v>
      </c>
      <c r="X367" s="554"/>
      <c r="Y367" s="628">
        <f>IF(Q367=0,0,(Q367+R367)*'1.0-Contractblad'!$L$98)</f>
        <v>0</v>
      </c>
      <c r="Z367" s="629">
        <f ca="1">IF(J367=0,0,VLOOKUP(D367,'1.1a-Jaarprijzen'!$B$70:$P$124,14,FALSE)*(K367+J367))</f>
        <v>0</v>
      </c>
      <c r="AA367" s="60">
        <f t="shared" si="88"/>
        <v>0</v>
      </c>
      <c r="AC367" s="60" t="str">
        <f t="shared" si="89"/>
        <v>7200-200</v>
      </c>
    </row>
    <row r="368" spans="1:29">
      <c r="A368" s="557"/>
      <c r="B368" s="700"/>
      <c r="C368" s="656">
        <v>1</v>
      </c>
      <c r="D368" s="550" t="s">
        <v>1016</v>
      </c>
      <c r="E368" s="657" t="s">
        <v>1010</v>
      </c>
      <c r="F368" s="645" t="s">
        <v>863</v>
      </c>
      <c r="G368" s="646" t="s">
        <v>759</v>
      </c>
      <c r="H368" s="644" t="str">
        <f t="shared" si="102"/>
        <v>leslokaal</v>
      </c>
      <c r="I368" s="716" t="s">
        <v>785</v>
      </c>
      <c r="J368" s="648">
        <v>51.08</v>
      </c>
      <c r="K368" s="648"/>
      <c r="L368" s="649">
        <v>7200</v>
      </c>
      <c r="M368" s="555">
        <f t="shared" si="106"/>
        <v>107</v>
      </c>
      <c r="N368" s="453"/>
      <c r="O368" s="555">
        <f t="shared" si="107"/>
        <v>200</v>
      </c>
      <c r="P368" s="630">
        <f t="shared" si="101"/>
        <v>1.1000000000000001</v>
      </c>
      <c r="Q368" s="773">
        <f t="shared" si="108"/>
        <v>0</v>
      </c>
      <c r="R368" s="773">
        <f t="shared" si="109"/>
        <v>0</v>
      </c>
      <c r="S368" s="551">
        <f t="shared" si="110"/>
        <v>0</v>
      </c>
      <c r="T368" s="623">
        <f t="shared" si="103"/>
        <v>0</v>
      </c>
      <c r="U368" s="623">
        <f t="shared" si="104"/>
        <v>0</v>
      </c>
      <c r="V368" s="552">
        <f t="shared" si="105"/>
        <v>0</v>
      </c>
      <c r="W368" s="553" t="str">
        <f t="shared" si="111"/>
        <v>L</v>
      </c>
      <c r="X368" s="554"/>
      <c r="Y368" s="628">
        <f>IF(Q368=0,0,(Q368+R368)*'1.0-Contractblad'!$L$98)</f>
        <v>0</v>
      </c>
      <c r="Z368" s="629">
        <f ca="1">IF(J368=0,0,VLOOKUP(D368,'1.1a-Jaarprijzen'!$B$70:$P$124,14,FALSE)*(K368+J368))</f>
        <v>0</v>
      </c>
      <c r="AA368" s="60">
        <f t="shared" si="88"/>
        <v>0</v>
      </c>
      <c r="AC368" s="60" t="str">
        <f t="shared" si="89"/>
        <v>nvt-0</v>
      </c>
    </row>
    <row r="369" spans="1:29">
      <c r="A369" s="557"/>
      <c r="B369" s="549"/>
      <c r="C369" s="656">
        <v>1</v>
      </c>
      <c r="D369" s="550" t="s">
        <v>1016</v>
      </c>
      <c r="E369" s="657" t="s">
        <v>1010</v>
      </c>
      <c r="F369" s="645" t="s">
        <v>864</v>
      </c>
      <c r="G369" s="646" t="s">
        <v>760</v>
      </c>
      <c r="H369" s="644" t="str">
        <f t="shared" si="102"/>
        <v>niet van toepassing</v>
      </c>
      <c r="I369" s="716" t="s">
        <v>785</v>
      </c>
      <c r="J369" s="648"/>
      <c r="K369" s="648">
        <v>4.5199999999999996</v>
      </c>
      <c r="L369" s="660" t="s">
        <v>27</v>
      </c>
      <c r="M369" s="555">
        <f t="shared" si="106"/>
        <v>0</v>
      </c>
      <c r="N369" s="453"/>
      <c r="O369" s="555">
        <f t="shared" si="107"/>
        <v>0</v>
      </c>
      <c r="P369" s="630">
        <f t="shared" si="101"/>
        <v>1.1000000000000001</v>
      </c>
      <c r="Q369" s="773">
        <f t="shared" si="108"/>
        <v>0</v>
      </c>
      <c r="R369" s="773">
        <f t="shared" si="109"/>
        <v>0</v>
      </c>
      <c r="S369" s="551">
        <f t="shared" si="110"/>
        <v>0</v>
      </c>
      <c r="T369" s="623">
        <f t="shared" si="103"/>
        <v>0</v>
      </c>
      <c r="U369" s="623">
        <f t="shared" si="104"/>
        <v>0</v>
      </c>
      <c r="V369" s="552">
        <f t="shared" si="105"/>
        <v>0</v>
      </c>
      <c r="W369" s="553">
        <f t="shared" si="111"/>
        <v>0</v>
      </c>
      <c r="X369" s="698"/>
      <c r="Y369" s="628">
        <f>IF(Q369=0,0,(Q369+R369)*'1.0-Contractblad'!$L$98)</f>
        <v>0</v>
      </c>
      <c r="Z369" s="629">
        <f>IF(J369=0,0,VLOOKUP(D369,'1.1a-Jaarprijzen'!$B$70:$P$124,14,FALSE)*(K369+J369))</f>
        <v>0</v>
      </c>
      <c r="AA369" s="60">
        <f t="shared" si="88"/>
        <v>0</v>
      </c>
      <c r="AC369" s="60" t="str">
        <f t="shared" si="89"/>
        <v>15200-200</v>
      </c>
    </row>
    <row r="370" spans="1:29">
      <c r="A370" s="557"/>
      <c r="B370" s="549"/>
      <c r="C370" s="656">
        <v>1</v>
      </c>
      <c r="D370" s="550" t="s">
        <v>1016</v>
      </c>
      <c r="E370" s="657" t="s">
        <v>1010</v>
      </c>
      <c r="F370" s="645" t="s">
        <v>865</v>
      </c>
      <c r="G370" s="646" t="s">
        <v>761</v>
      </c>
      <c r="H370" s="644" t="str">
        <f t="shared" si="102"/>
        <v>fiitness</v>
      </c>
      <c r="I370" s="716" t="s">
        <v>785</v>
      </c>
      <c r="J370" s="648">
        <v>50.83</v>
      </c>
      <c r="K370" s="648"/>
      <c r="L370" s="650">
        <v>15200</v>
      </c>
      <c r="M370" s="555">
        <f t="shared" si="106"/>
        <v>108</v>
      </c>
      <c r="N370" s="453"/>
      <c r="O370" s="555">
        <f t="shared" si="107"/>
        <v>200</v>
      </c>
      <c r="P370" s="630">
        <f t="shared" si="101"/>
        <v>1.1000000000000001</v>
      </c>
      <c r="Q370" s="773">
        <f t="shared" si="108"/>
        <v>0</v>
      </c>
      <c r="R370" s="773">
        <f t="shared" si="109"/>
        <v>0</v>
      </c>
      <c r="S370" s="551">
        <f t="shared" si="110"/>
        <v>0</v>
      </c>
      <c r="T370" s="623">
        <f t="shared" si="103"/>
        <v>0</v>
      </c>
      <c r="U370" s="623">
        <f t="shared" si="104"/>
        <v>0</v>
      </c>
      <c r="V370" s="552">
        <f t="shared" si="105"/>
        <v>0</v>
      </c>
      <c r="W370" s="553" t="str">
        <f t="shared" si="111"/>
        <v>V</v>
      </c>
      <c r="X370" s="554"/>
      <c r="Y370" s="628">
        <f>IF(Q370=0,0,(Q370+R370)*'1.0-Contractblad'!$L$98)</f>
        <v>0</v>
      </c>
      <c r="Z370" s="629">
        <f ca="1">IF(J370=0,0,VLOOKUP(D370,'1.1a-Jaarprijzen'!$B$70:$P$124,14,FALSE)*(K370+J370))</f>
        <v>0</v>
      </c>
      <c r="AA370" s="60">
        <f t="shared" si="88"/>
        <v>0</v>
      </c>
      <c r="AC370" s="60" t="str">
        <f t="shared" si="89"/>
        <v>13200-200</v>
      </c>
    </row>
    <row r="371" spans="1:29">
      <c r="A371" s="557"/>
      <c r="B371" s="549"/>
      <c r="C371" s="656">
        <v>1</v>
      </c>
      <c r="D371" s="550" t="s">
        <v>1016</v>
      </c>
      <c r="E371" s="657" t="s">
        <v>1010</v>
      </c>
      <c r="F371" s="645" t="s">
        <v>866</v>
      </c>
      <c r="G371" s="646" t="s">
        <v>976</v>
      </c>
      <c r="H371" s="644" t="str">
        <f t="shared" si="102"/>
        <v>kleedruimten</v>
      </c>
      <c r="I371" s="716" t="s">
        <v>785</v>
      </c>
      <c r="J371" s="648">
        <v>25.29</v>
      </c>
      <c r="K371" s="648"/>
      <c r="L371" s="649">
        <v>13200</v>
      </c>
      <c r="M371" s="555">
        <f t="shared" si="106"/>
        <v>103</v>
      </c>
      <c r="N371" s="453"/>
      <c r="O371" s="555">
        <f t="shared" si="107"/>
        <v>200</v>
      </c>
      <c r="P371" s="630">
        <f t="shared" si="101"/>
        <v>1.1000000000000001</v>
      </c>
      <c r="Q371" s="773">
        <f t="shared" si="108"/>
        <v>0</v>
      </c>
      <c r="R371" s="773">
        <f t="shared" si="109"/>
        <v>0</v>
      </c>
      <c r="S371" s="551">
        <f t="shared" si="110"/>
        <v>0</v>
      </c>
      <c r="T371" s="623">
        <f t="shared" si="103"/>
        <v>0</v>
      </c>
      <c r="U371" s="623">
        <f t="shared" si="104"/>
        <v>0</v>
      </c>
      <c r="V371" s="552">
        <f t="shared" si="105"/>
        <v>0</v>
      </c>
      <c r="W371" s="553" t="str">
        <f t="shared" si="111"/>
        <v>V</v>
      </c>
      <c r="X371" s="554"/>
      <c r="Y371" s="628">
        <f>IF(Q371=0,0,(Q371+R371)*'1.0-Contractblad'!$L$98)</f>
        <v>0</v>
      </c>
      <c r="Z371" s="629">
        <f ca="1">IF(J371=0,0,VLOOKUP(D371,'1.1a-Jaarprijzen'!$B$70:$P$124,14,FALSE)*(K371+J371))</f>
        <v>0</v>
      </c>
      <c r="AA371" s="60">
        <f t="shared" si="88"/>
        <v>0</v>
      </c>
      <c r="AC371" s="60" t="str">
        <f t="shared" si="89"/>
        <v>4200-200</v>
      </c>
    </row>
    <row r="372" spans="1:29">
      <c r="A372" s="557"/>
      <c r="B372" s="549"/>
      <c r="C372" s="656">
        <v>1</v>
      </c>
      <c r="D372" s="550" t="s">
        <v>1016</v>
      </c>
      <c r="E372" s="657" t="s">
        <v>1010</v>
      </c>
      <c r="F372" s="645" t="s">
        <v>867</v>
      </c>
      <c r="G372" s="646" t="s">
        <v>762</v>
      </c>
      <c r="H372" s="644" t="str">
        <f t="shared" si="102"/>
        <v>sanitaire ruimte (toilet-/doucheruimte)</v>
      </c>
      <c r="I372" s="716" t="s">
        <v>1009</v>
      </c>
      <c r="J372" s="648">
        <v>1.52</v>
      </c>
      <c r="K372" s="648"/>
      <c r="L372" s="649">
        <v>4200</v>
      </c>
      <c r="M372" s="555">
        <f t="shared" si="106"/>
        <v>104</v>
      </c>
      <c r="N372" s="453"/>
      <c r="O372" s="555">
        <f t="shared" si="107"/>
        <v>200</v>
      </c>
      <c r="P372" s="630">
        <f t="shared" si="101"/>
        <v>1.1000000000000001</v>
      </c>
      <c r="Q372" s="773">
        <f t="shared" si="108"/>
        <v>0</v>
      </c>
      <c r="R372" s="773">
        <f t="shared" si="109"/>
        <v>0</v>
      </c>
      <c r="S372" s="551">
        <f t="shared" si="110"/>
        <v>0</v>
      </c>
      <c r="T372" s="623">
        <f t="shared" si="103"/>
        <v>0</v>
      </c>
      <c r="U372" s="623">
        <f t="shared" si="104"/>
        <v>0</v>
      </c>
      <c r="V372" s="552">
        <f t="shared" si="105"/>
        <v>0</v>
      </c>
      <c r="W372" s="553" t="str">
        <f t="shared" si="111"/>
        <v>S</v>
      </c>
      <c r="X372" s="554"/>
      <c r="Y372" s="628">
        <f>IF(Q372=0,0,(Q372+R372)*'1.0-Contractblad'!$L$98)</f>
        <v>0</v>
      </c>
      <c r="Z372" s="629">
        <f ca="1">IF(J372=0,0,VLOOKUP(D372,'1.1a-Jaarprijzen'!$B$70:$P$124,14,FALSE)*(K372+J372))</f>
        <v>0</v>
      </c>
      <c r="AA372" s="60">
        <f t="shared" si="88"/>
        <v>0</v>
      </c>
      <c r="AC372" s="60" t="str">
        <f t="shared" si="89"/>
        <v>13200-200</v>
      </c>
    </row>
    <row r="373" spans="1:29">
      <c r="A373" s="557"/>
      <c r="B373" s="549"/>
      <c r="C373" s="656">
        <v>1</v>
      </c>
      <c r="D373" s="550" t="s">
        <v>1016</v>
      </c>
      <c r="E373" s="657" t="s">
        <v>1010</v>
      </c>
      <c r="F373" s="645" t="s">
        <v>868</v>
      </c>
      <c r="G373" s="646" t="s">
        <v>763</v>
      </c>
      <c r="H373" s="644" t="str">
        <f t="shared" si="102"/>
        <v>kleedruimten</v>
      </c>
      <c r="I373" s="716" t="s">
        <v>1009</v>
      </c>
      <c r="J373" s="648">
        <v>29.53</v>
      </c>
      <c r="K373" s="648"/>
      <c r="L373" s="649">
        <v>13200</v>
      </c>
      <c r="M373" s="555">
        <f t="shared" si="106"/>
        <v>103</v>
      </c>
      <c r="N373" s="453"/>
      <c r="O373" s="555">
        <f t="shared" si="107"/>
        <v>200</v>
      </c>
      <c r="P373" s="630">
        <f t="shared" si="101"/>
        <v>1.1000000000000001</v>
      </c>
      <c r="Q373" s="773">
        <f t="shared" si="108"/>
        <v>0</v>
      </c>
      <c r="R373" s="773">
        <f t="shared" si="109"/>
        <v>0</v>
      </c>
      <c r="S373" s="551">
        <f t="shared" si="110"/>
        <v>0</v>
      </c>
      <c r="T373" s="623">
        <f t="shared" si="103"/>
        <v>0</v>
      </c>
      <c r="U373" s="623">
        <f t="shared" si="104"/>
        <v>0</v>
      </c>
      <c r="V373" s="552">
        <f t="shared" si="105"/>
        <v>0</v>
      </c>
      <c r="W373" s="553" t="str">
        <f t="shared" si="111"/>
        <v>V</v>
      </c>
      <c r="X373" s="554"/>
      <c r="Y373" s="628">
        <f>IF(Q373=0,0,(Q373+R373)*'1.0-Contractblad'!$L$98)</f>
        <v>0</v>
      </c>
      <c r="Z373" s="629">
        <f ca="1">IF(J373=0,0,VLOOKUP(D373,'1.1a-Jaarprijzen'!$B$70:$P$124,14,FALSE)*(K373+J373))</f>
        <v>0</v>
      </c>
      <c r="AA373" s="60">
        <f t="shared" si="88"/>
        <v>0</v>
      </c>
      <c r="AC373" s="60" t="str">
        <f t="shared" si="89"/>
        <v>nvt-0</v>
      </c>
    </row>
    <row r="374" spans="1:29">
      <c r="A374" s="557"/>
      <c r="B374" s="549"/>
      <c r="C374" s="656">
        <v>1</v>
      </c>
      <c r="D374" s="550" t="s">
        <v>1016</v>
      </c>
      <c r="E374" s="657" t="s">
        <v>1010</v>
      </c>
      <c r="F374" s="645" t="s">
        <v>869</v>
      </c>
      <c r="G374" s="646" t="s">
        <v>764</v>
      </c>
      <c r="H374" s="644" t="str">
        <f t="shared" si="102"/>
        <v>niet van toepassing</v>
      </c>
      <c r="I374" s="716" t="s">
        <v>785</v>
      </c>
      <c r="J374" s="648"/>
      <c r="K374" s="648">
        <v>5.7</v>
      </c>
      <c r="L374" s="660" t="s">
        <v>27</v>
      </c>
      <c r="M374" s="555">
        <f t="shared" si="106"/>
        <v>0</v>
      </c>
      <c r="N374" s="453"/>
      <c r="O374" s="555">
        <f t="shared" si="107"/>
        <v>0</v>
      </c>
      <c r="P374" s="630">
        <f t="shared" si="101"/>
        <v>1.1000000000000001</v>
      </c>
      <c r="Q374" s="773">
        <f t="shared" si="108"/>
        <v>0</v>
      </c>
      <c r="R374" s="773">
        <f t="shared" si="109"/>
        <v>0</v>
      </c>
      <c r="S374" s="551">
        <f t="shared" si="110"/>
        <v>0</v>
      </c>
      <c r="T374" s="623">
        <f t="shared" si="103"/>
        <v>0</v>
      </c>
      <c r="U374" s="623">
        <f t="shared" si="104"/>
        <v>0</v>
      </c>
      <c r="V374" s="552">
        <f t="shared" si="105"/>
        <v>0</v>
      </c>
      <c r="W374" s="553">
        <f t="shared" si="111"/>
        <v>0</v>
      </c>
      <c r="X374" s="698"/>
      <c r="Y374" s="628">
        <f>IF(Q374=0,0,(Q374+R374)*'1.0-Contractblad'!$L$98)</f>
        <v>0</v>
      </c>
      <c r="Z374" s="629">
        <f>IF(J374=0,0,VLOOKUP(D374,'1.1a-Jaarprijzen'!$B$70:$P$124,14,FALSE)*(K374+J374))</f>
        <v>0</v>
      </c>
      <c r="AA374" s="60">
        <f t="shared" si="88"/>
        <v>0</v>
      </c>
      <c r="AC374" s="60" t="str">
        <f t="shared" si="89"/>
        <v>4200-200</v>
      </c>
    </row>
    <row r="375" spans="1:29">
      <c r="A375" s="557"/>
      <c r="B375" s="549"/>
      <c r="C375" s="656">
        <v>1</v>
      </c>
      <c r="D375" s="550" t="s">
        <v>1016</v>
      </c>
      <c r="E375" s="657" t="s">
        <v>1010</v>
      </c>
      <c r="F375" s="645" t="s">
        <v>870</v>
      </c>
      <c r="G375" s="646" t="s">
        <v>765</v>
      </c>
      <c r="H375" s="644" t="str">
        <f t="shared" si="102"/>
        <v>sanitaire ruimte (toilet-/doucheruimte)</v>
      </c>
      <c r="I375" s="716" t="s">
        <v>1009</v>
      </c>
      <c r="J375" s="648">
        <v>1.63</v>
      </c>
      <c r="K375" s="648"/>
      <c r="L375" s="649">
        <v>4200</v>
      </c>
      <c r="M375" s="555">
        <f t="shared" si="106"/>
        <v>104</v>
      </c>
      <c r="N375" s="453"/>
      <c r="O375" s="555">
        <f t="shared" si="107"/>
        <v>200</v>
      </c>
      <c r="P375" s="630">
        <f t="shared" si="101"/>
        <v>1.1000000000000001</v>
      </c>
      <c r="Q375" s="773">
        <f t="shared" si="108"/>
        <v>0</v>
      </c>
      <c r="R375" s="773">
        <f t="shared" si="109"/>
        <v>0</v>
      </c>
      <c r="S375" s="551">
        <f t="shared" si="110"/>
        <v>0</v>
      </c>
      <c r="T375" s="623">
        <f t="shared" si="103"/>
        <v>0</v>
      </c>
      <c r="U375" s="623">
        <f t="shared" si="104"/>
        <v>0</v>
      </c>
      <c r="V375" s="552">
        <f t="shared" si="105"/>
        <v>0</v>
      </c>
      <c r="W375" s="553" t="str">
        <f t="shared" si="111"/>
        <v>S</v>
      </c>
      <c r="X375" s="554"/>
      <c r="Y375" s="628">
        <f>IF(Q375=0,0,(Q375+R375)*'1.0-Contractblad'!$L$98)</f>
        <v>0</v>
      </c>
      <c r="Z375" s="629">
        <f ca="1">IF(J375=0,0,VLOOKUP(D375,'1.1a-Jaarprijzen'!$B$70:$P$124,14,FALSE)*(K375+J375))</f>
        <v>0</v>
      </c>
      <c r="AA375" s="60">
        <f t="shared" si="88"/>
        <v>0</v>
      </c>
      <c r="AC375" s="60" t="str">
        <f t="shared" si="89"/>
        <v>3200-200</v>
      </c>
    </row>
    <row r="376" spans="1:29">
      <c r="A376" s="557"/>
      <c r="B376" s="549"/>
      <c r="C376" s="656">
        <v>1</v>
      </c>
      <c r="D376" s="550" t="s">
        <v>1016</v>
      </c>
      <c r="E376" s="657" t="s">
        <v>1010</v>
      </c>
      <c r="F376" s="645" t="s">
        <v>553</v>
      </c>
      <c r="G376" s="646" t="s">
        <v>715</v>
      </c>
      <c r="H376" s="644" t="str">
        <f t="shared" si="102"/>
        <v>entree, gang, hal, repro, kopieer, was/droogruimte</v>
      </c>
      <c r="I376" s="716" t="s">
        <v>785</v>
      </c>
      <c r="J376" s="648">
        <v>3.74</v>
      </c>
      <c r="K376" s="648"/>
      <c r="L376" s="649">
        <v>3200</v>
      </c>
      <c r="M376" s="555">
        <f t="shared" si="106"/>
        <v>103</v>
      </c>
      <c r="N376" s="453"/>
      <c r="O376" s="555">
        <f t="shared" si="107"/>
        <v>200</v>
      </c>
      <c r="P376" s="630">
        <f t="shared" si="101"/>
        <v>1.1000000000000001</v>
      </c>
      <c r="Q376" s="773">
        <f t="shared" si="108"/>
        <v>0</v>
      </c>
      <c r="R376" s="773">
        <f t="shared" si="109"/>
        <v>0</v>
      </c>
      <c r="S376" s="551">
        <f t="shared" si="110"/>
        <v>0</v>
      </c>
      <c r="T376" s="623">
        <f t="shared" si="103"/>
        <v>0</v>
      </c>
      <c r="U376" s="623">
        <f t="shared" si="104"/>
        <v>0</v>
      </c>
      <c r="V376" s="552">
        <f t="shared" si="105"/>
        <v>0</v>
      </c>
      <c r="W376" s="553" t="str">
        <f t="shared" si="111"/>
        <v>V</v>
      </c>
      <c r="X376" s="554"/>
      <c r="Y376" s="628">
        <f>IF(Q376=0,0,(Q376+R376)*'1.0-Contractblad'!$L$98)</f>
        <v>0</v>
      </c>
      <c r="Z376" s="629">
        <f ca="1">IF(J376=0,0,VLOOKUP(D376,'1.1a-Jaarprijzen'!$B$70:$P$124,14,FALSE)*(K376+J376))</f>
        <v>0</v>
      </c>
      <c r="AA376" s="60">
        <f t="shared" si="88"/>
        <v>0</v>
      </c>
      <c r="AC376" s="60" t="str">
        <f t="shared" si="89"/>
        <v>nvt-0</v>
      </c>
    </row>
    <row r="377" spans="1:29">
      <c r="A377" s="557"/>
      <c r="B377" s="549"/>
      <c r="C377" s="656">
        <v>1</v>
      </c>
      <c r="D377" s="550" t="s">
        <v>1016</v>
      </c>
      <c r="E377" s="657" t="s">
        <v>1010</v>
      </c>
      <c r="F377" s="645" t="s">
        <v>871</v>
      </c>
      <c r="G377" s="646" t="s">
        <v>977</v>
      </c>
      <c r="H377" s="644" t="str">
        <f t="shared" si="102"/>
        <v>niet van toepassing</v>
      </c>
      <c r="I377" s="716" t="s">
        <v>785</v>
      </c>
      <c r="J377" s="648"/>
      <c r="K377" s="648">
        <v>2.95</v>
      </c>
      <c r="L377" s="660" t="s">
        <v>27</v>
      </c>
      <c r="M377" s="555">
        <f t="shared" si="106"/>
        <v>0</v>
      </c>
      <c r="N377" s="453"/>
      <c r="O377" s="555">
        <f t="shared" si="107"/>
        <v>0</v>
      </c>
      <c r="P377" s="630">
        <f t="shared" si="101"/>
        <v>1.1000000000000001</v>
      </c>
      <c r="Q377" s="773">
        <f t="shared" si="108"/>
        <v>0</v>
      </c>
      <c r="R377" s="773">
        <f t="shared" si="109"/>
        <v>0</v>
      </c>
      <c r="S377" s="551">
        <f t="shared" si="110"/>
        <v>0</v>
      </c>
      <c r="T377" s="623">
        <f t="shared" si="103"/>
        <v>0</v>
      </c>
      <c r="U377" s="623">
        <f t="shared" si="104"/>
        <v>0</v>
      </c>
      <c r="V377" s="552">
        <f t="shared" si="105"/>
        <v>0</v>
      </c>
      <c r="W377" s="553">
        <f t="shared" si="111"/>
        <v>0</v>
      </c>
      <c r="X377" s="698"/>
      <c r="Y377" s="628">
        <f>IF(Q377=0,0,(Q377+R377)*'1.0-Contractblad'!$L$98)</f>
        <v>0</v>
      </c>
      <c r="Z377" s="629">
        <f>IF(J377=0,0,VLOOKUP(D377,'1.1a-Jaarprijzen'!$B$70:$P$124,14,FALSE)*(K377+J377))</f>
        <v>0</v>
      </c>
      <c r="AA377" s="60">
        <f t="shared" si="88"/>
        <v>0</v>
      </c>
      <c r="AC377" s="60" t="str">
        <f t="shared" si="89"/>
        <v>nvt-0</v>
      </c>
    </row>
    <row r="378" spans="1:29">
      <c r="A378" s="557"/>
      <c r="B378" s="549"/>
      <c r="C378" s="656">
        <v>1</v>
      </c>
      <c r="D378" s="550" t="s">
        <v>1016</v>
      </c>
      <c r="E378" s="657" t="s">
        <v>1010</v>
      </c>
      <c r="F378" s="645" t="s">
        <v>872</v>
      </c>
      <c r="G378" s="646" t="s">
        <v>977</v>
      </c>
      <c r="H378" s="644" t="str">
        <f t="shared" si="102"/>
        <v>niet van toepassing</v>
      </c>
      <c r="I378" s="716" t="s">
        <v>785</v>
      </c>
      <c r="J378" s="648"/>
      <c r="K378" s="648">
        <v>2.95</v>
      </c>
      <c r="L378" s="660" t="s">
        <v>27</v>
      </c>
      <c r="M378" s="555">
        <f t="shared" si="106"/>
        <v>0</v>
      </c>
      <c r="N378" s="453"/>
      <c r="O378" s="555">
        <f t="shared" si="107"/>
        <v>0</v>
      </c>
      <c r="P378" s="630">
        <f t="shared" si="101"/>
        <v>1.1000000000000001</v>
      </c>
      <c r="Q378" s="773">
        <f t="shared" si="108"/>
        <v>0</v>
      </c>
      <c r="R378" s="773">
        <f t="shared" si="109"/>
        <v>0</v>
      </c>
      <c r="S378" s="551">
        <f t="shared" si="110"/>
        <v>0</v>
      </c>
      <c r="T378" s="623">
        <f t="shared" si="103"/>
        <v>0</v>
      </c>
      <c r="U378" s="623">
        <f t="shared" si="104"/>
        <v>0</v>
      </c>
      <c r="V378" s="552">
        <f t="shared" si="105"/>
        <v>0</v>
      </c>
      <c r="W378" s="553">
        <f t="shared" si="111"/>
        <v>0</v>
      </c>
      <c r="X378" s="698"/>
      <c r="Y378" s="628">
        <f>IF(Q378=0,0,(Q378+R378)*'1.0-Contractblad'!$L$98)</f>
        <v>0</v>
      </c>
      <c r="Z378" s="629">
        <f>IF(J378=0,0,VLOOKUP(D378,'1.1a-Jaarprijzen'!$B$70:$P$124,14,FALSE)*(K378+J378))</f>
        <v>0</v>
      </c>
      <c r="AA378" s="60">
        <f t="shared" si="88"/>
        <v>0</v>
      </c>
      <c r="AC378" s="60" t="str">
        <f t="shared" si="89"/>
        <v>nvt-0</v>
      </c>
    </row>
    <row r="379" spans="1:29">
      <c r="A379" s="557"/>
      <c r="B379" s="549"/>
      <c r="C379" s="656">
        <v>1</v>
      </c>
      <c r="D379" s="550" t="s">
        <v>1016</v>
      </c>
      <c r="E379" s="657" t="s">
        <v>1010</v>
      </c>
      <c r="F379" s="645" t="s">
        <v>554</v>
      </c>
      <c r="G379" s="646" t="s">
        <v>766</v>
      </c>
      <c r="H379" s="644" t="str">
        <f t="shared" si="102"/>
        <v>niet van toepassing</v>
      </c>
      <c r="I379" s="716" t="s">
        <v>1009</v>
      </c>
      <c r="J379" s="648"/>
      <c r="K379" s="648">
        <v>2.11</v>
      </c>
      <c r="L379" s="660" t="s">
        <v>27</v>
      </c>
      <c r="M379" s="555">
        <f t="shared" si="106"/>
        <v>0</v>
      </c>
      <c r="N379" s="453"/>
      <c r="O379" s="555">
        <f t="shared" si="107"/>
        <v>0</v>
      </c>
      <c r="P379" s="630">
        <f t="shared" si="101"/>
        <v>1.1000000000000001</v>
      </c>
      <c r="Q379" s="773">
        <f t="shared" si="108"/>
        <v>0</v>
      </c>
      <c r="R379" s="773">
        <f t="shared" si="109"/>
        <v>0</v>
      </c>
      <c r="S379" s="551">
        <f t="shared" si="110"/>
        <v>0</v>
      </c>
      <c r="T379" s="623">
        <f t="shared" si="103"/>
        <v>0</v>
      </c>
      <c r="U379" s="623">
        <f t="shared" si="104"/>
        <v>0</v>
      </c>
      <c r="V379" s="552">
        <f t="shared" si="105"/>
        <v>0</v>
      </c>
      <c r="W379" s="553">
        <f t="shared" si="111"/>
        <v>0</v>
      </c>
      <c r="X379" s="698"/>
      <c r="Y379" s="628">
        <f>IF(Q379=0,0,(Q379+R379)*'1.0-Contractblad'!$L$98)</f>
        <v>0</v>
      </c>
      <c r="Z379" s="629">
        <f>IF(J379=0,0,VLOOKUP(D379,'1.1a-Jaarprijzen'!$B$70:$P$124,14,FALSE)*(K379+J379))</f>
        <v>0</v>
      </c>
      <c r="AA379" s="60">
        <f t="shared" si="88"/>
        <v>0</v>
      </c>
      <c r="AC379" s="60" t="str">
        <f t="shared" si="89"/>
        <v>13200-200</v>
      </c>
    </row>
    <row r="380" spans="1:29">
      <c r="A380" s="557"/>
      <c r="B380" s="549"/>
      <c r="C380" s="656">
        <v>1</v>
      </c>
      <c r="D380" s="550" t="s">
        <v>1016</v>
      </c>
      <c r="E380" s="657" t="s">
        <v>1010</v>
      </c>
      <c r="F380" s="645" t="s">
        <v>555</v>
      </c>
      <c r="G380" s="646" t="s">
        <v>767</v>
      </c>
      <c r="H380" s="644" t="str">
        <f t="shared" si="102"/>
        <v>kleedruimten</v>
      </c>
      <c r="I380" s="716" t="s">
        <v>785</v>
      </c>
      <c r="J380" s="648">
        <v>6.88</v>
      </c>
      <c r="K380" s="648"/>
      <c r="L380" s="649">
        <v>13200</v>
      </c>
      <c r="M380" s="555">
        <f t="shared" si="106"/>
        <v>103</v>
      </c>
      <c r="N380" s="453"/>
      <c r="O380" s="555">
        <f t="shared" si="107"/>
        <v>200</v>
      </c>
      <c r="P380" s="630">
        <f t="shared" si="101"/>
        <v>1.1000000000000001</v>
      </c>
      <c r="Q380" s="773">
        <f t="shared" si="108"/>
        <v>0</v>
      </c>
      <c r="R380" s="773">
        <f t="shared" si="109"/>
        <v>0</v>
      </c>
      <c r="S380" s="551">
        <f t="shared" si="110"/>
        <v>0</v>
      </c>
      <c r="T380" s="623">
        <f t="shared" si="103"/>
        <v>0</v>
      </c>
      <c r="U380" s="623">
        <f t="shared" si="104"/>
        <v>0</v>
      </c>
      <c r="V380" s="552">
        <f t="shared" si="105"/>
        <v>0</v>
      </c>
      <c r="W380" s="553" t="str">
        <f t="shared" si="111"/>
        <v>V</v>
      </c>
      <c r="X380" s="554"/>
      <c r="Y380" s="628">
        <f>IF(Q380=0,0,(Q380+R380)*'1.0-Contractblad'!$L$98)</f>
        <v>0</v>
      </c>
      <c r="Z380" s="629">
        <f ca="1">IF(J380=0,0,VLOOKUP(D380,'1.1a-Jaarprijzen'!$B$70:$P$124,14,FALSE)*(K380+J380))</f>
        <v>0</v>
      </c>
      <c r="AA380" s="60">
        <f t="shared" ref="AA380:AA405" si="112">IF(L381=8255,Q381+R381,0)</f>
        <v>0</v>
      </c>
      <c r="AC380" s="60" t="str">
        <f t="shared" ref="AC380:AC405" si="113">CONCATENATE(L381,"-",O381)</f>
        <v>nvt-0</v>
      </c>
    </row>
    <row r="381" spans="1:29">
      <c r="A381" s="548"/>
      <c r="B381" s="549"/>
      <c r="C381" s="656">
        <v>1</v>
      </c>
      <c r="D381" s="550" t="s">
        <v>1016</v>
      </c>
      <c r="E381" s="657" t="s">
        <v>1010</v>
      </c>
      <c r="F381" s="645" t="s">
        <v>556</v>
      </c>
      <c r="G381" s="646" t="s">
        <v>717</v>
      </c>
      <c r="H381" s="644" t="str">
        <f t="shared" si="102"/>
        <v>niet van toepassing</v>
      </c>
      <c r="I381" s="716" t="s">
        <v>1009</v>
      </c>
      <c r="J381" s="648"/>
      <c r="K381" s="648">
        <v>6.69</v>
      </c>
      <c r="L381" s="778" t="s">
        <v>27</v>
      </c>
      <c r="M381" s="555">
        <f t="shared" si="106"/>
        <v>0</v>
      </c>
      <c r="N381" s="453"/>
      <c r="O381" s="555">
        <f t="shared" si="107"/>
        <v>0</v>
      </c>
      <c r="P381" s="630">
        <f t="shared" si="101"/>
        <v>1.1000000000000001</v>
      </c>
      <c r="Q381" s="773">
        <f t="shared" si="108"/>
        <v>0</v>
      </c>
      <c r="R381" s="773">
        <f t="shared" si="109"/>
        <v>0</v>
      </c>
      <c r="S381" s="551">
        <f t="shared" si="110"/>
        <v>0</v>
      </c>
      <c r="T381" s="623">
        <f t="shared" si="103"/>
        <v>0</v>
      </c>
      <c r="U381" s="623">
        <f t="shared" si="104"/>
        <v>0</v>
      </c>
      <c r="V381" s="552">
        <f t="shared" si="105"/>
        <v>0</v>
      </c>
      <c r="W381" s="553">
        <f t="shared" si="111"/>
        <v>0</v>
      </c>
      <c r="X381" s="698"/>
      <c r="Y381" s="628">
        <f>IF(Q381=0,0,(Q381+R381)*'1.0-Contractblad'!$L$98)</f>
        <v>0</v>
      </c>
      <c r="Z381" s="629">
        <f>IF(J381=0,0,VLOOKUP(D381,'1.1a-Jaarprijzen'!$B$70:$P$124,14,FALSE)*(K381+J381))</f>
        <v>0</v>
      </c>
      <c r="AA381" s="60">
        <f t="shared" si="112"/>
        <v>0</v>
      </c>
      <c r="AC381" s="60" t="str">
        <f t="shared" si="113"/>
        <v>3200-200</v>
      </c>
    </row>
    <row r="382" spans="1:29">
      <c r="A382" s="548"/>
      <c r="B382" s="549"/>
      <c r="C382" s="656">
        <v>1</v>
      </c>
      <c r="D382" s="550" t="s">
        <v>1016</v>
      </c>
      <c r="E382" s="657" t="s">
        <v>694</v>
      </c>
      <c r="F382" s="645" t="s">
        <v>873</v>
      </c>
      <c r="G382" s="646" t="s">
        <v>768</v>
      </c>
      <c r="H382" s="644" t="str">
        <f t="shared" si="102"/>
        <v>entree, gang, hal, repro, kopieer, was/droogruimte</v>
      </c>
      <c r="I382" s="716" t="s">
        <v>1009</v>
      </c>
      <c r="J382" s="648">
        <v>19.8</v>
      </c>
      <c r="K382" s="648"/>
      <c r="L382" s="649">
        <v>3200</v>
      </c>
      <c r="M382" s="555">
        <f t="shared" si="106"/>
        <v>103</v>
      </c>
      <c r="N382" s="453"/>
      <c r="O382" s="555">
        <f t="shared" si="107"/>
        <v>200</v>
      </c>
      <c r="P382" s="630">
        <f t="shared" si="101"/>
        <v>1.1000000000000001</v>
      </c>
      <c r="Q382" s="773">
        <f t="shared" si="108"/>
        <v>0</v>
      </c>
      <c r="R382" s="773">
        <f t="shared" si="109"/>
        <v>0</v>
      </c>
      <c r="S382" s="551">
        <f t="shared" si="110"/>
        <v>0</v>
      </c>
      <c r="T382" s="623">
        <f t="shared" si="103"/>
        <v>0</v>
      </c>
      <c r="U382" s="623">
        <f t="shared" si="104"/>
        <v>0</v>
      </c>
      <c r="V382" s="552">
        <f t="shared" si="105"/>
        <v>0</v>
      </c>
      <c r="W382" s="553" t="str">
        <f t="shared" si="111"/>
        <v>V</v>
      </c>
      <c r="X382" s="554"/>
      <c r="Y382" s="628">
        <f>IF(Q382=0,0,(Q382+R382)*'1.0-Contractblad'!$L$98)</f>
        <v>0</v>
      </c>
      <c r="Z382" s="629">
        <f ca="1">IF(J382=0,0,VLOOKUP(D382,'1.1a-Jaarprijzen'!$B$70:$P$124,14,FALSE)*(K382+J382))</f>
        <v>0</v>
      </c>
      <c r="AA382" s="60">
        <f t="shared" si="112"/>
        <v>0</v>
      </c>
      <c r="AC382" s="60" t="str">
        <f t="shared" si="113"/>
        <v>4200-200</v>
      </c>
    </row>
    <row r="383" spans="1:29">
      <c r="A383" s="548"/>
      <c r="B383" s="549"/>
      <c r="C383" s="656">
        <v>1</v>
      </c>
      <c r="D383" s="550" t="s">
        <v>1016</v>
      </c>
      <c r="E383" s="657" t="s">
        <v>694</v>
      </c>
      <c r="F383" s="645" t="s">
        <v>874</v>
      </c>
      <c r="G383" s="646" t="s">
        <v>769</v>
      </c>
      <c r="H383" s="644" t="str">
        <f t="shared" si="102"/>
        <v>sanitaire ruimte (toilet-/doucheruimte)</v>
      </c>
      <c r="I383" s="716" t="s">
        <v>1009</v>
      </c>
      <c r="J383" s="648">
        <v>1.35</v>
      </c>
      <c r="K383" s="648"/>
      <c r="L383" s="649">
        <v>4200</v>
      </c>
      <c r="M383" s="555">
        <f t="shared" si="106"/>
        <v>104</v>
      </c>
      <c r="N383" s="453"/>
      <c r="O383" s="555">
        <f t="shared" si="107"/>
        <v>200</v>
      </c>
      <c r="P383" s="630">
        <f t="shared" si="101"/>
        <v>1.1000000000000001</v>
      </c>
      <c r="Q383" s="773">
        <f t="shared" si="108"/>
        <v>0</v>
      </c>
      <c r="R383" s="773">
        <f t="shared" si="109"/>
        <v>0</v>
      </c>
      <c r="S383" s="551">
        <f t="shared" si="110"/>
        <v>0</v>
      </c>
      <c r="T383" s="623">
        <f t="shared" si="103"/>
        <v>0</v>
      </c>
      <c r="U383" s="623">
        <f t="shared" si="104"/>
        <v>0</v>
      </c>
      <c r="V383" s="552">
        <f t="shared" si="105"/>
        <v>0</v>
      </c>
      <c r="W383" s="553" t="str">
        <f t="shared" si="111"/>
        <v>S</v>
      </c>
      <c r="X383" s="554"/>
      <c r="Y383" s="628">
        <f>IF(Q383=0,0,(Q383+R383)*'1.0-Contractblad'!$L$98)</f>
        <v>0</v>
      </c>
      <c r="Z383" s="629">
        <f ca="1">IF(J383=0,0,VLOOKUP(D383,'1.1a-Jaarprijzen'!$B$70:$P$124,14,FALSE)*(K383+J383))</f>
        <v>0</v>
      </c>
      <c r="AA383" s="60">
        <f t="shared" si="112"/>
        <v>0</v>
      </c>
      <c r="AC383" s="60" t="str">
        <f t="shared" si="113"/>
        <v>4200-200</v>
      </c>
    </row>
    <row r="384" spans="1:29">
      <c r="A384" s="548"/>
      <c r="B384" s="549"/>
      <c r="C384" s="656">
        <v>1</v>
      </c>
      <c r="D384" s="550" t="s">
        <v>1016</v>
      </c>
      <c r="E384" s="657" t="s">
        <v>694</v>
      </c>
      <c r="F384" s="645" t="s">
        <v>875</v>
      </c>
      <c r="G384" s="646" t="s">
        <v>770</v>
      </c>
      <c r="H384" s="644" t="str">
        <f t="shared" si="102"/>
        <v>sanitaire ruimte (toilet-/doucheruimte)</v>
      </c>
      <c r="I384" s="716" t="s">
        <v>1009</v>
      </c>
      <c r="J384" s="648">
        <v>1.47</v>
      </c>
      <c r="K384" s="648"/>
      <c r="L384" s="649">
        <v>4200</v>
      </c>
      <c r="M384" s="555">
        <f t="shared" si="106"/>
        <v>104</v>
      </c>
      <c r="N384" s="453"/>
      <c r="O384" s="555">
        <f t="shared" si="107"/>
        <v>200</v>
      </c>
      <c r="P384" s="630">
        <f t="shared" si="101"/>
        <v>1.1000000000000001</v>
      </c>
      <c r="Q384" s="773">
        <f t="shared" si="108"/>
        <v>0</v>
      </c>
      <c r="R384" s="773">
        <f t="shared" si="109"/>
        <v>0</v>
      </c>
      <c r="S384" s="551">
        <f t="shared" si="110"/>
        <v>0</v>
      </c>
      <c r="T384" s="623">
        <f t="shared" si="103"/>
        <v>0</v>
      </c>
      <c r="U384" s="623">
        <f t="shared" si="104"/>
        <v>0</v>
      </c>
      <c r="V384" s="552">
        <f t="shared" si="105"/>
        <v>0</v>
      </c>
      <c r="W384" s="553" t="str">
        <f t="shared" si="111"/>
        <v>S</v>
      </c>
      <c r="X384" s="554"/>
      <c r="Y384" s="628">
        <f>IF(Q384=0,0,(Q384+R384)*'1.0-Contractblad'!$L$98)</f>
        <v>0</v>
      </c>
      <c r="Z384" s="629">
        <f ca="1">IF(J384=0,0,VLOOKUP(D384,'1.1a-Jaarprijzen'!$B$70:$P$124,14,FALSE)*(K384+J384))</f>
        <v>0</v>
      </c>
      <c r="AA384" s="60">
        <f t="shared" si="112"/>
        <v>0</v>
      </c>
      <c r="AC384" s="60" t="str">
        <f t="shared" si="113"/>
        <v>nvt-0</v>
      </c>
    </row>
    <row r="385" spans="1:29">
      <c r="A385" s="548"/>
      <c r="B385" s="549"/>
      <c r="C385" s="656">
        <v>1</v>
      </c>
      <c r="D385" s="550" t="s">
        <v>1016</v>
      </c>
      <c r="E385" s="657" t="s">
        <v>694</v>
      </c>
      <c r="F385" s="645" t="s">
        <v>876</v>
      </c>
      <c r="G385" s="646" t="s">
        <v>559</v>
      </c>
      <c r="H385" s="644" t="str">
        <f t="shared" si="102"/>
        <v>niet van toepassing</v>
      </c>
      <c r="I385" s="716" t="s">
        <v>1009</v>
      </c>
      <c r="J385" s="648"/>
      <c r="K385" s="648">
        <v>1.49</v>
      </c>
      <c r="L385" s="660" t="s">
        <v>27</v>
      </c>
      <c r="M385" s="555">
        <f t="shared" si="106"/>
        <v>0</v>
      </c>
      <c r="N385" s="453"/>
      <c r="O385" s="555">
        <f t="shared" si="107"/>
        <v>0</v>
      </c>
      <c r="P385" s="630">
        <f t="shared" si="101"/>
        <v>1.1000000000000001</v>
      </c>
      <c r="Q385" s="773">
        <f t="shared" si="108"/>
        <v>0</v>
      </c>
      <c r="R385" s="773">
        <f t="shared" si="109"/>
        <v>0</v>
      </c>
      <c r="S385" s="551">
        <f t="shared" si="110"/>
        <v>0</v>
      </c>
      <c r="T385" s="623">
        <f t="shared" si="103"/>
        <v>0</v>
      </c>
      <c r="U385" s="623">
        <f t="shared" si="104"/>
        <v>0</v>
      </c>
      <c r="V385" s="552">
        <f t="shared" si="105"/>
        <v>0</v>
      </c>
      <c r="W385" s="553">
        <f t="shared" si="111"/>
        <v>0</v>
      </c>
      <c r="X385" s="698"/>
      <c r="Y385" s="628">
        <f>IF(Q385=0,0,(Q385+R385)*'1.0-Contractblad'!$L$98)</f>
        <v>0</v>
      </c>
      <c r="Z385" s="629">
        <f>IF(J385=0,0,VLOOKUP(D385,'1.1a-Jaarprijzen'!$B$70:$P$124,14,FALSE)*(K385+J385))</f>
        <v>0</v>
      </c>
      <c r="AA385" s="60">
        <f t="shared" si="112"/>
        <v>0</v>
      </c>
      <c r="AC385" s="60" t="str">
        <f t="shared" si="113"/>
        <v>14200-200</v>
      </c>
    </row>
    <row r="386" spans="1:29">
      <c r="A386" s="548"/>
      <c r="B386" s="549"/>
      <c r="C386" s="656">
        <v>1</v>
      </c>
      <c r="D386" s="550" t="s">
        <v>1016</v>
      </c>
      <c r="E386" s="657" t="s">
        <v>694</v>
      </c>
      <c r="F386" s="645" t="s">
        <v>877</v>
      </c>
      <c r="G386" s="646" t="s">
        <v>771</v>
      </c>
      <c r="H386" s="644" t="str">
        <f t="shared" si="102"/>
        <v>gymzaal</v>
      </c>
      <c r="I386" s="716" t="s">
        <v>785</v>
      </c>
      <c r="J386" s="648">
        <v>253.28</v>
      </c>
      <c r="K386" s="648"/>
      <c r="L386" s="659">
        <v>14200</v>
      </c>
      <c r="M386" s="555">
        <f t="shared" si="106"/>
        <v>108</v>
      </c>
      <c r="N386" s="453"/>
      <c r="O386" s="555">
        <f t="shared" si="107"/>
        <v>200</v>
      </c>
      <c r="P386" s="630">
        <f t="shared" ref="P386:P394" si="114">P385</f>
        <v>1.1000000000000001</v>
      </c>
      <c r="Q386" s="773">
        <f t="shared" si="108"/>
        <v>0</v>
      </c>
      <c r="R386" s="773">
        <f t="shared" si="109"/>
        <v>0</v>
      </c>
      <c r="S386" s="551">
        <f t="shared" si="110"/>
        <v>0</v>
      </c>
      <c r="T386" s="623">
        <f t="shared" si="103"/>
        <v>0</v>
      </c>
      <c r="U386" s="623">
        <f t="shared" si="104"/>
        <v>0</v>
      </c>
      <c r="V386" s="552">
        <f t="shared" si="105"/>
        <v>0</v>
      </c>
      <c r="W386" s="553" t="str">
        <f t="shared" si="111"/>
        <v>Sp</v>
      </c>
      <c r="X386" s="554"/>
      <c r="Y386" s="628">
        <f>IF(Q386=0,0,(Q386+R386)*'1.0-Contractblad'!$L$98)</f>
        <v>0</v>
      </c>
      <c r="Z386" s="629">
        <f ca="1">IF(J386=0,0,VLOOKUP(D386,'1.1a-Jaarprijzen'!$B$70:$P$124,14,FALSE)*(K386+J386))</f>
        <v>0</v>
      </c>
      <c r="AA386" s="60">
        <f t="shared" si="112"/>
        <v>0</v>
      </c>
      <c r="AC386" s="60" t="str">
        <f t="shared" si="113"/>
        <v>14040-40</v>
      </c>
    </row>
    <row r="387" spans="1:29">
      <c r="A387" s="548"/>
      <c r="B387" s="549"/>
      <c r="C387" s="656">
        <v>1</v>
      </c>
      <c r="D387" s="550" t="s">
        <v>1016</v>
      </c>
      <c r="E387" s="657" t="s">
        <v>694</v>
      </c>
      <c r="F387" s="645" t="s">
        <v>878</v>
      </c>
      <c r="G387" s="646" t="s">
        <v>772</v>
      </c>
      <c r="H387" s="644" t="str">
        <f t="shared" si="102"/>
        <v>gymzaal (berging)</v>
      </c>
      <c r="I387" s="716" t="s">
        <v>785</v>
      </c>
      <c r="J387" s="648">
        <v>35.74</v>
      </c>
      <c r="K387" s="648"/>
      <c r="L387" s="660">
        <v>14040</v>
      </c>
      <c r="M387" s="555">
        <f t="shared" si="106"/>
        <v>108</v>
      </c>
      <c r="N387" s="453"/>
      <c r="O387" s="555">
        <f t="shared" si="107"/>
        <v>40</v>
      </c>
      <c r="P387" s="630">
        <f t="shared" si="114"/>
        <v>1.1000000000000001</v>
      </c>
      <c r="Q387" s="773">
        <f t="shared" si="108"/>
        <v>0</v>
      </c>
      <c r="R387" s="773">
        <f t="shared" si="109"/>
        <v>0</v>
      </c>
      <c r="S387" s="551">
        <f t="shared" si="110"/>
        <v>0</v>
      </c>
      <c r="T387" s="623">
        <f t="shared" si="103"/>
        <v>0</v>
      </c>
      <c r="U387" s="623">
        <f t="shared" si="104"/>
        <v>0</v>
      </c>
      <c r="V387" s="552">
        <f t="shared" si="105"/>
        <v>0</v>
      </c>
      <c r="W387" s="553" t="str">
        <f t="shared" si="111"/>
        <v>Sp</v>
      </c>
      <c r="X387" s="554"/>
      <c r="Y387" s="628">
        <f>IF(Q387=0,0,(Q387+R387)*'1.0-Contractblad'!$L$98)</f>
        <v>0</v>
      </c>
      <c r="Z387" s="629">
        <f ca="1">IF(J387=0,0,VLOOKUP(D387,'1.1a-Jaarprijzen'!$B$70:$P$124,14,FALSE)*(K387+J387))</f>
        <v>0</v>
      </c>
      <c r="AA387" s="60">
        <f t="shared" si="112"/>
        <v>0</v>
      </c>
      <c r="AC387" s="60" t="str">
        <f t="shared" si="113"/>
        <v>14200-200</v>
      </c>
    </row>
    <row r="388" spans="1:29">
      <c r="A388" s="548"/>
      <c r="B388" s="549"/>
      <c r="C388" s="656">
        <v>1</v>
      </c>
      <c r="D388" s="550" t="s">
        <v>1016</v>
      </c>
      <c r="E388" s="657" t="s">
        <v>694</v>
      </c>
      <c r="F388" s="645" t="s">
        <v>879</v>
      </c>
      <c r="G388" s="646" t="s">
        <v>773</v>
      </c>
      <c r="H388" s="644" t="str">
        <f t="shared" si="102"/>
        <v>gymzaal</v>
      </c>
      <c r="I388" s="716" t="s">
        <v>785</v>
      </c>
      <c r="J388" s="648">
        <v>154.91</v>
      </c>
      <c r="K388" s="648"/>
      <c r="L388" s="649">
        <v>14200</v>
      </c>
      <c r="M388" s="555">
        <f t="shared" si="106"/>
        <v>108</v>
      </c>
      <c r="N388" s="453"/>
      <c r="O388" s="555">
        <f t="shared" si="107"/>
        <v>200</v>
      </c>
      <c r="P388" s="630">
        <f t="shared" si="114"/>
        <v>1.1000000000000001</v>
      </c>
      <c r="Q388" s="773">
        <f t="shared" si="108"/>
        <v>0</v>
      </c>
      <c r="R388" s="773">
        <f t="shared" si="109"/>
        <v>0</v>
      </c>
      <c r="S388" s="551">
        <f t="shared" si="110"/>
        <v>0</v>
      </c>
      <c r="T388" s="623">
        <f t="shared" si="103"/>
        <v>0</v>
      </c>
      <c r="U388" s="623">
        <f t="shared" si="104"/>
        <v>0</v>
      </c>
      <c r="V388" s="552">
        <f t="shared" si="105"/>
        <v>0</v>
      </c>
      <c r="W388" s="553" t="str">
        <f t="shared" si="111"/>
        <v>Sp</v>
      </c>
      <c r="X388" s="554"/>
      <c r="Y388" s="628">
        <f>IF(Q388=0,0,(Q388+R388)*'1.0-Contractblad'!$L$98)</f>
        <v>0</v>
      </c>
      <c r="Z388" s="629">
        <f ca="1">IF(J388=0,0,VLOOKUP(D388,'1.1a-Jaarprijzen'!$B$70:$P$124,14,FALSE)*(K388+J388))</f>
        <v>0</v>
      </c>
      <c r="AA388" s="60">
        <f t="shared" si="112"/>
        <v>0</v>
      </c>
      <c r="AC388" s="60" t="str">
        <f t="shared" si="113"/>
        <v>nvt-0</v>
      </c>
    </row>
    <row r="389" spans="1:29">
      <c r="A389" s="548"/>
      <c r="B389" s="549"/>
      <c r="C389" s="656">
        <v>1</v>
      </c>
      <c r="D389" s="550" t="s">
        <v>1016</v>
      </c>
      <c r="E389" s="657" t="s">
        <v>694</v>
      </c>
      <c r="F389" s="645" t="s">
        <v>880</v>
      </c>
      <c r="G389" s="646" t="s">
        <v>774</v>
      </c>
      <c r="H389" s="644" t="str">
        <f t="shared" si="102"/>
        <v>niet van toepassing</v>
      </c>
      <c r="I389" s="716" t="s">
        <v>785</v>
      </c>
      <c r="J389" s="648"/>
      <c r="K389" s="648">
        <v>5.19</v>
      </c>
      <c r="L389" s="660" t="s">
        <v>27</v>
      </c>
      <c r="M389" s="555">
        <f t="shared" si="106"/>
        <v>0</v>
      </c>
      <c r="N389" s="453"/>
      <c r="O389" s="555">
        <f t="shared" si="107"/>
        <v>0</v>
      </c>
      <c r="P389" s="630">
        <f t="shared" si="114"/>
        <v>1.1000000000000001</v>
      </c>
      <c r="Q389" s="773">
        <f t="shared" si="108"/>
        <v>0</v>
      </c>
      <c r="R389" s="773">
        <f t="shared" si="109"/>
        <v>0</v>
      </c>
      <c r="S389" s="551">
        <f t="shared" si="110"/>
        <v>0</v>
      </c>
      <c r="T389" s="623">
        <f t="shared" si="103"/>
        <v>0</v>
      </c>
      <c r="U389" s="623">
        <f t="shared" si="104"/>
        <v>0</v>
      </c>
      <c r="V389" s="552">
        <f t="shared" si="105"/>
        <v>0</v>
      </c>
      <c r="W389" s="553">
        <f t="shared" si="111"/>
        <v>0</v>
      </c>
      <c r="X389" s="698"/>
      <c r="Y389" s="628">
        <f>IF(Q389=0,0,(Q389+R389)*'1.0-Contractblad'!$L$98)</f>
        <v>0</v>
      </c>
      <c r="Z389" s="629">
        <f>IF(J389=0,0,VLOOKUP(D389,'1.1a-Jaarprijzen'!$B$70:$P$124,14,FALSE)*(K389+J389))</f>
        <v>0</v>
      </c>
      <c r="AA389" s="60">
        <f t="shared" si="112"/>
        <v>0</v>
      </c>
      <c r="AC389" s="60" t="str">
        <f t="shared" si="113"/>
        <v>13200-200</v>
      </c>
    </row>
    <row r="390" spans="1:29">
      <c r="A390" s="548"/>
      <c r="B390" s="549"/>
      <c r="C390" s="656">
        <v>1</v>
      </c>
      <c r="D390" s="550" t="s">
        <v>1016</v>
      </c>
      <c r="E390" s="657" t="s">
        <v>694</v>
      </c>
      <c r="F390" s="645" t="s">
        <v>881</v>
      </c>
      <c r="G390" s="646" t="s">
        <v>775</v>
      </c>
      <c r="H390" s="644" t="str">
        <f t="shared" si="102"/>
        <v>kleedruimten</v>
      </c>
      <c r="I390" s="716" t="s">
        <v>785</v>
      </c>
      <c r="J390" s="648">
        <v>31.22</v>
      </c>
      <c r="K390" s="648"/>
      <c r="L390" s="649">
        <v>13200</v>
      </c>
      <c r="M390" s="555">
        <f t="shared" si="106"/>
        <v>103</v>
      </c>
      <c r="N390" s="453"/>
      <c r="O390" s="555">
        <f t="shared" si="107"/>
        <v>200</v>
      </c>
      <c r="P390" s="630">
        <f t="shared" si="114"/>
        <v>1.1000000000000001</v>
      </c>
      <c r="Q390" s="773">
        <f t="shared" si="108"/>
        <v>0</v>
      </c>
      <c r="R390" s="773">
        <f t="shared" si="109"/>
        <v>0</v>
      </c>
      <c r="S390" s="551">
        <f t="shared" si="110"/>
        <v>0</v>
      </c>
      <c r="T390" s="623">
        <f t="shared" si="103"/>
        <v>0</v>
      </c>
      <c r="U390" s="623">
        <f t="shared" si="104"/>
        <v>0</v>
      </c>
      <c r="V390" s="552">
        <f t="shared" si="105"/>
        <v>0</v>
      </c>
      <c r="W390" s="553" t="str">
        <f t="shared" si="111"/>
        <v>V</v>
      </c>
      <c r="X390" s="554"/>
      <c r="Y390" s="628">
        <f>IF(Q390=0,0,(Q390+R390)*'1.0-Contractblad'!$L$98)</f>
        <v>0</v>
      </c>
      <c r="Z390" s="629">
        <f ca="1">IF(J390=0,0,VLOOKUP(D390,'1.1a-Jaarprijzen'!$B$70:$P$124,14,FALSE)*(K390+J390))</f>
        <v>0</v>
      </c>
      <c r="AA390" s="60">
        <f t="shared" si="112"/>
        <v>0</v>
      </c>
      <c r="AC390" s="60" t="str">
        <f t="shared" si="113"/>
        <v>4200-200</v>
      </c>
    </row>
    <row r="391" spans="1:29">
      <c r="A391" s="548"/>
      <c r="B391" s="549"/>
      <c r="C391" s="656">
        <v>1</v>
      </c>
      <c r="D391" s="550" t="s">
        <v>1016</v>
      </c>
      <c r="E391" s="657" t="s">
        <v>694</v>
      </c>
      <c r="F391" s="645" t="s">
        <v>557</v>
      </c>
      <c r="G391" s="646" t="s">
        <v>776</v>
      </c>
      <c r="H391" s="644" t="str">
        <f t="shared" si="102"/>
        <v>sanitaire ruimte (toilet-/doucheruimte)</v>
      </c>
      <c r="I391" s="716" t="s">
        <v>786</v>
      </c>
      <c r="J391" s="648">
        <v>15.03</v>
      </c>
      <c r="K391" s="648"/>
      <c r="L391" s="649">
        <v>4200</v>
      </c>
      <c r="M391" s="555">
        <f t="shared" si="106"/>
        <v>104</v>
      </c>
      <c r="N391" s="453"/>
      <c r="O391" s="555">
        <f t="shared" si="107"/>
        <v>200</v>
      </c>
      <c r="P391" s="630">
        <f t="shared" si="114"/>
        <v>1.1000000000000001</v>
      </c>
      <c r="Q391" s="773">
        <f t="shared" si="108"/>
        <v>0</v>
      </c>
      <c r="R391" s="773">
        <f t="shared" si="109"/>
        <v>0</v>
      </c>
      <c r="S391" s="551">
        <f t="shared" si="110"/>
        <v>0</v>
      </c>
      <c r="T391" s="623">
        <f t="shared" si="103"/>
        <v>0</v>
      </c>
      <c r="U391" s="623">
        <f t="shared" si="104"/>
        <v>0</v>
      </c>
      <c r="V391" s="552">
        <f t="shared" si="105"/>
        <v>0</v>
      </c>
      <c r="W391" s="553" t="str">
        <f t="shared" si="111"/>
        <v>S</v>
      </c>
      <c r="X391" s="554"/>
      <c r="Y391" s="628">
        <f>IF(Q391=0,0,(Q391+R391)*'1.0-Contractblad'!$L$98)</f>
        <v>0</v>
      </c>
      <c r="Z391" s="629">
        <f ca="1">IF(J391=0,0,VLOOKUP(D391,'1.1a-Jaarprijzen'!$B$70:$P$124,14,FALSE)*(K391+J391))</f>
        <v>0</v>
      </c>
      <c r="AA391" s="60">
        <f t="shared" si="112"/>
        <v>0</v>
      </c>
      <c r="AC391" s="60" t="str">
        <f t="shared" si="113"/>
        <v>13200-200</v>
      </c>
    </row>
    <row r="392" spans="1:29">
      <c r="A392" s="548"/>
      <c r="B392" s="549"/>
      <c r="C392" s="656">
        <v>1</v>
      </c>
      <c r="D392" s="550" t="s">
        <v>1016</v>
      </c>
      <c r="E392" s="657" t="s">
        <v>694</v>
      </c>
      <c r="F392" s="645" t="s">
        <v>558</v>
      </c>
      <c r="G392" s="646" t="s">
        <v>777</v>
      </c>
      <c r="H392" s="644" t="str">
        <f t="shared" si="102"/>
        <v>kleedruimten</v>
      </c>
      <c r="I392" s="716" t="s">
        <v>1009</v>
      </c>
      <c r="J392" s="648">
        <v>19.12</v>
      </c>
      <c r="K392" s="648"/>
      <c r="L392" s="649">
        <v>13200</v>
      </c>
      <c r="M392" s="555">
        <f t="shared" si="106"/>
        <v>103</v>
      </c>
      <c r="N392" s="453"/>
      <c r="O392" s="555">
        <f t="shared" si="107"/>
        <v>200</v>
      </c>
      <c r="P392" s="630">
        <f t="shared" si="114"/>
        <v>1.1000000000000001</v>
      </c>
      <c r="Q392" s="773">
        <f t="shared" si="108"/>
        <v>0</v>
      </c>
      <c r="R392" s="773">
        <f t="shared" si="109"/>
        <v>0</v>
      </c>
      <c r="S392" s="551">
        <f t="shared" si="110"/>
        <v>0</v>
      </c>
      <c r="T392" s="623">
        <f t="shared" si="103"/>
        <v>0</v>
      </c>
      <c r="U392" s="623">
        <f t="shared" si="104"/>
        <v>0</v>
      </c>
      <c r="V392" s="552">
        <f t="shared" si="105"/>
        <v>0</v>
      </c>
      <c r="W392" s="553" t="str">
        <f t="shared" si="111"/>
        <v>V</v>
      </c>
      <c r="X392" s="554"/>
      <c r="Y392" s="628">
        <f>IF(Q392=0,0,(Q392+R392)*'1.0-Contractblad'!$L$98)</f>
        <v>0</v>
      </c>
      <c r="Z392" s="629">
        <f ca="1">IF(J392=0,0,VLOOKUP(D392,'1.1a-Jaarprijzen'!$B$70:$P$124,14,FALSE)*(K392+J392))</f>
        <v>0</v>
      </c>
      <c r="AA392" s="60">
        <f t="shared" si="112"/>
        <v>0</v>
      </c>
      <c r="AC392" s="60" t="str">
        <f t="shared" si="113"/>
        <v>9200-200</v>
      </c>
    </row>
    <row r="393" spans="1:29">
      <c r="A393" s="548"/>
      <c r="B393" s="549"/>
      <c r="C393" s="656">
        <v>1</v>
      </c>
      <c r="D393" s="550" t="s">
        <v>1016</v>
      </c>
      <c r="E393" s="657" t="s">
        <v>695</v>
      </c>
      <c r="F393" s="645" t="s">
        <v>882</v>
      </c>
      <c r="G393" s="646" t="s">
        <v>778</v>
      </c>
      <c r="H393" s="644" t="str">
        <f t="shared" si="102"/>
        <v>trappenhuis</v>
      </c>
      <c r="I393" s="716" t="s">
        <v>785</v>
      </c>
      <c r="J393" s="648">
        <v>17.64</v>
      </c>
      <c r="K393" s="648"/>
      <c r="L393" s="649">
        <v>9200</v>
      </c>
      <c r="M393" s="555">
        <f t="shared" si="106"/>
        <v>109</v>
      </c>
      <c r="N393" s="453"/>
      <c r="O393" s="555">
        <f t="shared" si="107"/>
        <v>200</v>
      </c>
      <c r="P393" s="630">
        <f t="shared" si="114"/>
        <v>1.1000000000000001</v>
      </c>
      <c r="Q393" s="773">
        <f t="shared" si="108"/>
        <v>0</v>
      </c>
      <c r="R393" s="773">
        <f t="shared" si="109"/>
        <v>0</v>
      </c>
      <c r="S393" s="551">
        <f t="shared" si="110"/>
        <v>0</v>
      </c>
      <c r="T393" s="623">
        <f t="shared" si="103"/>
        <v>0</v>
      </c>
      <c r="U393" s="623">
        <f t="shared" si="104"/>
        <v>0</v>
      </c>
      <c r="V393" s="552">
        <f t="shared" si="105"/>
        <v>0</v>
      </c>
      <c r="W393" s="553" t="str">
        <f t="shared" si="111"/>
        <v>V</v>
      </c>
      <c r="X393" s="554"/>
      <c r="Y393" s="628">
        <f>IF(Q393=0,0,(Q393+R393)*'1.0-Contractblad'!$L$98)</f>
        <v>0</v>
      </c>
      <c r="Z393" s="629">
        <f ca="1">IF(J393=0,0,VLOOKUP(D393,'1.1a-Jaarprijzen'!$B$70:$P$124,14,FALSE)*(K393+J393))</f>
        <v>0</v>
      </c>
      <c r="AA393" s="60">
        <f t="shared" si="112"/>
        <v>0</v>
      </c>
      <c r="AC393" s="60" t="str">
        <f t="shared" si="113"/>
        <v>nvt-0</v>
      </c>
    </row>
    <row r="394" spans="1:29">
      <c r="A394" s="548"/>
      <c r="B394" s="549"/>
      <c r="C394" s="656">
        <v>1</v>
      </c>
      <c r="D394" s="550" t="s">
        <v>1016</v>
      </c>
      <c r="E394" s="657" t="s">
        <v>695</v>
      </c>
      <c r="F394" s="645" t="s">
        <v>883</v>
      </c>
      <c r="G394" s="646" t="s">
        <v>960</v>
      </c>
      <c r="H394" s="644" t="str">
        <f t="shared" si="102"/>
        <v>niet van toepassing</v>
      </c>
      <c r="I394" s="716" t="s">
        <v>1009</v>
      </c>
      <c r="J394" s="648"/>
      <c r="K394" s="648">
        <v>61.76</v>
      </c>
      <c r="L394" s="660" t="s">
        <v>27</v>
      </c>
      <c r="M394" s="555">
        <f t="shared" si="106"/>
        <v>0</v>
      </c>
      <c r="N394" s="453"/>
      <c r="O394" s="555">
        <f t="shared" si="107"/>
        <v>0</v>
      </c>
      <c r="P394" s="630">
        <f t="shared" si="114"/>
        <v>1.1000000000000001</v>
      </c>
      <c r="Q394" s="773">
        <f t="shared" si="108"/>
        <v>0</v>
      </c>
      <c r="R394" s="773">
        <f t="shared" si="109"/>
        <v>0</v>
      </c>
      <c r="S394" s="551">
        <f t="shared" si="110"/>
        <v>0</v>
      </c>
      <c r="T394" s="623">
        <f t="shared" si="103"/>
        <v>0</v>
      </c>
      <c r="U394" s="623">
        <f t="shared" si="104"/>
        <v>0</v>
      </c>
      <c r="V394" s="552">
        <f t="shared" si="105"/>
        <v>0</v>
      </c>
      <c r="W394" s="553">
        <f t="shared" si="111"/>
        <v>0</v>
      </c>
      <c r="X394" s="698"/>
      <c r="Y394" s="628">
        <f>IF(Q394=0,0,(Q394+R394)*'1.0-Contractblad'!$L$98)</f>
        <v>0</v>
      </c>
      <c r="Z394" s="629">
        <f>IF(J394=0,0,VLOOKUP(D394,'1.1a-Jaarprijzen'!$B$70:$P$124,14,FALSE)*(K394+J394))</f>
        <v>0</v>
      </c>
      <c r="AA394" s="60">
        <f t="shared" si="112"/>
        <v>0</v>
      </c>
      <c r="AC394" s="60" t="str">
        <f t="shared" si="113"/>
        <v>3200-200</v>
      </c>
    </row>
    <row r="395" spans="1:29">
      <c r="A395" s="548"/>
      <c r="B395" s="549"/>
      <c r="C395" s="656">
        <v>1</v>
      </c>
      <c r="D395" s="550" t="s">
        <v>1015</v>
      </c>
      <c r="E395" s="657" t="s">
        <v>1010</v>
      </c>
      <c r="F395" s="645" t="s">
        <v>433</v>
      </c>
      <c r="G395" s="646" t="s">
        <v>788</v>
      </c>
      <c r="H395" s="644" t="str">
        <f t="shared" si="102"/>
        <v>entree, gang, hal, repro, kopieer, was/droogruimte</v>
      </c>
      <c r="I395" s="716" t="s">
        <v>804</v>
      </c>
      <c r="J395" s="648">
        <v>11.74</v>
      </c>
      <c r="K395" s="648"/>
      <c r="L395" s="649">
        <v>3200</v>
      </c>
      <c r="M395" s="555">
        <f t="shared" si="106"/>
        <v>103</v>
      </c>
      <c r="N395" s="453"/>
      <c r="O395" s="555">
        <f t="shared" si="107"/>
        <v>200</v>
      </c>
      <c r="P395" s="630">
        <v>1</v>
      </c>
      <c r="Q395" s="773">
        <f t="shared" si="108"/>
        <v>0</v>
      </c>
      <c r="R395" s="773">
        <f t="shared" si="109"/>
        <v>0</v>
      </c>
      <c r="S395" s="551">
        <f t="shared" si="110"/>
        <v>0</v>
      </c>
      <c r="T395" s="623">
        <f t="shared" si="103"/>
        <v>0</v>
      </c>
      <c r="U395" s="623">
        <f t="shared" si="104"/>
        <v>0</v>
      </c>
      <c r="V395" s="552">
        <f t="shared" si="105"/>
        <v>0</v>
      </c>
      <c r="W395" s="553" t="str">
        <f t="shared" si="111"/>
        <v>V</v>
      </c>
      <c r="X395" s="554"/>
      <c r="Y395" s="628">
        <f>IF(Q395=0,0,(Q395+R395)*'1.0-Contractblad'!$L$98)</f>
        <v>0</v>
      </c>
      <c r="Z395" s="629">
        <f ca="1">IF(J395=0,0,VLOOKUP(D395,'1.1a-Jaarprijzen'!$B$70:$P$124,14,FALSE)*(K395+J395))</f>
        <v>0</v>
      </c>
      <c r="AA395" s="60">
        <f t="shared" si="112"/>
        <v>0</v>
      </c>
      <c r="AC395" s="60" t="str">
        <f t="shared" si="113"/>
        <v>3200-200</v>
      </c>
    </row>
    <row r="396" spans="1:29">
      <c r="A396" s="548"/>
      <c r="B396" s="549"/>
      <c r="C396" s="656">
        <v>1</v>
      </c>
      <c r="D396" s="550" t="s">
        <v>1015</v>
      </c>
      <c r="E396" s="657" t="s">
        <v>1010</v>
      </c>
      <c r="F396" s="645" t="s">
        <v>434</v>
      </c>
      <c r="G396" s="646" t="s">
        <v>781</v>
      </c>
      <c r="H396" s="644" t="str">
        <f t="shared" si="102"/>
        <v>entree, gang, hal, repro, kopieer, was/droogruimte</v>
      </c>
      <c r="I396" s="716" t="s">
        <v>785</v>
      </c>
      <c r="J396" s="648">
        <v>84.92</v>
      </c>
      <c r="K396" s="648"/>
      <c r="L396" s="649">
        <v>3200</v>
      </c>
      <c r="M396" s="555">
        <f t="shared" si="106"/>
        <v>103</v>
      </c>
      <c r="N396" s="453"/>
      <c r="O396" s="555">
        <f t="shared" si="107"/>
        <v>200</v>
      </c>
      <c r="P396" s="630">
        <v>1</v>
      </c>
      <c r="Q396" s="773">
        <f t="shared" si="108"/>
        <v>0</v>
      </c>
      <c r="R396" s="773">
        <f t="shared" si="109"/>
        <v>0</v>
      </c>
      <c r="S396" s="551">
        <f t="shared" si="110"/>
        <v>0</v>
      </c>
      <c r="T396" s="623">
        <f t="shared" si="103"/>
        <v>0</v>
      </c>
      <c r="U396" s="623">
        <f t="shared" si="104"/>
        <v>0</v>
      </c>
      <c r="V396" s="552">
        <f t="shared" si="105"/>
        <v>0</v>
      </c>
      <c r="W396" s="553" t="str">
        <f t="shared" si="111"/>
        <v>V</v>
      </c>
      <c r="X396" s="554"/>
      <c r="Y396" s="628">
        <f>IF(Q396=0,0,(Q396+R396)*'1.0-Contractblad'!$L$98)</f>
        <v>0</v>
      </c>
      <c r="Z396" s="629">
        <f ca="1">IF(J396=0,0,VLOOKUP(D396,'1.1a-Jaarprijzen'!$B$70:$P$124,14,FALSE)*(K396+J396))</f>
        <v>0</v>
      </c>
      <c r="AA396" s="60">
        <f t="shared" si="112"/>
        <v>0</v>
      </c>
      <c r="AC396" s="60" t="str">
        <f t="shared" si="113"/>
        <v>1200-200</v>
      </c>
    </row>
    <row r="397" spans="1:29">
      <c r="A397" s="548"/>
      <c r="B397" s="549"/>
      <c r="C397" s="656">
        <v>1</v>
      </c>
      <c r="D397" s="550" t="s">
        <v>1015</v>
      </c>
      <c r="E397" s="657" t="s">
        <v>1010</v>
      </c>
      <c r="F397" s="645" t="s">
        <v>435</v>
      </c>
      <c r="G397" s="646" t="s">
        <v>978</v>
      </c>
      <c r="H397" s="644" t="str">
        <f t="shared" si="102"/>
        <v>administratieve -, personeels- en vergaderruimte</v>
      </c>
      <c r="I397" s="716" t="s">
        <v>785</v>
      </c>
      <c r="J397" s="648">
        <v>16.63</v>
      </c>
      <c r="K397" s="648"/>
      <c r="L397" s="649">
        <v>1200</v>
      </c>
      <c r="M397" s="555">
        <f t="shared" si="106"/>
        <v>101</v>
      </c>
      <c r="N397" s="453"/>
      <c r="O397" s="555">
        <f t="shared" si="107"/>
        <v>200</v>
      </c>
      <c r="P397" s="630">
        <v>1</v>
      </c>
      <c r="Q397" s="773">
        <f t="shared" si="108"/>
        <v>0</v>
      </c>
      <c r="R397" s="773">
        <f t="shared" si="109"/>
        <v>0</v>
      </c>
      <c r="S397" s="551">
        <f t="shared" si="110"/>
        <v>0</v>
      </c>
      <c r="T397" s="623">
        <f t="shared" si="103"/>
        <v>0</v>
      </c>
      <c r="U397" s="623">
        <f t="shared" si="104"/>
        <v>0</v>
      </c>
      <c r="V397" s="552">
        <f t="shared" si="105"/>
        <v>0</v>
      </c>
      <c r="W397" s="553" t="str">
        <f t="shared" si="111"/>
        <v>B</v>
      </c>
      <c r="X397" s="554"/>
      <c r="Y397" s="628">
        <f>IF(Q397=0,0,(Q397+R397)*'1.0-Contractblad'!$L$98)</f>
        <v>0</v>
      </c>
      <c r="Z397" s="629">
        <f ca="1">IF(J397=0,0,VLOOKUP(D397,'1.1a-Jaarprijzen'!$B$70:$P$124,14,FALSE)*(K397+J397))</f>
        <v>0</v>
      </c>
      <c r="AA397" s="60">
        <f t="shared" si="112"/>
        <v>0</v>
      </c>
      <c r="AC397" s="60" t="str">
        <f t="shared" si="113"/>
        <v>1200-200</v>
      </c>
    </row>
    <row r="398" spans="1:29">
      <c r="A398" s="548"/>
      <c r="B398" s="549"/>
      <c r="C398" s="656">
        <v>1</v>
      </c>
      <c r="D398" s="550" t="s">
        <v>1015</v>
      </c>
      <c r="E398" s="657" t="s">
        <v>1010</v>
      </c>
      <c r="F398" s="645" t="s">
        <v>436</v>
      </c>
      <c r="G398" s="646" t="s">
        <v>887</v>
      </c>
      <c r="H398" s="644" t="str">
        <f t="shared" si="102"/>
        <v>administratieve -, personeels- en vergaderruimte</v>
      </c>
      <c r="I398" s="716" t="s">
        <v>804</v>
      </c>
      <c r="J398" s="648">
        <v>13.32</v>
      </c>
      <c r="K398" s="648"/>
      <c r="L398" s="649">
        <v>1200</v>
      </c>
      <c r="M398" s="555">
        <f t="shared" si="106"/>
        <v>101</v>
      </c>
      <c r="N398" s="453"/>
      <c r="O398" s="555">
        <f t="shared" si="107"/>
        <v>200</v>
      </c>
      <c r="P398" s="630">
        <v>1</v>
      </c>
      <c r="Q398" s="773">
        <f t="shared" si="108"/>
        <v>0</v>
      </c>
      <c r="R398" s="773">
        <f t="shared" si="109"/>
        <v>0</v>
      </c>
      <c r="S398" s="551">
        <f t="shared" si="110"/>
        <v>0</v>
      </c>
      <c r="T398" s="623">
        <f t="shared" si="103"/>
        <v>0</v>
      </c>
      <c r="U398" s="623">
        <f t="shared" si="104"/>
        <v>0</v>
      </c>
      <c r="V398" s="552">
        <f t="shared" si="105"/>
        <v>0</v>
      </c>
      <c r="W398" s="553" t="str">
        <f t="shared" si="111"/>
        <v>B</v>
      </c>
      <c r="X398" s="554"/>
      <c r="Y398" s="628">
        <f>IF(Q398=0,0,(Q398+R398)*'1.0-Contractblad'!$L$98)</f>
        <v>0</v>
      </c>
      <c r="Z398" s="629">
        <f ca="1">IF(J398=0,0,VLOOKUP(D398,'1.1a-Jaarprijzen'!$B$70:$P$124,14,FALSE)*(K398+J398))</f>
        <v>0</v>
      </c>
      <c r="AA398" s="60">
        <f t="shared" si="112"/>
        <v>0</v>
      </c>
      <c r="AC398" s="60" t="str">
        <f t="shared" si="113"/>
        <v>1200-200</v>
      </c>
    </row>
    <row r="399" spans="1:29">
      <c r="A399" s="548"/>
      <c r="B399" s="549"/>
      <c r="C399" s="656">
        <v>1</v>
      </c>
      <c r="D399" s="550" t="s">
        <v>1015</v>
      </c>
      <c r="E399" s="657" t="s">
        <v>1010</v>
      </c>
      <c r="F399" s="645" t="s">
        <v>437</v>
      </c>
      <c r="G399" s="646" t="s">
        <v>979</v>
      </c>
      <c r="H399" s="644" t="str">
        <f t="shared" si="102"/>
        <v>administratieve -, personeels- en vergaderruimte</v>
      </c>
      <c r="I399" s="716" t="s">
        <v>785</v>
      </c>
      <c r="J399" s="648">
        <v>13.32</v>
      </c>
      <c r="K399" s="648"/>
      <c r="L399" s="649">
        <v>1200</v>
      </c>
      <c r="M399" s="555">
        <f t="shared" si="106"/>
        <v>101</v>
      </c>
      <c r="N399" s="453"/>
      <c r="O399" s="555">
        <f t="shared" si="107"/>
        <v>200</v>
      </c>
      <c r="P399" s="630">
        <v>1</v>
      </c>
      <c r="Q399" s="773">
        <f t="shared" si="108"/>
        <v>0</v>
      </c>
      <c r="R399" s="773">
        <f t="shared" si="109"/>
        <v>0</v>
      </c>
      <c r="S399" s="551">
        <f t="shared" si="110"/>
        <v>0</v>
      </c>
      <c r="T399" s="623">
        <f t="shared" si="103"/>
        <v>0</v>
      </c>
      <c r="U399" s="623">
        <f t="shared" si="104"/>
        <v>0</v>
      </c>
      <c r="V399" s="552">
        <f t="shared" si="105"/>
        <v>0</v>
      </c>
      <c r="W399" s="553" t="str">
        <f t="shared" si="111"/>
        <v>B</v>
      </c>
      <c r="X399" s="554"/>
      <c r="Y399" s="628">
        <f>IF(Q399=0,0,(Q399+R399)*'1.0-Contractblad'!$L$98)</f>
        <v>0</v>
      </c>
      <c r="Z399" s="629">
        <f ca="1">IF(J399=0,0,VLOOKUP(D399,'1.1a-Jaarprijzen'!$B$70:$P$124,14,FALSE)*(K399+J399))</f>
        <v>0</v>
      </c>
      <c r="AA399" s="60">
        <f t="shared" si="112"/>
        <v>0</v>
      </c>
      <c r="AC399" s="60" t="str">
        <f t="shared" si="113"/>
        <v>1200-200</v>
      </c>
    </row>
    <row r="400" spans="1:29">
      <c r="A400" s="548"/>
      <c r="B400" s="549"/>
      <c r="C400" s="656">
        <v>1</v>
      </c>
      <c r="D400" s="550" t="s">
        <v>1015</v>
      </c>
      <c r="E400" s="657" t="s">
        <v>1010</v>
      </c>
      <c r="F400" s="645" t="s">
        <v>438</v>
      </c>
      <c r="G400" s="646" t="s">
        <v>980</v>
      </c>
      <c r="H400" s="644" t="str">
        <f t="shared" si="102"/>
        <v>administratieve -, personeels- en vergaderruimte</v>
      </c>
      <c r="I400" s="716" t="s">
        <v>785</v>
      </c>
      <c r="J400" s="648">
        <v>18.079999999999998</v>
      </c>
      <c r="K400" s="648"/>
      <c r="L400" s="649">
        <v>1200</v>
      </c>
      <c r="M400" s="555">
        <f t="shared" si="106"/>
        <v>101</v>
      </c>
      <c r="N400" s="453"/>
      <c r="O400" s="555">
        <f t="shared" si="107"/>
        <v>200</v>
      </c>
      <c r="P400" s="630">
        <v>1</v>
      </c>
      <c r="Q400" s="773">
        <f t="shared" si="108"/>
        <v>0</v>
      </c>
      <c r="R400" s="773">
        <f t="shared" si="109"/>
        <v>0</v>
      </c>
      <c r="S400" s="551">
        <f t="shared" si="110"/>
        <v>0</v>
      </c>
      <c r="T400" s="623">
        <f t="shared" si="103"/>
        <v>0</v>
      </c>
      <c r="U400" s="623">
        <f t="shared" si="104"/>
        <v>0</v>
      </c>
      <c r="V400" s="552">
        <f t="shared" si="105"/>
        <v>0</v>
      </c>
      <c r="W400" s="553" t="str">
        <f t="shared" si="111"/>
        <v>B</v>
      </c>
      <c r="X400" s="554"/>
      <c r="Y400" s="628">
        <f>IF(Q400=0,0,(Q400+R400)*'1.0-Contractblad'!$L$98)</f>
        <v>0</v>
      </c>
      <c r="Z400" s="629">
        <f ca="1">IF(J400=0,0,VLOOKUP(D400,'1.1a-Jaarprijzen'!$B$70:$P$124,14,FALSE)*(K400+J400))</f>
        <v>0</v>
      </c>
      <c r="AA400" s="60">
        <f t="shared" si="112"/>
        <v>0</v>
      </c>
      <c r="AC400" s="60" t="str">
        <f t="shared" si="113"/>
        <v>nvt-0</v>
      </c>
    </row>
    <row r="401" spans="1:29">
      <c r="A401" s="548"/>
      <c r="B401" s="549"/>
      <c r="C401" s="656">
        <v>1</v>
      </c>
      <c r="D401" s="550" t="s">
        <v>1015</v>
      </c>
      <c r="E401" s="657" t="s">
        <v>1010</v>
      </c>
      <c r="F401" s="645" t="s">
        <v>439</v>
      </c>
      <c r="G401" s="646" t="s">
        <v>981</v>
      </c>
      <c r="H401" s="644" t="str">
        <f t="shared" si="102"/>
        <v>niet van toepassing</v>
      </c>
      <c r="I401" s="716" t="s">
        <v>785</v>
      </c>
      <c r="J401" s="648"/>
      <c r="K401" s="648">
        <v>5.08</v>
      </c>
      <c r="L401" s="660" t="s">
        <v>27</v>
      </c>
      <c r="M401" s="555">
        <f t="shared" si="106"/>
        <v>0</v>
      </c>
      <c r="N401" s="453"/>
      <c r="O401" s="555">
        <f t="shared" si="107"/>
        <v>0</v>
      </c>
      <c r="P401" s="630">
        <v>1</v>
      </c>
      <c r="Q401" s="773">
        <f t="shared" si="108"/>
        <v>0</v>
      </c>
      <c r="R401" s="773">
        <f t="shared" si="109"/>
        <v>0</v>
      </c>
      <c r="S401" s="551">
        <f t="shared" si="110"/>
        <v>0</v>
      </c>
      <c r="T401" s="623">
        <f t="shared" si="103"/>
        <v>0</v>
      </c>
      <c r="U401" s="623">
        <f t="shared" si="104"/>
        <v>0</v>
      </c>
      <c r="V401" s="552">
        <f t="shared" si="105"/>
        <v>0</v>
      </c>
      <c r="W401" s="553">
        <f t="shared" si="111"/>
        <v>0</v>
      </c>
      <c r="X401" s="698"/>
      <c r="Y401" s="628">
        <f>IF(Q401=0,0,(Q401+R401)*'1.0-Contractblad'!$L$98)</f>
        <v>0</v>
      </c>
      <c r="Z401" s="629">
        <f>IF(J401=0,0,VLOOKUP(D401,'1.1a-Jaarprijzen'!$B$70:$P$124,14,FALSE)*(K401+J401))</f>
        <v>0</v>
      </c>
      <c r="AA401" s="60">
        <f t="shared" si="112"/>
        <v>0</v>
      </c>
      <c r="AC401" s="60" t="str">
        <f t="shared" si="113"/>
        <v>nvt-0</v>
      </c>
    </row>
    <row r="402" spans="1:29">
      <c r="A402" s="548"/>
      <c r="B402" s="549"/>
      <c r="C402" s="656">
        <v>1</v>
      </c>
      <c r="D402" s="550" t="s">
        <v>1015</v>
      </c>
      <c r="E402" s="657" t="s">
        <v>1010</v>
      </c>
      <c r="F402" s="645" t="s">
        <v>440</v>
      </c>
      <c r="G402" s="646" t="s">
        <v>982</v>
      </c>
      <c r="H402" s="644" t="str">
        <f t="shared" si="102"/>
        <v>niet van toepassing</v>
      </c>
      <c r="I402" s="716" t="s">
        <v>785</v>
      </c>
      <c r="J402" s="648"/>
      <c r="K402" s="648">
        <v>1.66</v>
      </c>
      <c r="L402" s="660" t="s">
        <v>27</v>
      </c>
      <c r="M402" s="555">
        <f t="shared" si="106"/>
        <v>0</v>
      </c>
      <c r="N402" s="453"/>
      <c r="O402" s="555">
        <f t="shared" si="107"/>
        <v>0</v>
      </c>
      <c r="P402" s="630">
        <v>1</v>
      </c>
      <c r="Q402" s="773">
        <f t="shared" si="108"/>
        <v>0</v>
      </c>
      <c r="R402" s="773">
        <f t="shared" si="109"/>
        <v>0</v>
      </c>
      <c r="S402" s="551">
        <f t="shared" si="110"/>
        <v>0</v>
      </c>
      <c r="T402" s="623">
        <f t="shared" si="103"/>
        <v>0</v>
      </c>
      <c r="U402" s="623">
        <f t="shared" si="104"/>
        <v>0</v>
      </c>
      <c r="V402" s="552">
        <f t="shared" si="105"/>
        <v>0</v>
      </c>
      <c r="W402" s="553">
        <f t="shared" si="111"/>
        <v>0</v>
      </c>
      <c r="X402" s="698"/>
      <c r="Y402" s="628">
        <f>IF(Q402=0,0,(Q402+R402)*'1.0-Contractblad'!$L$98)</f>
        <v>0</v>
      </c>
      <c r="Z402" s="629">
        <f>IF(J402=0,0,VLOOKUP(D402,'1.1a-Jaarprijzen'!$B$70:$P$124,14,FALSE)*(K402+J402))</f>
        <v>0</v>
      </c>
      <c r="AA402" s="60">
        <f t="shared" si="112"/>
        <v>0</v>
      </c>
      <c r="AC402" s="60" t="str">
        <f t="shared" si="113"/>
        <v>3200-200</v>
      </c>
    </row>
    <row r="403" spans="1:29">
      <c r="A403" s="548"/>
      <c r="B403" s="549"/>
      <c r="C403" s="656">
        <v>1</v>
      </c>
      <c r="D403" s="550" t="s">
        <v>1015</v>
      </c>
      <c r="E403" s="657" t="s">
        <v>1010</v>
      </c>
      <c r="F403" s="645" t="s">
        <v>441</v>
      </c>
      <c r="G403" s="646" t="s">
        <v>781</v>
      </c>
      <c r="H403" s="644" t="str">
        <f t="shared" si="102"/>
        <v>entree, gang, hal, repro, kopieer, was/droogruimte</v>
      </c>
      <c r="I403" s="716" t="s">
        <v>785</v>
      </c>
      <c r="J403" s="648">
        <v>59.98</v>
      </c>
      <c r="K403" s="648"/>
      <c r="L403" s="649">
        <v>3200</v>
      </c>
      <c r="M403" s="555">
        <f t="shared" si="106"/>
        <v>103</v>
      </c>
      <c r="N403" s="453"/>
      <c r="O403" s="555">
        <f t="shared" si="107"/>
        <v>200</v>
      </c>
      <c r="P403" s="630">
        <v>1</v>
      </c>
      <c r="Q403" s="773">
        <f t="shared" si="108"/>
        <v>0</v>
      </c>
      <c r="R403" s="773">
        <f t="shared" si="109"/>
        <v>0</v>
      </c>
      <c r="S403" s="551">
        <f t="shared" si="110"/>
        <v>0</v>
      </c>
      <c r="T403" s="623">
        <f t="shared" si="103"/>
        <v>0</v>
      </c>
      <c r="U403" s="623">
        <f t="shared" si="104"/>
        <v>0</v>
      </c>
      <c r="V403" s="552">
        <f t="shared" si="105"/>
        <v>0</v>
      </c>
      <c r="W403" s="553" t="str">
        <f t="shared" si="111"/>
        <v>V</v>
      </c>
      <c r="X403" s="554"/>
      <c r="Y403" s="628">
        <f>IF(Q403=0,0,(Q403+R403)*'1.0-Contractblad'!$L$98)</f>
        <v>0</v>
      </c>
      <c r="Z403" s="629">
        <f ca="1">IF(J403=0,0,VLOOKUP(D403,'1.1a-Jaarprijzen'!$B$70:$P$124,14,FALSE)*(K403+J403))</f>
        <v>0</v>
      </c>
      <c r="AA403" s="60">
        <f t="shared" si="112"/>
        <v>0</v>
      </c>
      <c r="AC403" s="60" t="str">
        <f t="shared" si="113"/>
        <v>nvt-0</v>
      </c>
    </row>
    <row r="404" spans="1:29">
      <c r="A404" s="548"/>
      <c r="B404" s="549"/>
      <c r="C404" s="656">
        <v>1</v>
      </c>
      <c r="D404" s="550" t="s">
        <v>1015</v>
      </c>
      <c r="E404" s="657" t="s">
        <v>1010</v>
      </c>
      <c r="F404" s="645" t="s">
        <v>442</v>
      </c>
      <c r="G404" s="646" t="s">
        <v>710</v>
      </c>
      <c r="H404" s="644" t="str">
        <f t="shared" si="102"/>
        <v>niet van toepassing</v>
      </c>
      <c r="I404" s="716" t="s">
        <v>785</v>
      </c>
      <c r="J404" s="648"/>
      <c r="K404" s="648">
        <v>10.67</v>
      </c>
      <c r="L404" s="660" t="s">
        <v>27</v>
      </c>
      <c r="M404" s="555">
        <f t="shared" si="106"/>
        <v>0</v>
      </c>
      <c r="N404" s="453"/>
      <c r="O404" s="555">
        <f t="shared" si="107"/>
        <v>0</v>
      </c>
      <c r="P404" s="630">
        <v>1</v>
      </c>
      <c r="Q404" s="773">
        <f t="shared" si="108"/>
        <v>0</v>
      </c>
      <c r="R404" s="773">
        <f t="shared" si="109"/>
        <v>0</v>
      </c>
      <c r="S404" s="551">
        <f t="shared" si="110"/>
        <v>0</v>
      </c>
      <c r="T404" s="623">
        <f t="shared" si="103"/>
        <v>0</v>
      </c>
      <c r="U404" s="623">
        <f t="shared" si="104"/>
        <v>0</v>
      </c>
      <c r="V404" s="552">
        <f t="shared" si="105"/>
        <v>0</v>
      </c>
      <c r="W404" s="553">
        <f t="shared" si="111"/>
        <v>0</v>
      </c>
      <c r="X404" s="698"/>
      <c r="Y404" s="628">
        <f>IF(Q404=0,0,(Q404+R404)*'1.0-Contractblad'!$L$98)</f>
        <v>0</v>
      </c>
      <c r="Z404" s="629">
        <f>IF(J404=0,0,VLOOKUP(D404,'1.1a-Jaarprijzen'!$B$70:$P$124,14,FALSE)*(K404+J404))</f>
        <v>0</v>
      </c>
      <c r="AA404" s="60">
        <f t="shared" si="112"/>
        <v>0</v>
      </c>
      <c r="AC404" s="60" t="str">
        <f t="shared" si="113"/>
        <v>1200-200</v>
      </c>
    </row>
    <row r="405" spans="1:29">
      <c r="A405" s="556"/>
      <c r="B405" s="549"/>
      <c r="C405" s="656">
        <v>1</v>
      </c>
      <c r="D405" s="550" t="s">
        <v>1015</v>
      </c>
      <c r="E405" s="657" t="s">
        <v>1010</v>
      </c>
      <c r="F405" s="645" t="s">
        <v>443</v>
      </c>
      <c r="G405" s="646" t="s">
        <v>983</v>
      </c>
      <c r="H405" s="644" t="str">
        <f t="shared" si="102"/>
        <v>administratieve -, personeels- en vergaderruimte</v>
      </c>
      <c r="I405" s="716" t="s">
        <v>785</v>
      </c>
      <c r="J405" s="648">
        <v>9.7799999999999994</v>
      </c>
      <c r="K405" s="648"/>
      <c r="L405" s="649">
        <v>1200</v>
      </c>
      <c r="M405" s="555">
        <f t="shared" si="106"/>
        <v>101</v>
      </c>
      <c r="N405" s="453"/>
      <c r="O405" s="555">
        <f t="shared" si="107"/>
        <v>200</v>
      </c>
      <c r="P405" s="630">
        <v>1</v>
      </c>
      <c r="Q405" s="773">
        <f t="shared" si="108"/>
        <v>0</v>
      </c>
      <c r="R405" s="773">
        <f t="shared" si="109"/>
        <v>0</v>
      </c>
      <c r="S405" s="551">
        <f t="shared" si="110"/>
        <v>0</v>
      </c>
      <c r="T405" s="623">
        <f t="shared" si="103"/>
        <v>0</v>
      </c>
      <c r="U405" s="623">
        <f t="shared" si="104"/>
        <v>0</v>
      </c>
      <c r="V405" s="552">
        <f t="shared" si="105"/>
        <v>0</v>
      </c>
      <c r="W405" s="553" t="str">
        <f t="shared" si="111"/>
        <v>B</v>
      </c>
      <c r="X405" s="554"/>
      <c r="Y405" s="628">
        <f>IF(Q405=0,0,(Q405+R405)*'1.0-Contractblad'!$L$98)</f>
        <v>0</v>
      </c>
      <c r="Z405" s="629">
        <f ca="1">IF(J405=0,0,VLOOKUP(D405,'1.1a-Jaarprijzen'!$B$70:$P$124,14,FALSE)*(K405+J405))</f>
        <v>0</v>
      </c>
      <c r="AA405" s="60">
        <f t="shared" si="112"/>
        <v>0</v>
      </c>
      <c r="AC405" s="60" t="str">
        <f t="shared" si="113"/>
        <v>4200-200</v>
      </c>
    </row>
    <row r="406" spans="1:29">
      <c r="A406" s="556"/>
      <c r="B406" s="549"/>
      <c r="C406" s="656">
        <v>1</v>
      </c>
      <c r="D406" s="550" t="s">
        <v>1015</v>
      </c>
      <c r="E406" s="657" t="s">
        <v>1010</v>
      </c>
      <c r="F406" s="645" t="s">
        <v>444</v>
      </c>
      <c r="G406" s="646" t="s">
        <v>984</v>
      </c>
      <c r="H406" s="644" t="str">
        <f t="shared" si="102"/>
        <v>sanitaire ruimte (toilet-/doucheruimte)</v>
      </c>
      <c r="I406" s="716" t="s">
        <v>1009</v>
      </c>
      <c r="J406" s="648">
        <v>5.94</v>
      </c>
      <c r="K406" s="648"/>
      <c r="L406" s="649">
        <v>4200</v>
      </c>
      <c r="M406" s="555">
        <f t="shared" si="106"/>
        <v>104</v>
      </c>
      <c r="N406" s="453"/>
      <c r="O406" s="555">
        <f t="shared" si="107"/>
        <v>200</v>
      </c>
      <c r="P406" s="630">
        <v>1.05</v>
      </c>
      <c r="Q406" s="773">
        <f t="shared" si="108"/>
        <v>0</v>
      </c>
      <c r="R406" s="773">
        <f t="shared" si="109"/>
        <v>0</v>
      </c>
      <c r="S406" s="551">
        <f t="shared" si="110"/>
        <v>0</v>
      </c>
      <c r="T406" s="623">
        <f t="shared" si="103"/>
        <v>0</v>
      </c>
      <c r="U406" s="623">
        <f t="shared" si="104"/>
        <v>0</v>
      </c>
      <c r="V406" s="552">
        <f t="shared" si="105"/>
        <v>0</v>
      </c>
      <c r="W406" s="553" t="str">
        <f t="shared" si="111"/>
        <v>S</v>
      </c>
      <c r="X406" s="554"/>
      <c r="Y406" s="628">
        <f>IF(Q406=0,0,(Q406+R406)*'1.0-Contractblad'!$L$98)</f>
        <v>0</v>
      </c>
      <c r="Z406" s="629">
        <f ca="1">IF(J406=0,0,VLOOKUP(D406,'1.1a-Jaarprijzen'!$B$70:$P$124,14,FALSE)*(K406+J406))</f>
        <v>0</v>
      </c>
      <c r="AA406" s="60">
        <f t="shared" ref="AA406:AA438" si="115">IF(L407=8255,Q407+R407,0)</f>
        <v>0</v>
      </c>
      <c r="AC406" s="60" t="str">
        <f t="shared" ref="AC406:AC438" si="116">CONCATENATE(L407,"-",O407)</f>
        <v>6200-200</v>
      </c>
    </row>
    <row r="407" spans="1:29">
      <c r="A407" s="556"/>
      <c r="B407" s="549"/>
      <c r="C407" s="656">
        <v>1</v>
      </c>
      <c r="D407" s="550" t="s">
        <v>1015</v>
      </c>
      <c r="E407" s="657" t="s">
        <v>1010</v>
      </c>
      <c r="F407" s="645" t="s">
        <v>445</v>
      </c>
      <c r="G407" s="646" t="s">
        <v>985</v>
      </c>
      <c r="H407" s="644" t="str">
        <f t="shared" si="102"/>
        <v>praktijklokaal</v>
      </c>
      <c r="I407" s="716" t="s">
        <v>785</v>
      </c>
      <c r="J407" s="648">
        <v>51.26</v>
      </c>
      <c r="K407" s="648"/>
      <c r="L407" s="649">
        <v>6200</v>
      </c>
      <c r="M407" s="555">
        <f t="shared" si="106"/>
        <v>107</v>
      </c>
      <c r="N407" s="453"/>
      <c r="O407" s="555">
        <f t="shared" si="107"/>
        <v>200</v>
      </c>
      <c r="P407" s="630">
        <v>1</v>
      </c>
      <c r="Q407" s="773">
        <f t="shared" si="108"/>
        <v>0</v>
      </c>
      <c r="R407" s="773">
        <f t="shared" si="109"/>
        <v>0</v>
      </c>
      <c r="S407" s="551">
        <f t="shared" si="110"/>
        <v>0</v>
      </c>
      <c r="T407" s="623">
        <f t="shared" si="103"/>
        <v>0</v>
      </c>
      <c r="U407" s="623">
        <f t="shared" si="104"/>
        <v>0</v>
      </c>
      <c r="V407" s="552">
        <f t="shared" si="105"/>
        <v>0</v>
      </c>
      <c r="W407" s="553" t="str">
        <f t="shared" si="111"/>
        <v>L</v>
      </c>
      <c r="X407" s="554"/>
      <c r="Y407" s="628">
        <f>IF(Q407=0,0,(Q407+R407)*'1.0-Contractblad'!$L$98)</f>
        <v>0</v>
      </c>
      <c r="Z407" s="629">
        <f ca="1">IF(J407=0,0,VLOOKUP(D407,'1.1a-Jaarprijzen'!$B$70:$P$124,14,FALSE)*(K407+J407))</f>
        <v>0</v>
      </c>
      <c r="AA407" s="60">
        <f t="shared" si="115"/>
        <v>0</v>
      </c>
      <c r="AC407" s="60" t="str">
        <f t="shared" si="116"/>
        <v>7200-200</v>
      </c>
    </row>
    <row r="408" spans="1:29">
      <c r="A408" s="556"/>
      <c r="B408" s="549"/>
      <c r="C408" s="656">
        <v>1</v>
      </c>
      <c r="D408" s="550" t="s">
        <v>1015</v>
      </c>
      <c r="E408" s="657" t="s">
        <v>1010</v>
      </c>
      <c r="F408" s="645" t="s">
        <v>446</v>
      </c>
      <c r="G408" s="646" t="s">
        <v>986</v>
      </c>
      <c r="H408" s="644" t="str">
        <f t="shared" si="102"/>
        <v>leslokaal</v>
      </c>
      <c r="I408" s="716" t="s">
        <v>785</v>
      </c>
      <c r="J408" s="648">
        <v>51.26</v>
      </c>
      <c r="K408" s="648"/>
      <c r="L408" s="650">
        <v>7200</v>
      </c>
      <c r="M408" s="555">
        <f t="shared" si="106"/>
        <v>107</v>
      </c>
      <c r="N408" s="453"/>
      <c r="O408" s="555">
        <f t="shared" si="107"/>
        <v>200</v>
      </c>
      <c r="P408" s="630">
        <v>1</v>
      </c>
      <c r="Q408" s="773">
        <f t="shared" si="108"/>
        <v>0</v>
      </c>
      <c r="R408" s="773">
        <f t="shared" si="109"/>
        <v>0</v>
      </c>
      <c r="S408" s="551">
        <f t="shared" si="110"/>
        <v>0</v>
      </c>
      <c r="T408" s="623">
        <f t="shared" si="103"/>
        <v>0</v>
      </c>
      <c r="U408" s="623">
        <f t="shared" si="104"/>
        <v>0</v>
      </c>
      <c r="V408" s="552">
        <f t="shared" si="105"/>
        <v>0</v>
      </c>
      <c r="W408" s="553" t="str">
        <f t="shared" si="111"/>
        <v>L</v>
      </c>
      <c r="X408" s="554"/>
      <c r="Y408" s="628">
        <f>IF(Q408=0,0,(Q408+R408)*'1.0-Contractblad'!$L$98)</f>
        <v>0</v>
      </c>
      <c r="Z408" s="629">
        <f ca="1">IF(J408=0,0,VLOOKUP(D408,'1.1a-Jaarprijzen'!$B$70:$P$124,14,FALSE)*(K408+J408))</f>
        <v>0</v>
      </c>
      <c r="AA408" s="60">
        <f t="shared" si="115"/>
        <v>0</v>
      </c>
      <c r="AC408" s="60" t="str">
        <f t="shared" si="116"/>
        <v>nvt-0</v>
      </c>
    </row>
    <row r="409" spans="1:29">
      <c r="A409" s="556"/>
      <c r="B409" s="549"/>
      <c r="C409" s="656">
        <v>1</v>
      </c>
      <c r="D409" s="550" t="s">
        <v>1015</v>
      </c>
      <c r="E409" s="657" t="s">
        <v>1010</v>
      </c>
      <c r="F409" s="645" t="s">
        <v>447</v>
      </c>
      <c r="G409" s="646" t="s">
        <v>710</v>
      </c>
      <c r="H409" s="644" t="str">
        <f t="shared" si="102"/>
        <v>niet van toepassing</v>
      </c>
      <c r="I409" s="716" t="s">
        <v>785</v>
      </c>
      <c r="J409" s="648"/>
      <c r="K409" s="648">
        <v>5.94</v>
      </c>
      <c r="L409" s="660" t="s">
        <v>27</v>
      </c>
      <c r="M409" s="555">
        <f t="shared" si="106"/>
        <v>0</v>
      </c>
      <c r="N409" s="453"/>
      <c r="O409" s="555">
        <f t="shared" si="107"/>
        <v>0</v>
      </c>
      <c r="P409" s="630">
        <v>1</v>
      </c>
      <c r="Q409" s="773">
        <f t="shared" si="108"/>
        <v>0</v>
      </c>
      <c r="R409" s="773">
        <f t="shared" si="109"/>
        <v>0</v>
      </c>
      <c r="S409" s="551">
        <f t="shared" si="110"/>
        <v>0</v>
      </c>
      <c r="T409" s="623">
        <f t="shared" si="103"/>
        <v>0</v>
      </c>
      <c r="U409" s="623">
        <f t="shared" si="104"/>
        <v>0</v>
      </c>
      <c r="V409" s="552">
        <f t="shared" si="105"/>
        <v>0</v>
      </c>
      <c r="W409" s="553">
        <f t="shared" si="111"/>
        <v>0</v>
      </c>
      <c r="X409" s="698"/>
      <c r="Y409" s="628">
        <f>IF(Q409=0,0,(Q409+R409)*'1.0-Contractblad'!$L$98)</f>
        <v>0</v>
      </c>
      <c r="Z409" s="629">
        <f>IF(J409=0,0,VLOOKUP(D409,'1.1a-Jaarprijzen'!$B$70:$P$124,14,FALSE)*(K409+J409))</f>
        <v>0</v>
      </c>
      <c r="AA409" s="60">
        <f t="shared" si="115"/>
        <v>0</v>
      </c>
      <c r="AC409" s="60" t="str">
        <f t="shared" si="116"/>
        <v>1200-200</v>
      </c>
    </row>
    <row r="410" spans="1:29">
      <c r="A410" s="556"/>
      <c r="B410" s="549"/>
      <c r="C410" s="656">
        <v>1</v>
      </c>
      <c r="D410" s="550" t="s">
        <v>1015</v>
      </c>
      <c r="E410" s="657" t="s">
        <v>1010</v>
      </c>
      <c r="F410" s="645" t="s">
        <v>448</v>
      </c>
      <c r="G410" s="646" t="s">
        <v>987</v>
      </c>
      <c r="H410" s="644" t="str">
        <f t="shared" si="102"/>
        <v>administratieve -, personeels- en vergaderruimte</v>
      </c>
      <c r="I410" s="716" t="s">
        <v>785</v>
      </c>
      <c r="J410" s="648">
        <v>9.7799999999999994</v>
      </c>
      <c r="K410" s="648"/>
      <c r="L410" s="649">
        <v>1200</v>
      </c>
      <c r="M410" s="555">
        <f t="shared" si="106"/>
        <v>101</v>
      </c>
      <c r="N410" s="453"/>
      <c r="O410" s="555">
        <f t="shared" si="107"/>
        <v>200</v>
      </c>
      <c r="P410" s="630">
        <v>1</v>
      </c>
      <c r="Q410" s="773">
        <f t="shared" si="108"/>
        <v>0</v>
      </c>
      <c r="R410" s="773">
        <f t="shared" si="109"/>
        <v>0</v>
      </c>
      <c r="S410" s="551">
        <f t="shared" si="110"/>
        <v>0</v>
      </c>
      <c r="T410" s="623">
        <f t="shared" si="103"/>
        <v>0</v>
      </c>
      <c r="U410" s="623">
        <f t="shared" si="104"/>
        <v>0</v>
      </c>
      <c r="V410" s="552">
        <f t="shared" si="105"/>
        <v>0</v>
      </c>
      <c r="W410" s="553" t="str">
        <f t="shared" si="111"/>
        <v>B</v>
      </c>
      <c r="X410" s="554"/>
      <c r="Y410" s="628">
        <f>IF(Q410=0,0,(Q410+R410)*'1.0-Contractblad'!$L$98)</f>
        <v>0</v>
      </c>
      <c r="Z410" s="629">
        <f ca="1">IF(J410=0,0,VLOOKUP(D410,'1.1a-Jaarprijzen'!$B$70:$P$124,14,FALSE)*(K410+J410))</f>
        <v>0</v>
      </c>
      <c r="AA410" s="60">
        <f t="shared" si="115"/>
        <v>0</v>
      </c>
      <c r="AC410" s="60" t="str">
        <f t="shared" si="116"/>
        <v>1200-200</v>
      </c>
    </row>
    <row r="411" spans="1:29">
      <c r="A411" s="556"/>
      <c r="B411" s="549"/>
      <c r="C411" s="656">
        <v>1</v>
      </c>
      <c r="D411" s="550" t="s">
        <v>1015</v>
      </c>
      <c r="E411" s="657" t="s">
        <v>1010</v>
      </c>
      <c r="F411" s="645" t="s">
        <v>450</v>
      </c>
      <c r="G411" s="646" t="s">
        <v>988</v>
      </c>
      <c r="H411" s="644" t="str">
        <f t="shared" si="102"/>
        <v>administratieve -, personeels- en vergaderruimte</v>
      </c>
      <c r="I411" s="716" t="s">
        <v>785</v>
      </c>
      <c r="J411" s="648">
        <v>9.99</v>
      </c>
      <c r="K411" s="648"/>
      <c r="L411" s="649">
        <v>1200</v>
      </c>
      <c r="M411" s="555">
        <f t="shared" si="106"/>
        <v>101</v>
      </c>
      <c r="N411" s="453"/>
      <c r="O411" s="555">
        <f t="shared" si="107"/>
        <v>200</v>
      </c>
      <c r="P411" s="630">
        <v>1</v>
      </c>
      <c r="Q411" s="773">
        <f t="shared" si="108"/>
        <v>0</v>
      </c>
      <c r="R411" s="773">
        <f t="shared" si="109"/>
        <v>0</v>
      </c>
      <c r="S411" s="551">
        <f t="shared" si="110"/>
        <v>0</v>
      </c>
      <c r="T411" s="623">
        <f t="shared" si="103"/>
        <v>0</v>
      </c>
      <c r="U411" s="623">
        <f t="shared" si="104"/>
        <v>0</v>
      </c>
      <c r="V411" s="552">
        <f t="shared" si="105"/>
        <v>0</v>
      </c>
      <c r="W411" s="553" t="str">
        <f t="shared" si="111"/>
        <v>B</v>
      </c>
      <c r="X411" s="554"/>
      <c r="Y411" s="628">
        <f>IF(Q411=0,0,(Q411+R411)*'1.0-Contractblad'!$L$98)</f>
        <v>0</v>
      </c>
      <c r="Z411" s="629">
        <f ca="1">IF(J411=0,0,VLOOKUP(D411,'1.1a-Jaarprijzen'!$B$70:$P$124,14,FALSE)*(K411+J411))</f>
        <v>0</v>
      </c>
      <c r="AA411" s="60">
        <f t="shared" si="115"/>
        <v>0</v>
      </c>
      <c r="AC411" s="60" t="str">
        <f t="shared" si="116"/>
        <v>3200-200</v>
      </c>
    </row>
    <row r="412" spans="1:29">
      <c r="A412" s="556"/>
      <c r="B412" s="549"/>
      <c r="C412" s="656">
        <v>1</v>
      </c>
      <c r="D412" s="550" t="s">
        <v>1015</v>
      </c>
      <c r="E412" s="657" t="s">
        <v>1010</v>
      </c>
      <c r="F412" s="645" t="s">
        <v>451</v>
      </c>
      <c r="G412" s="646" t="s">
        <v>781</v>
      </c>
      <c r="H412" s="644" t="str">
        <f t="shared" si="102"/>
        <v>entree, gang, hal, repro, kopieer, was/droogruimte</v>
      </c>
      <c r="I412" s="716" t="s">
        <v>785</v>
      </c>
      <c r="J412" s="648">
        <v>134.16999999999999</v>
      </c>
      <c r="K412" s="648"/>
      <c r="L412" s="649">
        <v>3200</v>
      </c>
      <c r="M412" s="555">
        <f t="shared" si="106"/>
        <v>103</v>
      </c>
      <c r="N412" s="453"/>
      <c r="O412" s="555">
        <f t="shared" si="107"/>
        <v>200</v>
      </c>
      <c r="P412" s="630">
        <v>1</v>
      </c>
      <c r="Q412" s="773">
        <f t="shared" si="108"/>
        <v>0</v>
      </c>
      <c r="R412" s="773">
        <f t="shared" si="109"/>
        <v>0</v>
      </c>
      <c r="S412" s="551">
        <f t="shared" si="110"/>
        <v>0</v>
      </c>
      <c r="T412" s="623">
        <f t="shared" si="103"/>
        <v>0</v>
      </c>
      <c r="U412" s="623">
        <f t="shared" si="104"/>
        <v>0</v>
      </c>
      <c r="V412" s="552">
        <f t="shared" si="105"/>
        <v>0</v>
      </c>
      <c r="W412" s="553" t="str">
        <f t="shared" si="111"/>
        <v>V</v>
      </c>
      <c r="X412" s="554"/>
      <c r="Y412" s="628">
        <f>IF(Q412=0,0,(Q412+R412)*'1.0-Contractblad'!$L$98)</f>
        <v>0</v>
      </c>
      <c r="Z412" s="629">
        <f ca="1">IF(J412=0,0,VLOOKUP(D412,'1.1a-Jaarprijzen'!$B$70:$P$124,14,FALSE)*(K412+J412))</f>
        <v>0</v>
      </c>
      <c r="AA412" s="60">
        <f t="shared" si="115"/>
        <v>0</v>
      </c>
      <c r="AC412" s="60" t="str">
        <f t="shared" si="116"/>
        <v>4200-200</v>
      </c>
    </row>
    <row r="413" spans="1:29">
      <c r="A413" s="556"/>
      <c r="B413" s="549"/>
      <c r="C413" s="656">
        <v>1</v>
      </c>
      <c r="D413" s="550" t="s">
        <v>1015</v>
      </c>
      <c r="E413" s="657" t="s">
        <v>1010</v>
      </c>
      <c r="F413" s="645" t="s">
        <v>452</v>
      </c>
      <c r="G413" s="646" t="s">
        <v>989</v>
      </c>
      <c r="H413" s="644" t="str">
        <f t="shared" si="102"/>
        <v>sanitaire ruimte (toilet-/doucheruimte)</v>
      </c>
      <c r="I413" s="716" t="s">
        <v>1009</v>
      </c>
      <c r="J413" s="648">
        <v>5.92</v>
      </c>
      <c r="K413" s="648"/>
      <c r="L413" s="649">
        <v>4200</v>
      </c>
      <c r="M413" s="555">
        <f t="shared" si="106"/>
        <v>104</v>
      </c>
      <c r="N413" s="453"/>
      <c r="O413" s="555">
        <f t="shared" si="107"/>
        <v>200</v>
      </c>
      <c r="P413" s="630">
        <v>1.05</v>
      </c>
      <c r="Q413" s="773">
        <f t="shared" si="108"/>
        <v>0</v>
      </c>
      <c r="R413" s="773">
        <f t="shared" si="109"/>
        <v>0</v>
      </c>
      <c r="S413" s="551">
        <f t="shared" si="110"/>
        <v>0</v>
      </c>
      <c r="T413" s="623">
        <f t="shared" si="103"/>
        <v>0</v>
      </c>
      <c r="U413" s="623">
        <f t="shared" si="104"/>
        <v>0</v>
      </c>
      <c r="V413" s="552">
        <f t="shared" si="105"/>
        <v>0</v>
      </c>
      <c r="W413" s="553" t="str">
        <f t="shared" si="111"/>
        <v>S</v>
      </c>
      <c r="X413" s="554"/>
      <c r="Y413" s="628">
        <f>IF(Q413=0,0,(Q413+R413)*'1.0-Contractblad'!$L$98)</f>
        <v>0</v>
      </c>
      <c r="Z413" s="629">
        <f ca="1">IF(J413=0,0,VLOOKUP(D413,'1.1a-Jaarprijzen'!$B$70:$P$124,14,FALSE)*(K413+J413))</f>
        <v>0</v>
      </c>
      <c r="AA413" s="60">
        <f t="shared" si="115"/>
        <v>0</v>
      </c>
      <c r="AC413" s="60" t="str">
        <f t="shared" si="116"/>
        <v>7200-200</v>
      </c>
    </row>
    <row r="414" spans="1:29">
      <c r="A414" s="556"/>
      <c r="B414" s="549"/>
      <c r="C414" s="656">
        <v>1</v>
      </c>
      <c r="D414" s="550" t="s">
        <v>1015</v>
      </c>
      <c r="E414" s="657" t="s">
        <v>1010</v>
      </c>
      <c r="F414" s="645" t="s">
        <v>453</v>
      </c>
      <c r="G414" s="646" t="s">
        <v>936</v>
      </c>
      <c r="H414" s="644" t="str">
        <f t="shared" si="102"/>
        <v>leslokaal</v>
      </c>
      <c r="I414" s="716" t="s">
        <v>785</v>
      </c>
      <c r="J414" s="648">
        <v>59.93</v>
      </c>
      <c r="K414" s="648"/>
      <c r="L414" s="650">
        <v>7200</v>
      </c>
      <c r="M414" s="555">
        <f t="shared" si="106"/>
        <v>107</v>
      </c>
      <c r="N414" s="453"/>
      <c r="O414" s="555">
        <f t="shared" si="107"/>
        <v>200</v>
      </c>
      <c r="P414" s="630">
        <v>1</v>
      </c>
      <c r="Q414" s="773">
        <f t="shared" si="108"/>
        <v>0</v>
      </c>
      <c r="R414" s="773">
        <f t="shared" si="109"/>
        <v>0</v>
      </c>
      <c r="S414" s="551">
        <f t="shared" si="110"/>
        <v>0</v>
      </c>
      <c r="T414" s="623">
        <f t="shared" si="103"/>
        <v>0</v>
      </c>
      <c r="U414" s="623">
        <f t="shared" si="104"/>
        <v>0</v>
      </c>
      <c r="V414" s="552">
        <f t="shared" si="105"/>
        <v>0</v>
      </c>
      <c r="W414" s="553" t="str">
        <f t="shared" si="111"/>
        <v>L</v>
      </c>
      <c r="X414" s="554"/>
      <c r="Y414" s="628">
        <f>IF(Q414=0,0,(Q414+R414)*'1.0-Contractblad'!$L$98)</f>
        <v>0</v>
      </c>
      <c r="Z414" s="629">
        <f ca="1">IF(J414=0,0,VLOOKUP(D414,'1.1a-Jaarprijzen'!$B$70:$P$124,14,FALSE)*(K414+J414))</f>
        <v>0</v>
      </c>
      <c r="AA414" s="60">
        <f t="shared" si="115"/>
        <v>0</v>
      </c>
      <c r="AC414" s="60" t="str">
        <f t="shared" si="116"/>
        <v>18040-40</v>
      </c>
    </row>
    <row r="415" spans="1:29">
      <c r="A415" s="556"/>
      <c r="B415" s="549"/>
      <c r="C415" s="656">
        <v>1</v>
      </c>
      <c r="D415" s="550" t="s">
        <v>1015</v>
      </c>
      <c r="E415" s="657" t="s">
        <v>1010</v>
      </c>
      <c r="F415" s="645" t="s">
        <v>454</v>
      </c>
      <c r="G415" s="646" t="s">
        <v>306</v>
      </c>
      <c r="H415" s="644" t="str">
        <f t="shared" si="102"/>
        <v>Keuken</v>
      </c>
      <c r="I415" s="716" t="s">
        <v>1009</v>
      </c>
      <c r="J415" s="648">
        <v>60.55</v>
      </c>
      <c r="K415" s="648"/>
      <c r="L415" s="649">
        <v>18040</v>
      </c>
      <c r="M415" s="555" t="str">
        <f t="shared" si="106"/>
        <v>nvt</v>
      </c>
      <c r="N415" s="453"/>
      <c r="O415" s="555">
        <f t="shared" si="107"/>
        <v>40</v>
      </c>
      <c r="P415" s="630">
        <v>1</v>
      </c>
      <c r="Q415" s="773">
        <f t="shared" si="108"/>
        <v>0</v>
      </c>
      <c r="R415" s="773">
        <f t="shared" si="109"/>
        <v>0</v>
      </c>
      <c r="S415" s="551">
        <f t="shared" si="110"/>
        <v>0</v>
      </c>
      <c r="T415" s="623">
        <f t="shared" si="103"/>
        <v>0</v>
      </c>
      <c r="U415" s="623">
        <f t="shared" si="104"/>
        <v>0</v>
      </c>
      <c r="V415" s="552">
        <f t="shared" si="105"/>
        <v>0</v>
      </c>
      <c r="W415" s="553" t="str">
        <f t="shared" si="111"/>
        <v>V</v>
      </c>
      <c r="X415" s="554"/>
      <c r="Y415" s="628">
        <f>IF(Q415=0,0,(Q415+R415)*'1.0-Contractblad'!$L$98)</f>
        <v>0</v>
      </c>
      <c r="Z415" s="629">
        <f ca="1">IF(J415=0,0,VLOOKUP(D415,'1.1a-Jaarprijzen'!$B$70:$P$124,14,FALSE)*(K415+J415))</f>
        <v>0</v>
      </c>
      <c r="AA415" s="60">
        <f t="shared" si="115"/>
        <v>0</v>
      </c>
      <c r="AC415" s="60" t="str">
        <f t="shared" si="116"/>
        <v>11200-200</v>
      </c>
    </row>
    <row r="416" spans="1:29">
      <c r="A416" s="556"/>
      <c r="B416" s="549"/>
      <c r="C416" s="656">
        <v>1</v>
      </c>
      <c r="D416" s="550" t="s">
        <v>1015</v>
      </c>
      <c r="E416" s="657" t="s">
        <v>1010</v>
      </c>
      <c r="F416" s="645" t="s">
        <v>456</v>
      </c>
      <c r="G416" s="646" t="s">
        <v>481</v>
      </c>
      <c r="H416" s="644" t="str">
        <f t="shared" si="102"/>
        <v>kantine, restaurant</v>
      </c>
      <c r="I416" s="716" t="s">
        <v>785</v>
      </c>
      <c r="J416" s="648">
        <v>141.9</v>
      </c>
      <c r="K416" s="648"/>
      <c r="L416" s="649">
        <v>11200</v>
      </c>
      <c r="M416" s="555">
        <f t="shared" si="106"/>
        <v>105</v>
      </c>
      <c r="N416" s="453"/>
      <c r="O416" s="555">
        <f t="shared" si="107"/>
        <v>200</v>
      </c>
      <c r="P416" s="630">
        <v>1</v>
      </c>
      <c r="Q416" s="773">
        <f t="shared" si="108"/>
        <v>0</v>
      </c>
      <c r="R416" s="773">
        <f t="shared" si="109"/>
        <v>0</v>
      </c>
      <c r="S416" s="551">
        <f t="shared" si="110"/>
        <v>0</v>
      </c>
      <c r="T416" s="623">
        <f t="shared" si="103"/>
        <v>0</v>
      </c>
      <c r="U416" s="623">
        <f t="shared" si="104"/>
        <v>0</v>
      </c>
      <c r="V416" s="552">
        <f t="shared" si="105"/>
        <v>0</v>
      </c>
      <c r="W416" s="553" t="str">
        <f t="shared" si="111"/>
        <v>V</v>
      </c>
      <c r="X416" s="554"/>
      <c r="Y416" s="628">
        <f>IF(Q416=0,0,(Q416+R416)*'1.0-Contractblad'!$L$98)</f>
        <v>0</v>
      </c>
      <c r="Z416" s="629">
        <f ca="1">IF(J416=0,0,VLOOKUP(D416,'1.1a-Jaarprijzen'!$B$70:$P$124,14,FALSE)*(K416+J416))</f>
        <v>0</v>
      </c>
      <c r="AA416" s="60">
        <f t="shared" si="115"/>
        <v>0</v>
      </c>
      <c r="AC416" s="60" t="str">
        <f t="shared" si="116"/>
        <v>1200-200</v>
      </c>
    </row>
    <row r="417" spans="1:29">
      <c r="A417" s="556"/>
      <c r="B417" s="549"/>
      <c r="C417" s="656">
        <v>1</v>
      </c>
      <c r="D417" s="550" t="s">
        <v>1015</v>
      </c>
      <c r="E417" s="657" t="s">
        <v>1010</v>
      </c>
      <c r="F417" s="645" t="s">
        <v>457</v>
      </c>
      <c r="G417" s="646" t="s">
        <v>735</v>
      </c>
      <c r="H417" s="644" t="str">
        <f t="shared" si="102"/>
        <v>administratieve -, personeels- en vergaderruimte</v>
      </c>
      <c r="I417" s="716" t="s">
        <v>785</v>
      </c>
      <c r="J417" s="648">
        <v>9.81</v>
      </c>
      <c r="K417" s="648"/>
      <c r="L417" s="649">
        <v>1200</v>
      </c>
      <c r="M417" s="555">
        <f t="shared" si="106"/>
        <v>101</v>
      </c>
      <c r="N417" s="453"/>
      <c r="O417" s="555">
        <f t="shared" si="107"/>
        <v>200</v>
      </c>
      <c r="P417" s="630">
        <v>1</v>
      </c>
      <c r="Q417" s="773">
        <f t="shared" si="108"/>
        <v>0</v>
      </c>
      <c r="R417" s="773">
        <f t="shared" si="109"/>
        <v>0</v>
      </c>
      <c r="S417" s="551">
        <f t="shared" si="110"/>
        <v>0</v>
      </c>
      <c r="T417" s="623">
        <f t="shared" si="103"/>
        <v>0</v>
      </c>
      <c r="U417" s="623">
        <f t="shared" si="104"/>
        <v>0</v>
      </c>
      <c r="V417" s="552">
        <f t="shared" si="105"/>
        <v>0</v>
      </c>
      <c r="W417" s="553" t="str">
        <f t="shared" si="111"/>
        <v>B</v>
      </c>
      <c r="X417" s="554"/>
      <c r="Y417" s="628">
        <f>IF(Q417=0,0,(Q417+R417)*'1.0-Contractblad'!$L$98)</f>
        <v>0</v>
      </c>
      <c r="Z417" s="629">
        <f ca="1">IF(J417=0,0,VLOOKUP(D417,'1.1a-Jaarprijzen'!$B$70:$P$124,14,FALSE)*(K417+J417))</f>
        <v>0</v>
      </c>
      <c r="AA417" s="60">
        <f t="shared" si="115"/>
        <v>0</v>
      </c>
      <c r="AC417" s="60" t="str">
        <f t="shared" si="116"/>
        <v>3200-200</v>
      </c>
    </row>
    <row r="418" spans="1:29">
      <c r="A418" s="556"/>
      <c r="B418" s="549"/>
      <c r="C418" s="656">
        <v>1</v>
      </c>
      <c r="D418" s="550" t="s">
        <v>1015</v>
      </c>
      <c r="E418" s="657" t="s">
        <v>1010</v>
      </c>
      <c r="F418" s="645" t="s">
        <v>458</v>
      </c>
      <c r="G418" s="646" t="s">
        <v>990</v>
      </c>
      <c r="H418" s="644" t="str">
        <f t="shared" si="102"/>
        <v>entree, gang, hal, repro, kopieer, was/droogruimte</v>
      </c>
      <c r="I418" s="716" t="s">
        <v>785</v>
      </c>
      <c r="J418" s="648">
        <v>8.2200000000000006</v>
      </c>
      <c r="K418" s="648"/>
      <c r="L418" s="649">
        <v>3200</v>
      </c>
      <c r="M418" s="555">
        <f t="shared" si="106"/>
        <v>103</v>
      </c>
      <c r="N418" s="453"/>
      <c r="O418" s="555">
        <f t="shared" si="107"/>
        <v>200</v>
      </c>
      <c r="P418" s="630">
        <v>1</v>
      </c>
      <c r="Q418" s="773">
        <f t="shared" si="108"/>
        <v>0</v>
      </c>
      <c r="R418" s="773">
        <f t="shared" si="109"/>
        <v>0</v>
      </c>
      <c r="S418" s="551">
        <f t="shared" si="110"/>
        <v>0</v>
      </c>
      <c r="T418" s="623">
        <f t="shared" si="103"/>
        <v>0</v>
      </c>
      <c r="U418" s="623">
        <f t="shared" si="104"/>
        <v>0</v>
      </c>
      <c r="V418" s="552">
        <f t="shared" si="105"/>
        <v>0</v>
      </c>
      <c r="W418" s="553" t="str">
        <f t="shared" si="111"/>
        <v>V</v>
      </c>
      <c r="X418" s="554"/>
      <c r="Y418" s="628">
        <f>IF(Q418=0,0,(Q418+R418)*'1.0-Contractblad'!$L$98)</f>
        <v>0</v>
      </c>
      <c r="Z418" s="629">
        <f ca="1">IF(J418=0,0,VLOOKUP(D418,'1.1a-Jaarprijzen'!$B$70:$P$124,14,FALSE)*(K418+J418))</f>
        <v>0</v>
      </c>
      <c r="AA418" s="60">
        <f t="shared" si="115"/>
        <v>0</v>
      </c>
      <c r="AC418" s="60" t="str">
        <f t="shared" si="116"/>
        <v>6200-200</v>
      </c>
    </row>
    <row r="419" spans="1:29">
      <c r="A419" s="557"/>
      <c r="B419" s="549"/>
      <c r="C419" s="656">
        <v>1</v>
      </c>
      <c r="D419" s="550" t="s">
        <v>1015</v>
      </c>
      <c r="E419" s="657" t="s">
        <v>1010</v>
      </c>
      <c r="F419" s="645" t="s">
        <v>459</v>
      </c>
      <c r="G419" s="646" t="s">
        <v>991</v>
      </c>
      <c r="H419" s="644" t="str">
        <f t="shared" ref="H419:H439" si="117">IF(L419="","",VLOOKUP(L419,Kengetal,4,FALSE))</f>
        <v>praktijklokaal</v>
      </c>
      <c r="I419" s="716" t="s">
        <v>785</v>
      </c>
      <c r="J419" s="648">
        <v>63.39</v>
      </c>
      <c r="K419" s="648"/>
      <c r="L419" s="649">
        <v>6200</v>
      </c>
      <c r="M419" s="555">
        <f t="shared" si="106"/>
        <v>107</v>
      </c>
      <c r="N419" s="453"/>
      <c r="O419" s="555">
        <f t="shared" si="107"/>
        <v>200</v>
      </c>
      <c r="P419" s="630">
        <v>1</v>
      </c>
      <c r="Q419" s="773">
        <f t="shared" si="108"/>
        <v>0</v>
      </c>
      <c r="R419" s="773">
        <f t="shared" si="109"/>
        <v>0</v>
      </c>
      <c r="S419" s="551">
        <f t="shared" si="110"/>
        <v>0</v>
      </c>
      <c r="T419" s="623">
        <f t="shared" si="103"/>
        <v>0</v>
      </c>
      <c r="U419" s="623">
        <f t="shared" si="104"/>
        <v>0</v>
      </c>
      <c r="V419" s="552">
        <f t="shared" si="105"/>
        <v>0</v>
      </c>
      <c r="W419" s="553" t="str">
        <f t="shared" si="111"/>
        <v>L</v>
      </c>
      <c r="X419" s="554"/>
      <c r="Y419" s="628">
        <f>IF(Q419=0,0,(Q419+R419)*'1.0-Contractblad'!$L$98)</f>
        <v>0</v>
      </c>
      <c r="Z419" s="629">
        <f ca="1">IF(J419=0,0,VLOOKUP(D419,'1.1a-Jaarprijzen'!$B$70:$P$124,14,FALSE)*(K419+J419))</f>
        <v>0</v>
      </c>
      <c r="AA419" s="60">
        <f t="shared" si="115"/>
        <v>0</v>
      </c>
      <c r="AC419" s="60" t="str">
        <f t="shared" si="116"/>
        <v>nvt-0</v>
      </c>
    </row>
    <row r="420" spans="1:29">
      <c r="A420" s="557"/>
      <c r="B420" s="549"/>
      <c r="C420" s="656">
        <v>1</v>
      </c>
      <c r="D420" s="550" t="s">
        <v>1015</v>
      </c>
      <c r="E420" s="657" t="s">
        <v>1010</v>
      </c>
      <c r="F420" s="645" t="s">
        <v>460</v>
      </c>
      <c r="G420" s="646" t="s">
        <v>992</v>
      </c>
      <c r="H420" s="644" t="str">
        <f t="shared" si="117"/>
        <v>niet van toepassing</v>
      </c>
      <c r="I420" s="716" t="s">
        <v>785</v>
      </c>
      <c r="J420" s="648"/>
      <c r="K420" s="648">
        <v>17.97</v>
      </c>
      <c r="L420" s="660" t="s">
        <v>27</v>
      </c>
      <c r="M420" s="555">
        <f t="shared" si="106"/>
        <v>0</v>
      </c>
      <c r="N420" s="453"/>
      <c r="O420" s="555">
        <f t="shared" si="107"/>
        <v>0</v>
      </c>
      <c r="P420" s="630">
        <v>1</v>
      </c>
      <c r="Q420" s="773">
        <f t="shared" si="108"/>
        <v>0</v>
      </c>
      <c r="R420" s="773">
        <f t="shared" si="109"/>
        <v>0</v>
      </c>
      <c r="S420" s="551">
        <f t="shared" si="110"/>
        <v>0</v>
      </c>
      <c r="T420" s="623">
        <f t="shared" ref="T420:T439" si="118">VLOOKUP($L420,Kengetal,6,FALSE)</f>
        <v>0</v>
      </c>
      <c r="U420" s="623">
        <f t="shared" ref="U420:U439" si="119">VLOOKUP($L420,Kengetal,7,FALSE)</f>
        <v>0</v>
      </c>
      <c r="V420" s="552">
        <f t="shared" ref="V420:V439" si="120">VLOOKUP($N420,Kengetal,7,FALSE)</f>
        <v>0</v>
      </c>
      <c r="W420" s="553">
        <f t="shared" si="111"/>
        <v>0</v>
      </c>
      <c r="X420" s="698"/>
      <c r="Y420" s="628">
        <f>IF(Q420=0,0,(Q420+R420)*'1.0-Contractblad'!$L$98)</f>
        <v>0</v>
      </c>
      <c r="Z420" s="629">
        <f>IF(J420=0,0,VLOOKUP(D420,'1.1a-Jaarprijzen'!$B$70:$P$124,14,FALSE)*(K420+J420))</f>
        <v>0</v>
      </c>
      <c r="AA420" s="60">
        <f t="shared" si="115"/>
        <v>0</v>
      </c>
      <c r="AC420" s="60" t="str">
        <f t="shared" si="116"/>
        <v>4200-200</v>
      </c>
    </row>
    <row r="421" spans="1:29">
      <c r="A421" s="557"/>
      <c r="B421" s="549"/>
      <c r="C421" s="656">
        <v>1</v>
      </c>
      <c r="D421" s="550" t="s">
        <v>1015</v>
      </c>
      <c r="E421" s="657" t="s">
        <v>1010</v>
      </c>
      <c r="F421" s="645" t="s">
        <v>461</v>
      </c>
      <c r="G421" s="646" t="s">
        <v>993</v>
      </c>
      <c r="H421" s="644" t="str">
        <f t="shared" si="117"/>
        <v>sanitaire ruimte (toilet-/doucheruimte)</v>
      </c>
      <c r="I421" s="716" t="s">
        <v>785</v>
      </c>
      <c r="J421" s="648">
        <v>5.46</v>
      </c>
      <c r="K421" s="648"/>
      <c r="L421" s="649">
        <v>4200</v>
      </c>
      <c r="M421" s="555">
        <f t="shared" ref="M421:M439" si="121">VLOOKUP(L421,Kengetal,2,FALSE)</f>
        <v>104</v>
      </c>
      <c r="N421" s="453"/>
      <c r="O421" s="555">
        <f t="shared" ref="O421:O439" si="122">VLOOKUP(L421,Kengetal,3,FALSE)</f>
        <v>200</v>
      </c>
      <c r="P421" s="630">
        <v>1.05</v>
      </c>
      <c r="Q421" s="773">
        <f t="shared" ref="Q421:Q439" si="123">T421*J421*P421</f>
        <v>0</v>
      </c>
      <c r="R421" s="773">
        <f t="shared" ref="R421:R439" si="124">U421*J421*P421</f>
        <v>0</v>
      </c>
      <c r="S421" s="551">
        <f t="shared" ref="S421:S439" si="125">V421*J421*P421</f>
        <v>0</v>
      </c>
      <c r="T421" s="623">
        <f t="shared" si="118"/>
        <v>0</v>
      </c>
      <c r="U421" s="623">
        <f t="shared" si="119"/>
        <v>0</v>
      </c>
      <c r="V421" s="552">
        <f t="shared" si="120"/>
        <v>0</v>
      </c>
      <c r="W421" s="553" t="str">
        <f t="shared" ref="W421:W439" si="126">IF(L421="","",VLOOKUP(L421,Kengetal,14,FALSE))</f>
        <v>S</v>
      </c>
      <c r="X421" s="554"/>
      <c r="Y421" s="628">
        <f>IF(Q421=0,0,(Q421+R421)*'1.0-Contractblad'!$L$98)</f>
        <v>0</v>
      </c>
      <c r="Z421" s="629">
        <f ca="1">IF(J421=0,0,VLOOKUP(D421,'1.1a-Jaarprijzen'!$B$70:$P$124,14,FALSE)*(K421+J421))</f>
        <v>0</v>
      </c>
      <c r="AA421" s="60">
        <f t="shared" si="115"/>
        <v>0</v>
      </c>
      <c r="AC421" s="60" t="str">
        <f t="shared" si="116"/>
        <v>nvt-0</v>
      </c>
    </row>
    <row r="422" spans="1:29">
      <c r="A422" s="557"/>
      <c r="B422" s="549"/>
      <c r="C422" s="656">
        <v>1</v>
      </c>
      <c r="D422" s="550" t="s">
        <v>1015</v>
      </c>
      <c r="E422" s="657" t="s">
        <v>1010</v>
      </c>
      <c r="F422" s="645" t="s">
        <v>462</v>
      </c>
      <c r="G422" s="646" t="s">
        <v>937</v>
      </c>
      <c r="H422" s="644" t="str">
        <f t="shared" si="117"/>
        <v>niet van toepassing</v>
      </c>
      <c r="I422" s="716" t="s">
        <v>1009</v>
      </c>
      <c r="J422" s="648"/>
      <c r="K422" s="648">
        <v>6.07</v>
      </c>
      <c r="L422" s="660" t="s">
        <v>27</v>
      </c>
      <c r="M422" s="555">
        <f t="shared" si="121"/>
        <v>0</v>
      </c>
      <c r="N422" s="453"/>
      <c r="O422" s="555">
        <f t="shared" si="122"/>
        <v>0</v>
      </c>
      <c r="P422" s="630">
        <v>1</v>
      </c>
      <c r="Q422" s="773">
        <f t="shared" si="123"/>
        <v>0</v>
      </c>
      <c r="R422" s="773">
        <f t="shared" si="124"/>
        <v>0</v>
      </c>
      <c r="S422" s="551">
        <f t="shared" si="125"/>
        <v>0</v>
      </c>
      <c r="T422" s="623">
        <f t="shared" si="118"/>
        <v>0</v>
      </c>
      <c r="U422" s="623">
        <f t="shared" si="119"/>
        <v>0</v>
      </c>
      <c r="V422" s="552">
        <f t="shared" si="120"/>
        <v>0</v>
      </c>
      <c r="W422" s="553">
        <f t="shared" si="126"/>
        <v>0</v>
      </c>
      <c r="X422" s="698"/>
      <c r="Y422" s="628">
        <f>IF(Q422=0,0,(Q422+R422)*'1.0-Contractblad'!$L$98)</f>
        <v>0</v>
      </c>
      <c r="Z422" s="629">
        <f>IF(J422=0,0,VLOOKUP(D422,'1.1a-Jaarprijzen'!$B$70:$P$124,14,FALSE)*(K422+J422))</f>
        <v>0</v>
      </c>
      <c r="AA422" s="60">
        <f t="shared" si="115"/>
        <v>0</v>
      </c>
      <c r="AC422" s="60" t="str">
        <f t="shared" si="116"/>
        <v>1200-200</v>
      </c>
    </row>
    <row r="423" spans="1:29">
      <c r="A423" s="557"/>
      <c r="B423" s="549"/>
      <c r="C423" s="656">
        <v>1</v>
      </c>
      <c r="D423" s="550" t="s">
        <v>1015</v>
      </c>
      <c r="E423" s="657" t="s">
        <v>1010</v>
      </c>
      <c r="F423" s="645" t="s">
        <v>463</v>
      </c>
      <c r="G423" s="646" t="s">
        <v>796</v>
      </c>
      <c r="H423" s="644" t="str">
        <f t="shared" si="117"/>
        <v>administratieve -, personeels- en vergaderruimte</v>
      </c>
      <c r="I423" s="716" t="s">
        <v>785</v>
      </c>
      <c r="J423" s="648">
        <v>29.95</v>
      </c>
      <c r="K423" s="648"/>
      <c r="L423" s="649">
        <v>1200</v>
      </c>
      <c r="M423" s="555">
        <f t="shared" si="121"/>
        <v>101</v>
      </c>
      <c r="N423" s="453"/>
      <c r="O423" s="555">
        <f t="shared" si="122"/>
        <v>200</v>
      </c>
      <c r="P423" s="630">
        <v>1</v>
      </c>
      <c r="Q423" s="773">
        <f t="shared" si="123"/>
        <v>0</v>
      </c>
      <c r="R423" s="773">
        <f t="shared" si="124"/>
        <v>0</v>
      </c>
      <c r="S423" s="551">
        <f t="shared" si="125"/>
        <v>0</v>
      </c>
      <c r="T423" s="623">
        <f t="shared" si="118"/>
        <v>0</v>
      </c>
      <c r="U423" s="623">
        <f t="shared" si="119"/>
        <v>0</v>
      </c>
      <c r="V423" s="552">
        <f t="shared" si="120"/>
        <v>0</v>
      </c>
      <c r="W423" s="553" t="str">
        <f t="shared" si="126"/>
        <v>B</v>
      </c>
      <c r="X423" s="554"/>
      <c r="Y423" s="628">
        <f>IF(Q423=0,0,(Q423+R423)*'1.0-Contractblad'!$L$98)</f>
        <v>0</v>
      </c>
      <c r="Z423" s="629">
        <f ca="1">IF(J423=0,0,VLOOKUP(D423,'1.1a-Jaarprijzen'!$B$70:$P$124,14,FALSE)*(K423+J423))</f>
        <v>0</v>
      </c>
      <c r="AA423" s="60">
        <f t="shared" si="115"/>
        <v>0</v>
      </c>
      <c r="AC423" s="60" t="str">
        <f t="shared" si="116"/>
        <v>nvt-0</v>
      </c>
    </row>
    <row r="424" spans="1:29">
      <c r="A424" s="557"/>
      <c r="B424" s="549"/>
      <c r="C424" s="656">
        <v>1</v>
      </c>
      <c r="D424" s="550" t="s">
        <v>1015</v>
      </c>
      <c r="E424" s="657" t="s">
        <v>1010</v>
      </c>
      <c r="F424" s="645" t="s">
        <v>465</v>
      </c>
      <c r="G424" s="646" t="s">
        <v>994</v>
      </c>
      <c r="H424" s="644" t="str">
        <f t="shared" si="117"/>
        <v>niet van toepassing</v>
      </c>
      <c r="I424" s="716" t="s">
        <v>785</v>
      </c>
      <c r="J424" s="648"/>
      <c r="K424" s="648">
        <v>5.63</v>
      </c>
      <c r="L424" s="660" t="s">
        <v>27</v>
      </c>
      <c r="M424" s="555">
        <f t="shared" si="121"/>
        <v>0</v>
      </c>
      <c r="N424" s="453"/>
      <c r="O424" s="555">
        <f t="shared" si="122"/>
        <v>0</v>
      </c>
      <c r="P424" s="630">
        <v>1</v>
      </c>
      <c r="Q424" s="773">
        <f t="shared" si="123"/>
        <v>0</v>
      </c>
      <c r="R424" s="773">
        <f t="shared" si="124"/>
        <v>0</v>
      </c>
      <c r="S424" s="551">
        <f t="shared" si="125"/>
        <v>0</v>
      </c>
      <c r="T424" s="623">
        <f t="shared" si="118"/>
        <v>0</v>
      </c>
      <c r="U424" s="623">
        <f t="shared" si="119"/>
        <v>0</v>
      </c>
      <c r="V424" s="552">
        <f t="shared" si="120"/>
        <v>0</v>
      </c>
      <c r="W424" s="553">
        <f t="shared" si="126"/>
        <v>0</v>
      </c>
      <c r="X424" s="698"/>
      <c r="Y424" s="628">
        <f>IF(Q424=0,0,(Q424+R424)*'1.0-Contractblad'!$L$98)</f>
        <v>0</v>
      </c>
      <c r="Z424" s="629">
        <f>IF(J424=0,0,VLOOKUP(D424,'1.1a-Jaarprijzen'!$B$70:$P$124,14,FALSE)*(K424+J424))</f>
        <v>0</v>
      </c>
      <c r="AA424" s="60">
        <f t="shared" si="115"/>
        <v>0</v>
      </c>
      <c r="AC424" s="60" t="str">
        <f t="shared" si="116"/>
        <v>4200-200</v>
      </c>
    </row>
    <row r="425" spans="1:29">
      <c r="A425" s="557"/>
      <c r="B425" s="549"/>
      <c r="C425" s="656">
        <v>1</v>
      </c>
      <c r="D425" s="550" t="s">
        <v>1015</v>
      </c>
      <c r="E425" s="657" t="s">
        <v>1010</v>
      </c>
      <c r="F425" s="645" t="s">
        <v>466</v>
      </c>
      <c r="G425" s="646" t="s">
        <v>995</v>
      </c>
      <c r="H425" s="644" t="str">
        <f t="shared" si="117"/>
        <v>sanitaire ruimte (toilet-/doucheruimte)</v>
      </c>
      <c r="I425" s="716" t="s">
        <v>1009</v>
      </c>
      <c r="J425" s="648">
        <v>1.44</v>
      </c>
      <c r="K425" s="648"/>
      <c r="L425" s="649">
        <v>4200</v>
      </c>
      <c r="M425" s="555">
        <f t="shared" si="121"/>
        <v>104</v>
      </c>
      <c r="N425" s="453"/>
      <c r="O425" s="555">
        <f t="shared" si="122"/>
        <v>200</v>
      </c>
      <c r="P425" s="630">
        <v>1.05</v>
      </c>
      <c r="Q425" s="773">
        <f t="shared" si="123"/>
        <v>0</v>
      </c>
      <c r="R425" s="773">
        <f t="shared" si="124"/>
        <v>0</v>
      </c>
      <c r="S425" s="551">
        <f t="shared" si="125"/>
        <v>0</v>
      </c>
      <c r="T425" s="623">
        <f t="shared" si="118"/>
        <v>0</v>
      </c>
      <c r="U425" s="623">
        <f t="shared" si="119"/>
        <v>0</v>
      </c>
      <c r="V425" s="552">
        <f t="shared" si="120"/>
        <v>0</v>
      </c>
      <c r="W425" s="553" t="str">
        <f t="shared" si="126"/>
        <v>S</v>
      </c>
      <c r="X425" s="554"/>
      <c r="Y425" s="628">
        <f>IF(Q425=0,0,(Q425+R425)*'1.0-Contractblad'!$L$98)</f>
        <v>0</v>
      </c>
      <c r="Z425" s="629">
        <f ca="1">IF(J425=0,0,VLOOKUP(D425,'1.1a-Jaarprijzen'!$B$70:$P$124,14,FALSE)*(K425+J425))</f>
        <v>0</v>
      </c>
      <c r="AA425" s="60">
        <f t="shared" si="115"/>
        <v>0</v>
      </c>
      <c r="AC425" s="60" t="str">
        <f t="shared" si="116"/>
        <v>7200-200</v>
      </c>
    </row>
    <row r="426" spans="1:29">
      <c r="A426" s="557"/>
      <c r="B426" s="549"/>
      <c r="C426" s="656">
        <v>1</v>
      </c>
      <c r="D426" s="550" t="s">
        <v>1015</v>
      </c>
      <c r="E426" s="657" t="s">
        <v>1010</v>
      </c>
      <c r="F426" s="645" t="s">
        <v>467</v>
      </c>
      <c r="G426" s="646" t="s">
        <v>996</v>
      </c>
      <c r="H426" s="644" t="str">
        <f t="shared" si="117"/>
        <v>leslokaal</v>
      </c>
      <c r="I426" s="716" t="s">
        <v>785</v>
      </c>
      <c r="J426" s="648">
        <v>45.19</v>
      </c>
      <c r="K426" s="648"/>
      <c r="L426" s="649">
        <v>7200</v>
      </c>
      <c r="M426" s="555">
        <f t="shared" si="121"/>
        <v>107</v>
      </c>
      <c r="N426" s="453"/>
      <c r="O426" s="555">
        <f t="shared" si="122"/>
        <v>200</v>
      </c>
      <c r="P426" s="630">
        <v>1</v>
      </c>
      <c r="Q426" s="773">
        <f t="shared" si="123"/>
        <v>0</v>
      </c>
      <c r="R426" s="773">
        <f t="shared" si="124"/>
        <v>0</v>
      </c>
      <c r="S426" s="551">
        <f t="shared" si="125"/>
        <v>0</v>
      </c>
      <c r="T426" s="623">
        <f t="shared" si="118"/>
        <v>0</v>
      </c>
      <c r="U426" s="623">
        <f t="shared" si="119"/>
        <v>0</v>
      </c>
      <c r="V426" s="552">
        <f t="shared" si="120"/>
        <v>0</v>
      </c>
      <c r="W426" s="553" t="str">
        <f t="shared" si="126"/>
        <v>L</v>
      </c>
      <c r="X426" s="554"/>
      <c r="Y426" s="628">
        <f>IF(Q426=0,0,(Q426+R426)*'1.0-Contractblad'!$L$98)</f>
        <v>0</v>
      </c>
      <c r="Z426" s="629">
        <f ca="1">IF(J426=0,0,VLOOKUP(D426,'1.1a-Jaarprijzen'!$B$70:$P$124,14,FALSE)*(K426+J426))</f>
        <v>0</v>
      </c>
      <c r="AA426" s="60">
        <f t="shared" si="115"/>
        <v>0</v>
      </c>
      <c r="AC426" s="60" t="str">
        <f t="shared" si="116"/>
        <v>7200-200</v>
      </c>
    </row>
    <row r="427" spans="1:29">
      <c r="A427" s="548"/>
      <c r="B427" s="549"/>
      <c r="C427" s="656">
        <v>1</v>
      </c>
      <c r="D427" s="550" t="s">
        <v>1015</v>
      </c>
      <c r="E427" s="657" t="s">
        <v>1010</v>
      </c>
      <c r="F427" s="645" t="s">
        <v>468</v>
      </c>
      <c r="G427" s="646" t="s">
        <v>997</v>
      </c>
      <c r="H427" s="644" t="str">
        <f t="shared" si="117"/>
        <v>leslokaal</v>
      </c>
      <c r="I427" s="716" t="s">
        <v>785</v>
      </c>
      <c r="J427" s="648">
        <v>45.03</v>
      </c>
      <c r="K427" s="648"/>
      <c r="L427" s="649">
        <v>7200</v>
      </c>
      <c r="M427" s="555">
        <f t="shared" si="121"/>
        <v>107</v>
      </c>
      <c r="N427" s="453"/>
      <c r="O427" s="555">
        <f t="shared" si="122"/>
        <v>200</v>
      </c>
      <c r="P427" s="630">
        <v>1</v>
      </c>
      <c r="Q427" s="773">
        <f t="shared" si="123"/>
        <v>0</v>
      </c>
      <c r="R427" s="773">
        <f t="shared" si="124"/>
        <v>0</v>
      </c>
      <c r="S427" s="551">
        <f t="shared" si="125"/>
        <v>0</v>
      </c>
      <c r="T427" s="623">
        <f t="shared" si="118"/>
        <v>0</v>
      </c>
      <c r="U427" s="623">
        <f t="shared" si="119"/>
        <v>0</v>
      </c>
      <c r="V427" s="552">
        <f t="shared" si="120"/>
        <v>0</v>
      </c>
      <c r="W427" s="553" t="str">
        <f t="shared" si="126"/>
        <v>L</v>
      </c>
      <c r="X427" s="554"/>
      <c r="Y427" s="628">
        <f>IF(Q427=0,0,(Q427+R427)*'1.0-Contractblad'!$L$98)</f>
        <v>0</v>
      </c>
      <c r="Z427" s="629">
        <f ca="1">IF(J427=0,0,VLOOKUP(D427,'1.1a-Jaarprijzen'!$B$70:$P$124,14,FALSE)*(K427+J427))</f>
        <v>0</v>
      </c>
      <c r="AA427" s="60">
        <f t="shared" si="115"/>
        <v>0</v>
      </c>
      <c r="AC427" s="60" t="str">
        <f t="shared" si="116"/>
        <v>3200-200</v>
      </c>
    </row>
    <row r="428" spans="1:29">
      <c r="A428" s="548"/>
      <c r="B428" s="549"/>
      <c r="C428" s="656">
        <v>1</v>
      </c>
      <c r="D428" s="550" t="s">
        <v>1015</v>
      </c>
      <c r="E428" s="657" t="s">
        <v>1010</v>
      </c>
      <c r="F428" s="645" t="s">
        <v>469</v>
      </c>
      <c r="G428" s="646" t="s">
        <v>781</v>
      </c>
      <c r="H428" s="644" t="str">
        <f t="shared" si="117"/>
        <v>entree, gang, hal, repro, kopieer, was/droogruimte</v>
      </c>
      <c r="I428" s="716" t="s">
        <v>785</v>
      </c>
      <c r="J428" s="648">
        <v>80.48</v>
      </c>
      <c r="K428" s="648"/>
      <c r="L428" s="649">
        <v>3200</v>
      </c>
      <c r="M428" s="555">
        <f t="shared" si="121"/>
        <v>103</v>
      </c>
      <c r="N428" s="453"/>
      <c r="O428" s="555">
        <f t="shared" si="122"/>
        <v>200</v>
      </c>
      <c r="P428" s="630">
        <v>1</v>
      </c>
      <c r="Q428" s="773">
        <f t="shared" si="123"/>
        <v>0</v>
      </c>
      <c r="R428" s="773">
        <f t="shared" si="124"/>
        <v>0</v>
      </c>
      <c r="S428" s="551">
        <f t="shared" si="125"/>
        <v>0</v>
      </c>
      <c r="T428" s="623">
        <f t="shared" si="118"/>
        <v>0</v>
      </c>
      <c r="U428" s="623">
        <f t="shared" si="119"/>
        <v>0</v>
      </c>
      <c r="V428" s="552">
        <f t="shared" si="120"/>
        <v>0</v>
      </c>
      <c r="W428" s="553" t="str">
        <f t="shared" si="126"/>
        <v>V</v>
      </c>
      <c r="X428" s="554"/>
      <c r="Y428" s="628">
        <f>IF(Q428=0,0,(Q428+R428)*'1.0-Contractblad'!$L$98)</f>
        <v>0</v>
      </c>
      <c r="Z428" s="629">
        <f ca="1">IF(J428=0,0,VLOOKUP(D428,'1.1a-Jaarprijzen'!$B$70:$P$124,14,FALSE)*(K428+J428))</f>
        <v>0</v>
      </c>
      <c r="AA428" s="60">
        <f t="shared" si="115"/>
        <v>0</v>
      </c>
      <c r="AC428" s="60" t="str">
        <f t="shared" si="116"/>
        <v>7200-200</v>
      </c>
    </row>
    <row r="429" spans="1:29">
      <c r="A429" s="548"/>
      <c r="B429" s="549"/>
      <c r="C429" s="656">
        <v>1</v>
      </c>
      <c r="D429" s="550" t="s">
        <v>1015</v>
      </c>
      <c r="E429" s="657" t="s">
        <v>1010</v>
      </c>
      <c r="F429" s="645" t="s">
        <v>470</v>
      </c>
      <c r="G429" s="646" t="s">
        <v>998</v>
      </c>
      <c r="H429" s="644" t="str">
        <f t="shared" si="117"/>
        <v>leslokaal</v>
      </c>
      <c r="I429" s="716" t="s">
        <v>785</v>
      </c>
      <c r="J429" s="648">
        <v>44.18</v>
      </c>
      <c r="K429" s="648"/>
      <c r="L429" s="649">
        <v>7200</v>
      </c>
      <c r="M429" s="555">
        <f t="shared" si="121"/>
        <v>107</v>
      </c>
      <c r="N429" s="453"/>
      <c r="O429" s="555">
        <f t="shared" si="122"/>
        <v>200</v>
      </c>
      <c r="P429" s="630">
        <v>1</v>
      </c>
      <c r="Q429" s="773">
        <f t="shared" si="123"/>
        <v>0</v>
      </c>
      <c r="R429" s="773">
        <f t="shared" si="124"/>
        <v>0</v>
      </c>
      <c r="S429" s="551">
        <f t="shared" si="125"/>
        <v>0</v>
      </c>
      <c r="T429" s="623">
        <f t="shared" si="118"/>
        <v>0</v>
      </c>
      <c r="U429" s="623">
        <f t="shared" si="119"/>
        <v>0</v>
      </c>
      <c r="V429" s="552">
        <f t="shared" si="120"/>
        <v>0</v>
      </c>
      <c r="W429" s="553" t="str">
        <f t="shared" si="126"/>
        <v>L</v>
      </c>
      <c r="X429" s="554"/>
      <c r="Y429" s="628">
        <f>IF(Q429=0,0,(Q429+R429)*'1.0-Contractblad'!$L$98)</f>
        <v>0</v>
      </c>
      <c r="Z429" s="629">
        <f ca="1">IF(J429=0,0,VLOOKUP(D429,'1.1a-Jaarprijzen'!$B$70:$P$124,14,FALSE)*(K429+J429))</f>
        <v>0</v>
      </c>
      <c r="AA429" s="60">
        <f t="shared" si="115"/>
        <v>0</v>
      </c>
      <c r="AC429" s="60" t="str">
        <f t="shared" si="116"/>
        <v>7200-200</v>
      </c>
    </row>
    <row r="430" spans="1:29">
      <c r="A430" s="548"/>
      <c r="B430" s="549"/>
      <c r="C430" s="656">
        <v>1</v>
      </c>
      <c r="D430" s="550" t="s">
        <v>1015</v>
      </c>
      <c r="E430" s="657" t="s">
        <v>1010</v>
      </c>
      <c r="F430" s="645" t="s">
        <v>471</v>
      </c>
      <c r="G430" s="646" t="s">
        <v>999</v>
      </c>
      <c r="H430" s="644" t="str">
        <f t="shared" si="117"/>
        <v>leslokaal</v>
      </c>
      <c r="I430" s="716" t="s">
        <v>785</v>
      </c>
      <c r="J430" s="648">
        <v>49.06</v>
      </c>
      <c r="K430" s="648"/>
      <c r="L430" s="649">
        <v>7200</v>
      </c>
      <c r="M430" s="555">
        <f t="shared" si="121"/>
        <v>107</v>
      </c>
      <c r="N430" s="453"/>
      <c r="O430" s="555">
        <f t="shared" si="122"/>
        <v>200</v>
      </c>
      <c r="P430" s="630">
        <v>1</v>
      </c>
      <c r="Q430" s="773">
        <f t="shared" si="123"/>
        <v>0</v>
      </c>
      <c r="R430" s="773">
        <f t="shared" si="124"/>
        <v>0</v>
      </c>
      <c r="S430" s="551">
        <f t="shared" si="125"/>
        <v>0</v>
      </c>
      <c r="T430" s="623">
        <f t="shared" si="118"/>
        <v>0</v>
      </c>
      <c r="U430" s="623">
        <f t="shared" si="119"/>
        <v>0</v>
      </c>
      <c r="V430" s="552">
        <f t="shared" si="120"/>
        <v>0</v>
      </c>
      <c r="W430" s="553" t="str">
        <f t="shared" si="126"/>
        <v>L</v>
      </c>
      <c r="X430" s="554"/>
      <c r="Y430" s="628">
        <f>IF(Q430=0,0,(Q430+R430)*'1.0-Contractblad'!$L$98)</f>
        <v>0</v>
      </c>
      <c r="Z430" s="629">
        <f ca="1">IF(J430=0,0,VLOOKUP(D430,'1.1a-Jaarprijzen'!$B$70:$P$124,14,FALSE)*(K430+J430))</f>
        <v>0</v>
      </c>
      <c r="AA430" s="60">
        <f t="shared" si="115"/>
        <v>0</v>
      </c>
      <c r="AC430" s="60" t="str">
        <f t="shared" si="116"/>
        <v>1200-200</v>
      </c>
    </row>
    <row r="431" spans="1:29">
      <c r="A431" s="548"/>
      <c r="B431" s="549"/>
      <c r="C431" s="656">
        <v>1</v>
      </c>
      <c r="D431" s="550" t="s">
        <v>1015</v>
      </c>
      <c r="E431" s="657" t="s">
        <v>1010</v>
      </c>
      <c r="F431" s="645" t="s">
        <v>472</v>
      </c>
      <c r="G431" s="646" t="s">
        <v>887</v>
      </c>
      <c r="H431" s="644" t="str">
        <f t="shared" si="117"/>
        <v>administratieve -, personeels- en vergaderruimte</v>
      </c>
      <c r="I431" s="716" t="s">
        <v>785</v>
      </c>
      <c r="J431" s="648">
        <v>43.72</v>
      </c>
      <c r="K431" s="648"/>
      <c r="L431" s="649">
        <v>1200</v>
      </c>
      <c r="M431" s="555">
        <f t="shared" si="121"/>
        <v>101</v>
      </c>
      <c r="N431" s="453"/>
      <c r="O431" s="555">
        <f t="shared" si="122"/>
        <v>200</v>
      </c>
      <c r="P431" s="630">
        <v>1</v>
      </c>
      <c r="Q431" s="773">
        <f t="shared" si="123"/>
        <v>0</v>
      </c>
      <c r="R431" s="773">
        <f t="shared" si="124"/>
        <v>0</v>
      </c>
      <c r="S431" s="551">
        <f t="shared" si="125"/>
        <v>0</v>
      </c>
      <c r="T431" s="623">
        <f t="shared" si="118"/>
        <v>0</v>
      </c>
      <c r="U431" s="623">
        <f t="shared" si="119"/>
        <v>0</v>
      </c>
      <c r="V431" s="552">
        <f t="shared" si="120"/>
        <v>0</v>
      </c>
      <c r="W431" s="553" t="str">
        <f t="shared" si="126"/>
        <v>B</v>
      </c>
      <c r="X431" s="554"/>
      <c r="Y431" s="628">
        <f>IF(Q431=0,0,(Q431+R431)*'1.0-Contractblad'!$L$98)</f>
        <v>0</v>
      </c>
      <c r="Z431" s="629">
        <f ca="1">IF(J431=0,0,VLOOKUP(D431,'1.1a-Jaarprijzen'!$B$70:$P$124,14,FALSE)*(K431+J431))</f>
        <v>0</v>
      </c>
      <c r="AA431" s="60">
        <f t="shared" si="115"/>
        <v>0</v>
      </c>
      <c r="AC431" s="60" t="str">
        <f t="shared" si="116"/>
        <v>4200-200</v>
      </c>
    </row>
    <row r="432" spans="1:29">
      <c r="A432" s="548"/>
      <c r="B432" s="549"/>
      <c r="C432" s="656">
        <v>1</v>
      </c>
      <c r="D432" s="550" t="s">
        <v>1015</v>
      </c>
      <c r="E432" s="657" t="s">
        <v>1010</v>
      </c>
      <c r="F432" s="645" t="s">
        <v>473</v>
      </c>
      <c r="G432" s="646" t="s">
        <v>995</v>
      </c>
      <c r="H432" s="644" t="str">
        <f t="shared" si="117"/>
        <v>sanitaire ruimte (toilet-/doucheruimte)</v>
      </c>
      <c r="I432" s="716" t="s">
        <v>1009</v>
      </c>
      <c r="J432" s="648">
        <v>4.07</v>
      </c>
      <c r="K432" s="648"/>
      <c r="L432" s="649">
        <v>4200</v>
      </c>
      <c r="M432" s="555">
        <f t="shared" si="121"/>
        <v>104</v>
      </c>
      <c r="N432" s="453"/>
      <c r="O432" s="555">
        <f t="shared" si="122"/>
        <v>200</v>
      </c>
      <c r="P432" s="630">
        <v>1.05</v>
      </c>
      <c r="Q432" s="773">
        <f t="shared" si="123"/>
        <v>0</v>
      </c>
      <c r="R432" s="773">
        <f t="shared" si="124"/>
        <v>0</v>
      </c>
      <c r="S432" s="551">
        <f t="shared" si="125"/>
        <v>0</v>
      </c>
      <c r="T432" s="623">
        <f t="shared" si="118"/>
        <v>0</v>
      </c>
      <c r="U432" s="623">
        <f t="shared" si="119"/>
        <v>0</v>
      </c>
      <c r="V432" s="552">
        <f t="shared" si="120"/>
        <v>0</v>
      </c>
      <c r="W432" s="553" t="str">
        <f t="shared" si="126"/>
        <v>S</v>
      </c>
      <c r="X432" s="554"/>
      <c r="Y432" s="628">
        <f>IF(Q432=0,0,(Q432+R432)*'1.0-Contractblad'!$L$98)</f>
        <v>0</v>
      </c>
      <c r="Z432" s="629">
        <f ca="1">IF(J432=0,0,VLOOKUP(D432,'1.1a-Jaarprijzen'!$B$70:$P$124,14,FALSE)*(K432+J432))</f>
        <v>0</v>
      </c>
      <c r="AA432" s="60">
        <f t="shared" si="115"/>
        <v>0</v>
      </c>
      <c r="AC432" s="60" t="str">
        <f t="shared" si="116"/>
        <v>4200-200</v>
      </c>
    </row>
    <row r="433" spans="1:29">
      <c r="A433" s="548"/>
      <c r="B433" s="549"/>
      <c r="C433" s="656">
        <v>1</v>
      </c>
      <c r="D433" s="550" t="s">
        <v>1015</v>
      </c>
      <c r="E433" s="657" t="s">
        <v>1010</v>
      </c>
      <c r="F433" s="645" t="s">
        <v>474</v>
      </c>
      <c r="G433" s="646" t="s">
        <v>1000</v>
      </c>
      <c r="H433" s="644" t="str">
        <f t="shared" si="117"/>
        <v>sanitaire ruimte (toilet-/doucheruimte)</v>
      </c>
      <c r="I433" s="716" t="s">
        <v>785</v>
      </c>
      <c r="J433" s="648">
        <v>2.1</v>
      </c>
      <c r="K433" s="648"/>
      <c r="L433" s="649">
        <v>4200</v>
      </c>
      <c r="M433" s="555">
        <f t="shared" si="121"/>
        <v>104</v>
      </c>
      <c r="N433" s="453"/>
      <c r="O433" s="555">
        <f t="shared" si="122"/>
        <v>200</v>
      </c>
      <c r="P433" s="630">
        <v>1.05</v>
      </c>
      <c r="Q433" s="773">
        <f t="shared" si="123"/>
        <v>0</v>
      </c>
      <c r="R433" s="773">
        <f t="shared" si="124"/>
        <v>0</v>
      </c>
      <c r="S433" s="551">
        <f t="shared" si="125"/>
        <v>0</v>
      </c>
      <c r="T433" s="623">
        <f t="shared" si="118"/>
        <v>0</v>
      </c>
      <c r="U433" s="623">
        <f t="shared" si="119"/>
        <v>0</v>
      </c>
      <c r="V433" s="552">
        <f t="shared" si="120"/>
        <v>0</v>
      </c>
      <c r="W433" s="553" t="str">
        <f t="shared" si="126"/>
        <v>S</v>
      </c>
      <c r="X433" s="554"/>
      <c r="Y433" s="628">
        <f>IF(Q433=0,0,(Q433+R433)*'1.0-Contractblad'!$L$98)</f>
        <v>0</v>
      </c>
      <c r="Z433" s="629">
        <f ca="1">IF(J433=0,0,VLOOKUP(D433,'1.1a-Jaarprijzen'!$B$70:$P$124,14,FALSE)*(K433+J433))</f>
        <v>0</v>
      </c>
      <c r="AA433" s="60">
        <f t="shared" si="115"/>
        <v>0</v>
      </c>
      <c r="AC433" s="60" t="str">
        <f t="shared" si="116"/>
        <v>3200-200</v>
      </c>
    </row>
    <row r="434" spans="1:29">
      <c r="A434" s="548"/>
      <c r="B434" s="549"/>
      <c r="C434" s="656">
        <v>1</v>
      </c>
      <c r="D434" s="550" t="s">
        <v>1015</v>
      </c>
      <c r="E434" s="657" t="s">
        <v>1010</v>
      </c>
      <c r="F434" s="645" t="s">
        <v>475</v>
      </c>
      <c r="G434" s="646" t="s">
        <v>1001</v>
      </c>
      <c r="H434" s="644" t="str">
        <f t="shared" si="117"/>
        <v>entree, gang, hal, repro, kopieer, was/droogruimte</v>
      </c>
      <c r="I434" s="716" t="s">
        <v>785</v>
      </c>
      <c r="J434" s="648">
        <v>5.78</v>
      </c>
      <c r="K434" s="648"/>
      <c r="L434" s="649">
        <v>3200</v>
      </c>
      <c r="M434" s="555">
        <f t="shared" si="121"/>
        <v>103</v>
      </c>
      <c r="N434" s="453"/>
      <c r="O434" s="555">
        <f t="shared" si="122"/>
        <v>200</v>
      </c>
      <c r="P434" s="630">
        <v>1</v>
      </c>
      <c r="Q434" s="773">
        <f t="shared" si="123"/>
        <v>0</v>
      </c>
      <c r="R434" s="773">
        <f t="shared" si="124"/>
        <v>0</v>
      </c>
      <c r="S434" s="551">
        <f t="shared" si="125"/>
        <v>0</v>
      </c>
      <c r="T434" s="623">
        <f t="shared" si="118"/>
        <v>0</v>
      </c>
      <c r="U434" s="623">
        <f t="shared" si="119"/>
        <v>0</v>
      </c>
      <c r="V434" s="552">
        <f t="shared" si="120"/>
        <v>0</v>
      </c>
      <c r="W434" s="553" t="str">
        <f t="shared" si="126"/>
        <v>V</v>
      </c>
      <c r="X434" s="554"/>
      <c r="Y434" s="628">
        <f>IF(Q434=0,0,(Q434+R434)*'1.0-Contractblad'!$L$98)</f>
        <v>0</v>
      </c>
      <c r="Z434" s="629">
        <f ca="1">IF(J434=0,0,VLOOKUP(D434,'1.1a-Jaarprijzen'!$B$70:$P$124,14,FALSE)*(K434+J434))</f>
        <v>0</v>
      </c>
      <c r="AA434" s="60">
        <f t="shared" si="115"/>
        <v>0</v>
      </c>
      <c r="AC434" s="60" t="str">
        <f t="shared" si="116"/>
        <v>7200-200</v>
      </c>
    </row>
    <row r="435" spans="1:29">
      <c r="A435" s="548"/>
      <c r="B435" s="700"/>
      <c r="C435" s="656">
        <v>1</v>
      </c>
      <c r="D435" s="550" t="s">
        <v>1015</v>
      </c>
      <c r="E435" s="657" t="s">
        <v>1010</v>
      </c>
      <c r="F435" s="645" t="s">
        <v>477</v>
      </c>
      <c r="G435" s="646" t="s">
        <v>1002</v>
      </c>
      <c r="H435" s="644" t="str">
        <f t="shared" si="117"/>
        <v>leslokaal</v>
      </c>
      <c r="I435" s="716" t="s">
        <v>785</v>
      </c>
      <c r="J435" s="648">
        <v>49.49</v>
      </c>
      <c r="K435" s="648"/>
      <c r="L435" s="649">
        <v>7200</v>
      </c>
      <c r="M435" s="555">
        <f t="shared" si="121"/>
        <v>107</v>
      </c>
      <c r="N435" s="453"/>
      <c r="O435" s="555">
        <f t="shared" si="122"/>
        <v>200</v>
      </c>
      <c r="P435" s="630">
        <v>1</v>
      </c>
      <c r="Q435" s="773">
        <f t="shared" si="123"/>
        <v>0</v>
      </c>
      <c r="R435" s="773">
        <f t="shared" si="124"/>
        <v>0</v>
      </c>
      <c r="S435" s="551">
        <f t="shared" si="125"/>
        <v>0</v>
      </c>
      <c r="T435" s="623">
        <f t="shared" si="118"/>
        <v>0</v>
      </c>
      <c r="U435" s="623">
        <f t="shared" si="119"/>
        <v>0</v>
      </c>
      <c r="V435" s="552">
        <f t="shared" si="120"/>
        <v>0</v>
      </c>
      <c r="W435" s="553" t="str">
        <f t="shared" si="126"/>
        <v>L</v>
      </c>
      <c r="X435" s="554"/>
      <c r="Y435" s="628">
        <f>IF(Q435=0,0,(Q435+R435)*'1.0-Contractblad'!$L$98)</f>
        <v>0</v>
      </c>
      <c r="Z435" s="629">
        <f ca="1">IF(J435=0,0,VLOOKUP(D435,'1.1a-Jaarprijzen'!$B$70:$P$124,14,FALSE)*(K435+J435))</f>
        <v>0</v>
      </c>
      <c r="AA435" s="60">
        <f t="shared" si="115"/>
        <v>0</v>
      </c>
      <c r="AC435" s="60" t="str">
        <f t="shared" si="116"/>
        <v>7200-200</v>
      </c>
    </row>
    <row r="436" spans="1:29">
      <c r="A436" s="548"/>
      <c r="B436" s="549"/>
      <c r="C436" s="656">
        <v>1</v>
      </c>
      <c r="D436" s="550" t="s">
        <v>1015</v>
      </c>
      <c r="E436" s="657" t="s">
        <v>1010</v>
      </c>
      <c r="F436" s="645" t="s">
        <v>478</v>
      </c>
      <c r="G436" s="646" t="s">
        <v>1003</v>
      </c>
      <c r="H436" s="644" t="str">
        <f t="shared" si="117"/>
        <v>leslokaal</v>
      </c>
      <c r="I436" s="716" t="s">
        <v>785</v>
      </c>
      <c r="J436" s="648">
        <v>54.54</v>
      </c>
      <c r="K436" s="648"/>
      <c r="L436" s="650">
        <v>7200</v>
      </c>
      <c r="M436" s="555">
        <f t="shared" si="121"/>
        <v>107</v>
      </c>
      <c r="N436" s="453"/>
      <c r="O436" s="555">
        <f t="shared" si="122"/>
        <v>200</v>
      </c>
      <c r="P436" s="630">
        <v>1</v>
      </c>
      <c r="Q436" s="773">
        <f t="shared" si="123"/>
        <v>0</v>
      </c>
      <c r="R436" s="773">
        <f t="shared" si="124"/>
        <v>0</v>
      </c>
      <c r="S436" s="551">
        <f t="shared" si="125"/>
        <v>0</v>
      </c>
      <c r="T436" s="623">
        <f t="shared" si="118"/>
        <v>0</v>
      </c>
      <c r="U436" s="623">
        <f t="shared" si="119"/>
        <v>0</v>
      </c>
      <c r="V436" s="552">
        <f t="shared" si="120"/>
        <v>0</v>
      </c>
      <c r="W436" s="553" t="str">
        <f t="shared" si="126"/>
        <v>L</v>
      </c>
      <c r="X436" s="554"/>
      <c r="Y436" s="628">
        <f>IF(Q436=0,0,(Q436+R436)*'1.0-Contractblad'!$L$98)</f>
        <v>0</v>
      </c>
      <c r="Z436" s="629">
        <f ca="1">IF(J436=0,0,VLOOKUP(D436,'1.1a-Jaarprijzen'!$B$70:$P$124,14,FALSE)*(K436+J436))</f>
        <v>0</v>
      </c>
      <c r="AA436" s="60">
        <f t="shared" si="115"/>
        <v>0</v>
      </c>
      <c r="AC436" s="60" t="str">
        <f t="shared" si="116"/>
        <v>7200-200</v>
      </c>
    </row>
    <row r="437" spans="1:29">
      <c r="A437" s="548"/>
      <c r="B437" s="549"/>
      <c r="C437" s="656">
        <v>1</v>
      </c>
      <c r="D437" s="550" t="s">
        <v>1015</v>
      </c>
      <c r="E437" s="657" t="s">
        <v>1010</v>
      </c>
      <c r="F437" s="645" t="s">
        <v>479</v>
      </c>
      <c r="G437" s="646" t="s">
        <v>1004</v>
      </c>
      <c r="H437" s="644" t="str">
        <f t="shared" si="117"/>
        <v>leslokaal</v>
      </c>
      <c r="I437" s="716" t="s">
        <v>785</v>
      </c>
      <c r="J437" s="648">
        <v>45.83</v>
      </c>
      <c r="K437" s="648"/>
      <c r="L437" s="649">
        <v>7200</v>
      </c>
      <c r="M437" s="555">
        <f t="shared" si="121"/>
        <v>107</v>
      </c>
      <c r="N437" s="453"/>
      <c r="O437" s="555">
        <f t="shared" si="122"/>
        <v>200</v>
      </c>
      <c r="P437" s="630">
        <v>1</v>
      </c>
      <c r="Q437" s="773">
        <f t="shared" si="123"/>
        <v>0</v>
      </c>
      <c r="R437" s="773">
        <f t="shared" si="124"/>
        <v>0</v>
      </c>
      <c r="S437" s="551">
        <f t="shared" si="125"/>
        <v>0</v>
      </c>
      <c r="T437" s="623">
        <f t="shared" si="118"/>
        <v>0</v>
      </c>
      <c r="U437" s="623">
        <f t="shared" si="119"/>
        <v>0</v>
      </c>
      <c r="V437" s="552">
        <f t="shared" si="120"/>
        <v>0</v>
      </c>
      <c r="W437" s="553" t="str">
        <f t="shared" si="126"/>
        <v>L</v>
      </c>
      <c r="X437" s="554"/>
      <c r="Y437" s="628">
        <f>IF(Q437=0,0,(Q437+R437)*'1.0-Contractblad'!$L$98)</f>
        <v>0</v>
      </c>
      <c r="Z437" s="629">
        <f ca="1">IF(J437=0,0,VLOOKUP(D437,'1.1a-Jaarprijzen'!$B$70:$P$124,14,FALSE)*(K437+J437))</f>
        <v>0</v>
      </c>
      <c r="AA437" s="60">
        <f t="shared" si="115"/>
        <v>0</v>
      </c>
      <c r="AC437" s="60" t="str">
        <f t="shared" si="116"/>
        <v>nvt-0</v>
      </c>
    </row>
    <row r="438" spans="1:29">
      <c r="A438" s="548"/>
      <c r="B438" s="549"/>
      <c r="C438" s="656">
        <v>1</v>
      </c>
      <c r="D438" s="550" t="s">
        <v>1015</v>
      </c>
      <c r="E438" s="657" t="s">
        <v>1010</v>
      </c>
      <c r="F438" s="645" t="s">
        <v>884</v>
      </c>
      <c r="G438" s="646" t="s">
        <v>710</v>
      </c>
      <c r="H438" s="644" t="str">
        <f t="shared" si="117"/>
        <v>niet van toepassing</v>
      </c>
      <c r="I438" s="716" t="s">
        <v>785</v>
      </c>
      <c r="J438" s="648"/>
      <c r="K438" s="648">
        <v>18.059999999999999</v>
      </c>
      <c r="L438" s="660" t="s">
        <v>27</v>
      </c>
      <c r="M438" s="555">
        <f t="shared" si="121"/>
        <v>0</v>
      </c>
      <c r="N438" s="453"/>
      <c r="O438" s="555">
        <f t="shared" si="122"/>
        <v>0</v>
      </c>
      <c r="P438" s="630">
        <v>1</v>
      </c>
      <c r="Q438" s="773">
        <f t="shared" si="123"/>
        <v>0</v>
      </c>
      <c r="R438" s="773">
        <f t="shared" si="124"/>
        <v>0</v>
      </c>
      <c r="S438" s="551">
        <f t="shared" si="125"/>
        <v>0</v>
      </c>
      <c r="T438" s="623">
        <f t="shared" si="118"/>
        <v>0</v>
      </c>
      <c r="U438" s="623">
        <f t="shared" si="119"/>
        <v>0</v>
      </c>
      <c r="V438" s="552">
        <f t="shared" si="120"/>
        <v>0</v>
      </c>
      <c r="W438" s="553">
        <f t="shared" si="126"/>
        <v>0</v>
      </c>
      <c r="X438" s="698"/>
      <c r="Y438" s="628">
        <f>IF(Q438=0,0,(Q438+R438)*'1.0-Contractblad'!$L$98)</f>
        <v>0</v>
      </c>
      <c r="Z438" s="629">
        <f>IF(J438=0,0,VLOOKUP(D438,'1.1a-Jaarprijzen'!$B$70:$P$124,14,FALSE)*(K438+J438))</f>
        <v>0</v>
      </c>
      <c r="AA438" s="60">
        <f t="shared" si="115"/>
        <v>0</v>
      </c>
      <c r="AC438" s="60" t="str">
        <f t="shared" si="116"/>
        <v>nvt-0</v>
      </c>
    </row>
    <row r="439" spans="1:29">
      <c r="A439" s="548"/>
      <c r="B439" s="549"/>
      <c r="C439" s="656">
        <v>1</v>
      </c>
      <c r="D439" s="550" t="s">
        <v>1015</v>
      </c>
      <c r="E439" s="657" t="s">
        <v>1010</v>
      </c>
      <c r="F439" s="645" t="s">
        <v>480</v>
      </c>
      <c r="G439" s="646" t="s">
        <v>710</v>
      </c>
      <c r="H439" s="644" t="str">
        <f t="shared" si="117"/>
        <v>niet van toepassing</v>
      </c>
      <c r="I439" s="716" t="s">
        <v>785</v>
      </c>
      <c r="J439" s="648"/>
      <c r="K439" s="648">
        <v>5.93</v>
      </c>
      <c r="L439" s="660" t="s">
        <v>27</v>
      </c>
      <c r="M439" s="555">
        <f t="shared" si="121"/>
        <v>0</v>
      </c>
      <c r="N439" s="453"/>
      <c r="O439" s="555">
        <f t="shared" si="122"/>
        <v>0</v>
      </c>
      <c r="P439" s="630">
        <v>1</v>
      </c>
      <c r="Q439" s="773">
        <f t="shared" si="123"/>
        <v>0</v>
      </c>
      <c r="R439" s="773">
        <f t="shared" si="124"/>
        <v>0</v>
      </c>
      <c r="S439" s="551">
        <f t="shared" si="125"/>
        <v>0</v>
      </c>
      <c r="T439" s="623">
        <f t="shared" si="118"/>
        <v>0</v>
      </c>
      <c r="U439" s="623">
        <f t="shared" si="119"/>
        <v>0</v>
      </c>
      <c r="V439" s="552">
        <f t="shared" si="120"/>
        <v>0</v>
      </c>
      <c r="W439" s="553">
        <f t="shared" si="126"/>
        <v>0</v>
      </c>
      <c r="X439" s="698"/>
      <c r="Y439" s="628">
        <f>IF(Q439=0,0,(Q439+R439)*'1.0-Contractblad'!$L$98)</f>
        <v>0</v>
      </c>
      <c r="Z439" s="629">
        <f>IF(J439=0,0,VLOOKUP(D439,'1.1a-Jaarprijzen'!$B$70:$P$124,14,FALSE)*(K439+J439))</f>
        <v>0</v>
      </c>
      <c r="AA439" s="60" t="e">
        <f>IF(#REF!=8255,#REF!+#REF!,0)</f>
        <v>#REF!</v>
      </c>
      <c r="AC439" s="60" t="e">
        <f>CONCATENATE(#REF!,"-",#REF!)</f>
        <v>#REF!</v>
      </c>
    </row>
    <row r="440" spans="1:29">
      <c r="A440" s="501"/>
      <c r="B440" s="549"/>
      <c r="C440" s="656">
        <v>1</v>
      </c>
      <c r="D440" s="550" t="s">
        <v>1068</v>
      </c>
      <c r="E440" s="657" t="s">
        <v>1010</v>
      </c>
      <c r="F440" s="645" t="s">
        <v>433</v>
      </c>
      <c r="G440" s="646" t="s">
        <v>710</v>
      </c>
      <c r="H440" s="644" t="str">
        <f t="shared" ref="H440:H446" si="127">IF(L440="","",VLOOKUP(L440,Kengetal,4,FALSE))</f>
        <v>niet van toepassing</v>
      </c>
      <c r="I440" s="716" t="s">
        <v>785</v>
      </c>
      <c r="J440" s="648"/>
      <c r="K440" s="648">
        <v>8</v>
      </c>
      <c r="L440" s="660" t="s">
        <v>27</v>
      </c>
      <c r="M440" s="555">
        <f t="shared" ref="M440:M448" si="128">VLOOKUP(L440,Kengetal,2,FALSE)</f>
        <v>0</v>
      </c>
      <c r="N440" s="453"/>
      <c r="O440" s="555">
        <f t="shared" ref="O440:O448" si="129">VLOOKUP(L440,Kengetal,3,FALSE)</f>
        <v>0</v>
      </c>
      <c r="P440" s="630">
        <v>1</v>
      </c>
      <c r="Q440" s="773">
        <f t="shared" ref="Q440:Q448" si="130">T440*J440*P440</f>
        <v>0</v>
      </c>
      <c r="R440" s="773">
        <f t="shared" ref="R440:R448" si="131">U440*J440*P440</f>
        <v>0</v>
      </c>
      <c r="S440" s="551">
        <f t="shared" ref="S440:S448" si="132">V440*J440*P440</f>
        <v>0</v>
      </c>
      <c r="T440" s="623">
        <f t="shared" ref="T440:T447" si="133">VLOOKUP($L440,Kengetal,6,FALSE)</f>
        <v>0</v>
      </c>
      <c r="U440" s="623">
        <f t="shared" ref="U440:U447" si="134">VLOOKUP($L440,Kengetal,7,FALSE)</f>
        <v>0</v>
      </c>
      <c r="V440" s="552">
        <f t="shared" ref="V440:V447" si="135">VLOOKUP($N440,Kengetal,7,FALSE)</f>
        <v>0</v>
      </c>
      <c r="W440" s="553">
        <f t="shared" ref="W440:W448" si="136">IF(L440="","",VLOOKUP(L440,Kengetal,14,FALSE))</f>
        <v>0</v>
      </c>
      <c r="X440" s="698"/>
      <c r="Y440" s="628">
        <f>IF(Q440=0,0,(Q440+R440)*'1.0-Contractblad'!$L$98)</f>
        <v>0</v>
      </c>
      <c r="Z440" s="629">
        <f>IF(J440=0,0,VLOOKUP(D440,'1.1a-Jaarprijzen'!$B$70:$P$124,14,FALSE)*(K440+J440))</f>
        <v>0</v>
      </c>
      <c r="AA440" s="60">
        <f t="shared" ref="AA440:AA453" si="137">IF(L441=8255,Q441+R441,0)</f>
        <v>0</v>
      </c>
      <c r="AC440" s="60" t="str">
        <f t="shared" ref="AC440:AC453" si="138">CONCATENATE(L441,"-",O441)</f>
        <v>3255-255</v>
      </c>
    </row>
    <row r="441" spans="1:29">
      <c r="A441" s="501"/>
      <c r="B441" s="549"/>
      <c r="C441" s="656">
        <v>1</v>
      </c>
      <c r="D441" s="550" t="s">
        <v>1068</v>
      </c>
      <c r="E441" s="657" t="s">
        <v>1010</v>
      </c>
      <c r="F441" s="645" t="s">
        <v>434</v>
      </c>
      <c r="G441" s="646" t="s">
        <v>788</v>
      </c>
      <c r="H441" s="644" t="str">
        <f t="shared" si="127"/>
        <v>entree, gang, hal, repro, kopieer, was/droogruimte</v>
      </c>
      <c r="I441" s="716" t="s">
        <v>804</v>
      </c>
      <c r="J441" s="648">
        <v>14</v>
      </c>
      <c r="K441" s="648"/>
      <c r="L441" s="649">
        <v>3255</v>
      </c>
      <c r="M441" s="555">
        <f t="shared" si="128"/>
        <v>103</v>
      </c>
      <c r="N441" s="453"/>
      <c r="O441" s="555">
        <f t="shared" si="129"/>
        <v>255</v>
      </c>
      <c r="P441" s="630">
        <v>1</v>
      </c>
      <c r="Q441" s="773">
        <f t="shared" si="130"/>
        <v>0</v>
      </c>
      <c r="R441" s="773">
        <f t="shared" si="131"/>
        <v>0</v>
      </c>
      <c r="S441" s="551">
        <f t="shared" si="132"/>
        <v>0</v>
      </c>
      <c r="T441" s="623">
        <f t="shared" si="133"/>
        <v>0</v>
      </c>
      <c r="U441" s="623">
        <f t="shared" si="134"/>
        <v>0</v>
      </c>
      <c r="V441" s="552">
        <f t="shared" si="135"/>
        <v>0</v>
      </c>
      <c r="W441" s="553" t="str">
        <f t="shared" si="136"/>
        <v>V</v>
      </c>
      <c r="X441" s="443"/>
      <c r="Y441" s="628">
        <f>IF(Q441=0,0,(Q441+R441)*'1.0-Contractblad'!$L$98)</f>
        <v>0</v>
      </c>
      <c r="Z441" s="629">
        <f ca="1">IF(J441=0,0,VLOOKUP(D441,'1.1a-Jaarprijzen'!$B$70:$P$124,14,FALSE)*(K441+J441))</f>
        <v>0</v>
      </c>
      <c r="AA441" s="60">
        <f t="shared" si="137"/>
        <v>0</v>
      </c>
      <c r="AC441" s="60" t="str">
        <f t="shared" si="138"/>
        <v>7255-255</v>
      </c>
    </row>
    <row r="442" spans="1:29">
      <c r="A442" s="501"/>
      <c r="B442" s="549"/>
      <c r="C442" s="656">
        <v>1</v>
      </c>
      <c r="D442" s="550" t="s">
        <v>1068</v>
      </c>
      <c r="E442" s="657" t="s">
        <v>1010</v>
      </c>
      <c r="F442" s="645" t="s">
        <v>435</v>
      </c>
      <c r="G442" s="646" t="s">
        <v>1005</v>
      </c>
      <c r="H442" s="644" t="str">
        <f t="shared" si="127"/>
        <v>leslokaal</v>
      </c>
      <c r="I442" s="716" t="s">
        <v>785</v>
      </c>
      <c r="J442" s="648">
        <v>53</v>
      </c>
      <c r="K442" s="648"/>
      <c r="L442" s="650">
        <v>7255</v>
      </c>
      <c r="M442" s="555">
        <f t="shared" si="128"/>
        <v>107</v>
      </c>
      <c r="N442" s="453"/>
      <c r="O442" s="555">
        <f t="shared" si="129"/>
        <v>255</v>
      </c>
      <c r="P442" s="630">
        <v>1</v>
      </c>
      <c r="Q442" s="773">
        <f t="shared" si="130"/>
        <v>0</v>
      </c>
      <c r="R442" s="773">
        <f t="shared" si="131"/>
        <v>0</v>
      </c>
      <c r="S442" s="551">
        <f t="shared" si="132"/>
        <v>0</v>
      </c>
      <c r="T442" s="623">
        <f t="shared" si="133"/>
        <v>0</v>
      </c>
      <c r="U442" s="623">
        <f t="shared" si="134"/>
        <v>0</v>
      </c>
      <c r="V442" s="552">
        <f t="shared" si="135"/>
        <v>0</v>
      </c>
      <c r="W442" s="553" t="str">
        <f t="shared" si="136"/>
        <v>L</v>
      </c>
      <c r="X442" s="443"/>
      <c r="Y442" s="628">
        <f>IF(Q442=0,0,(Q442+R442)*'1.0-Contractblad'!$L$98)</f>
        <v>0</v>
      </c>
      <c r="Z442" s="629">
        <f ca="1">IF(J442=0,0,VLOOKUP(D442,'1.1a-Jaarprijzen'!$B$70:$P$124,14,FALSE)*(K442+J442))</f>
        <v>0</v>
      </c>
      <c r="AA442" s="60">
        <f t="shared" si="137"/>
        <v>0</v>
      </c>
      <c r="AC442" s="60" t="str">
        <f t="shared" si="138"/>
        <v>7255-255</v>
      </c>
    </row>
    <row r="443" spans="1:29">
      <c r="A443" s="501"/>
      <c r="B443" s="549"/>
      <c r="C443" s="656">
        <v>1</v>
      </c>
      <c r="D443" s="550" t="s">
        <v>1068</v>
      </c>
      <c r="E443" s="657" t="s">
        <v>1010</v>
      </c>
      <c r="F443" s="645" t="s">
        <v>436</v>
      </c>
      <c r="G443" s="646" t="s">
        <v>1006</v>
      </c>
      <c r="H443" s="644" t="str">
        <f t="shared" si="127"/>
        <v>leslokaal</v>
      </c>
      <c r="I443" s="716" t="s">
        <v>785</v>
      </c>
      <c r="J443" s="648">
        <v>54</v>
      </c>
      <c r="K443" s="648"/>
      <c r="L443" s="650">
        <v>7255</v>
      </c>
      <c r="M443" s="555">
        <f t="shared" si="128"/>
        <v>107</v>
      </c>
      <c r="N443" s="453"/>
      <c r="O443" s="555">
        <f t="shared" si="129"/>
        <v>255</v>
      </c>
      <c r="P443" s="630">
        <v>1</v>
      </c>
      <c r="Q443" s="773">
        <f t="shared" si="130"/>
        <v>0</v>
      </c>
      <c r="R443" s="773">
        <f t="shared" si="131"/>
        <v>0</v>
      </c>
      <c r="S443" s="551">
        <f t="shared" si="132"/>
        <v>0</v>
      </c>
      <c r="T443" s="623">
        <f t="shared" si="133"/>
        <v>0</v>
      </c>
      <c r="U443" s="623">
        <f t="shared" si="134"/>
        <v>0</v>
      </c>
      <c r="V443" s="552">
        <f t="shared" si="135"/>
        <v>0</v>
      </c>
      <c r="W443" s="553" t="str">
        <f t="shared" si="136"/>
        <v>L</v>
      </c>
      <c r="X443" s="443"/>
      <c r="Y443" s="628">
        <f>IF(Q443=0,0,(Q443+R443)*'1.0-Contractblad'!$L$98)</f>
        <v>0</v>
      </c>
      <c r="Z443" s="629">
        <f ca="1">IF(J443=0,0,VLOOKUP(D443,'1.1a-Jaarprijzen'!$B$70:$P$124,14,FALSE)*(K443+J443))</f>
        <v>0</v>
      </c>
      <c r="AA443" s="60">
        <f t="shared" si="137"/>
        <v>0</v>
      </c>
      <c r="AC443" s="60" t="str">
        <f t="shared" si="138"/>
        <v>7255-255</v>
      </c>
    </row>
    <row r="444" spans="1:29">
      <c r="A444" s="501"/>
      <c r="B444" s="549"/>
      <c r="C444" s="656">
        <v>1</v>
      </c>
      <c r="D444" s="550" t="s">
        <v>1068</v>
      </c>
      <c r="E444" s="657" t="s">
        <v>1010</v>
      </c>
      <c r="F444" s="645" t="s">
        <v>437</v>
      </c>
      <c r="G444" s="646" t="s">
        <v>1007</v>
      </c>
      <c r="H444" s="644" t="str">
        <f t="shared" si="127"/>
        <v>leslokaal</v>
      </c>
      <c r="I444" s="716" t="s">
        <v>785</v>
      </c>
      <c r="J444" s="648">
        <v>52</v>
      </c>
      <c r="K444" s="648"/>
      <c r="L444" s="650">
        <v>7255</v>
      </c>
      <c r="M444" s="555">
        <f t="shared" si="128"/>
        <v>107</v>
      </c>
      <c r="N444" s="453"/>
      <c r="O444" s="555">
        <f t="shared" si="129"/>
        <v>255</v>
      </c>
      <c r="P444" s="630">
        <v>1</v>
      </c>
      <c r="Q444" s="773">
        <f t="shared" si="130"/>
        <v>0</v>
      </c>
      <c r="R444" s="773">
        <f t="shared" si="131"/>
        <v>0</v>
      </c>
      <c r="S444" s="551">
        <f t="shared" si="132"/>
        <v>0</v>
      </c>
      <c r="T444" s="623">
        <f t="shared" si="133"/>
        <v>0</v>
      </c>
      <c r="U444" s="623">
        <f t="shared" si="134"/>
        <v>0</v>
      </c>
      <c r="V444" s="552">
        <f t="shared" si="135"/>
        <v>0</v>
      </c>
      <c r="W444" s="553" t="str">
        <f t="shared" si="136"/>
        <v>L</v>
      </c>
      <c r="X444" s="443"/>
      <c r="Y444" s="628">
        <f>IF(Q444=0,0,(Q444+R444)*'1.0-Contractblad'!$L$98)</f>
        <v>0</v>
      </c>
      <c r="Z444" s="629">
        <f ca="1">IF(J444=0,0,VLOOKUP(D444,'1.1a-Jaarprijzen'!$B$70:$P$124,14,FALSE)*(K444+J444))</f>
        <v>0</v>
      </c>
      <c r="AA444" s="60">
        <f t="shared" si="137"/>
        <v>0</v>
      </c>
      <c r="AC444" s="60" t="str">
        <f t="shared" si="138"/>
        <v>1051-51</v>
      </c>
    </row>
    <row r="445" spans="1:29">
      <c r="A445" s="501"/>
      <c r="B445" s="549"/>
      <c r="C445" s="656">
        <v>1</v>
      </c>
      <c r="D445" s="550" t="s">
        <v>1068</v>
      </c>
      <c r="E445" s="657" t="s">
        <v>1010</v>
      </c>
      <c r="F445" s="645" t="s">
        <v>438</v>
      </c>
      <c r="G445" s="646" t="s">
        <v>787</v>
      </c>
      <c r="H445" s="644" t="str">
        <f t="shared" si="127"/>
        <v>administratieve -, personeels- en vergaderruimte</v>
      </c>
      <c r="I445" s="716" t="s">
        <v>804</v>
      </c>
      <c r="J445" s="648">
        <v>21</v>
      </c>
      <c r="K445" s="648"/>
      <c r="L445" s="649">
        <v>1051</v>
      </c>
      <c r="M445" s="555">
        <f t="shared" si="128"/>
        <v>101</v>
      </c>
      <c r="N445" s="453"/>
      <c r="O445" s="555">
        <f t="shared" si="129"/>
        <v>51</v>
      </c>
      <c r="P445" s="630">
        <v>1</v>
      </c>
      <c r="Q445" s="773">
        <f t="shared" si="130"/>
        <v>0</v>
      </c>
      <c r="R445" s="773">
        <f t="shared" si="131"/>
        <v>0</v>
      </c>
      <c r="S445" s="551">
        <f t="shared" si="132"/>
        <v>0</v>
      </c>
      <c r="T445" s="623">
        <f t="shared" si="133"/>
        <v>0</v>
      </c>
      <c r="U445" s="623">
        <f t="shared" si="134"/>
        <v>0</v>
      </c>
      <c r="V445" s="552">
        <f t="shared" si="135"/>
        <v>0</v>
      </c>
      <c r="W445" s="553" t="str">
        <f t="shared" si="136"/>
        <v>B</v>
      </c>
      <c r="X445" s="443"/>
      <c r="Y445" s="628">
        <f>IF(Q445=0,0,(Q445+R445)*'1.0-Contractblad'!$L$98)</f>
        <v>0</v>
      </c>
      <c r="Z445" s="629">
        <f ca="1">IF(J445=0,0,VLOOKUP(D445,'1.1a-Jaarprijzen'!$B$70:$P$124,14,FALSE)*(K445+J445))</f>
        <v>0</v>
      </c>
      <c r="AA445" s="60">
        <f t="shared" si="137"/>
        <v>0</v>
      </c>
      <c r="AC445" s="60" t="str">
        <f t="shared" si="138"/>
        <v>1051-51</v>
      </c>
    </row>
    <row r="446" spans="1:29">
      <c r="A446" s="501"/>
      <c r="B446" s="549"/>
      <c r="C446" s="656">
        <v>1</v>
      </c>
      <c r="D446" s="550" t="s">
        <v>1068</v>
      </c>
      <c r="E446" s="657" t="s">
        <v>1010</v>
      </c>
      <c r="F446" s="645" t="s">
        <v>439</v>
      </c>
      <c r="G446" s="646" t="s">
        <v>787</v>
      </c>
      <c r="H446" s="644" t="str">
        <f t="shared" si="127"/>
        <v>administratieve -, personeels- en vergaderruimte</v>
      </c>
      <c r="I446" s="716" t="s">
        <v>804</v>
      </c>
      <c r="J446" s="648">
        <v>39</v>
      </c>
      <c r="K446" s="648"/>
      <c r="L446" s="649">
        <v>1051</v>
      </c>
      <c r="M446" s="555">
        <f t="shared" si="128"/>
        <v>101</v>
      </c>
      <c r="N446" s="453"/>
      <c r="O446" s="555">
        <f t="shared" si="129"/>
        <v>51</v>
      </c>
      <c r="P446" s="630">
        <v>1</v>
      </c>
      <c r="Q446" s="773">
        <f t="shared" si="130"/>
        <v>0</v>
      </c>
      <c r="R446" s="773">
        <f t="shared" si="131"/>
        <v>0</v>
      </c>
      <c r="S446" s="551">
        <f t="shared" si="132"/>
        <v>0</v>
      </c>
      <c r="T446" s="623">
        <f t="shared" si="133"/>
        <v>0</v>
      </c>
      <c r="U446" s="623">
        <f t="shared" si="134"/>
        <v>0</v>
      </c>
      <c r="V446" s="552">
        <f t="shared" si="135"/>
        <v>0</v>
      </c>
      <c r="W446" s="553" t="str">
        <f t="shared" si="136"/>
        <v>B</v>
      </c>
      <c r="X446" s="443"/>
      <c r="Y446" s="628">
        <f>IF(Q446=0,0,(Q446+R446)*'1.0-Contractblad'!$L$98)</f>
        <v>0</v>
      </c>
      <c r="Z446" s="629">
        <f ca="1">IF(J446=0,0,VLOOKUP(D446,'1.1a-Jaarprijzen'!$B$70:$P$124,14,FALSE)*(K446+J446))</f>
        <v>0</v>
      </c>
      <c r="AA446" s="60">
        <f t="shared" si="137"/>
        <v>0</v>
      </c>
      <c r="AC446" s="60" t="str">
        <f t="shared" si="138"/>
        <v>nvt-0</v>
      </c>
    </row>
    <row r="447" spans="1:29">
      <c r="A447" s="501"/>
      <c r="B447" s="549"/>
      <c r="C447" s="656">
        <v>1</v>
      </c>
      <c r="D447" s="550" t="s">
        <v>1068</v>
      </c>
      <c r="E447" s="657" t="s">
        <v>1010</v>
      </c>
      <c r="F447" s="645" t="s">
        <v>440</v>
      </c>
      <c r="G447" s="646" t="s">
        <v>787</v>
      </c>
      <c r="H447" s="644" t="str">
        <f t="shared" ref="H447:H454" si="139">IF(L447="","",VLOOKUP(L447,Kengetal,4,FALSE))</f>
        <v>niet van toepassing</v>
      </c>
      <c r="I447" s="716" t="s">
        <v>804</v>
      </c>
      <c r="J447" s="648"/>
      <c r="K447" s="648">
        <v>39</v>
      </c>
      <c r="L447" s="660" t="s">
        <v>27</v>
      </c>
      <c r="M447" s="555">
        <f t="shared" si="128"/>
        <v>0</v>
      </c>
      <c r="N447" s="453"/>
      <c r="O447" s="555">
        <f t="shared" si="129"/>
        <v>0</v>
      </c>
      <c r="P447" s="630">
        <v>1</v>
      </c>
      <c r="Q447" s="773">
        <f t="shared" si="130"/>
        <v>0</v>
      </c>
      <c r="R447" s="773">
        <f t="shared" si="131"/>
        <v>0</v>
      </c>
      <c r="S447" s="551">
        <f t="shared" si="132"/>
        <v>0</v>
      </c>
      <c r="T447" s="623">
        <f t="shared" si="133"/>
        <v>0</v>
      </c>
      <c r="U447" s="623">
        <f t="shared" si="134"/>
        <v>0</v>
      </c>
      <c r="V447" s="552">
        <f t="shared" si="135"/>
        <v>0</v>
      </c>
      <c r="W447" s="553">
        <f t="shared" si="136"/>
        <v>0</v>
      </c>
      <c r="X447" s="698"/>
      <c r="Y447" s="628">
        <f>IF(Q447=0,0,(Q447+R447)*'1.0-Contractblad'!$L$98)</f>
        <v>0</v>
      </c>
      <c r="Z447" s="629">
        <f>IF(J447=0,0,VLOOKUP(D447,'1.1a-Jaarprijzen'!$B$70:$P$124,14,FALSE)*(K447+J447))</f>
        <v>0</v>
      </c>
      <c r="AA447" s="60">
        <f t="shared" si="137"/>
        <v>0</v>
      </c>
      <c r="AC447" s="60" t="str">
        <f t="shared" si="138"/>
        <v>4255-255</v>
      </c>
    </row>
    <row r="448" spans="1:29">
      <c r="A448" s="501"/>
      <c r="B448" s="549"/>
      <c r="C448" s="656">
        <v>1</v>
      </c>
      <c r="D448" s="550" t="s">
        <v>1068</v>
      </c>
      <c r="E448" s="657" t="s">
        <v>1010</v>
      </c>
      <c r="F448" s="645" t="s">
        <v>441</v>
      </c>
      <c r="G448" s="646" t="s">
        <v>797</v>
      </c>
      <c r="H448" s="644" t="str">
        <f t="shared" si="139"/>
        <v>sanitaire ruimte (toilet-/doucheruimte)</v>
      </c>
      <c r="I448" s="716" t="s">
        <v>785</v>
      </c>
      <c r="J448" s="648">
        <v>7</v>
      </c>
      <c r="K448" s="648"/>
      <c r="L448" s="649">
        <v>4255</v>
      </c>
      <c r="M448" s="555">
        <f t="shared" si="128"/>
        <v>104</v>
      </c>
      <c r="N448" s="453"/>
      <c r="O448" s="555">
        <f t="shared" si="129"/>
        <v>255</v>
      </c>
      <c r="P448" s="630">
        <v>1</v>
      </c>
      <c r="Q448" s="773">
        <f t="shared" si="130"/>
        <v>0</v>
      </c>
      <c r="R448" s="773">
        <f t="shared" si="131"/>
        <v>0</v>
      </c>
      <c r="S448" s="551">
        <f t="shared" si="132"/>
        <v>0</v>
      </c>
      <c r="T448" s="623">
        <f t="shared" ref="T448:T454" si="140">VLOOKUP($L448,Kengetal,6,FALSE)</f>
        <v>0</v>
      </c>
      <c r="U448" s="623">
        <f t="shared" ref="U448:U454" si="141">VLOOKUP($L448,Kengetal,7,FALSE)</f>
        <v>0</v>
      </c>
      <c r="V448" s="552">
        <f t="shared" ref="V448:V454" si="142">VLOOKUP($N448,Kengetal,7,FALSE)</f>
        <v>0</v>
      </c>
      <c r="W448" s="553" t="str">
        <f t="shared" si="136"/>
        <v>S</v>
      </c>
      <c r="X448" s="554"/>
      <c r="Y448" s="628">
        <f>IF(Q448=0,0,(Q448+R448)*'1.0-Contractblad'!$L$98)</f>
        <v>0</v>
      </c>
      <c r="Z448" s="629">
        <f ca="1">IF(J448=0,0,VLOOKUP(D448,'1.1a-Jaarprijzen'!$B$70:$P$124,14,FALSE)*(K448+J448))</f>
        <v>0</v>
      </c>
      <c r="AA448" s="60">
        <f t="shared" si="137"/>
        <v>0</v>
      </c>
      <c r="AC448" s="60" t="str">
        <f t="shared" si="138"/>
        <v>3255-255</v>
      </c>
    </row>
    <row r="449" spans="1:29">
      <c r="A449" s="501"/>
      <c r="B449" s="549"/>
      <c r="C449" s="656">
        <v>1</v>
      </c>
      <c r="D449" s="550" t="s">
        <v>1068</v>
      </c>
      <c r="E449" s="657" t="s">
        <v>1010</v>
      </c>
      <c r="F449" s="645" t="s">
        <v>442</v>
      </c>
      <c r="G449" s="646" t="s">
        <v>1008</v>
      </c>
      <c r="H449" s="644" t="str">
        <f t="shared" si="139"/>
        <v>entree, gang, hal, repro, kopieer, was/droogruimte</v>
      </c>
      <c r="I449" s="716" t="s">
        <v>785</v>
      </c>
      <c r="J449" s="648">
        <v>12</v>
      </c>
      <c r="K449" s="648"/>
      <c r="L449" s="649">
        <v>3255</v>
      </c>
      <c r="M449" s="555">
        <f t="shared" ref="M449:M454" si="143">VLOOKUP(L449,Kengetal,2,FALSE)</f>
        <v>103</v>
      </c>
      <c r="N449" s="453"/>
      <c r="O449" s="555">
        <f t="shared" ref="O449:O454" si="144">VLOOKUP(L449,Kengetal,3,FALSE)</f>
        <v>255</v>
      </c>
      <c r="P449" s="630">
        <v>1</v>
      </c>
      <c r="Q449" s="773">
        <f t="shared" ref="Q449:Q454" si="145">T449*J449*P449</f>
        <v>0</v>
      </c>
      <c r="R449" s="773">
        <f t="shared" ref="R449:R454" si="146">U449*J449*P449</f>
        <v>0</v>
      </c>
      <c r="S449" s="551">
        <f t="shared" ref="S449:S454" si="147">V449*J449*P449</f>
        <v>0</v>
      </c>
      <c r="T449" s="623">
        <f t="shared" si="140"/>
        <v>0</v>
      </c>
      <c r="U449" s="623">
        <f t="shared" si="141"/>
        <v>0</v>
      </c>
      <c r="V449" s="552">
        <f t="shared" si="142"/>
        <v>0</v>
      </c>
      <c r="W449" s="553" t="str">
        <f t="shared" ref="W449:W454" si="148">IF(L449="","",VLOOKUP(L449,Kengetal,14,FALSE))</f>
        <v>V</v>
      </c>
      <c r="X449" s="443"/>
      <c r="Y449" s="628">
        <f>IF(Q449=0,0,(Q449+R449)*'1.0-Contractblad'!$L$98)</f>
        <v>0</v>
      </c>
      <c r="Z449" s="629">
        <f ca="1">IF(J449=0,0,VLOOKUP(D449,'1.1a-Jaarprijzen'!$B$70:$P$124,14,FALSE)*(K449+J449))</f>
        <v>0</v>
      </c>
      <c r="AA449" s="60">
        <f t="shared" si="137"/>
        <v>0</v>
      </c>
      <c r="AC449" s="60" t="str">
        <f t="shared" si="138"/>
        <v>4255-255</v>
      </c>
    </row>
    <row r="450" spans="1:29">
      <c r="A450" s="501"/>
      <c r="B450" s="549"/>
      <c r="C450" s="656">
        <v>1</v>
      </c>
      <c r="D450" s="550" t="s">
        <v>1068</v>
      </c>
      <c r="E450" s="657" t="s">
        <v>1010</v>
      </c>
      <c r="F450" s="645" t="s">
        <v>443</v>
      </c>
      <c r="G450" s="646" t="s">
        <v>794</v>
      </c>
      <c r="H450" s="644" t="str">
        <f t="shared" si="139"/>
        <v>sanitaire ruimte (toilet-/doucheruimte)</v>
      </c>
      <c r="I450" s="716" t="s">
        <v>785</v>
      </c>
      <c r="J450" s="648">
        <v>7</v>
      </c>
      <c r="K450" s="648"/>
      <c r="L450" s="658">
        <v>4255</v>
      </c>
      <c r="M450" s="555">
        <f t="shared" si="143"/>
        <v>104</v>
      </c>
      <c r="N450" s="453"/>
      <c r="O450" s="555">
        <f t="shared" si="144"/>
        <v>255</v>
      </c>
      <c r="P450" s="630">
        <v>1</v>
      </c>
      <c r="Q450" s="773">
        <f t="shared" si="145"/>
        <v>0</v>
      </c>
      <c r="R450" s="773">
        <f t="shared" si="146"/>
        <v>0</v>
      </c>
      <c r="S450" s="551">
        <f t="shared" si="147"/>
        <v>0</v>
      </c>
      <c r="T450" s="623">
        <f t="shared" si="140"/>
        <v>0</v>
      </c>
      <c r="U450" s="623">
        <f t="shared" si="141"/>
        <v>0</v>
      </c>
      <c r="V450" s="552">
        <f t="shared" si="142"/>
        <v>0</v>
      </c>
      <c r="W450" s="553" t="str">
        <f t="shared" si="148"/>
        <v>S</v>
      </c>
      <c r="X450" s="554"/>
      <c r="Y450" s="628">
        <f>IF(Q450=0,0,(Q450+R450)*'1.0-Contractblad'!$L$98)</f>
        <v>0</v>
      </c>
      <c r="Z450" s="629">
        <f ca="1">IF(J450=0,0,VLOOKUP(D450,'1.1a-Jaarprijzen'!$B$70:$P$124,14,FALSE)*(K450+J450))</f>
        <v>0</v>
      </c>
      <c r="AA450" s="60">
        <f t="shared" si="137"/>
        <v>0</v>
      </c>
      <c r="AC450" s="60" t="str">
        <f t="shared" si="138"/>
        <v>4255-255</v>
      </c>
    </row>
    <row r="451" spans="1:29">
      <c r="A451" s="501"/>
      <c r="B451" s="549"/>
      <c r="C451" s="656">
        <v>1</v>
      </c>
      <c r="D451" s="550" t="s">
        <v>1068</v>
      </c>
      <c r="E451" s="657" t="s">
        <v>1010</v>
      </c>
      <c r="F451" s="645" t="s">
        <v>444</v>
      </c>
      <c r="G451" s="646" t="s">
        <v>794</v>
      </c>
      <c r="H451" s="644" t="str">
        <f t="shared" si="139"/>
        <v>sanitaire ruimte (toilet-/doucheruimte)</v>
      </c>
      <c r="I451" s="716" t="s">
        <v>785</v>
      </c>
      <c r="J451" s="648">
        <v>7</v>
      </c>
      <c r="K451" s="648"/>
      <c r="L451" s="658">
        <v>4255</v>
      </c>
      <c r="M451" s="555">
        <f t="shared" si="143"/>
        <v>104</v>
      </c>
      <c r="N451" s="453"/>
      <c r="O451" s="555">
        <f t="shared" si="144"/>
        <v>255</v>
      </c>
      <c r="P451" s="630">
        <v>1</v>
      </c>
      <c r="Q451" s="773">
        <f t="shared" si="145"/>
        <v>0</v>
      </c>
      <c r="R451" s="773">
        <f t="shared" si="146"/>
        <v>0</v>
      </c>
      <c r="S451" s="551">
        <f t="shared" si="147"/>
        <v>0</v>
      </c>
      <c r="T451" s="623">
        <f t="shared" si="140"/>
        <v>0</v>
      </c>
      <c r="U451" s="623">
        <f t="shared" si="141"/>
        <v>0</v>
      </c>
      <c r="V451" s="552">
        <f t="shared" si="142"/>
        <v>0</v>
      </c>
      <c r="W451" s="553" t="str">
        <f t="shared" si="148"/>
        <v>S</v>
      </c>
      <c r="X451" s="554"/>
      <c r="Y451" s="628">
        <f>IF(Q451=0,0,(Q451+R451)*'1.0-Contractblad'!$L$98)</f>
        <v>0</v>
      </c>
      <c r="Z451" s="629">
        <f ca="1">IF(J451=0,0,VLOOKUP(D451,'1.1a-Jaarprijzen'!$B$70:$P$124,14,FALSE)*(K451+J451))</f>
        <v>0</v>
      </c>
      <c r="AA451" s="60">
        <f t="shared" si="137"/>
        <v>0</v>
      </c>
      <c r="AC451" s="60" t="str">
        <f t="shared" si="138"/>
        <v>1051-51</v>
      </c>
    </row>
    <row r="452" spans="1:29">
      <c r="A452" s="501"/>
      <c r="B452" s="549"/>
      <c r="C452" s="656">
        <v>1</v>
      </c>
      <c r="D452" s="550" t="s">
        <v>1068</v>
      </c>
      <c r="E452" s="657" t="s">
        <v>1010</v>
      </c>
      <c r="F452" s="645" t="s">
        <v>445</v>
      </c>
      <c r="G452" s="646" t="s">
        <v>709</v>
      </c>
      <c r="H452" s="644" t="str">
        <f t="shared" si="139"/>
        <v>administratieve -, personeels- en vergaderruimte</v>
      </c>
      <c r="I452" s="716" t="s">
        <v>804</v>
      </c>
      <c r="J452" s="648">
        <v>27</v>
      </c>
      <c r="K452" s="648"/>
      <c r="L452" s="649">
        <v>1051</v>
      </c>
      <c r="M452" s="555">
        <f t="shared" si="143"/>
        <v>101</v>
      </c>
      <c r="N452" s="453"/>
      <c r="O452" s="555">
        <f t="shared" si="144"/>
        <v>51</v>
      </c>
      <c r="P452" s="630">
        <v>1</v>
      </c>
      <c r="Q452" s="773">
        <f t="shared" si="145"/>
        <v>0</v>
      </c>
      <c r="R452" s="773">
        <f t="shared" si="146"/>
        <v>0</v>
      </c>
      <c r="S452" s="551">
        <f t="shared" si="147"/>
        <v>0</v>
      </c>
      <c r="T452" s="623">
        <f t="shared" si="140"/>
        <v>0</v>
      </c>
      <c r="U452" s="623">
        <f t="shared" si="141"/>
        <v>0</v>
      </c>
      <c r="V452" s="552">
        <f t="shared" si="142"/>
        <v>0</v>
      </c>
      <c r="W452" s="553" t="str">
        <f t="shared" si="148"/>
        <v>B</v>
      </c>
      <c r="X452" s="443"/>
      <c r="Y452" s="628">
        <f>IF(Q452=0,0,(Q452+R452)*'1.0-Contractblad'!$L$98)</f>
        <v>0</v>
      </c>
      <c r="Z452" s="629">
        <f ca="1">IF(J452=0,0,VLOOKUP(D452,'1.1a-Jaarprijzen'!$B$70:$P$124,14,FALSE)*(K452+J452))</f>
        <v>0</v>
      </c>
      <c r="AA452" s="60">
        <f t="shared" si="137"/>
        <v>0</v>
      </c>
      <c r="AC452" s="60" t="str">
        <f t="shared" si="138"/>
        <v>nvt-0</v>
      </c>
    </row>
    <row r="453" spans="1:29">
      <c r="A453" s="501"/>
      <c r="B453" s="549"/>
      <c r="C453" s="656">
        <v>1</v>
      </c>
      <c r="D453" s="550" t="s">
        <v>1068</v>
      </c>
      <c r="E453" s="657" t="s">
        <v>1010</v>
      </c>
      <c r="F453" s="645" t="s">
        <v>446</v>
      </c>
      <c r="G453" s="646" t="s">
        <v>709</v>
      </c>
      <c r="H453" s="644" t="str">
        <f t="shared" si="139"/>
        <v>niet van toepassing</v>
      </c>
      <c r="I453" s="716" t="s">
        <v>785</v>
      </c>
      <c r="J453" s="648"/>
      <c r="K453" s="648">
        <v>19</v>
      </c>
      <c r="L453" s="660" t="s">
        <v>27</v>
      </c>
      <c r="M453" s="555">
        <f t="shared" si="143"/>
        <v>0</v>
      </c>
      <c r="N453" s="453"/>
      <c r="O453" s="555">
        <f t="shared" si="144"/>
        <v>0</v>
      </c>
      <c r="P453" s="630">
        <v>1</v>
      </c>
      <c r="Q453" s="773">
        <f t="shared" si="145"/>
        <v>0</v>
      </c>
      <c r="R453" s="773">
        <f t="shared" si="146"/>
        <v>0</v>
      </c>
      <c r="S453" s="551">
        <f t="shared" si="147"/>
        <v>0</v>
      </c>
      <c r="T453" s="623">
        <f t="shared" si="140"/>
        <v>0</v>
      </c>
      <c r="U453" s="623">
        <f t="shared" si="141"/>
        <v>0</v>
      </c>
      <c r="V453" s="552">
        <f t="shared" si="142"/>
        <v>0</v>
      </c>
      <c r="W453" s="553">
        <f t="shared" si="148"/>
        <v>0</v>
      </c>
      <c r="X453" s="698"/>
      <c r="Y453" s="628">
        <f>IF(Q453=0,0,(Q453+R453)*'1.0-Contractblad'!$L$98)</f>
        <v>0</v>
      </c>
      <c r="Z453" s="629">
        <f>IF(J453=0,0,VLOOKUP(D453,'1.1a-Jaarprijzen'!$B$70:$P$124,14,FALSE)*(K453+J453))</f>
        <v>0</v>
      </c>
      <c r="AA453" s="60">
        <f t="shared" si="137"/>
        <v>0</v>
      </c>
      <c r="AC453" s="60" t="str">
        <f t="shared" si="138"/>
        <v>3255-255</v>
      </c>
    </row>
    <row r="454" spans="1:29">
      <c r="A454" s="501"/>
      <c r="B454" s="549"/>
      <c r="C454" s="656">
        <v>1</v>
      </c>
      <c r="D454" s="550" t="s">
        <v>1068</v>
      </c>
      <c r="E454" s="657" t="s">
        <v>1010</v>
      </c>
      <c r="F454" s="645" t="s">
        <v>447</v>
      </c>
      <c r="G454" s="646" t="s">
        <v>793</v>
      </c>
      <c r="H454" s="644" t="str">
        <f t="shared" si="139"/>
        <v>entree, gang, hal, repro, kopieer, was/droogruimte</v>
      </c>
      <c r="I454" s="716" t="s">
        <v>785</v>
      </c>
      <c r="J454" s="648">
        <v>87.5</v>
      </c>
      <c r="K454" s="648"/>
      <c r="L454" s="649">
        <v>3255</v>
      </c>
      <c r="M454" s="555">
        <f t="shared" si="143"/>
        <v>103</v>
      </c>
      <c r="N454" s="453"/>
      <c r="O454" s="555">
        <f t="shared" si="144"/>
        <v>255</v>
      </c>
      <c r="P454" s="630">
        <v>1</v>
      </c>
      <c r="Q454" s="773">
        <f t="shared" si="145"/>
        <v>0</v>
      </c>
      <c r="R454" s="773">
        <f t="shared" si="146"/>
        <v>0</v>
      </c>
      <c r="S454" s="551">
        <f t="shared" si="147"/>
        <v>0</v>
      </c>
      <c r="T454" s="623">
        <f t="shared" si="140"/>
        <v>0</v>
      </c>
      <c r="U454" s="623">
        <f t="shared" si="141"/>
        <v>0</v>
      </c>
      <c r="V454" s="552">
        <f t="shared" si="142"/>
        <v>0</v>
      </c>
      <c r="W454" s="553" t="str">
        <f t="shared" si="148"/>
        <v>V</v>
      </c>
      <c r="X454" s="443"/>
      <c r="Y454" s="628">
        <f>IF(Q454=0,0,(Q454+R454)*'1.0-Contractblad'!$L$98)</f>
        <v>0</v>
      </c>
      <c r="Z454" s="629">
        <f ca="1">IF(J454=0,0,VLOOKUP(D454,'1.1a-Jaarprijzen'!$B$70:$P$124,14,FALSE)*(K454+J454))</f>
        <v>0</v>
      </c>
    </row>
  </sheetData>
  <autoFilter ref="A10:Z454">
    <sortState ref="A60:Z198">
      <sortCondition ref="F10:F881"/>
    </sortState>
  </autoFilter>
  <sortState ref="A956:AD1226">
    <sortCondition ref="D956"/>
  </sortState>
  <phoneticPr fontId="17" type="noConversion"/>
  <printOptions gridLinesSet="0"/>
  <pageMargins left="0" right="0" top="0.59" bottom="0.79000000000000015" header="0.39000000000000007" footer="0.2"/>
  <pageSetup paperSize="9" scale="29" pageOrder="overThenDown" orientation="landscape"/>
  <headerFooter>
    <oddHeader>&amp;L&amp;C&amp;R</oddHeader>
    <oddFooter>&amp;L&amp;"Verdana,Regular"&amp;F-&amp;A_x000D_ICCA b.v. ©&amp;R&amp;"Verdana,Regular"printversie &amp;D</oddFooter>
  </headerFooter>
  <colBreaks count="1" manualBreakCount="1">
    <brk id="16383" min="10" max="2547" man="1"/>
  </colBreaks>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45"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23"/>
      <c r="C2" s="323"/>
      <c r="D2" s="323"/>
      <c r="E2" s="204" t="s">
        <v>214</v>
      </c>
      <c r="N2" s="98"/>
      <c r="O2" s="98"/>
      <c r="Q2" s="98"/>
      <c r="R2" s="99"/>
      <c r="S2" s="99"/>
      <c r="T2" s="99"/>
      <c r="U2" s="99"/>
      <c r="V2" s="99"/>
      <c r="W2" s="99"/>
      <c r="X2" s="100"/>
      <c r="Y2" s="101"/>
      <c r="Z2" s="101"/>
    </row>
    <row r="3" spans="1:27" ht="18" customHeight="1">
      <c r="A3" s="92">
        <v>2</v>
      </c>
      <c r="B3" s="323"/>
      <c r="C3" s="323"/>
      <c r="D3" s="323"/>
      <c r="E3" s="206"/>
      <c r="F3" s="103"/>
      <c r="G3" s="104"/>
      <c r="H3" s="102"/>
      <c r="I3" s="105"/>
      <c r="J3" s="93"/>
      <c r="K3" s="106"/>
      <c r="L3" s="106"/>
      <c r="M3" s="107"/>
      <c r="N3" s="107"/>
      <c r="O3" s="107"/>
      <c r="P3" s="446"/>
      <c r="Q3" s="107"/>
      <c r="R3" s="108"/>
      <c r="S3" s="108"/>
      <c r="T3" s="108"/>
      <c r="U3" s="108"/>
      <c r="V3" s="108"/>
      <c r="W3" s="108"/>
      <c r="X3" s="109"/>
      <c r="Y3" s="110"/>
      <c r="Z3" s="110"/>
    </row>
    <row r="4" spans="1:27" ht="18" customHeight="1">
      <c r="A4" s="92">
        <v>3</v>
      </c>
      <c r="B4" s="323"/>
      <c r="C4" s="323"/>
      <c r="D4" s="323"/>
      <c r="E4" s="207" t="str">
        <f>'1.2-Kengetal'!C3</f>
        <v>Naam opdrachtgever</v>
      </c>
      <c r="F4" s="111"/>
      <c r="G4" s="208" t="str">
        <f>'1.2-Kengetal'!F3</f>
        <v>Stichting Altra - Horizon</v>
      </c>
      <c r="I4" s="105"/>
      <c r="J4" s="93"/>
      <c r="K4" s="106"/>
      <c r="L4" s="106"/>
      <c r="M4" s="107"/>
      <c r="N4" s="107"/>
      <c r="O4" s="107"/>
      <c r="P4" s="446"/>
      <c r="Q4" s="107"/>
      <c r="R4" s="108"/>
      <c r="S4" s="108"/>
      <c r="T4" s="108"/>
      <c r="U4" s="108"/>
      <c r="V4" s="108"/>
      <c r="W4" s="108"/>
      <c r="X4" s="109"/>
      <c r="Y4" s="93"/>
      <c r="Z4" s="93"/>
    </row>
    <row r="5" spans="1:27" ht="18" customHeight="1">
      <c r="A5" s="92">
        <v>4</v>
      </c>
      <c r="B5" s="323"/>
      <c r="C5" s="323"/>
      <c r="D5" s="323"/>
      <c r="E5" s="207" t="str">
        <f>'1.2-Kengetal'!C4</f>
        <v>Omschrijving blad</v>
      </c>
      <c r="F5" s="113"/>
      <c r="G5" s="503" t="s">
        <v>372</v>
      </c>
      <c r="I5" s="114"/>
      <c r="J5" s="93"/>
      <c r="K5" s="106"/>
      <c r="L5" s="106"/>
      <c r="M5" s="107"/>
      <c r="N5" s="107"/>
      <c r="O5" s="107"/>
      <c r="P5" s="446"/>
      <c r="Q5" s="107"/>
      <c r="R5" s="108"/>
      <c r="S5" s="108"/>
      <c r="T5" s="108"/>
      <c r="U5" s="108"/>
      <c r="V5" s="108"/>
      <c r="W5" s="108"/>
      <c r="X5" s="109"/>
      <c r="Y5" s="93"/>
      <c r="Z5" s="93"/>
    </row>
    <row r="6" spans="1:27" ht="18" customHeight="1">
      <c r="A6" s="92">
        <v>5</v>
      </c>
      <c r="B6" s="323"/>
      <c r="C6" s="323"/>
      <c r="D6" s="323"/>
      <c r="E6" s="207" t="str">
        <f>'1.2-Kengetal'!C5</f>
        <v>Adres/plaats</v>
      </c>
      <c r="F6" s="111"/>
      <c r="G6" s="208" t="str">
        <f>'1.2-Kengetal'!F5</f>
        <v>Regio Noord Holland</v>
      </c>
      <c r="H6" s="115"/>
      <c r="I6" s="115"/>
      <c r="J6" s="115"/>
      <c r="K6" s="116"/>
      <c r="L6" s="116"/>
      <c r="M6" s="107"/>
      <c r="N6" s="107"/>
      <c r="O6" s="107"/>
      <c r="P6" s="446"/>
      <c r="Q6" s="107"/>
      <c r="R6" s="108"/>
      <c r="S6" s="108"/>
      <c r="T6" s="108"/>
      <c r="U6" s="108"/>
      <c r="V6" s="108"/>
      <c r="W6" s="108"/>
      <c r="X6" s="109"/>
      <c r="Y6" s="93"/>
      <c r="Z6" s="93"/>
    </row>
    <row r="7" spans="1:27" ht="18" customHeight="1">
      <c r="A7" s="92">
        <v>6</v>
      </c>
      <c r="B7" s="323"/>
      <c r="C7" s="323"/>
      <c r="D7" s="323"/>
      <c r="E7" s="207" t="str">
        <f>'1.2-Kengetal'!C6</f>
        <v>Besteknummer</v>
      </c>
      <c r="F7" s="111"/>
      <c r="G7" s="208" t="str">
        <f>'1.2-Kengetal'!F6</f>
        <v>180417 V2</v>
      </c>
      <c r="J7" s="93"/>
      <c r="K7" s="106"/>
      <c r="L7" s="106"/>
      <c r="M7" s="107"/>
      <c r="N7" s="107"/>
      <c r="O7" s="107"/>
      <c r="P7" s="446"/>
      <c r="Q7" s="107"/>
      <c r="R7" s="108"/>
      <c r="S7" s="108"/>
      <c r="T7" s="108"/>
      <c r="U7" s="108"/>
      <c r="V7" s="108"/>
      <c r="W7" s="108"/>
      <c r="X7" s="109"/>
      <c r="Y7" s="93"/>
      <c r="Z7" s="93"/>
    </row>
    <row r="8" spans="1:27" ht="18" customHeight="1">
      <c r="A8" s="92">
        <v>7</v>
      </c>
      <c r="B8" s="323"/>
      <c r="C8" s="323"/>
      <c r="D8" s="323"/>
      <c r="E8" s="207" t="str">
        <f>'1.2-Kengetal'!C7</f>
        <v>Naam leverancier</v>
      </c>
      <c r="F8" s="111"/>
      <c r="G8" s="208" t="str">
        <f>'1.2-Kengetal'!F7</f>
        <v>[NAAM LEVERANCIER]</v>
      </c>
      <c r="I8" s="544">
        <f>Voorblad!$E$15</f>
        <v>42917</v>
      </c>
      <c r="J8" s="93"/>
      <c r="K8" s="106"/>
      <c r="L8" s="106"/>
      <c r="M8" s="107"/>
      <c r="N8" s="107"/>
      <c r="O8" s="107"/>
      <c r="P8" s="446"/>
      <c r="Q8" s="107"/>
      <c r="R8" s="108"/>
      <c r="S8" s="108"/>
      <c r="T8" s="108"/>
      <c r="U8" s="108"/>
      <c r="V8" s="108"/>
      <c r="W8" s="108"/>
      <c r="X8" s="109"/>
      <c r="Y8" s="93"/>
      <c r="Z8" s="93"/>
    </row>
    <row r="9" spans="1:27">
      <c r="A9" s="92">
        <v>8</v>
      </c>
      <c r="B9" s="323"/>
      <c r="C9" s="323"/>
      <c r="D9" s="323"/>
      <c r="E9" s="206"/>
      <c r="F9" s="103"/>
      <c r="G9" s="104"/>
      <c r="H9" s="102"/>
      <c r="I9" s="105"/>
      <c r="J9" s="93"/>
      <c r="K9" s="106"/>
      <c r="L9" s="106"/>
      <c r="M9" s="107"/>
      <c r="N9" s="107"/>
      <c r="O9" s="107"/>
      <c r="P9" s="446"/>
      <c r="Q9" s="107"/>
      <c r="R9" s="108"/>
      <c r="S9" s="108"/>
      <c r="T9" s="108"/>
      <c r="U9" s="108"/>
      <c r="V9" s="108"/>
      <c r="W9" s="108"/>
      <c r="X9" s="109"/>
      <c r="Y9" s="110"/>
      <c r="Z9" s="110"/>
    </row>
    <row r="10" spans="1:27" s="333" customFormat="1" ht="42" customHeight="1">
      <c r="A10" s="326">
        <v>9</v>
      </c>
      <c r="B10" s="267" t="s">
        <v>367</v>
      </c>
      <c r="C10" s="267" t="s">
        <v>368</v>
      </c>
      <c r="D10" s="267" t="s">
        <v>269</v>
      </c>
      <c r="E10" s="267" t="s">
        <v>206</v>
      </c>
      <c r="F10" s="271" t="s">
        <v>39</v>
      </c>
      <c r="G10" s="327" t="s">
        <v>50</v>
      </c>
      <c r="H10" s="267" t="s">
        <v>227</v>
      </c>
      <c r="I10" s="328" t="s">
        <v>91</v>
      </c>
      <c r="J10" s="329" t="s">
        <v>180</v>
      </c>
      <c r="K10" s="312" t="s">
        <v>142</v>
      </c>
      <c r="L10" s="312" t="s">
        <v>80</v>
      </c>
      <c r="M10" s="452" t="s">
        <v>311</v>
      </c>
      <c r="N10" s="330" t="s">
        <v>324</v>
      </c>
      <c r="O10" s="330" t="s">
        <v>325</v>
      </c>
      <c r="P10" s="331" t="s">
        <v>38</v>
      </c>
      <c r="Q10" s="330" t="s">
        <v>241</v>
      </c>
      <c r="R10" s="331" t="s">
        <v>81</v>
      </c>
      <c r="S10" s="331" t="s">
        <v>314</v>
      </c>
      <c r="T10" s="331" t="s">
        <v>326</v>
      </c>
      <c r="U10" s="332" t="s">
        <v>313</v>
      </c>
      <c r="V10" s="331" t="s">
        <v>312</v>
      </c>
      <c r="W10" s="331" t="s">
        <v>327</v>
      </c>
      <c r="X10" s="267" t="s">
        <v>122</v>
      </c>
      <c r="Y10" s="329" t="s">
        <v>0</v>
      </c>
      <c r="Z10" s="329" t="s">
        <v>87</v>
      </c>
    </row>
    <row r="11" spans="1:27">
      <c r="A11" s="92"/>
      <c r="B11" s="501"/>
      <c r="C11" s="546"/>
      <c r="D11" s="499"/>
      <c r="E11" s="432"/>
      <c r="F11" s="433"/>
      <c r="G11" s="434"/>
      <c r="H11" s="435"/>
      <c r="I11" s="436"/>
      <c r="J11" s="435"/>
      <c r="K11" s="437"/>
      <c r="L11" s="437"/>
      <c r="M11" s="453"/>
      <c r="N11" s="438"/>
      <c r="O11" s="438"/>
      <c r="P11" s="439"/>
      <c r="Q11" s="440"/>
      <c r="R11" s="324"/>
      <c r="S11" s="324"/>
      <c r="T11" s="325"/>
      <c r="U11" s="325"/>
      <c r="V11" s="442"/>
      <c r="W11" s="443"/>
      <c r="X11" s="442"/>
      <c r="Y11" s="522"/>
      <c r="Z11" s="522"/>
      <c r="AA11" s="521"/>
    </row>
    <row r="12" spans="1:27">
      <c r="A12" s="92"/>
      <c r="B12" s="501"/>
      <c r="C12" s="546"/>
      <c r="D12" s="499"/>
      <c r="E12" s="432"/>
      <c r="F12" s="433"/>
      <c r="G12" s="434"/>
      <c r="H12" s="435"/>
      <c r="I12" s="436"/>
      <c r="J12" s="435"/>
      <c r="K12" s="437"/>
      <c r="L12" s="437"/>
      <c r="M12" s="453"/>
      <c r="N12" s="438"/>
      <c r="O12" s="438"/>
      <c r="P12" s="439"/>
      <c r="Q12" s="440"/>
      <c r="R12" s="324"/>
      <c r="S12" s="324"/>
      <c r="T12" s="325"/>
      <c r="U12" s="325"/>
      <c r="V12" s="442"/>
      <c r="W12" s="443"/>
      <c r="X12" s="442"/>
      <c r="Y12" s="522"/>
      <c r="Z12" s="522"/>
      <c r="AA12" s="521"/>
    </row>
    <row r="13" spans="1:27">
      <c r="A13" s="92"/>
      <c r="B13" s="501"/>
      <c r="C13" s="546"/>
      <c r="D13" s="499"/>
      <c r="E13" s="432"/>
      <c r="F13" s="433"/>
      <c r="G13" s="434"/>
      <c r="H13" s="435"/>
      <c r="I13" s="436"/>
      <c r="J13" s="435"/>
      <c r="K13" s="437"/>
      <c r="L13" s="437"/>
      <c r="M13" s="453"/>
      <c r="N13" s="438"/>
      <c r="O13" s="438"/>
      <c r="P13" s="439"/>
      <c r="Q13" s="440"/>
      <c r="R13" s="324"/>
      <c r="S13" s="324"/>
      <c r="T13" s="325"/>
      <c r="U13" s="325"/>
      <c r="V13" s="442"/>
      <c r="W13" s="443"/>
      <c r="X13" s="442"/>
      <c r="Y13" s="522"/>
      <c r="Z13" s="522"/>
      <c r="AA13" s="521"/>
    </row>
    <row r="14" spans="1:27">
      <c r="A14" s="92"/>
      <c r="B14" s="501"/>
      <c r="C14" s="546"/>
      <c r="D14" s="499"/>
      <c r="E14" s="432"/>
      <c r="F14" s="433"/>
      <c r="G14" s="434"/>
      <c r="H14" s="435"/>
      <c r="I14" s="436"/>
      <c r="J14" s="435"/>
      <c r="K14" s="437"/>
      <c r="L14" s="437"/>
      <c r="M14" s="453"/>
      <c r="N14" s="438"/>
      <c r="O14" s="438"/>
      <c r="P14" s="439"/>
      <c r="Q14" s="440"/>
      <c r="R14" s="324"/>
      <c r="S14" s="324"/>
      <c r="T14" s="325"/>
      <c r="U14" s="325"/>
      <c r="V14" s="442"/>
      <c r="W14" s="443"/>
      <c r="X14" s="442"/>
      <c r="Y14" s="522"/>
      <c r="Z14" s="522"/>
      <c r="AA14" s="521"/>
    </row>
    <row r="15" spans="1:27">
      <c r="A15" s="92"/>
      <c r="B15" s="501"/>
      <c r="C15" s="546"/>
      <c r="D15" s="499"/>
      <c r="E15" s="432"/>
      <c r="F15" s="433"/>
      <c r="G15" s="434"/>
      <c r="H15" s="435"/>
      <c r="I15" s="436"/>
      <c r="J15" s="435"/>
      <c r="K15" s="437"/>
      <c r="L15" s="437"/>
      <c r="M15" s="454"/>
      <c r="N15" s="438"/>
      <c r="O15" s="438"/>
      <c r="P15" s="439"/>
      <c r="Q15" s="440"/>
      <c r="R15" s="324"/>
      <c r="S15" s="324"/>
      <c r="T15" s="325"/>
      <c r="U15" s="325"/>
      <c r="V15" s="442"/>
      <c r="W15" s="443"/>
      <c r="X15" s="442"/>
      <c r="Y15" s="522"/>
      <c r="Z15" s="522"/>
      <c r="AA15" s="521"/>
    </row>
    <row r="16" spans="1:27">
      <c r="A16" s="92"/>
      <c r="B16" s="501"/>
      <c r="C16" s="546"/>
      <c r="D16" s="499"/>
      <c r="E16" s="432"/>
      <c r="F16" s="433"/>
      <c r="G16" s="434"/>
      <c r="H16" s="435"/>
      <c r="I16" s="436"/>
      <c r="J16" s="435"/>
      <c r="K16" s="437"/>
      <c r="L16" s="437"/>
      <c r="M16" s="453"/>
      <c r="N16" s="438"/>
      <c r="O16" s="438"/>
      <c r="P16" s="439"/>
      <c r="Q16" s="440"/>
      <c r="R16" s="324"/>
      <c r="S16" s="324"/>
      <c r="T16" s="325"/>
      <c r="U16" s="325"/>
      <c r="V16" s="442"/>
      <c r="W16" s="443"/>
      <c r="X16" s="442"/>
      <c r="Y16" s="522"/>
      <c r="Z16" s="522"/>
      <c r="AA16" s="521"/>
    </row>
    <row r="17" spans="1:27">
      <c r="A17" s="92"/>
      <c r="B17" s="501"/>
      <c r="C17" s="546"/>
      <c r="D17" s="499"/>
      <c r="E17" s="432"/>
      <c r="F17" s="433"/>
      <c r="G17" s="434"/>
      <c r="H17" s="435"/>
      <c r="I17" s="436"/>
      <c r="J17" s="435"/>
      <c r="K17" s="437"/>
      <c r="L17" s="437"/>
      <c r="M17" s="453"/>
      <c r="N17" s="438"/>
      <c r="O17" s="438"/>
      <c r="P17" s="439"/>
      <c r="Q17" s="440"/>
      <c r="R17" s="324"/>
      <c r="S17" s="324"/>
      <c r="T17" s="325"/>
      <c r="U17" s="325"/>
      <c r="V17" s="442"/>
      <c r="W17" s="443"/>
      <c r="X17" s="442"/>
      <c r="Y17" s="522"/>
      <c r="Z17" s="522"/>
      <c r="AA17" s="521"/>
    </row>
    <row r="18" spans="1:27">
      <c r="A18" s="92"/>
      <c r="B18" s="501"/>
      <c r="C18" s="546"/>
      <c r="D18" s="499"/>
      <c r="E18" s="432"/>
      <c r="F18" s="433"/>
      <c r="G18" s="434"/>
      <c r="H18" s="435"/>
      <c r="I18" s="436"/>
      <c r="J18" s="435"/>
      <c r="K18" s="437"/>
      <c r="L18" s="437"/>
      <c r="M18" s="453"/>
      <c r="N18" s="438"/>
      <c r="O18" s="438"/>
      <c r="P18" s="439"/>
      <c r="Q18" s="440"/>
      <c r="R18" s="324"/>
      <c r="S18" s="324"/>
      <c r="T18" s="325"/>
      <c r="U18" s="325"/>
      <c r="V18" s="442"/>
      <c r="W18" s="443"/>
      <c r="X18" s="442"/>
      <c r="Y18" s="522"/>
      <c r="Z18" s="522"/>
      <c r="AA18" s="521"/>
    </row>
    <row r="19" spans="1:27">
      <c r="A19" s="92"/>
      <c r="B19" s="500"/>
      <c r="C19" s="502"/>
      <c r="D19" s="499"/>
      <c r="E19" s="432"/>
      <c r="F19" s="433"/>
      <c r="G19" s="434"/>
      <c r="H19" s="435"/>
      <c r="I19" s="436"/>
      <c r="J19" s="435"/>
      <c r="K19" s="437"/>
      <c r="L19" s="437"/>
      <c r="M19" s="453"/>
      <c r="N19" s="438"/>
      <c r="O19" s="438"/>
      <c r="P19" s="439"/>
      <c r="Q19" s="440"/>
      <c r="R19" s="324"/>
      <c r="S19" s="324"/>
      <c r="T19" s="324"/>
      <c r="U19" s="325"/>
      <c r="V19" s="325"/>
      <c r="W19" s="441"/>
      <c r="X19" s="325"/>
      <c r="Y19" s="443"/>
      <c r="Z19" s="444"/>
    </row>
    <row r="20" spans="1:27">
      <c r="A20" s="92"/>
      <c r="B20" s="500"/>
      <c r="C20" s="502"/>
      <c r="D20" s="499"/>
      <c r="E20" s="432"/>
      <c r="F20" s="433"/>
      <c r="G20" s="434"/>
      <c r="H20" s="435"/>
      <c r="I20" s="436"/>
      <c r="J20" s="435"/>
      <c r="K20" s="437"/>
      <c r="L20" s="437"/>
      <c r="M20" s="453"/>
      <c r="N20" s="438"/>
      <c r="O20" s="438"/>
      <c r="P20" s="439"/>
      <c r="Q20" s="440"/>
      <c r="R20" s="324"/>
      <c r="S20" s="324"/>
      <c r="T20" s="324"/>
      <c r="U20" s="325"/>
      <c r="V20" s="325"/>
      <c r="W20" s="441"/>
      <c r="X20" s="325"/>
      <c r="Y20" s="443"/>
      <c r="Z20" s="444"/>
    </row>
  </sheetData>
  <autoFilter ref="D10:Z20"/>
  <phoneticPr fontId="17"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2017-04-05T10:08:17Z</cp:lastPrinted>
  <dcterms:created xsi:type="dcterms:W3CDTF">1999-10-05T12:28:40Z</dcterms:created>
  <dcterms:modified xsi:type="dcterms:W3CDTF">2017-07-11T11:10:03Z</dcterms:modified>
</cp:coreProperties>
</file>