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showInkAnnotation="0" codeName="ThisWorkbook" autoCompressPictures="0"/>
  <bookViews>
    <workbookView xWindow="560" yWindow="560" windowWidth="31640" windowHeight="21060" tabRatio="1000" firstSheet="1" activeTab="2"/>
  </bookViews>
  <sheets>
    <sheet name="Info blad" sheetId="11" state="hidden" r:id="rId1"/>
    <sheet name="Toelichting Calculatiemodel" sheetId="42" r:id="rId2"/>
    <sheet name="Voorblad" sheetId="33" r:id="rId3"/>
    <sheet name="Uitleg calculatiemodule" sheetId="34" state="hidden" r:id="rId4"/>
    <sheet name="1.0-Contractblad" sheetId="31" r:id="rId5"/>
    <sheet name="1.1a-Jaarprijzen" sheetId="28" r:id="rId6"/>
    <sheet name="1.2-Kengetal" sheetId="1" r:id="rId7"/>
    <sheet name="1.3-Basis ruimtestaat" sheetId="2" r:id="rId8"/>
    <sheet name="1.3a-Mutaties" sheetId="39" state="hidden" r:id="rId9"/>
    <sheet name="1.4-Premies en opslagen" sheetId="29" r:id="rId10"/>
    <sheet name="1.5 Opbouw uurtarieven" sheetId="32" r:id="rId11"/>
    <sheet name="1.6-Machine-investeringskosten" sheetId="10" r:id="rId12"/>
    <sheet name="1.8-Afroepprijs" sheetId="5" r:id="rId13"/>
    <sheet name="1.9-Glasbewassing" sheetId="35" r:id="rId14"/>
  </sheets>
  <externalReferences>
    <externalReference r:id="rId15"/>
    <externalReference r:id="rId16"/>
    <externalReference r:id="rId17"/>
  </externalReferences>
  <definedNames>
    <definedName name="_1F" localSheetId="13" hidden="1">[1]Blad1!#REF!</definedName>
    <definedName name="_2F" localSheetId="8" hidden="1">[1]Blad1!#REF!</definedName>
    <definedName name="_2F" hidden="1">[1]Blad1!#REF!</definedName>
    <definedName name="_Fill" localSheetId="8" hidden="1">'[2]#REF'!#REF!</definedName>
    <definedName name="_Fill" localSheetId="13" hidden="1">'[2]#REF'!#REF!</definedName>
    <definedName name="_Fill" hidden="1">'[2]#REF'!#REF!</definedName>
    <definedName name="_xlnm._FilterDatabase" localSheetId="5" hidden="1">'1.1a-Jaarprijzen'!$B$10:$M$63</definedName>
    <definedName name="_xlnm._FilterDatabase" localSheetId="6" hidden="1">'1.2-Kengetal'!$C$9:$P$101</definedName>
    <definedName name="_xlnm._FilterDatabase" localSheetId="7" hidden="1">'1.3-Basis ruimtestaat'!$A$10:$Z$825</definedName>
    <definedName name="_xlnm._FilterDatabase" localSheetId="8" hidden="1">'1.3a-Mutaties'!$D$10:$Z$20</definedName>
    <definedName name="_xlnm._FilterDatabase" localSheetId="13" hidden="1">'1.9-Glasbewassing'!$B$15:$D$77</definedName>
    <definedName name="_Key1" localSheetId="8" hidden="1">'[2]#REF'!#REF!</definedName>
    <definedName name="_Key1" localSheetId="13" hidden="1">'[2]#REF'!#REF!</definedName>
    <definedName name="_Key1" hidden="1">'[2]#REF'!#REF!</definedName>
    <definedName name="_Key2" localSheetId="13" hidden="1">#REF!</definedName>
    <definedName name="_Key2" hidden="1">#REF!</definedName>
    <definedName name="_Order1" hidden="1">255</definedName>
    <definedName name="_Order2" hidden="1">255</definedName>
    <definedName name="_Sort" localSheetId="13" hidden="1">#REF!</definedName>
    <definedName name="_Sort" hidden="1">#REF!</definedName>
    <definedName name="_xlnm.Print_Area" localSheetId="4">'1.0-Contractblad'!$C$10:$J$156</definedName>
    <definedName name="_xlnm.Print_Area" localSheetId="5">'1.1a-Jaarprijzen'!$B$10:$N$147</definedName>
    <definedName name="_xlnm.Print_Area" localSheetId="6">'1.2-Kengetal'!$C$10:$AC$104</definedName>
    <definedName name="_xlnm.Print_Area" localSheetId="7">'1.3-Basis ruimtestaat'!$D$11:$XFD$825</definedName>
    <definedName name="_xlnm.Print_Area" localSheetId="8">'1.3a-Mutaties'!$E$11:$Z$20</definedName>
    <definedName name="_xlnm.Print_Area" localSheetId="9">'1.4-Premies en opslagen'!$B$1:$G$69</definedName>
    <definedName name="_xlnm.Print_Area" localSheetId="10">'1.5 Opbouw uurtarieven'!$B$1:$AU$44</definedName>
    <definedName name="_xlnm.Print_Area" localSheetId="11">'1.6-Machine-investeringskosten'!$A$2:$E$153</definedName>
    <definedName name="_xlnm.Print_Area" localSheetId="12">'1.8-Afroepprijs'!$A$3:$H$74</definedName>
    <definedName name="_xlnm.Print_Area" localSheetId="13">'1.9-Glasbewassing'!$A$3:$AE$175</definedName>
    <definedName name="_xlnm.Print_Area" localSheetId="0">'Info blad'!$A$1:$I$49</definedName>
    <definedName name="_xlnm.Print_Area" localSheetId="1">'Toelichting Calculatiemodel'!$A$3:$C$151</definedName>
    <definedName name="_xlnm.Print_Area" localSheetId="3">'Uitleg calculatiemodule'!$C$1:$M$69</definedName>
    <definedName name="_xlnm.Print_Area" localSheetId="2">Voorblad!$B$1:$I$58</definedName>
    <definedName name="_xlnm.Print_Titles" localSheetId="4">'1.0-Contractblad'!$1:$12</definedName>
    <definedName name="_xlnm.Print_Titles" localSheetId="5">'1.1a-Jaarprijzen'!$1:$9</definedName>
    <definedName name="_xlnm.Print_Titles" localSheetId="6">'1.2-Kengetal'!$9:$9</definedName>
    <definedName name="_xlnm.Print_Titles" localSheetId="7">'1.3-Basis ruimtestaat'!$D:$H,'1.3-Basis ruimtestaat'!$3:$10</definedName>
    <definedName name="_xlnm.Print_Titles" localSheetId="8">'1.3a-Mutaties'!$E:$I,'1.3a-Mutaties'!$3:$10</definedName>
    <definedName name="_xlnm.Print_Titles" localSheetId="11">'1.6-Machine-investeringskosten'!$B:$B,'1.6-Machine-investeringskosten'!$3:$9</definedName>
    <definedName name="_xlnm.Print_Titles" localSheetId="12">'1.8-Afroepprijs'!$4:$12</definedName>
    <definedName name="_xlnm.Print_Titles" localSheetId="13">'1.9-Glasbewassing'!$4:$12</definedName>
    <definedName name="Allelocaties" localSheetId="8">'1.3a-Mutaties'!$A:$T</definedName>
    <definedName name="Allelocaties">'1.3-Basis ruimtestaat'!$A:$S</definedName>
    <definedName name="_xlnm.Database" localSheetId="8">'1.3a-Mutaties'!$D$10:$Z$20</definedName>
    <definedName name="_xlnm.Database">'1.3-Basis ruimtestaat'!$C$10:$Y$825</definedName>
    <definedName name="database2" localSheetId="8">'1.3a-Mutaties'!$C$10:$Z$20</definedName>
    <definedName name="database2">'1.3-Basis ruimtestaat'!$B$10:$Y$825</definedName>
    <definedName name="datamutaties" localSheetId="13">#REF!</definedName>
    <definedName name="han" localSheetId="8" hidden="1">'[2]#REF'!#REF!</definedName>
    <definedName name="han" localSheetId="13" hidden="1">'[2]#REF'!#REF!</definedName>
    <definedName name="han" hidden="1">'[2]#REF'!#REF!</definedName>
    <definedName name="HTML_CodePage" hidden="1">1252</definedName>
    <definedName name="HTML_Control" localSheetId="4" hidden="1">{"'ma_vr'!$A$1:$AA$42"}</definedName>
    <definedName name="HTML_Control" localSheetId="1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 localSheetId="13">'[3]1.2-Kengetal'!$C$10:$O$34</definedName>
    <definedName name="Kengetal">'1.2-Kengetal'!$C$10:$P$101</definedName>
    <definedName name="LOCATIE" localSheetId="8">'1.3a-Mutaties'!$E:$R</definedName>
    <definedName name="LOCATIE">'1.3-Basis ruimtestaat'!$D:$Q</definedName>
    <definedName name="Loongroep">'1.5 Opbouw uurtarieven'!$A$18:$A$42</definedName>
    <definedName name="Loongroepen">'1.5 Opbouw uurtarieven'!$A$12:$A$46</definedName>
    <definedName name="Meters" localSheetId="8">'1.3a-Mutaties'!$K:$K</definedName>
    <definedName name="Meters" localSheetId="13">'[3]1.3-Basis ruimtestaat'!$K:$K</definedName>
    <definedName name="Meters">'1.3-Basis ruimtestaat'!$J:$J</definedName>
    <definedName name="Perceel" localSheetId="8">'1.3a-Mutaties'!$F:$U</definedName>
    <definedName name="Perceel">'1.3-Basis ruimtestaat'!$E:$T</definedName>
    <definedName name="PERCEEL2" localSheetId="8">'1.3a-Mutaties'!$A:$U</definedName>
    <definedName name="PERCEEL2">'1.3-Basis ruimtestaat'!$A:$T</definedName>
    <definedName name="q" localSheetId="8" hidden="1">[1]Blad1!#REF!</definedName>
    <definedName name="q" localSheetId="13" hidden="1">[1]Blad1!#REF!</definedName>
    <definedName name="q" hidden="1">[1]Blad1!#REF!</definedName>
    <definedName name="Tabel">'1.4-Premies en opslagen'!$L$3:$M$5</definedName>
    <definedName name="Totaal" localSheetId="8">'1.3a-Mutaties'!$A$10:$T$20</definedName>
    <definedName name="Totaal">'1.3-Basis ruimtestaat'!$A$10:$S$825</definedName>
    <definedName name="Totaal2" localSheetId="8">'1.3a-Mutaties'!$E$10:$T$44</definedName>
    <definedName name="Totaal2" localSheetId="13">'[3]1.3-Basis ruimtestaat'!$E$10:$T$388</definedName>
    <definedName name="Totaal2">'1.3-Basis ruimtestaat'!$D$10:$S$825</definedName>
    <definedName name="UREMAVR" localSheetId="8">'1.3a-Mutaties'!$R$10:$R$44</definedName>
    <definedName name="UREMAVR" localSheetId="13">'[3]1.3-Basis ruimtestaat'!$R$10:$R$388</definedName>
    <definedName name="UREMAVR">'1.3-Basis ruimtestaat'!$Q$10:$Q$825</definedName>
    <definedName name="URENEWEEKEND" localSheetId="8">'1.3a-Mutaties'!$T$10:$T$44</definedName>
    <definedName name="URENEWEEKEND" localSheetId="13">'[3]1.3-Basis ruimtestaat'!$T$10:$T$388</definedName>
    <definedName name="URENEWEEKEND">'1.3-Basis ruimtestaat'!$S$10:$S$825</definedName>
    <definedName name="URENNALOOP" localSheetId="8">'1.3a-Mutaties'!$S$10:$S$44</definedName>
    <definedName name="URENNALOOP" localSheetId="13">'[3]1.3-Basis ruimtestaat'!$S$10:$S$388</definedName>
    <definedName name="URENNALOOP">'1.3-Basis ruimtestaat'!$R$10:$R$825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113" i="31" l="1"/>
  <c r="H136" i="31"/>
  <c r="H133" i="31"/>
  <c r="H130" i="31"/>
  <c r="H126" i="31"/>
  <c r="H123" i="31"/>
  <c r="H120" i="31"/>
  <c r="H117" i="31"/>
  <c r="H114" i="31"/>
  <c r="H11" i="2"/>
  <c r="M11" i="2"/>
  <c r="O11" i="2"/>
  <c r="H12" i="2"/>
  <c r="U11" i="2"/>
  <c r="R11" i="2"/>
  <c r="V11" i="2"/>
  <c r="S11" i="2"/>
  <c r="M12" i="2"/>
  <c r="O12" i="2"/>
  <c r="U12" i="2"/>
  <c r="R12" i="2"/>
  <c r="V12" i="2"/>
  <c r="S12" i="2"/>
  <c r="H13" i="2"/>
  <c r="M13" i="2"/>
  <c r="O13" i="2"/>
  <c r="U13" i="2"/>
  <c r="R13" i="2"/>
  <c r="V13" i="2"/>
  <c r="S13" i="2"/>
  <c r="H14" i="2"/>
  <c r="M14" i="2"/>
  <c r="O14" i="2"/>
  <c r="U14" i="2"/>
  <c r="R14" i="2"/>
  <c r="V14" i="2"/>
  <c r="S14" i="2"/>
  <c r="H15" i="2"/>
  <c r="M15" i="2"/>
  <c r="O15" i="2"/>
  <c r="U15" i="2"/>
  <c r="R15" i="2"/>
  <c r="V15" i="2"/>
  <c r="S15" i="2"/>
  <c r="H16" i="2"/>
  <c r="M16" i="2"/>
  <c r="O16" i="2"/>
  <c r="U16" i="2"/>
  <c r="R16" i="2"/>
  <c r="V16" i="2"/>
  <c r="S16" i="2"/>
  <c r="H17" i="2"/>
  <c r="M17" i="2"/>
  <c r="O17" i="2"/>
  <c r="U17" i="2"/>
  <c r="R17" i="2"/>
  <c r="V17" i="2"/>
  <c r="S17" i="2"/>
  <c r="H18" i="2"/>
  <c r="M18" i="2"/>
  <c r="O18" i="2"/>
  <c r="U18" i="2"/>
  <c r="R18" i="2"/>
  <c r="V18" i="2"/>
  <c r="S18" i="2"/>
  <c r="H19" i="2"/>
  <c r="M19" i="2"/>
  <c r="O19" i="2"/>
  <c r="U19" i="2"/>
  <c r="R19" i="2"/>
  <c r="V19" i="2"/>
  <c r="S19" i="2"/>
  <c r="H20" i="2"/>
  <c r="M20" i="2"/>
  <c r="O20" i="2"/>
  <c r="U20" i="2"/>
  <c r="R20" i="2"/>
  <c r="V20" i="2"/>
  <c r="S20" i="2"/>
  <c r="H21" i="2"/>
  <c r="M21" i="2"/>
  <c r="O21" i="2"/>
  <c r="U21" i="2"/>
  <c r="R21" i="2"/>
  <c r="V21" i="2"/>
  <c r="S21" i="2"/>
  <c r="H22" i="2"/>
  <c r="M22" i="2"/>
  <c r="O22" i="2"/>
  <c r="U22" i="2"/>
  <c r="R22" i="2"/>
  <c r="V22" i="2"/>
  <c r="S22" i="2"/>
  <c r="H23" i="2"/>
  <c r="M23" i="2"/>
  <c r="O23" i="2"/>
  <c r="U23" i="2"/>
  <c r="R23" i="2"/>
  <c r="V23" i="2"/>
  <c r="S23" i="2"/>
  <c r="H24" i="2"/>
  <c r="M24" i="2"/>
  <c r="O24" i="2"/>
  <c r="U24" i="2"/>
  <c r="R24" i="2"/>
  <c r="V24" i="2"/>
  <c r="S24" i="2"/>
  <c r="H25" i="2"/>
  <c r="M25" i="2"/>
  <c r="O25" i="2"/>
  <c r="U25" i="2"/>
  <c r="R25" i="2"/>
  <c r="V25" i="2"/>
  <c r="S25" i="2"/>
  <c r="H26" i="2"/>
  <c r="M26" i="2"/>
  <c r="O26" i="2"/>
  <c r="U26" i="2"/>
  <c r="R26" i="2"/>
  <c r="V26" i="2"/>
  <c r="S26" i="2"/>
  <c r="H27" i="2"/>
  <c r="M27" i="2"/>
  <c r="O27" i="2"/>
  <c r="U27" i="2"/>
  <c r="R27" i="2"/>
  <c r="V27" i="2"/>
  <c r="S27" i="2"/>
  <c r="H28" i="2"/>
  <c r="M28" i="2"/>
  <c r="O28" i="2"/>
  <c r="U28" i="2"/>
  <c r="R28" i="2"/>
  <c r="V28" i="2"/>
  <c r="S28" i="2"/>
  <c r="H29" i="2"/>
  <c r="M29" i="2"/>
  <c r="O29" i="2"/>
  <c r="U29" i="2"/>
  <c r="R29" i="2"/>
  <c r="V29" i="2"/>
  <c r="S29" i="2"/>
  <c r="H30" i="2"/>
  <c r="M30" i="2"/>
  <c r="O30" i="2"/>
  <c r="U30" i="2"/>
  <c r="R30" i="2"/>
  <c r="V30" i="2"/>
  <c r="S30" i="2"/>
  <c r="H31" i="2"/>
  <c r="M31" i="2"/>
  <c r="O31" i="2"/>
  <c r="U31" i="2"/>
  <c r="R31" i="2"/>
  <c r="V31" i="2"/>
  <c r="S31" i="2"/>
  <c r="H32" i="2"/>
  <c r="M32" i="2"/>
  <c r="O32" i="2"/>
  <c r="U32" i="2"/>
  <c r="R32" i="2"/>
  <c r="V32" i="2"/>
  <c r="S32" i="2"/>
  <c r="H33" i="2"/>
  <c r="M33" i="2"/>
  <c r="O33" i="2"/>
  <c r="U33" i="2"/>
  <c r="R33" i="2"/>
  <c r="V33" i="2"/>
  <c r="S33" i="2"/>
  <c r="H34" i="2"/>
  <c r="M34" i="2"/>
  <c r="O34" i="2"/>
  <c r="U34" i="2"/>
  <c r="R34" i="2"/>
  <c r="V34" i="2"/>
  <c r="S34" i="2"/>
  <c r="H35" i="2"/>
  <c r="M35" i="2"/>
  <c r="O35" i="2"/>
  <c r="U35" i="2"/>
  <c r="R35" i="2"/>
  <c r="V35" i="2"/>
  <c r="S35" i="2"/>
  <c r="H36" i="2"/>
  <c r="M36" i="2"/>
  <c r="O36" i="2"/>
  <c r="U36" i="2"/>
  <c r="R36" i="2"/>
  <c r="V36" i="2"/>
  <c r="S36" i="2"/>
  <c r="H37" i="2"/>
  <c r="M37" i="2"/>
  <c r="O37" i="2"/>
  <c r="U37" i="2"/>
  <c r="R37" i="2"/>
  <c r="V37" i="2"/>
  <c r="S37" i="2"/>
  <c r="H38" i="2"/>
  <c r="M38" i="2"/>
  <c r="O38" i="2"/>
  <c r="U38" i="2"/>
  <c r="R38" i="2"/>
  <c r="V38" i="2"/>
  <c r="S38" i="2"/>
  <c r="H39" i="2"/>
  <c r="M39" i="2"/>
  <c r="O39" i="2"/>
  <c r="U39" i="2"/>
  <c r="R39" i="2"/>
  <c r="V39" i="2"/>
  <c r="S39" i="2"/>
  <c r="H40" i="2"/>
  <c r="M40" i="2"/>
  <c r="O40" i="2"/>
  <c r="U40" i="2"/>
  <c r="R40" i="2"/>
  <c r="V40" i="2"/>
  <c r="S40" i="2"/>
  <c r="H41" i="2"/>
  <c r="M41" i="2"/>
  <c r="O41" i="2"/>
  <c r="U41" i="2"/>
  <c r="R41" i="2"/>
  <c r="V41" i="2"/>
  <c r="S41" i="2"/>
  <c r="H42" i="2"/>
  <c r="M42" i="2"/>
  <c r="O42" i="2"/>
  <c r="U42" i="2"/>
  <c r="R42" i="2"/>
  <c r="V42" i="2"/>
  <c r="S42" i="2"/>
  <c r="H43" i="2"/>
  <c r="M43" i="2"/>
  <c r="O43" i="2"/>
  <c r="U43" i="2"/>
  <c r="R43" i="2"/>
  <c r="V43" i="2"/>
  <c r="S43" i="2"/>
  <c r="H44" i="2"/>
  <c r="M44" i="2"/>
  <c r="O44" i="2"/>
  <c r="U44" i="2"/>
  <c r="R44" i="2"/>
  <c r="V44" i="2"/>
  <c r="S44" i="2"/>
  <c r="H45" i="2"/>
  <c r="M45" i="2"/>
  <c r="O45" i="2"/>
  <c r="U45" i="2"/>
  <c r="R45" i="2"/>
  <c r="V45" i="2"/>
  <c r="S45" i="2"/>
  <c r="H46" i="2"/>
  <c r="M46" i="2"/>
  <c r="O46" i="2"/>
  <c r="U46" i="2"/>
  <c r="R46" i="2"/>
  <c r="V46" i="2"/>
  <c r="S46" i="2"/>
  <c r="H47" i="2"/>
  <c r="M47" i="2"/>
  <c r="O47" i="2"/>
  <c r="U47" i="2"/>
  <c r="R47" i="2"/>
  <c r="V47" i="2"/>
  <c r="S47" i="2"/>
  <c r="H48" i="2"/>
  <c r="M48" i="2"/>
  <c r="O48" i="2"/>
  <c r="U48" i="2"/>
  <c r="R48" i="2"/>
  <c r="V48" i="2"/>
  <c r="S48" i="2"/>
  <c r="H49" i="2"/>
  <c r="M49" i="2"/>
  <c r="O49" i="2"/>
  <c r="U49" i="2"/>
  <c r="R49" i="2"/>
  <c r="V49" i="2"/>
  <c r="S49" i="2"/>
  <c r="H50" i="2"/>
  <c r="M50" i="2"/>
  <c r="O50" i="2"/>
  <c r="U50" i="2"/>
  <c r="R50" i="2"/>
  <c r="V50" i="2"/>
  <c r="S50" i="2"/>
  <c r="H51" i="2"/>
  <c r="M51" i="2"/>
  <c r="O51" i="2"/>
  <c r="U51" i="2"/>
  <c r="R51" i="2"/>
  <c r="V51" i="2"/>
  <c r="S51" i="2"/>
  <c r="H52" i="2"/>
  <c r="M52" i="2"/>
  <c r="O52" i="2"/>
  <c r="U52" i="2"/>
  <c r="R52" i="2"/>
  <c r="V52" i="2"/>
  <c r="S52" i="2"/>
  <c r="H53" i="2"/>
  <c r="M53" i="2"/>
  <c r="O53" i="2"/>
  <c r="U53" i="2"/>
  <c r="R53" i="2"/>
  <c r="V53" i="2"/>
  <c r="S53" i="2"/>
  <c r="H54" i="2"/>
  <c r="M54" i="2"/>
  <c r="O54" i="2"/>
  <c r="U54" i="2"/>
  <c r="R54" i="2"/>
  <c r="V54" i="2"/>
  <c r="S54" i="2"/>
  <c r="H55" i="2"/>
  <c r="M55" i="2"/>
  <c r="O55" i="2"/>
  <c r="U55" i="2"/>
  <c r="R55" i="2"/>
  <c r="V55" i="2"/>
  <c r="S55" i="2"/>
  <c r="H56" i="2"/>
  <c r="M56" i="2"/>
  <c r="O56" i="2"/>
  <c r="U56" i="2"/>
  <c r="R56" i="2"/>
  <c r="V56" i="2"/>
  <c r="S56" i="2"/>
  <c r="H57" i="2"/>
  <c r="M57" i="2"/>
  <c r="O57" i="2"/>
  <c r="U57" i="2"/>
  <c r="R57" i="2"/>
  <c r="V57" i="2"/>
  <c r="S57" i="2"/>
  <c r="H58" i="2"/>
  <c r="M58" i="2"/>
  <c r="O58" i="2"/>
  <c r="U58" i="2"/>
  <c r="R58" i="2"/>
  <c r="V58" i="2"/>
  <c r="S58" i="2"/>
  <c r="H59" i="2"/>
  <c r="M59" i="2"/>
  <c r="O59" i="2"/>
  <c r="U59" i="2"/>
  <c r="R59" i="2"/>
  <c r="V59" i="2"/>
  <c r="S59" i="2"/>
  <c r="H60" i="2"/>
  <c r="M60" i="2"/>
  <c r="O60" i="2"/>
  <c r="U60" i="2"/>
  <c r="R60" i="2"/>
  <c r="V60" i="2"/>
  <c r="S60" i="2"/>
  <c r="H61" i="2"/>
  <c r="M61" i="2"/>
  <c r="O61" i="2"/>
  <c r="U61" i="2"/>
  <c r="R61" i="2"/>
  <c r="V61" i="2"/>
  <c r="S61" i="2"/>
  <c r="H62" i="2"/>
  <c r="M62" i="2"/>
  <c r="O62" i="2"/>
  <c r="U62" i="2"/>
  <c r="R62" i="2"/>
  <c r="V62" i="2"/>
  <c r="S62" i="2"/>
  <c r="H63" i="2"/>
  <c r="M63" i="2"/>
  <c r="O63" i="2"/>
  <c r="U63" i="2"/>
  <c r="R63" i="2"/>
  <c r="V63" i="2"/>
  <c r="S63" i="2"/>
  <c r="H64" i="2"/>
  <c r="M64" i="2"/>
  <c r="O64" i="2"/>
  <c r="U64" i="2"/>
  <c r="R64" i="2"/>
  <c r="V64" i="2"/>
  <c r="S64" i="2"/>
  <c r="H65" i="2"/>
  <c r="M65" i="2"/>
  <c r="O65" i="2"/>
  <c r="U65" i="2"/>
  <c r="R65" i="2"/>
  <c r="V65" i="2"/>
  <c r="S65" i="2"/>
  <c r="H66" i="2"/>
  <c r="M66" i="2"/>
  <c r="O66" i="2"/>
  <c r="U66" i="2"/>
  <c r="R66" i="2"/>
  <c r="V66" i="2"/>
  <c r="S66" i="2"/>
  <c r="H67" i="2"/>
  <c r="M67" i="2"/>
  <c r="O67" i="2"/>
  <c r="U67" i="2"/>
  <c r="R67" i="2"/>
  <c r="V67" i="2"/>
  <c r="S67" i="2"/>
  <c r="H68" i="2"/>
  <c r="M68" i="2"/>
  <c r="O68" i="2"/>
  <c r="U68" i="2"/>
  <c r="R68" i="2"/>
  <c r="V68" i="2"/>
  <c r="S68" i="2"/>
  <c r="H69" i="2"/>
  <c r="M69" i="2"/>
  <c r="O69" i="2"/>
  <c r="U69" i="2"/>
  <c r="R69" i="2"/>
  <c r="V69" i="2"/>
  <c r="S69" i="2"/>
  <c r="H70" i="2"/>
  <c r="M70" i="2"/>
  <c r="O70" i="2"/>
  <c r="U70" i="2"/>
  <c r="R70" i="2"/>
  <c r="V70" i="2"/>
  <c r="S70" i="2"/>
  <c r="H71" i="2"/>
  <c r="M71" i="2"/>
  <c r="O71" i="2"/>
  <c r="U71" i="2"/>
  <c r="R71" i="2"/>
  <c r="V71" i="2"/>
  <c r="S71" i="2"/>
  <c r="H72" i="2"/>
  <c r="M72" i="2"/>
  <c r="O72" i="2"/>
  <c r="U72" i="2"/>
  <c r="R72" i="2"/>
  <c r="V72" i="2"/>
  <c r="S72" i="2"/>
  <c r="H73" i="2"/>
  <c r="M73" i="2"/>
  <c r="O73" i="2"/>
  <c r="U73" i="2"/>
  <c r="R73" i="2"/>
  <c r="V73" i="2"/>
  <c r="S73" i="2"/>
  <c r="H74" i="2"/>
  <c r="M74" i="2"/>
  <c r="O74" i="2"/>
  <c r="U74" i="2"/>
  <c r="R74" i="2"/>
  <c r="V74" i="2"/>
  <c r="S74" i="2"/>
  <c r="H75" i="2"/>
  <c r="M75" i="2"/>
  <c r="O75" i="2"/>
  <c r="U75" i="2"/>
  <c r="R75" i="2"/>
  <c r="V75" i="2"/>
  <c r="S75" i="2"/>
  <c r="H76" i="2"/>
  <c r="M76" i="2"/>
  <c r="O76" i="2"/>
  <c r="U76" i="2"/>
  <c r="R76" i="2"/>
  <c r="V76" i="2"/>
  <c r="S76" i="2"/>
  <c r="H77" i="2"/>
  <c r="M77" i="2"/>
  <c r="O77" i="2"/>
  <c r="U77" i="2"/>
  <c r="R77" i="2"/>
  <c r="V77" i="2"/>
  <c r="S77" i="2"/>
  <c r="H78" i="2"/>
  <c r="M78" i="2"/>
  <c r="O78" i="2"/>
  <c r="U78" i="2"/>
  <c r="R78" i="2"/>
  <c r="V78" i="2"/>
  <c r="S78" i="2"/>
  <c r="H79" i="2"/>
  <c r="M79" i="2"/>
  <c r="O79" i="2"/>
  <c r="U79" i="2"/>
  <c r="R79" i="2"/>
  <c r="V79" i="2"/>
  <c r="S79" i="2"/>
  <c r="H80" i="2"/>
  <c r="M80" i="2"/>
  <c r="O80" i="2"/>
  <c r="U80" i="2"/>
  <c r="R80" i="2"/>
  <c r="V80" i="2"/>
  <c r="S80" i="2"/>
  <c r="H81" i="2"/>
  <c r="M81" i="2"/>
  <c r="O81" i="2"/>
  <c r="U81" i="2"/>
  <c r="R81" i="2"/>
  <c r="V81" i="2"/>
  <c r="S81" i="2"/>
  <c r="H82" i="2"/>
  <c r="M82" i="2"/>
  <c r="O82" i="2"/>
  <c r="U82" i="2"/>
  <c r="R82" i="2"/>
  <c r="V82" i="2"/>
  <c r="S82" i="2"/>
  <c r="H83" i="2"/>
  <c r="M83" i="2"/>
  <c r="O83" i="2"/>
  <c r="U83" i="2"/>
  <c r="R83" i="2"/>
  <c r="V83" i="2"/>
  <c r="S83" i="2"/>
  <c r="H84" i="2"/>
  <c r="M84" i="2"/>
  <c r="O84" i="2"/>
  <c r="U84" i="2"/>
  <c r="R84" i="2"/>
  <c r="V84" i="2"/>
  <c r="S84" i="2"/>
  <c r="H85" i="2"/>
  <c r="M85" i="2"/>
  <c r="O85" i="2"/>
  <c r="U85" i="2"/>
  <c r="R85" i="2"/>
  <c r="V85" i="2"/>
  <c r="S85" i="2"/>
  <c r="H86" i="2"/>
  <c r="M86" i="2"/>
  <c r="O86" i="2"/>
  <c r="U86" i="2"/>
  <c r="R86" i="2"/>
  <c r="V86" i="2"/>
  <c r="S86" i="2"/>
  <c r="H87" i="2"/>
  <c r="M87" i="2"/>
  <c r="O87" i="2"/>
  <c r="U87" i="2"/>
  <c r="R87" i="2"/>
  <c r="V87" i="2"/>
  <c r="S87" i="2"/>
  <c r="H88" i="2"/>
  <c r="M88" i="2"/>
  <c r="O88" i="2"/>
  <c r="U88" i="2"/>
  <c r="R88" i="2"/>
  <c r="V88" i="2"/>
  <c r="S88" i="2"/>
  <c r="H89" i="2"/>
  <c r="M89" i="2"/>
  <c r="O89" i="2"/>
  <c r="U89" i="2"/>
  <c r="R89" i="2"/>
  <c r="V89" i="2"/>
  <c r="S89" i="2"/>
  <c r="H90" i="2"/>
  <c r="M90" i="2"/>
  <c r="O90" i="2"/>
  <c r="U90" i="2"/>
  <c r="R90" i="2"/>
  <c r="V90" i="2"/>
  <c r="S90" i="2"/>
  <c r="H91" i="2"/>
  <c r="M91" i="2"/>
  <c r="O91" i="2"/>
  <c r="U91" i="2"/>
  <c r="R91" i="2"/>
  <c r="V91" i="2"/>
  <c r="S91" i="2"/>
  <c r="H92" i="2"/>
  <c r="M92" i="2"/>
  <c r="O92" i="2"/>
  <c r="U92" i="2"/>
  <c r="R92" i="2"/>
  <c r="V92" i="2"/>
  <c r="S92" i="2"/>
  <c r="H93" i="2"/>
  <c r="M93" i="2"/>
  <c r="O93" i="2"/>
  <c r="U93" i="2"/>
  <c r="R93" i="2"/>
  <c r="V93" i="2"/>
  <c r="S93" i="2"/>
  <c r="H94" i="2"/>
  <c r="M94" i="2"/>
  <c r="O94" i="2"/>
  <c r="U94" i="2"/>
  <c r="R94" i="2"/>
  <c r="V94" i="2"/>
  <c r="S94" i="2"/>
  <c r="H95" i="2"/>
  <c r="M95" i="2"/>
  <c r="O95" i="2"/>
  <c r="U95" i="2"/>
  <c r="R95" i="2"/>
  <c r="V95" i="2"/>
  <c r="S95" i="2"/>
  <c r="H96" i="2"/>
  <c r="M96" i="2"/>
  <c r="O96" i="2"/>
  <c r="U96" i="2"/>
  <c r="R96" i="2"/>
  <c r="V96" i="2"/>
  <c r="S96" i="2"/>
  <c r="H97" i="2"/>
  <c r="M97" i="2"/>
  <c r="O97" i="2"/>
  <c r="U97" i="2"/>
  <c r="R97" i="2"/>
  <c r="V97" i="2"/>
  <c r="S97" i="2"/>
  <c r="H98" i="2"/>
  <c r="M98" i="2"/>
  <c r="O98" i="2"/>
  <c r="U98" i="2"/>
  <c r="R98" i="2"/>
  <c r="V98" i="2"/>
  <c r="S98" i="2"/>
  <c r="H99" i="2"/>
  <c r="M99" i="2"/>
  <c r="O99" i="2"/>
  <c r="U99" i="2"/>
  <c r="R99" i="2"/>
  <c r="V99" i="2"/>
  <c r="S99" i="2"/>
  <c r="H100" i="2"/>
  <c r="M100" i="2"/>
  <c r="O100" i="2"/>
  <c r="U100" i="2"/>
  <c r="R100" i="2"/>
  <c r="V100" i="2"/>
  <c r="S100" i="2"/>
  <c r="H101" i="2"/>
  <c r="M101" i="2"/>
  <c r="O101" i="2"/>
  <c r="U101" i="2"/>
  <c r="R101" i="2"/>
  <c r="V101" i="2"/>
  <c r="S101" i="2"/>
  <c r="H102" i="2"/>
  <c r="M102" i="2"/>
  <c r="O102" i="2"/>
  <c r="U102" i="2"/>
  <c r="R102" i="2"/>
  <c r="V102" i="2"/>
  <c r="S102" i="2"/>
  <c r="H103" i="2"/>
  <c r="M103" i="2"/>
  <c r="O103" i="2"/>
  <c r="U103" i="2"/>
  <c r="R103" i="2"/>
  <c r="V103" i="2"/>
  <c r="S103" i="2"/>
  <c r="H104" i="2"/>
  <c r="M104" i="2"/>
  <c r="O104" i="2"/>
  <c r="U104" i="2"/>
  <c r="R104" i="2"/>
  <c r="V104" i="2"/>
  <c r="S104" i="2"/>
  <c r="H105" i="2"/>
  <c r="M105" i="2"/>
  <c r="O105" i="2"/>
  <c r="U105" i="2"/>
  <c r="R105" i="2"/>
  <c r="V105" i="2"/>
  <c r="S105" i="2"/>
  <c r="H106" i="2"/>
  <c r="M106" i="2"/>
  <c r="O106" i="2"/>
  <c r="U106" i="2"/>
  <c r="R106" i="2"/>
  <c r="V106" i="2"/>
  <c r="S106" i="2"/>
  <c r="H107" i="2"/>
  <c r="M107" i="2"/>
  <c r="O107" i="2"/>
  <c r="U107" i="2"/>
  <c r="R107" i="2"/>
  <c r="V107" i="2"/>
  <c r="S107" i="2"/>
  <c r="H108" i="2"/>
  <c r="M108" i="2"/>
  <c r="O108" i="2"/>
  <c r="U108" i="2"/>
  <c r="R108" i="2"/>
  <c r="V108" i="2"/>
  <c r="S108" i="2"/>
  <c r="H109" i="2"/>
  <c r="M109" i="2"/>
  <c r="O109" i="2"/>
  <c r="U109" i="2"/>
  <c r="R109" i="2"/>
  <c r="V109" i="2"/>
  <c r="S109" i="2"/>
  <c r="H110" i="2"/>
  <c r="M110" i="2"/>
  <c r="O110" i="2"/>
  <c r="U110" i="2"/>
  <c r="R110" i="2"/>
  <c r="V110" i="2"/>
  <c r="S110" i="2"/>
  <c r="H111" i="2"/>
  <c r="M111" i="2"/>
  <c r="O111" i="2"/>
  <c r="U111" i="2"/>
  <c r="R111" i="2"/>
  <c r="V111" i="2"/>
  <c r="S111" i="2"/>
  <c r="H112" i="2"/>
  <c r="M112" i="2"/>
  <c r="O112" i="2"/>
  <c r="U112" i="2"/>
  <c r="R112" i="2"/>
  <c r="V112" i="2"/>
  <c r="S112" i="2"/>
  <c r="H113" i="2"/>
  <c r="M113" i="2"/>
  <c r="O113" i="2"/>
  <c r="U113" i="2"/>
  <c r="R113" i="2"/>
  <c r="V113" i="2"/>
  <c r="S113" i="2"/>
  <c r="H114" i="2"/>
  <c r="M114" i="2"/>
  <c r="O114" i="2"/>
  <c r="U114" i="2"/>
  <c r="R114" i="2"/>
  <c r="V114" i="2"/>
  <c r="S114" i="2"/>
  <c r="H115" i="2"/>
  <c r="M115" i="2"/>
  <c r="O115" i="2"/>
  <c r="U115" i="2"/>
  <c r="R115" i="2"/>
  <c r="V115" i="2"/>
  <c r="S115" i="2"/>
  <c r="H116" i="2"/>
  <c r="M116" i="2"/>
  <c r="O116" i="2"/>
  <c r="U116" i="2"/>
  <c r="R116" i="2"/>
  <c r="V116" i="2"/>
  <c r="S116" i="2"/>
  <c r="H117" i="2"/>
  <c r="M117" i="2"/>
  <c r="O117" i="2"/>
  <c r="U117" i="2"/>
  <c r="R117" i="2"/>
  <c r="V117" i="2"/>
  <c r="S117" i="2"/>
  <c r="H118" i="2"/>
  <c r="M118" i="2"/>
  <c r="O118" i="2"/>
  <c r="U118" i="2"/>
  <c r="R118" i="2"/>
  <c r="V118" i="2"/>
  <c r="S118" i="2"/>
  <c r="H119" i="2"/>
  <c r="M119" i="2"/>
  <c r="O119" i="2"/>
  <c r="U119" i="2"/>
  <c r="R119" i="2"/>
  <c r="V119" i="2"/>
  <c r="S119" i="2"/>
  <c r="H120" i="2"/>
  <c r="M120" i="2"/>
  <c r="O120" i="2"/>
  <c r="U120" i="2"/>
  <c r="R120" i="2"/>
  <c r="V120" i="2"/>
  <c r="S120" i="2"/>
  <c r="H121" i="2"/>
  <c r="M121" i="2"/>
  <c r="O121" i="2"/>
  <c r="U121" i="2"/>
  <c r="R121" i="2"/>
  <c r="V121" i="2"/>
  <c r="S121" i="2"/>
  <c r="H122" i="2"/>
  <c r="M122" i="2"/>
  <c r="O122" i="2"/>
  <c r="U122" i="2"/>
  <c r="R122" i="2"/>
  <c r="V122" i="2"/>
  <c r="S122" i="2"/>
  <c r="H123" i="2"/>
  <c r="M123" i="2"/>
  <c r="O123" i="2"/>
  <c r="U123" i="2"/>
  <c r="R123" i="2"/>
  <c r="V123" i="2"/>
  <c r="S123" i="2"/>
  <c r="H124" i="2"/>
  <c r="M124" i="2"/>
  <c r="O124" i="2"/>
  <c r="U124" i="2"/>
  <c r="R124" i="2"/>
  <c r="V124" i="2"/>
  <c r="S124" i="2"/>
  <c r="H125" i="2"/>
  <c r="M125" i="2"/>
  <c r="O125" i="2"/>
  <c r="U125" i="2"/>
  <c r="R125" i="2"/>
  <c r="V125" i="2"/>
  <c r="S125" i="2"/>
  <c r="H126" i="2"/>
  <c r="M126" i="2"/>
  <c r="O126" i="2"/>
  <c r="U126" i="2"/>
  <c r="R126" i="2"/>
  <c r="V126" i="2"/>
  <c r="S126" i="2"/>
  <c r="H127" i="2"/>
  <c r="M127" i="2"/>
  <c r="O127" i="2"/>
  <c r="U127" i="2"/>
  <c r="R127" i="2"/>
  <c r="V127" i="2"/>
  <c r="S127" i="2"/>
  <c r="H128" i="2"/>
  <c r="M128" i="2"/>
  <c r="O128" i="2"/>
  <c r="U128" i="2"/>
  <c r="R128" i="2"/>
  <c r="V128" i="2"/>
  <c r="S128" i="2"/>
  <c r="H129" i="2"/>
  <c r="M129" i="2"/>
  <c r="O129" i="2"/>
  <c r="U129" i="2"/>
  <c r="R129" i="2"/>
  <c r="V129" i="2"/>
  <c r="S129" i="2"/>
  <c r="H130" i="2"/>
  <c r="M130" i="2"/>
  <c r="O130" i="2"/>
  <c r="U130" i="2"/>
  <c r="R130" i="2"/>
  <c r="V130" i="2"/>
  <c r="S130" i="2"/>
  <c r="H131" i="2"/>
  <c r="M131" i="2"/>
  <c r="O131" i="2"/>
  <c r="U131" i="2"/>
  <c r="R131" i="2"/>
  <c r="V131" i="2"/>
  <c r="S131" i="2"/>
  <c r="H132" i="2"/>
  <c r="M132" i="2"/>
  <c r="O132" i="2"/>
  <c r="U132" i="2"/>
  <c r="R132" i="2"/>
  <c r="V132" i="2"/>
  <c r="S132" i="2"/>
  <c r="H133" i="2"/>
  <c r="M133" i="2"/>
  <c r="O133" i="2"/>
  <c r="U133" i="2"/>
  <c r="R133" i="2"/>
  <c r="V133" i="2"/>
  <c r="S133" i="2"/>
  <c r="H134" i="2"/>
  <c r="M134" i="2"/>
  <c r="O134" i="2"/>
  <c r="U134" i="2"/>
  <c r="R134" i="2"/>
  <c r="V134" i="2"/>
  <c r="S134" i="2"/>
  <c r="H135" i="2"/>
  <c r="M135" i="2"/>
  <c r="O135" i="2"/>
  <c r="U135" i="2"/>
  <c r="R135" i="2"/>
  <c r="V135" i="2"/>
  <c r="S135" i="2"/>
  <c r="H136" i="2"/>
  <c r="M136" i="2"/>
  <c r="O136" i="2"/>
  <c r="U136" i="2"/>
  <c r="R136" i="2"/>
  <c r="V136" i="2"/>
  <c r="S136" i="2"/>
  <c r="H137" i="2"/>
  <c r="M137" i="2"/>
  <c r="O137" i="2"/>
  <c r="U137" i="2"/>
  <c r="R137" i="2"/>
  <c r="V137" i="2"/>
  <c r="S137" i="2"/>
  <c r="H138" i="2"/>
  <c r="M138" i="2"/>
  <c r="O138" i="2"/>
  <c r="U138" i="2"/>
  <c r="R138" i="2"/>
  <c r="V138" i="2"/>
  <c r="S138" i="2"/>
  <c r="H139" i="2"/>
  <c r="M139" i="2"/>
  <c r="O139" i="2"/>
  <c r="U139" i="2"/>
  <c r="R139" i="2"/>
  <c r="V139" i="2"/>
  <c r="S139" i="2"/>
  <c r="H140" i="2"/>
  <c r="M140" i="2"/>
  <c r="O140" i="2"/>
  <c r="U140" i="2"/>
  <c r="R140" i="2"/>
  <c r="V140" i="2"/>
  <c r="S140" i="2"/>
  <c r="H141" i="2"/>
  <c r="M141" i="2"/>
  <c r="O141" i="2"/>
  <c r="U141" i="2"/>
  <c r="R141" i="2"/>
  <c r="V141" i="2"/>
  <c r="S141" i="2"/>
  <c r="H142" i="2"/>
  <c r="M142" i="2"/>
  <c r="O142" i="2"/>
  <c r="U142" i="2"/>
  <c r="R142" i="2"/>
  <c r="V142" i="2"/>
  <c r="S142" i="2"/>
  <c r="H143" i="2"/>
  <c r="M143" i="2"/>
  <c r="O143" i="2"/>
  <c r="U143" i="2"/>
  <c r="R143" i="2"/>
  <c r="V143" i="2"/>
  <c r="S143" i="2"/>
  <c r="H144" i="2"/>
  <c r="M144" i="2"/>
  <c r="O144" i="2"/>
  <c r="U144" i="2"/>
  <c r="R144" i="2"/>
  <c r="V144" i="2"/>
  <c r="S144" i="2"/>
  <c r="H145" i="2"/>
  <c r="M145" i="2"/>
  <c r="O145" i="2"/>
  <c r="U145" i="2"/>
  <c r="R145" i="2"/>
  <c r="V145" i="2"/>
  <c r="S145" i="2"/>
  <c r="H146" i="2"/>
  <c r="M146" i="2"/>
  <c r="O146" i="2"/>
  <c r="U146" i="2"/>
  <c r="R146" i="2"/>
  <c r="V146" i="2"/>
  <c r="S146" i="2"/>
  <c r="H147" i="2"/>
  <c r="M147" i="2"/>
  <c r="O147" i="2"/>
  <c r="U147" i="2"/>
  <c r="R147" i="2"/>
  <c r="V147" i="2"/>
  <c r="S147" i="2"/>
  <c r="H148" i="2"/>
  <c r="M148" i="2"/>
  <c r="O148" i="2"/>
  <c r="U148" i="2"/>
  <c r="R148" i="2"/>
  <c r="V148" i="2"/>
  <c r="S148" i="2"/>
  <c r="H149" i="2"/>
  <c r="M149" i="2"/>
  <c r="O149" i="2"/>
  <c r="U149" i="2"/>
  <c r="R149" i="2"/>
  <c r="V149" i="2"/>
  <c r="S149" i="2"/>
  <c r="H150" i="2"/>
  <c r="M150" i="2"/>
  <c r="O150" i="2"/>
  <c r="U150" i="2"/>
  <c r="R150" i="2"/>
  <c r="V150" i="2"/>
  <c r="S150" i="2"/>
  <c r="H151" i="2"/>
  <c r="M151" i="2"/>
  <c r="O151" i="2"/>
  <c r="U151" i="2"/>
  <c r="R151" i="2"/>
  <c r="V151" i="2"/>
  <c r="S151" i="2"/>
  <c r="H152" i="2"/>
  <c r="M152" i="2"/>
  <c r="O152" i="2"/>
  <c r="U152" i="2"/>
  <c r="R152" i="2"/>
  <c r="V152" i="2"/>
  <c r="S152" i="2"/>
  <c r="H153" i="2"/>
  <c r="M153" i="2"/>
  <c r="O153" i="2"/>
  <c r="U153" i="2"/>
  <c r="R153" i="2"/>
  <c r="V153" i="2"/>
  <c r="S153" i="2"/>
  <c r="H154" i="2"/>
  <c r="M154" i="2"/>
  <c r="O154" i="2"/>
  <c r="U154" i="2"/>
  <c r="R154" i="2"/>
  <c r="V154" i="2"/>
  <c r="S154" i="2"/>
  <c r="H155" i="2"/>
  <c r="M155" i="2"/>
  <c r="O155" i="2"/>
  <c r="U155" i="2"/>
  <c r="R155" i="2"/>
  <c r="V155" i="2"/>
  <c r="S155" i="2"/>
  <c r="H156" i="2"/>
  <c r="M156" i="2"/>
  <c r="O156" i="2"/>
  <c r="U156" i="2"/>
  <c r="R156" i="2"/>
  <c r="V156" i="2"/>
  <c r="S156" i="2"/>
  <c r="H157" i="2"/>
  <c r="M157" i="2"/>
  <c r="O157" i="2"/>
  <c r="U157" i="2"/>
  <c r="R157" i="2"/>
  <c r="V157" i="2"/>
  <c r="S157" i="2"/>
  <c r="H158" i="2"/>
  <c r="M158" i="2"/>
  <c r="O158" i="2"/>
  <c r="U158" i="2"/>
  <c r="R158" i="2"/>
  <c r="V158" i="2"/>
  <c r="S158" i="2"/>
  <c r="H159" i="2"/>
  <c r="M159" i="2"/>
  <c r="O159" i="2"/>
  <c r="U159" i="2"/>
  <c r="R159" i="2"/>
  <c r="V159" i="2"/>
  <c r="S159" i="2"/>
  <c r="H160" i="2"/>
  <c r="M160" i="2"/>
  <c r="O160" i="2"/>
  <c r="U160" i="2"/>
  <c r="R160" i="2"/>
  <c r="V160" i="2"/>
  <c r="S160" i="2"/>
  <c r="H161" i="2"/>
  <c r="M161" i="2"/>
  <c r="O161" i="2"/>
  <c r="U161" i="2"/>
  <c r="R161" i="2"/>
  <c r="V161" i="2"/>
  <c r="S161" i="2"/>
  <c r="H162" i="2"/>
  <c r="M162" i="2"/>
  <c r="O162" i="2"/>
  <c r="U162" i="2"/>
  <c r="R162" i="2"/>
  <c r="V162" i="2"/>
  <c r="S162" i="2"/>
  <c r="H163" i="2"/>
  <c r="M163" i="2"/>
  <c r="O163" i="2"/>
  <c r="U163" i="2"/>
  <c r="R163" i="2"/>
  <c r="V163" i="2"/>
  <c r="S163" i="2"/>
  <c r="H164" i="2"/>
  <c r="M164" i="2"/>
  <c r="O164" i="2"/>
  <c r="U164" i="2"/>
  <c r="R164" i="2"/>
  <c r="V164" i="2"/>
  <c r="S164" i="2"/>
  <c r="H165" i="2"/>
  <c r="M165" i="2"/>
  <c r="O165" i="2"/>
  <c r="U165" i="2"/>
  <c r="R165" i="2"/>
  <c r="V165" i="2"/>
  <c r="S165" i="2"/>
  <c r="H166" i="2"/>
  <c r="M166" i="2"/>
  <c r="O166" i="2"/>
  <c r="U166" i="2"/>
  <c r="R166" i="2"/>
  <c r="V166" i="2"/>
  <c r="S166" i="2"/>
  <c r="H167" i="2"/>
  <c r="M167" i="2"/>
  <c r="O167" i="2"/>
  <c r="U167" i="2"/>
  <c r="R167" i="2"/>
  <c r="V167" i="2"/>
  <c r="S167" i="2"/>
  <c r="H168" i="2"/>
  <c r="M168" i="2"/>
  <c r="O168" i="2"/>
  <c r="U168" i="2"/>
  <c r="R168" i="2"/>
  <c r="V168" i="2"/>
  <c r="S168" i="2"/>
  <c r="H169" i="2"/>
  <c r="M169" i="2"/>
  <c r="O169" i="2"/>
  <c r="U169" i="2"/>
  <c r="R169" i="2"/>
  <c r="V169" i="2"/>
  <c r="S169" i="2"/>
  <c r="H170" i="2"/>
  <c r="M170" i="2"/>
  <c r="O170" i="2"/>
  <c r="U170" i="2"/>
  <c r="R170" i="2"/>
  <c r="V170" i="2"/>
  <c r="S170" i="2"/>
  <c r="H171" i="2"/>
  <c r="M171" i="2"/>
  <c r="O171" i="2"/>
  <c r="U171" i="2"/>
  <c r="R171" i="2"/>
  <c r="V171" i="2"/>
  <c r="S171" i="2"/>
  <c r="H172" i="2"/>
  <c r="M172" i="2"/>
  <c r="O172" i="2"/>
  <c r="U172" i="2"/>
  <c r="R172" i="2"/>
  <c r="V172" i="2"/>
  <c r="S172" i="2"/>
  <c r="H173" i="2"/>
  <c r="M173" i="2"/>
  <c r="O173" i="2"/>
  <c r="U173" i="2"/>
  <c r="R173" i="2"/>
  <c r="V173" i="2"/>
  <c r="S173" i="2"/>
  <c r="H174" i="2"/>
  <c r="M174" i="2"/>
  <c r="O174" i="2"/>
  <c r="U174" i="2"/>
  <c r="R174" i="2"/>
  <c r="V174" i="2"/>
  <c r="S174" i="2"/>
  <c r="H175" i="2"/>
  <c r="M175" i="2"/>
  <c r="O175" i="2"/>
  <c r="U175" i="2"/>
  <c r="R175" i="2"/>
  <c r="V175" i="2"/>
  <c r="S175" i="2"/>
  <c r="H176" i="2"/>
  <c r="M176" i="2"/>
  <c r="O176" i="2"/>
  <c r="U176" i="2"/>
  <c r="R176" i="2"/>
  <c r="V176" i="2"/>
  <c r="S176" i="2"/>
  <c r="H177" i="2"/>
  <c r="M177" i="2"/>
  <c r="O177" i="2"/>
  <c r="U177" i="2"/>
  <c r="R177" i="2"/>
  <c r="V177" i="2"/>
  <c r="S177" i="2"/>
  <c r="H178" i="2"/>
  <c r="M178" i="2"/>
  <c r="O178" i="2"/>
  <c r="U178" i="2"/>
  <c r="R178" i="2"/>
  <c r="V178" i="2"/>
  <c r="S178" i="2"/>
  <c r="H179" i="2"/>
  <c r="M179" i="2"/>
  <c r="O179" i="2"/>
  <c r="U179" i="2"/>
  <c r="R179" i="2"/>
  <c r="V179" i="2"/>
  <c r="S179" i="2"/>
  <c r="H180" i="2"/>
  <c r="M180" i="2"/>
  <c r="O180" i="2"/>
  <c r="U180" i="2"/>
  <c r="R180" i="2"/>
  <c r="V180" i="2"/>
  <c r="S180" i="2"/>
  <c r="H181" i="2"/>
  <c r="M181" i="2"/>
  <c r="O181" i="2"/>
  <c r="U181" i="2"/>
  <c r="R181" i="2"/>
  <c r="V181" i="2"/>
  <c r="S181" i="2"/>
  <c r="H182" i="2"/>
  <c r="M182" i="2"/>
  <c r="O182" i="2"/>
  <c r="U182" i="2"/>
  <c r="R182" i="2"/>
  <c r="V182" i="2"/>
  <c r="S182" i="2"/>
  <c r="H183" i="2"/>
  <c r="M183" i="2"/>
  <c r="O183" i="2"/>
  <c r="U183" i="2"/>
  <c r="R183" i="2"/>
  <c r="V183" i="2"/>
  <c r="S183" i="2"/>
  <c r="H184" i="2"/>
  <c r="M184" i="2"/>
  <c r="O184" i="2"/>
  <c r="U184" i="2"/>
  <c r="R184" i="2"/>
  <c r="V184" i="2"/>
  <c r="S184" i="2"/>
  <c r="H185" i="2"/>
  <c r="M185" i="2"/>
  <c r="O185" i="2"/>
  <c r="U185" i="2"/>
  <c r="R185" i="2"/>
  <c r="V185" i="2"/>
  <c r="S185" i="2"/>
  <c r="H186" i="2"/>
  <c r="M186" i="2"/>
  <c r="O186" i="2"/>
  <c r="U186" i="2"/>
  <c r="R186" i="2"/>
  <c r="V186" i="2"/>
  <c r="S186" i="2"/>
  <c r="H187" i="2"/>
  <c r="M187" i="2"/>
  <c r="O187" i="2"/>
  <c r="U187" i="2"/>
  <c r="R187" i="2"/>
  <c r="V187" i="2"/>
  <c r="S187" i="2"/>
  <c r="H188" i="2"/>
  <c r="M188" i="2"/>
  <c r="O188" i="2"/>
  <c r="U188" i="2"/>
  <c r="R188" i="2"/>
  <c r="V188" i="2"/>
  <c r="S188" i="2"/>
  <c r="H189" i="2"/>
  <c r="M189" i="2"/>
  <c r="O189" i="2"/>
  <c r="U189" i="2"/>
  <c r="R189" i="2"/>
  <c r="V189" i="2"/>
  <c r="S189" i="2"/>
  <c r="H190" i="2"/>
  <c r="M190" i="2"/>
  <c r="O190" i="2"/>
  <c r="U190" i="2"/>
  <c r="R190" i="2"/>
  <c r="V190" i="2"/>
  <c r="S190" i="2"/>
  <c r="H191" i="2"/>
  <c r="M191" i="2"/>
  <c r="O191" i="2"/>
  <c r="U191" i="2"/>
  <c r="R191" i="2"/>
  <c r="V191" i="2"/>
  <c r="S191" i="2"/>
  <c r="H192" i="2"/>
  <c r="M192" i="2"/>
  <c r="O192" i="2"/>
  <c r="U192" i="2"/>
  <c r="R192" i="2"/>
  <c r="V192" i="2"/>
  <c r="S192" i="2"/>
  <c r="H193" i="2"/>
  <c r="M193" i="2"/>
  <c r="O193" i="2"/>
  <c r="U193" i="2"/>
  <c r="R193" i="2"/>
  <c r="V193" i="2"/>
  <c r="S193" i="2"/>
  <c r="H194" i="2"/>
  <c r="M194" i="2"/>
  <c r="O194" i="2"/>
  <c r="U194" i="2"/>
  <c r="R194" i="2"/>
  <c r="V194" i="2"/>
  <c r="S194" i="2"/>
  <c r="H195" i="2"/>
  <c r="M195" i="2"/>
  <c r="O195" i="2"/>
  <c r="U195" i="2"/>
  <c r="R195" i="2"/>
  <c r="V195" i="2"/>
  <c r="S195" i="2"/>
  <c r="H196" i="2"/>
  <c r="M196" i="2"/>
  <c r="O196" i="2"/>
  <c r="U196" i="2"/>
  <c r="R196" i="2"/>
  <c r="V196" i="2"/>
  <c r="S196" i="2"/>
  <c r="H197" i="2"/>
  <c r="M197" i="2"/>
  <c r="O197" i="2"/>
  <c r="U197" i="2"/>
  <c r="R197" i="2"/>
  <c r="V197" i="2"/>
  <c r="S197" i="2"/>
  <c r="H198" i="2"/>
  <c r="M198" i="2"/>
  <c r="O198" i="2"/>
  <c r="U198" i="2"/>
  <c r="R198" i="2"/>
  <c r="V198" i="2"/>
  <c r="S198" i="2"/>
  <c r="H199" i="2"/>
  <c r="M199" i="2"/>
  <c r="O199" i="2"/>
  <c r="U199" i="2"/>
  <c r="R199" i="2"/>
  <c r="V199" i="2"/>
  <c r="S199" i="2"/>
  <c r="H200" i="2"/>
  <c r="M200" i="2"/>
  <c r="O200" i="2"/>
  <c r="U200" i="2"/>
  <c r="R200" i="2"/>
  <c r="V200" i="2"/>
  <c r="S200" i="2"/>
  <c r="H201" i="2"/>
  <c r="M201" i="2"/>
  <c r="O201" i="2"/>
  <c r="U201" i="2"/>
  <c r="R201" i="2"/>
  <c r="V201" i="2"/>
  <c r="S201" i="2"/>
  <c r="H202" i="2"/>
  <c r="M202" i="2"/>
  <c r="O202" i="2"/>
  <c r="U202" i="2"/>
  <c r="R202" i="2"/>
  <c r="V202" i="2"/>
  <c r="S202" i="2"/>
  <c r="H203" i="2"/>
  <c r="M203" i="2"/>
  <c r="O203" i="2"/>
  <c r="U203" i="2"/>
  <c r="R203" i="2"/>
  <c r="V203" i="2"/>
  <c r="S203" i="2"/>
  <c r="H204" i="2"/>
  <c r="M204" i="2"/>
  <c r="O204" i="2"/>
  <c r="U204" i="2"/>
  <c r="R204" i="2"/>
  <c r="V204" i="2"/>
  <c r="S204" i="2"/>
  <c r="H205" i="2"/>
  <c r="M205" i="2"/>
  <c r="O205" i="2"/>
  <c r="U205" i="2"/>
  <c r="R205" i="2"/>
  <c r="V205" i="2"/>
  <c r="S205" i="2"/>
  <c r="H206" i="2"/>
  <c r="M206" i="2"/>
  <c r="O206" i="2"/>
  <c r="U206" i="2"/>
  <c r="R206" i="2"/>
  <c r="V206" i="2"/>
  <c r="S206" i="2"/>
  <c r="H207" i="2"/>
  <c r="M207" i="2"/>
  <c r="O207" i="2"/>
  <c r="U207" i="2"/>
  <c r="R207" i="2"/>
  <c r="V207" i="2"/>
  <c r="S207" i="2"/>
  <c r="H208" i="2"/>
  <c r="M208" i="2"/>
  <c r="O208" i="2"/>
  <c r="U208" i="2"/>
  <c r="R208" i="2"/>
  <c r="V208" i="2"/>
  <c r="S208" i="2"/>
  <c r="H209" i="2"/>
  <c r="M209" i="2"/>
  <c r="O209" i="2"/>
  <c r="U209" i="2"/>
  <c r="R209" i="2"/>
  <c r="V209" i="2"/>
  <c r="S209" i="2"/>
  <c r="H210" i="2"/>
  <c r="M210" i="2"/>
  <c r="O210" i="2"/>
  <c r="U210" i="2"/>
  <c r="R210" i="2"/>
  <c r="V210" i="2"/>
  <c r="S210" i="2"/>
  <c r="H211" i="2"/>
  <c r="M211" i="2"/>
  <c r="O211" i="2"/>
  <c r="U211" i="2"/>
  <c r="R211" i="2"/>
  <c r="V211" i="2"/>
  <c r="S211" i="2"/>
  <c r="H212" i="2"/>
  <c r="M212" i="2"/>
  <c r="O212" i="2"/>
  <c r="U212" i="2"/>
  <c r="R212" i="2"/>
  <c r="V212" i="2"/>
  <c r="S212" i="2"/>
  <c r="H213" i="2"/>
  <c r="M213" i="2"/>
  <c r="O213" i="2"/>
  <c r="U213" i="2"/>
  <c r="R213" i="2"/>
  <c r="V213" i="2"/>
  <c r="S213" i="2"/>
  <c r="H214" i="2"/>
  <c r="M214" i="2"/>
  <c r="O214" i="2"/>
  <c r="U214" i="2"/>
  <c r="R214" i="2"/>
  <c r="V214" i="2"/>
  <c r="S214" i="2"/>
  <c r="H215" i="2"/>
  <c r="M215" i="2"/>
  <c r="O215" i="2"/>
  <c r="U215" i="2"/>
  <c r="R215" i="2"/>
  <c r="V215" i="2"/>
  <c r="S215" i="2"/>
  <c r="H216" i="2"/>
  <c r="M216" i="2"/>
  <c r="O216" i="2"/>
  <c r="U216" i="2"/>
  <c r="R216" i="2"/>
  <c r="V216" i="2"/>
  <c r="S216" i="2"/>
  <c r="H217" i="2"/>
  <c r="M217" i="2"/>
  <c r="O217" i="2"/>
  <c r="U217" i="2"/>
  <c r="R217" i="2"/>
  <c r="V217" i="2"/>
  <c r="S217" i="2"/>
  <c r="H218" i="2"/>
  <c r="M218" i="2"/>
  <c r="O218" i="2"/>
  <c r="U218" i="2"/>
  <c r="R218" i="2"/>
  <c r="V218" i="2"/>
  <c r="S218" i="2"/>
  <c r="H219" i="2"/>
  <c r="M219" i="2"/>
  <c r="O219" i="2"/>
  <c r="U219" i="2"/>
  <c r="R219" i="2"/>
  <c r="V219" i="2"/>
  <c r="S219" i="2"/>
  <c r="H220" i="2"/>
  <c r="M220" i="2"/>
  <c r="O220" i="2"/>
  <c r="U220" i="2"/>
  <c r="R220" i="2"/>
  <c r="V220" i="2"/>
  <c r="S220" i="2"/>
  <c r="H221" i="2"/>
  <c r="M221" i="2"/>
  <c r="O221" i="2"/>
  <c r="U221" i="2"/>
  <c r="R221" i="2"/>
  <c r="V221" i="2"/>
  <c r="S221" i="2"/>
  <c r="H222" i="2"/>
  <c r="M222" i="2"/>
  <c r="O222" i="2"/>
  <c r="U222" i="2"/>
  <c r="R222" i="2"/>
  <c r="V222" i="2"/>
  <c r="S222" i="2"/>
  <c r="H223" i="2"/>
  <c r="M223" i="2"/>
  <c r="O223" i="2"/>
  <c r="U223" i="2"/>
  <c r="R223" i="2"/>
  <c r="V223" i="2"/>
  <c r="S223" i="2"/>
  <c r="H224" i="2"/>
  <c r="M224" i="2"/>
  <c r="O224" i="2"/>
  <c r="U224" i="2"/>
  <c r="R224" i="2"/>
  <c r="V224" i="2"/>
  <c r="S224" i="2"/>
  <c r="H225" i="2"/>
  <c r="M225" i="2"/>
  <c r="O225" i="2"/>
  <c r="U225" i="2"/>
  <c r="R225" i="2"/>
  <c r="V225" i="2"/>
  <c r="S225" i="2"/>
  <c r="H226" i="2"/>
  <c r="M226" i="2"/>
  <c r="O226" i="2"/>
  <c r="U226" i="2"/>
  <c r="R226" i="2"/>
  <c r="V226" i="2"/>
  <c r="S226" i="2"/>
  <c r="H227" i="2"/>
  <c r="M227" i="2"/>
  <c r="O227" i="2"/>
  <c r="U227" i="2"/>
  <c r="R227" i="2"/>
  <c r="V227" i="2"/>
  <c r="S227" i="2"/>
  <c r="H228" i="2"/>
  <c r="M228" i="2"/>
  <c r="O228" i="2"/>
  <c r="U228" i="2"/>
  <c r="R228" i="2"/>
  <c r="V228" i="2"/>
  <c r="S228" i="2"/>
  <c r="H229" i="2"/>
  <c r="M229" i="2"/>
  <c r="O229" i="2"/>
  <c r="U229" i="2"/>
  <c r="R229" i="2"/>
  <c r="V229" i="2"/>
  <c r="S229" i="2"/>
  <c r="H230" i="2"/>
  <c r="M230" i="2"/>
  <c r="O230" i="2"/>
  <c r="U230" i="2"/>
  <c r="R230" i="2"/>
  <c r="V230" i="2"/>
  <c r="S230" i="2"/>
  <c r="H231" i="2"/>
  <c r="M231" i="2"/>
  <c r="O231" i="2"/>
  <c r="U231" i="2"/>
  <c r="R231" i="2"/>
  <c r="V231" i="2"/>
  <c r="S231" i="2"/>
  <c r="H232" i="2"/>
  <c r="M232" i="2"/>
  <c r="O232" i="2"/>
  <c r="U232" i="2"/>
  <c r="R232" i="2"/>
  <c r="V232" i="2"/>
  <c r="S232" i="2"/>
  <c r="H233" i="2"/>
  <c r="M233" i="2"/>
  <c r="O233" i="2"/>
  <c r="U233" i="2"/>
  <c r="R233" i="2"/>
  <c r="V233" i="2"/>
  <c r="S233" i="2"/>
  <c r="H234" i="2"/>
  <c r="M234" i="2"/>
  <c r="O234" i="2"/>
  <c r="U234" i="2"/>
  <c r="R234" i="2"/>
  <c r="V234" i="2"/>
  <c r="S234" i="2"/>
  <c r="H235" i="2"/>
  <c r="M235" i="2"/>
  <c r="O235" i="2"/>
  <c r="U235" i="2"/>
  <c r="R235" i="2"/>
  <c r="V235" i="2"/>
  <c r="S235" i="2"/>
  <c r="H236" i="2"/>
  <c r="M236" i="2"/>
  <c r="O236" i="2"/>
  <c r="U236" i="2"/>
  <c r="R236" i="2"/>
  <c r="V236" i="2"/>
  <c r="S236" i="2"/>
  <c r="H237" i="2"/>
  <c r="M237" i="2"/>
  <c r="O237" i="2"/>
  <c r="U237" i="2"/>
  <c r="R237" i="2"/>
  <c r="V237" i="2"/>
  <c r="S237" i="2"/>
  <c r="H238" i="2"/>
  <c r="M238" i="2"/>
  <c r="O238" i="2"/>
  <c r="U238" i="2"/>
  <c r="R238" i="2"/>
  <c r="V238" i="2"/>
  <c r="S238" i="2"/>
  <c r="H239" i="2"/>
  <c r="M239" i="2"/>
  <c r="O239" i="2"/>
  <c r="U239" i="2"/>
  <c r="R239" i="2"/>
  <c r="V239" i="2"/>
  <c r="S239" i="2"/>
  <c r="H240" i="2"/>
  <c r="M240" i="2"/>
  <c r="O240" i="2"/>
  <c r="U240" i="2"/>
  <c r="R240" i="2"/>
  <c r="V240" i="2"/>
  <c r="S240" i="2"/>
  <c r="H241" i="2"/>
  <c r="M241" i="2"/>
  <c r="O241" i="2"/>
  <c r="U241" i="2"/>
  <c r="R241" i="2"/>
  <c r="V241" i="2"/>
  <c r="S241" i="2"/>
  <c r="H242" i="2"/>
  <c r="M242" i="2"/>
  <c r="O242" i="2"/>
  <c r="U242" i="2"/>
  <c r="R242" i="2"/>
  <c r="V242" i="2"/>
  <c r="S242" i="2"/>
  <c r="H243" i="2"/>
  <c r="M243" i="2"/>
  <c r="O243" i="2"/>
  <c r="U243" i="2"/>
  <c r="R243" i="2"/>
  <c r="V243" i="2"/>
  <c r="S243" i="2"/>
  <c r="H244" i="2"/>
  <c r="M244" i="2"/>
  <c r="O244" i="2"/>
  <c r="U244" i="2"/>
  <c r="R244" i="2"/>
  <c r="V244" i="2"/>
  <c r="S244" i="2"/>
  <c r="H245" i="2"/>
  <c r="M245" i="2"/>
  <c r="O245" i="2"/>
  <c r="U245" i="2"/>
  <c r="R245" i="2"/>
  <c r="V245" i="2"/>
  <c r="S245" i="2"/>
  <c r="H246" i="2"/>
  <c r="M246" i="2"/>
  <c r="O246" i="2"/>
  <c r="U246" i="2"/>
  <c r="R246" i="2"/>
  <c r="V246" i="2"/>
  <c r="S246" i="2"/>
  <c r="H247" i="2"/>
  <c r="M247" i="2"/>
  <c r="O247" i="2"/>
  <c r="U247" i="2"/>
  <c r="R247" i="2"/>
  <c r="V247" i="2"/>
  <c r="S247" i="2"/>
  <c r="H248" i="2"/>
  <c r="M248" i="2"/>
  <c r="O248" i="2"/>
  <c r="U248" i="2"/>
  <c r="R248" i="2"/>
  <c r="V248" i="2"/>
  <c r="S248" i="2"/>
  <c r="H249" i="2"/>
  <c r="M249" i="2"/>
  <c r="O249" i="2"/>
  <c r="U249" i="2"/>
  <c r="R249" i="2"/>
  <c r="V249" i="2"/>
  <c r="S249" i="2"/>
  <c r="H250" i="2"/>
  <c r="M250" i="2"/>
  <c r="O250" i="2"/>
  <c r="U250" i="2"/>
  <c r="R250" i="2"/>
  <c r="V250" i="2"/>
  <c r="S250" i="2"/>
  <c r="H251" i="2"/>
  <c r="M251" i="2"/>
  <c r="O251" i="2"/>
  <c r="U251" i="2"/>
  <c r="R251" i="2"/>
  <c r="V251" i="2"/>
  <c r="S251" i="2"/>
  <c r="H252" i="2"/>
  <c r="M252" i="2"/>
  <c r="O252" i="2"/>
  <c r="U252" i="2"/>
  <c r="R252" i="2"/>
  <c r="V252" i="2"/>
  <c r="S252" i="2"/>
  <c r="H253" i="2"/>
  <c r="M253" i="2"/>
  <c r="O253" i="2"/>
  <c r="U253" i="2"/>
  <c r="R253" i="2"/>
  <c r="V253" i="2"/>
  <c r="S253" i="2"/>
  <c r="H254" i="2"/>
  <c r="M254" i="2"/>
  <c r="O254" i="2"/>
  <c r="U254" i="2"/>
  <c r="R254" i="2"/>
  <c r="V254" i="2"/>
  <c r="S254" i="2"/>
  <c r="H255" i="2"/>
  <c r="M255" i="2"/>
  <c r="O255" i="2"/>
  <c r="U255" i="2"/>
  <c r="R255" i="2"/>
  <c r="V255" i="2"/>
  <c r="S255" i="2"/>
  <c r="H256" i="2"/>
  <c r="M256" i="2"/>
  <c r="O256" i="2"/>
  <c r="U256" i="2"/>
  <c r="R256" i="2"/>
  <c r="V256" i="2"/>
  <c r="S256" i="2"/>
  <c r="H257" i="2"/>
  <c r="M257" i="2"/>
  <c r="O257" i="2"/>
  <c r="U257" i="2"/>
  <c r="R257" i="2"/>
  <c r="V257" i="2"/>
  <c r="S257" i="2"/>
  <c r="H258" i="2"/>
  <c r="M258" i="2"/>
  <c r="O258" i="2"/>
  <c r="U258" i="2"/>
  <c r="R258" i="2"/>
  <c r="V258" i="2"/>
  <c r="S258" i="2"/>
  <c r="H259" i="2"/>
  <c r="M259" i="2"/>
  <c r="O259" i="2"/>
  <c r="U259" i="2"/>
  <c r="R259" i="2"/>
  <c r="V259" i="2"/>
  <c r="S259" i="2"/>
  <c r="H260" i="2"/>
  <c r="M260" i="2"/>
  <c r="O260" i="2"/>
  <c r="U260" i="2"/>
  <c r="R260" i="2"/>
  <c r="V260" i="2"/>
  <c r="S260" i="2"/>
  <c r="H261" i="2"/>
  <c r="M261" i="2"/>
  <c r="O261" i="2"/>
  <c r="U261" i="2"/>
  <c r="R261" i="2"/>
  <c r="V261" i="2"/>
  <c r="S261" i="2"/>
  <c r="H262" i="2"/>
  <c r="M262" i="2"/>
  <c r="O262" i="2"/>
  <c r="U262" i="2"/>
  <c r="R262" i="2"/>
  <c r="V262" i="2"/>
  <c r="S262" i="2"/>
  <c r="H263" i="2"/>
  <c r="M263" i="2"/>
  <c r="O263" i="2"/>
  <c r="U263" i="2"/>
  <c r="R263" i="2"/>
  <c r="V263" i="2"/>
  <c r="S263" i="2"/>
  <c r="H264" i="2"/>
  <c r="M264" i="2"/>
  <c r="O264" i="2"/>
  <c r="U264" i="2"/>
  <c r="R264" i="2"/>
  <c r="V264" i="2"/>
  <c r="S264" i="2"/>
  <c r="H265" i="2"/>
  <c r="M265" i="2"/>
  <c r="O265" i="2"/>
  <c r="U265" i="2"/>
  <c r="R265" i="2"/>
  <c r="V265" i="2"/>
  <c r="S265" i="2"/>
  <c r="H266" i="2"/>
  <c r="M266" i="2"/>
  <c r="O266" i="2"/>
  <c r="U266" i="2"/>
  <c r="R266" i="2"/>
  <c r="V266" i="2"/>
  <c r="S266" i="2"/>
  <c r="H267" i="2"/>
  <c r="M267" i="2"/>
  <c r="O267" i="2"/>
  <c r="U267" i="2"/>
  <c r="R267" i="2"/>
  <c r="V267" i="2"/>
  <c r="S267" i="2"/>
  <c r="H268" i="2"/>
  <c r="M268" i="2"/>
  <c r="O268" i="2"/>
  <c r="U268" i="2"/>
  <c r="R268" i="2"/>
  <c r="V268" i="2"/>
  <c r="S268" i="2"/>
  <c r="H269" i="2"/>
  <c r="M269" i="2"/>
  <c r="O269" i="2"/>
  <c r="U269" i="2"/>
  <c r="R269" i="2"/>
  <c r="V269" i="2"/>
  <c r="S269" i="2"/>
  <c r="H270" i="2"/>
  <c r="M270" i="2"/>
  <c r="O270" i="2"/>
  <c r="U270" i="2"/>
  <c r="R270" i="2"/>
  <c r="V270" i="2"/>
  <c r="S270" i="2"/>
  <c r="H271" i="2"/>
  <c r="M271" i="2"/>
  <c r="O271" i="2"/>
  <c r="U271" i="2"/>
  <c r="R271" i="2"/>
  <c r="V271" i="2"/>
  <c r="S271" i="2"/>
  <c r="H272" i="2"/>
  <c r="M272" i="2"/>
  <c r="O272" i="2"/>
  <c r="U272" i="2"/>
  <c r="R272" i="2"/>
  <c r="V272" i="2"/>
  <c r="S272" i="2"/>
  <c r="H273" i="2"/>
  <c r="M273" i="2"/>
  <c r="O273" i="2"/>
  <c r="U273" i="2"/>
  <c r="R273" i="2"/>
  <c r="V273" i="2"/>
  <c r="S273" i="2"/>
  <c r="H274" i="2"/>
  <c r="M274" i="2"/>
  <c r="O274" i="2"/>
  <c r="U274" i="2"/>
  <c r="R274" i="2"/>
  <c r="V274" i="2"/>
  <c r="S274" i="2"/>
  <c r="H275" i="2"/>
  <c r="M275" i="2"/>
  <c r="O275" i="2"/>
  <c r="U275" i="2"/>
  <c r="R275" i="2"/>
  <c r="V275" i="2"/>
  <c r="S275" i="2"/>
  <c r="H276" i="2"/>
  <c r="M276" i="2"/>
  <c r="O276" i="2"/>
  <c r="U276" i="2"/>
  <c r="R276" i="2"/>
  <c r="V276" i="2"/>
  <c r="S276" i="2"/>
  <c r="H277" i="2"/>
  <c r="M277" i="2"/>
  <c r="O277" i="2"/>
  <c r="U277" i="2"/>
  <c r="R277" i="2"/>
  <c r="V277" i="2"/>
  <c r="S277" i="2"/>
  <c r="H278" i="2"/>
  <c r="M278" i="2"/>
  <c r="O278" i="2"/>
  <c r="U278" i="2"/>
  <c r="R278" i="2"/>
  <c r="V278" i="2"/>
  <c r="S278" i="2"/>
  <c r="H279" i="2"/>
  <c r="M279" i="2"/>
  <c r="O279" i="2"/>
  <c r="U279" i="2"/>
  <c r="R279" i="2"/>
  <c r="V279" i="2"/>
  <c r="S279" i="2"/>
  <c r="H280" i="2"/>
  <c r="M280" i="2"/>
  <c r="O280" i="2"/>
  <c r="U280" i="2"/>
  <c r="R280" i="2"/>
  <c r="V280" i="2"/>
  <c r="S280" i="2"/>
  <c r="H281" i="2"/>
  <c r="M281" i="2"/>
  <c r="O281" i="2"/>
  <c r="U281" i="2"/>
  <c r="R281" i="2"/>
  <c r="V281" i="2"/>
  <c r="S281" i="2"/>
  <c r="H282" i="2"/>
  <c r="M282" i="2"/>
  <c r="O282" i="2"/>
  <c r="U282" i="2"/>
  <c r="R282" i="2"/>
  <c r="V282" i="2"/>
  <c r="S282" i="2"/>
  <c r="H283" i="2"/>
  <c r="M283" i="2"/>
  <c r="O283" i="2"/>
  <c r="U283" i="2"/>
  <c r="R283" i="2"/>
  <c r="V283" i="2"/>
  <c r="S283" i="2"/>
  <c r="H284" i="2"/>
  <c r="M284" i="2"/>
  <c r="O284" i="2"/>
  <c r="U284" i="2"/>
  <c r="R284" i="2"/>
  <c r="V284" i="2"/>
  <c r="S284" i="2"/>
  <c r="H285" i="2"/>
  <c r="M285" i="2"/>
  <c r="O285" i="2"/>
  <c r="U285" i="2"/>
  <c r="R285" i="2"/>
  <c r="V285" i="2"/>
  <c r="S285" i="2"/>
  <c r="H286" i="2"/>
  <c r="M286" i="2"/>
  <c r="O286" i="2"/>
  <c r="U286" i="2"/>
  <c r="R286" i="2"/>
  <c r="V286" i="2"/>
  <c r="S286" i="2"/>
  <c r="H287" i="2"/>
  <c r="M287" i="2"/>
  <c r="O287" i="2"/>
  <c r="U287" i="2"/>
  <c r="R287" i="2"/>
  <c r="V287" i="2"/>
  <c r="S287" i="2"/>
  <c r="H288" i="2"/>
  <c r="M288" i="2"/>
  <c r="O288" i="2"/>
  <c r="U288" i="2"/>
  <c r="R288" i="2"/>
  <c r="V288" i="2"/>
  <c r="S288" i="2"/>
  <c r="H289" i="2"/>
  <c r="M289" i="2"/>
  <c r="O289" i="2"/>
  <c r="U289" i="2"/>
  <c r="R289" i="2"/>
  <c r="V289" i="2"/>
  <c r="S289" i="2"/>
  <c r="H290" i="2"/>
  <c r="M290" i="2"/>
  <c r="O290" i="2"/>
  <c r="U290" i="2"/>
  <c r="R290" i="2"/>
  <c r="V290" i="2"/>
  <c r="S290" i="2"/>
  <c r="H291" i="2"/>
  <c r="M291" i="2"/>
  <c r="O291" i="2"/>
  <c r="U291" i="2"/>
  <c r="R291" i="2"/>
  <c r="V291" i="2"/>
  <c r="S291" i="2"/>
  <c r="H292" i="2"/>
  <c r="M292" i="2"/>
  <c r="O292" i="2"/>
  <c r="U292" i="2"/>
  <c r="R292" i="2"/>
  <c r="V292" i="2"/>
  <c r="S292" i="2"/>
  <c r="H293" i="2"/>
  <c r="M293" i="2"/>
  <c r="O293" i="2"/>
  <c r="U293" i="2"/>
  <c r="R293" i="2"/>
  <c r="V293" i="2"/>
  <c r="S293" i="2"/>
  <c r="H294" i="2"/>
  <c r="M294" i="2"/>
  <c r="O294" i="2"/>
  <c r="U294" i="2"/>
  <c r="R294" i="2"/>
  <c r="V294" i="2"/>
  <c r="S294" i="2"/>
  <c r="H295" i="2"/>
  <c r="M295" i="2"/>
  <c r="O295" i="2"/>
  <c r="U295" i="2"/>
  <c r="R295" i="2"/>
  <c r="V295" i="2"/>
  <c r="S295" i="2"/>
  <c r="H296" i="2"/>
  <c r="M296" i="2"/>
  <c r="O296" i="2"/>
  <c r="U296" i="2"/>
  <c r="R296" i="2"/>
  <c r="V296" i="2"/>
  <c r="S296" i="2"/>
  <c r="H297" i="2"/>
  <c r="M297" i="2"/>
  <c r="O297" i="2"/>
  <c r="U297" i="2"/>
  <c r="R297" i="2"/>
  <c r="V297" i="2"/>
  <c r="S297" i="2"/>
  <c r="H298" i="2"/>
  <c r="M298" i="2"/>
  <c r="O298" i="2"/>
  <c r="U298" i="2"/>
  <c r="R298" i="2"/>
  <c r="V298" i="2"/>
  <c r="S298" i="2"/>
  <c r="H299" i="2"/>
  <c r="M299" i="2"/>
  <c r="O299" i="2"/>
  <c r="U299" i="2"/>
  <c r="R299" i="2"/>
  <c r="V299" i="2"/>
  <c r="S299" i="2"/>
  <c r="H300" i="2"/>
  <c r="M300" i="2"/>
  <c r="O300" i="2"/>
  <c r="U300" i="2"/>
  <c r="R300" i="2"/>
  <c r="V300" i="2"/>
  <c r="S300" i="2"/>
  <c r="H301" i="2"/>
  <c r="M301" i="2"/>
  <c r="O301" i="2"/>
  <c r="U301" i="2"/>
  <c r="R301" i="2"/>
  <c r="V301" i="2"/>
  <c r="S301" i="2"/>
  <c r="H302" i="2"/>
  <c r="M302" i="2"/>
  <c r="O302" i="2"/>
  <c r="U302" i="2"/>
  <c r="R302" i="2"/>
  <c r="V302" i="2"/>
  <c r="S302" i="2"/>
  <c r="H303" i="2"/>
  <c r="M303" i="2"/>
  <c r="O303" i="2"/>
  <c r="U303" i="2"/>
  <c r="R303" i="2"/>
  <c r="V303" i="2"/>
  <c r="S303" i="2"/>
  <c r="H304" i="2"/>
  <c r="M304" i="2"/>
  <c r="O304" i="2"/>
  <c r="U304" i="2"/>
  <c r="R304" i="2"/>
  <c r="V304" i="2"/>
  <c r="S304" i="2"/>
  <c r="H305" i="2"/>
  <c r="M305" i="2"/>
  <c r="O305" i="2"/>
  <c r="U305" i="2"/>
  <c r="R305" i="2"/>
  <c r="V305" i="2"/>
  <c r="S305" i="2"/>
  <c r="H306" i="2"/>
  <c r="M306" i="2"/>
  <c r="O306" i="2"/>
  <c r="U306" i="2"/>
  <c r="R306" i="2"/>
  <c r="V306" i="2"/>
  <c r="S306" i="2"/>
  <c r="H307" i="2"/>
  <c r="M307" i="2"/>
  <c r="O307" i="2"/>
  <c r="U307" i="2"/>
  <c r="R307" i="2"/>
  <c r="V307" i="2"/>
  <c r="S307" i="2"/>
  <c r="H308" i="2"/>
  <c r="M308" i="2"/>
  <c r="O308" i="2"/>
  <c r="U308" i="2"/>
  <c r="R308" i="2"/>
  <c r="V308" i="2"/>
  <c r="S308" i="2"/>
  <c r="H309" i="2"/>
  <c r="M309" i="2"/>
  <c r="O309" i="2"/>
  <c r="U309" i="2"/>
  <c r="R309" i="2"/>
  <c r="V309" i="2"/>
  <c r="S309" i="2"/>
  <c r="H310" i="2"/>
  <c r="M310" i="2"/>
  <c r="O310" i="2"/>
  <c r="U310" i="2"/>
  <c r="R310" i="2"/>
  <c r="V310" i="2"/>
  <c r="S310" i="2"/>
  <c r="H311" i="2"/>
  <c r="M311" i="2"/>
  <c r="O311" i="2"/>
  <c r="U311" i="2"/>
  <c r="R311" i="2"/>
  <c r="V311" i="2"/>
  <c r="S311" i="2"/>
  <c r="H312" i="2"/>
  <c r="M312" i="2"/>
  <c r="O312" i="2"/>
  <c r="U312" i="2"/>
  <c r="R312" i="2"/>
  <c r="V312" i="2"/>
  <c r="S312" i="2"/>
  <c r="H313" i="2"/>
  <c r="M313" i="2"/>
  <c r="O313" i="2"/>
  <c r="U313" i="2"/>
  <c r="R313" i="2"/>
  <c r="V313" i="2"/>
  <c r="S313" i="2"/>
  <c r="H314" i="2"/>
  <c r="M314" i="2"/>
  <c r="O314" i="2"/>
  <c r="U314" i="2"/>
  <c r="R314" i="2"/>
  <c r="V314" i="2"/>
  <c r="S314" i="2"/>
  <c r="H315" i="2"/>
  <c r="M315" i="2"/>
  <c r="O315" i="2"/>
  <c r="U315" i="2"/>
  <c r="R315" i="2"/>
  <c r="V315" i="2"/>
  <c r="S315" i="2"/>
  <c r="H316" i="2"/>
  <c r="M316" i="2"/>
  <c r="O316" i="2"/>
  <c r="U316" i="2"/>
  <c r="R316" i="2"/>
  <c r="V316" i="2"/>
  <c r="S316" i="2"/>
  <c r="H317" i="2"/>
  <c r="M317" i="2"/>
  <c r="O317" i="2"/>
  <c r="U317" i="2"/>
  <c r="R317" i="2"/>
  <c r="V317" i="2"/>
  <c r="S317" i="2"/>
  <c r="H318" i="2"/>
  <c r="M318" i="2"/>
  <c r="O318" i="2"/>
  <c r="U318" i="2"/>
  <c r="R318" i="2"/>
  <c r="V318" i="2"/>
  <c r="S318" i="2"/>
  <c r="H319" i="2"/>
  <c r="M319" i="2"/>
  <c r="O319" i="2"/>
  <c r="U319" i="2"/>
  <c r="R319" i="2"/>
  <c r="V319" i="2"/>
  <c r="S319" i="2"/>
  <c r="H320" i="2"/>
  <c r="M320" i="2"/>
  <c r="O320" i="2"/>
  <c r="U320" i="2"/>
  <c r="R320" i="2"/>
  <c r="V320" i="2"/>
  <c r="S320" i="2"/>
  <c r="H321" i="2"/>
  <c r="M321" i="2"/>
  <c r="O321" i="2"/>
  <c r="U321" i="2"/>
  <c r="R321" i="2"/>
  <c r="V321" i="2"/>
  <c r="S321" i="2"/>
  <c r="H322" i="2"/>
  <c r="M322" i="2"/>
  <c r="O322" i="2"/>
  <c r="U322" i="2"/>
  <c r="R322" i="2"/>
  <c r="V322" i="2"/>
  <c r="S322" i="2"/>
  <c r="H323" i="2"/>
  <c r="M323" i="2"/>
  <c r="O323" i="2"/>
  <c r="U323" i="2"/>
  <c r="R323" i="2"/>
  <c r="V323" i="2"/>
  <c r="S323" i="2"/>
  <c r="H324" i="2"/>
  <c r="M324" i="2"/>
  <c r="O324" i="2"/>
  <c r="U324" i="2"/>
  <c r="R324" i="2"/>
  <c r="V324" i="2"/>
  <c r="S324" i="2"/>
  <c r="H325" i="2"/>
  <c r="M325" i="2"/>
  <c r="O325" i="2"/>
  <c r="U325" i="2"/>
  <c r="R325" i="2"/>
  <c r="V325" i="2"/>
  <c r="S325" i="2"/>
  <c r="H326" i="2"/>
  <c r="M326" i="2"/>
  <c r="O326" i="2"/>
  <c r="U326" i="2"/>
  <c r="R326" i="2"/>
  <c r="V326" i="2"/>
  <c r="S326" i="2"/>
  <c r="H327" i="2"/>
  <c r="M327" i="2"/>
  <c r="O327" i="2"/>
  <c r="U327" i="2"/>
  <c r="R327" i="2"/>
  <c r="V327" i="2"/>
  <c r="S327" i="2"/>
  <c r="H328" i="2"/>
  <c r="M328" i="2"/>
  <c r="O328" i="2"/>
  <c r="U328" i="2"/>
  <c r="R328" i="2"/>
  <c r="V328" i="2"/>
  <c r="S328" i="2"/>
  <c r="H329" i="2"/>
  <c r="M329" i="2"/>
  <c r="O329" i="2"/>
  <c r="U329" i="2"/>
  <c r="R329" i="2"/>
  <c r="V329" i="2"/>
  <c r="S329" i="2"/>
  <c r="H330" i="2"/>
  <c r="M330" i="2"/>
  <c r="O330" i="2"/>
  <c r="U330" i="2"/>
  <c r="R330" i="2"/>
  <c r="V330" i="2"/>
  <c r="S330" i="2"/>
  <c r="H331" i="2"/>
  <c r="M331" i="2"/>
  <c r="O331" i="2"/>
  <c r="U331" i="2"/>
  <c r="R331" i="2"/>
  <c r="V331" i="2"/>
  <c r="S331" i="2"/>
  <c r="H332" i="2"/>
  <c r="M332" i="2"/>
  <c r="O332" i="2"/>
  <c r="U332" i="2"/>
  <c r="R332" i="2"/>
  <c r="V332" i="2"/>
  <c r="S332" i="2"/>
  <c r="H333" i="2"/>
  <c r="M333" i="2"/>
  <c r="O333" i="2"/>
  <c r="U333" i="2"/>
  <c r="R333" i="2"/>
  <c r="V333" i="2"/>
  <c r="S333" i="2"/>
  <c r="H334" i="2"/>
  <c r="M334" i="2"/>
  <c r="O334" i="2"/>
  <c r="U334" i="2"/>
  <c r="R334" i="2"/>
  <c r="V334" i="2"/>
  <c r="S334" i="2"/>
  <c r="H335" i="2"/>
  <c r="M335" i="2"/>
  <c r="O335" i="2"/>
  <c r="U335" i="2"/>
  <c r="R335" i="2"/>
  <c r="V335" i="2"/>
  <c r="S335" i="2"/>
  <c r="H336" i="2"/>
  <c r="M336" i="2"/>
  <c r="O336" i="2"/>
  <c r="U336" i="2"/>
  <c r="R336" i="2"/>
  <c r="V336" i="2"/>
  <c r="S336" i="2"/>
  <c r="H337" i="2"/>
  <c r="M337" i="2"/>
  <c r="O337" i="2"/>
  <c r="U337" i="2"/>
  <c r="R337" i="2"/>
  <c r="V337" i="2"/>
  <c r="S337" i="2"/>
  <c r="H338" i="2"/>
  <c r="M338" i="2"/>
  <c r="O338" i="2"/>
  <c r="U338" i="2"/>
  <c r="R338" i="2"/>
  <c r="V338" i="2"/>
  <c r="S338" i="2"/>
  <c r="H339" i="2"/>
  <c r="M339" i="2"/>
  <c r="O339" i="2"/>
  <c r="U339" i="2"/>
  <c r="R339" i="2"/>
  <c r="V339" i="2"/>
  <c r="S339" i="2"/>
  <c r="H340" i="2"/>
  <c r="M340" i="2"/>
  <c r="O340" i="2"/>
  <c r="U340" i="2"/>
  <c r="R340" i="2"/>
  <c r="V340" i="2"/>
  <c r="S340" i="2"/>
  <c r="H341" i="2"/>
  <c r="M341" i="2"/>
  <c r="O341" i="2"/>
  <c r="U341" i="2"/>
  <c r="R341" i="2"/>
  <c r="V341" i="2"/>
  <c r="S341" i="2"/>
  <c r="H342" i="2"/>
  <c r="M342" i="2"/>
  <c r="O342" i="2"/>
  <c r="U342" i="2"/>
  <c r="R342" i="2"/>
  <c r="V342" i="2"/>
  <c r="S342" i="2"/>
  <c r="H343" i="2"/>
  <c r="M343" i="2"/>
  <c r="O343" i="2"/>
  <c r="U343" i="2"/>
  <c r="R343" i="2"/>
  <c r="V343" i="2"/>
  <c r="S343" i="2"/>
  <c r="H344" i="2"/>
  <c r="M344" i="2"/>
  <c r="O344" i="2"/>
  <c r="U344" i="2"/>
  <c r="R344" i="2"/>
  <c r="V344" i="2"/>
  <c r="S344" i="2"/>
  <c r="H345" i="2"/>
  <c r="M345" i="2"/>
  <c r="O345" i="2"/>
  <c r="U345" i="2"/>
  <c r="R345" i="2"/>
  <c r="V345" i="2"/>
  <c r="S345" i="2"/>
  <c r="H346" i="2"/>
  <c r="M346" i="2"/>
  <c r="O346" i="2"/>
  <c r="U346" i="2"/>
  <c r="R346" i="2"/>
  <c r="V346" i="2"/>
  <c r="S346" i="2"/>
  <c r="H347" i="2"/>
  <c r="M347" i="2"/>
  <c r="O347" i="2"/>
  <c r="U347" i="2"/>
  <c r="R347" i="2"/>
  <c r="V347" i="2"/>
  <c r="S347" i="2"/>
  <c r="H348" i="2"/>
  <c r="M348" i="2"/>
  <c r="O348" i="2"/>
  <c r="U348" i="2"/>
  <c r="R348" i="2"/>
  <c r="V348" i="2"/>
  <c r="S348" i="2"/>
  <c r="H349" i="2"/>
  <c r="M349" i="2"/>
  <c r="O349" i="2"/>
  <c r="U349" i="2"/>
  <c r="R349" i="2"/>
  <c r="V349" i="2"/>
  <c r="S349" i="2"/>
  <c r="H350" i="2"/>
  <c r="M350" i="2"/>
  <c r="O350" i="2"/>
  <c r="U350" i="2"/>
  <c r="R350" i="2"/>
  <c r="V350" i="2"/>
  <c r="S350" i="2"/>
  <c r="H351" i="2"/>
  <c r="M351" i="2"/>
  <c r="O351" i="2"/>
  <c r="U351" i="2"/>
  <c r="R351" i="2"/>
  <c r="V351" i="2"/>
  <c r="S351" i="2"/>
  <c r="H352" i="2"/>
  <c r="M352" i="2"/>
  <c r="O352" i="2"/>
  <c r="U352" i="2"/>
  <c r="R352" i="2"/>
  <c r="V352" i="2"/>
  <c r="S352" i="2"/>
  <c r="H353" i="2"/>
  <c r="M353" i="2"/>
  <c r="O353" i="2"/>
  <c r="U353" i="2"/>
  <c r="R353" i="2"/>
  <c r="V353" i="2"/>
  <c r="S353" i="2"/>
  <c r="H354" i="2"/>
  <c r="M354" i="2"/>
  <c r="O354" i="2"/>
  <c r="U354" i="2"/>
  <c r="R354" i="2"/>
  <c r="V354" i="2"/>
  <c r="S354" i="2"/>
  <c r="H355" i="2"/>
  <c r="M355" i="2"/>
  <c r="O355" i="2"/>
  <c r="U355" i="2"/>
  <c r="R355" i="2"/>
  <c r="V355" i="2"/>
  <c r="S355" i="2"/>
  <c r="H356" i="2"/>
  <c r="M356" i="2"/>
  <c r="O356" i="2"/>
  <c r="U356" i="2"/>
  <c r="R356" i="2"/>
  <c r="V356" i="2"/>
  <c r="S356" i="2"/>
  <c r="H357" i="2"/>
  <c r="M357" i="2"/>
  <c r="O357" i="2"/>
  <c r="U357" i="2"/>
  <c r="R357" i="2"/>
  <c r="V357" i="2"/>
  <c r="S357" i="2"/>
  <c r="H358" i="2"/>
  <c r="M358" i="2"/>
  <c r="O358" i="2"/>
  <c r="U358" i="2"/>
  <c r="R358" i="2"/>
  <c r="V358" i="2"/>
  <c r="S358" i="2"/>
  <c r="H359" i="2"/>
  <c r="M359" i="2"/>
  <c r="O359" i="2"/>
  <c r="U359" i="2"/>
  <c r="R359" i="2"/>
  <c r="V359" i="2"/>
  <c r="S359" i="2"/>
  <c r="H360" i="2"/>
  <c r="M360" i="2"/>
  <c r="O360" i="2"/>
  <c r="U360" i="2"/>
  <c r="R360" i="2"/>
  <c r="V360" i="2"/>
  <c r="S360" i="2"/>
  <c r="H361" i="2"/>
  <c r="M361" i="2"/>
  <c r="O361" i="2"/>
  <c r="U361" i="2"/>
  <c r="R361" i="2"/>
  <c r="V361" i="2"/>
  <c r="S361" i="2"/>
  <c r="H362" i="2"/>
  <c r="M362" i="2"/>
  <c r="O362" i="2"/>
  <c r="U362" i="2"/>
  <c r="R362" i="2"/>
  <c r="V362" i="2"/>
  <c r="S362" i="2"/>
  <c r="H363" i="2"/>
  <c r="M363" i="2"/>
  <c r="O363" i="2"/>
  <c r="U363" i="2"/>
  <c r="R363" i="2"/>
  <c r="V363" i="2"/>
  <c r="S363" i="2"/>
  <c r="H364" i="2"/>
  <c r="M364" i="2"/>
  <c r="O364" i="2"/>
  <c r="U364" i="2"/>
  <c r="R364" i="2"/>
  <c r="V364" i="2"/>
  <c r="S364" i="2"/>
  <c r="H365" i="2"/>
  <c r="M365" i="2"/>
  <c r="O365" i="2"/>
  <c r="U365" i="2"/>
  <c r="R365" i="2"/>
  <c r="V365" i="2"/>
  <c r="S365" i="2"/>
  <c r="H366" i="2"/>
  <c r="M366" i="2"/>
  <c r="O366" i="2"/>
  <c r="U366" i="2"/>
  <c r="R366" i="2"/>
  <c r="V366" i="2"/>
  <c r="S366" i="2"/>
  <c r="H367" i="2"/>
  <c r="M367" i="2"/>
  <c r="O367" i="2"/>
  <c r="U367" i="2"/>
  <c r="R367" i="2"/>
  <c r="V367" i="2"/>
  <c r="S367" i="2"/>
  <c r="H368" i="2"/>
  <c r="M368" i="2"/>
  <c r="O368" i="2"/>
  <c r="U368" i="2"/>
  <c r="R368" i="2"/>
  <c r="V368" i="2"/>
  <c r="S368" i="2"/>
  <c r="H369" i="2"/>
  <c r="M369" i="2"/>
  <c r="O369" i="2"/>
  <c r="U369" i="2"/>
  <c r="R369" i="2"/>
  <c r="V369" i="2"/>
  <c r="S369" i="2"/>
  <c r="H370" i="2"/>
  <c r="M370" i="2"/>
  <c r="O370" i="2"/>
  <c r="U370" i="2"/>
  <c r="R370" i="2"/>
  <c r="V370" i="2"/>
  <c r="S370" i="2"/>
  <c r="H371" i="2"/>
  <c r="M371" i="2"/>
  <c r="O371" i="2"/>
  <c r="U371" i="2"/>
  <c r="R371" i="2"/>
  <c r="V371" i="2"/>
  <c r="S371" i="2"/>
  <c r="H372" i="2"/>
  <c r="M372" i="2"/>
  <c r="O372" i="2"/>
  <c r="U372" i="2"/>
  <c r="R372" i="2"/>
  <c r="V372" i="2"/>
  <c r="S372" i="2"/>
  <c r="H373" i="2"/>
  <c r="M373" i="2"/>
  <c r="O373" i="2"/>
  <c r="U373" i="2"/>
  <c r="R373" i="2"/>
  <c r="V373" i="2"/>
  <c r="S373" i="2"/>
  <c r="H374" i="2"/>
  <c r="M374" i="2"/>
  <c r="O374" i="2"/>
  <c r="U374" i="2"/>
  <c r="R374" i="2"/>
  <c r="V374" i="2"/>
  <c r="S374" i="2"/>
  <c r="H375" i="2"/>
  <c r="M375" i="2"/>
  <c r="O375" i="2"/>
  <c r="U375" i="2"/>
  <c r="R375" i="2"/>
  <c r="V375" i="2"/>
  <c r="S375" i="2"/>
  <c r="H376" i="2"/>
  <c r="M376" i="2"/>
  <c r="O376" i="2"/>
  <c r="U376" i="2"/>
  <c r="R376" i="2"/>
  <c r="V376" i="2"/>
  <c r="S376" i="2"/>
  <c r="H377" i="2"/>
  <c r="M377" i="2"/>
  <c r="O377" i="2"/>
  <c r="U377" i="2"/>
  <c r="R377" i="2"/>
  <c r="V377" i="2"/>
  <c r="S377" i="2"/>
  <c r="H378" i="2"/>
  <c r="M378" i="2"/>
  <c r="O378" i="2"/>
  <c r="U378" i="2"/>
  <c r="R378" i="2"/>
  <c r="V378" i="2"/>
  <c r="S378" i="2"/>
  <c r="H379" i="2"/>
  <c r="M379" i="2"/>
  <c r="O379" i="2"/>
  <c r="U379" i="2"/>
  <c r="R379" i="2"/>
  <c r="V379" i="2"/>
  <c r="S379" i="2"/>
  <c r="H380" i="2"/>
  <c r="M380" i="2"/>
  <c r="O380" i="2"/>
  <c r="U380" i="2"/>
  <c r="R380" i="2"/>
  <c r="V380" i="2"/>
  <c r="S380" i="2"/>
  <c r="H381" i="2"/>
  <c r="M381" i="2"/>
  <c r="O381" i="2"/>
  <c r="U381" i="2"/>
  <c r="R381" i="2"/>
  <c r="V381" i="2"/>
  <c r="S381" i="2"/>
  <c r="H382" i="2"/>
  <c r="M382" i="2"/>
  <c r="O382" i="2"/>
  <c r="U382" i="2"/>
  <c r="R382" i="2"/>
  <c r="V382" i="2"/>
  <c r="S382" i="2"/>
  <c r="H383" i="2"/>
  <c r="M383" i="2"/>
  <c r="O383" i="2"/>
  <c r="U383" i="2"/>
  <c r="R383" i="2"/>
  <c r="V383" i="2"/>
  <c r="S383" i="2"/>
  <c r="H384" i="2"/>
  <c r="M384" i="2"/>
  <c r="O384" i="2"/>
  <c r="U384" i="2"/>
  <c r="R384" i="2"/>
  <c r="V384" i="2"/>
  <c r="S384" i="2"/>
  <c r="H385" i="2"/>
  <c r="M385" i="2"/>
  <c r="O385" i="2"/>
  <c r="U385" i="2"/>
  <c r="R385" i="2"/>
  <c r="V385" i="2"/>
  <c r="S385" i="2"/>
  <c r="H386" i="2"/>
  <c r="M386" i="2"/>
  <c r="O386" i="2"/>
  <c r="U386" i="2"/>
  <c r="R386" i="2"/>
  <c r="V386" i="2"/>
  <c r="S386" i="2"/>
  <c r="H387" i="2"/>
  <c r="M387" i="2"/>
  <c r="O387" i="2"/>
  <c r="U387" i="2"/>
  <c r="R387" i="2"/>
  <c r="V387" i="2"/>
  <c r="S387" i="2"/>
  <c r="H388" i="2"/>
  <c r="M388" i="2"/>
  <c r="O388" i="2"/>
  <c r="U388" i="2"/>
  <c r="R388" i="2"/>
  <c r="V388" i="2"/>
  <c r="S388" i="2"/>
  <c r="H389" i="2"/>
  <c r="M389" i="2"/>
  <c r="O389" i="2"/>
  <c r="U389" i="2"/>
  <c r="R389" i="2"/>
  <c r="V389" i="2"/>
  <c r="S389" i="2"/>
  <c r="H390" i="2"/>
  <c r="M390" i="2"/>
  <c r="O390" i="2"/>
  <c r="U390" i="2"/>
  <c r="R390" i="2"/>
  <c r="V390" i="2"/>
  <c r="S390" i="2"/>
  <c r="H391" i="2"/>
  <c r="M391" i="2"/>
  <c r="O391" i="2"/>
  <c r="U391" i="2"/>
  <c r="R391" i="2"/>
  <c r="V391" i="2"/>
  <c r="S391" i="2"/>
  <c r="H392" i="2"/>
  <c r="M392" i="2"/>
  <c r="O392" i="2"/>
  <c r="U392" i="2"/>
  <c r="R392" i="2"/>
  <c r="V392" i="2"/>
  <c r="S392" i="2"/>
  <c r="H393" i="2"/>
  <c r="M393" i="2"/>
  <c r="O393" i="2"/>
  <c r="U393" i="2"/>
  <c r="R393" i="2"/>
  <c r="V393" i="2"/>
  <c r="S393" i="2"/>
  <c r="H394" i="2"/>
  <c r="M394" i="2"/>
  <c r="O394" i="2"/>
  <c r="U394" i="2"/>
  <c r="R394" i="2"/>
  <c r="V394" i="2"/>
  <c r="S394" i="2"/>
  <c r="H395" i="2"/>
  <c r="M395" i="2"/>
  <c r="O395" i="2"/>
  <c r="U395" i="2"/>
  <c r="R395" i="2"/>
  <c r="V395" i="2"/>
  <c r="S395" i="2"/>
  <c r="H396" i="2"/>
  <c r="M396" i="2"/>
  <c r="O396" i="2"/>
  <c r="U396" i="2"/>
  <c r="R396" i="2"/>
  <c r="V396" i="2"/>
  <c r="S396" i="2"/>
  <c r="H397" i="2"/>
  <c r="M397" i="2"/>
  <c r="O397" i="2"/>
  <c r="U397" i="2"/>
  <c r="R397" i="2"/>
  <c r="V397" i="2"/>
  <c r="S397" i="2"/>
  <c r="H398" i="2"/>
  <c r="M398" i="2"/>
  <c r="O398" i="2"/>
  <c r="U398" i="2"/>
  <c r="R398" i="2"/>
  <c r="V398" i="2"/>
  <c r="S398" i="2"/>
  <c r="H399" i="2"/>
  <c r="M399" i="2"/>
  <c r="O399" i="2"/>
  <c r="U399" i="2"/>
  <c r="R399" i="2"/>
  <c r="V399" i="2"/>
  <c r="S399" i="2"/>
  <c r="H400" i="2"/>
  <c r="M400" i="2"/>
  <c r="O400" i="2"/>
  <c r="U400" i="2"/>
  <c r="R400" i="2"/>
  <c r="V400" i="2"/>
  <c r="S400" i="2"/>
  <c r="H401" i="2"/>
  <c r="M401" i="2"/>
  <c r="O401" i="2"/>
  <c r="U401" i="2"/>
  <c r="R401" i="2"/>
  <c r="V401" i="2"/>
  <c r="S401" i="2"/>
  <c r="H402" i="2"/>
  <c r="M402" i="2"/>
  <c r="O402" i="2"/>
  <c r="U402" i="2"/>
  <c r="R402" i="2"/>
  <c r="V402" i="2"/>
  <c r="S402" i="2"/>
  <c r="H403" i="2"/>
  <c r="M403" i="2"/>
  <c r="O403" i="2"/>
  <c r="U403" i="2"/>
  <c r="R403" i="2"/>
  <c r="V403" i="2"/>
  <c r="S403" i="2"/>
  <c r="H404" i="2"/>
  <c r="M404" i="2"/>
  <c r="O404" i="2"/>
  <c r="U404" i="2"/>
  <c r="R404" i="2"/>
  <c r="V404" i="2"/>
  <c r="S404" i="2"/>
  <c r="H405" i="2"/>
  <c r="M405" i="2"/>
  <c r="O405" i="2"/>
  <c r="U405" i="2"/>
  <c r="R405" i="2"/>
  <c r="V405" i="2"/>
  <c r="S405" i="2"/>
  <c r="H406" i="2"/>
  <c r="M406" i="2"/>
  <c r="O406" i="2"/>
  <c r="U406" i="2"/>
  <c r="R406" i="2"/>
  <c r="V406" i="2"/>
  <c r="S406" i="2"/>
  <c r="H407" i="2"/>
  <c r="M407" i="2"/>
  <c r="O407" i="2"/>
  <c r="U407" i="2"/>
  <c r="R407" i="2"/>
  <c r="V407" i="2"/>
  <c r="S407" i="2"/>
  <c r="H408" i="2"/>
  <c r="M408" i="2"/>
  <c r="O408" i="2"/>
  <c r="U408" i="2"/>
  <c r="R408" i="2"/>
  <c r="V408" i="2"/>
  <c r="S408" i="2"/>
  <c r="H409" i="2"/>
  <c r="M409" i="2"/>
  <c r="O409" i="2"/>
  <c r="U409" i="2"/>
  <c r="R409" i="2"/>
  <c r="V409" i="2"/>
  <c r="S409" i="2"/>
  <c r="H410" i="2"/>
  <c r="M410" i="2"/>
  <c r="O410" i="2"/>
  <c r="U410" i="2"/>
  <c r="R410" i="2"/>
  <c r="V410" i="2"/>
  <c r="S410" i="2"/>
  <c r="H411" i="2"/>
  <c r="M411" i="2"/>
  <c r="O411" i="2"/>
  <c r="U411" i="2"/>
  <c r="R411" i="2"/>
  <c r="V411" i="2"/>
  <c r="S411" i="2"/>
  <c r="H412" i="2"/>
  <c r="M412" i="2"/>
  <c r="O412" i="2"/>
  <c r="U412" i="2"/>
  <c r="R412" i="2"/>
  <c r="V412" i="2"/>
  <c r="S412" i="2"/>
  <c r="H413" i="2"/>
  <c r="M413" i="2"/>
  <c r="O413" i="2"/>
  <c r="U413" i="2"/>
  <c r="R413" i="2"/>
  <c r="V413" i="2"/>
  <c r="S413" i="2"/>
  <c r="H414" i="2"/>
  <c r="M414" i="2"/>
  <c r="O414" i="2"/>
  <c r="U414" i="2"/>
  <c r="R414" i="2"/>
  <c r="V414" i="2"/>
  <c r="S414" i="2"/>
  <c r="H415" i="2"/>
  <c r="M415" i="2"/>
  <c r="O415" i="2"/>
  <c r="U415" i="2"/>
  <c r="R415" i="2"/>
  <c r="V415" i="2"/>
  <c r="S415" i="2"/>
  <c r="H416" i="2"/>
  <c r="M416" i="2"/>
  <c r="O416" i="2"/>
  <c r="U416" i="2"/>
  <c r="R416" i="2"/>
  <c r="V416" i="2"/>
  <c r="S416" i="2"/>
  <c r="H417" i="2"/>
  <c r="M417" i="2"/>
  <c r="O417" i="2"/>
  <c r="U417" i="2"/>
  <c r="R417" i="2"/>
  <c r="V417" i="2"/>
  <c r="S417" i="2"/>
  <c r="H418" i="2"/>
  <c r="M418" i="2"/>
  <c r="O418" i="2"/>
  <c r="U418" i="2"/>
  <c r="R418" i="2"/>
  <c r="V418" i="2"/>
  <c r="S418" i="2"/>
  <c r="H419" i="2"/>
  <c r="M419" i="2"/>
  <c r="O419" i="2"/>
  <c r="U419" i="2"/>
  <c r="R419" i="2"/>
  <c r="V419" i="2"/>
  <c r="S419" i="2"/>
  <c r="H420" i="2"/>
  <c r="M420" i="2"/>
  <c r="O420" i="2"/>
  <c r="U420" i="2"/>
  <c r="R420" i="2"/>
  <c r="V420" i="2"/>
  <c r="S420" i="2"/>
  <c r="H421" i="2"/>
  <c r="M421" i="2"/>
  <c r="O421" i="2"/>
  <c r="U421" i="2"/>
  <c r="R421" i="2"/>
  <c r="V421" i="2"/>
  <c r="S421" i="2"/>
  <c r="H422" i="2"/>
  <c r="M422" i="2"/>
  <c r="O422" i="2"/>
  <c r="U422" i="2"/>
  <c r="R422" i="2"/>
  <c r="V422" i="2"/>
  <c r="S422" i="2"/>
  <c r="H423" i="2"/>
  <c r="M423" i="2"/>
  <c r="O423" i="2"/>
  <c r="U423" i="2"/>
  <c r="R423" i="2"/>
  <c r="V423" i="2"/>
  <c r="S423" i="2"/>
  <c r="H424" i="2"/>
  <c r="M424" i="2"/>
  <c r="O424" i="2"/>
  <c r="U424" i="2"/>
  <c r="R424" i="2"/>
  <c r="V424" i="2"/>
  <c r="S424" i="2"/>
  <c r="H425" i="2"/>
  <c r="M425" i="2"/>
  <c r="O425" i="2"/>
  <c r="U425" i="2"/>
  <c r="R425" i="2"/>
  <c r="V425" i="2"/>
  <c r="S425" i="2"/>
  <c r="H426" i="2"/>
  <c r="M426" i="2"/>
  <c r="O426" i="2"/>
  <c r="U426" i="2"/>
  <c r="R426" i="2"/>
  <c r="V426" i="2"/>
  <c r="S426" i="2"/>
  <c r="H427" i="2"/>
  <c r="M427" i="2"/>
  <c r="O427" i="2"/>
  <c r="U427" i="2"/>
  <c r="R427" i="2"/>
  <c r="V427" i="2"/>
  <c r="S427" i="2"/>
  <c r="H428" i="2"/>
  <c r="M428" i="2"/>
  <c r="O428" i="2"/>
  <c r="U428" i="2"/>
  <c r="R428" i="2"/>
  <c r="V428" i="2"/>
  <c r="S428" i="2"/>
  <c r="H429" i="2"/>
  <c r="M429" i="2"/>
  <c r="O429" i="2"/>
  <c r="U429" i="2"/>
  <c r="R429" i="2"/>
  <c r="V429" i="2"/>
  <c r="S429" i="2"/>
  <c r="H430" i="2"/>
  <c r="M430" i="2"/>
  <c r="O430" i="2"/>
  <c r="U430" i="2"/>
  <c r="R430" i="2"/>
  <c r="V430" i="2"/>
  <c r="S430" i="2"/>
  <c r="H431" i="2"/>
  <c r="M431" i="2"/>
  <c r="O431" i="2"/>
  <c r="U431" i="2"/>
  <c r="R431" i="2"/>
  <c r="V431" i="2"/>
  <c r="S431" i="2"/>
  <c r="H432" i="2"/>
  <c r="M432" i="2"/>
  <c r="O432" i="2"/>
  <c r="U432" i="2"/>
  <c r="R432" i="2"/>
  <c r="V432" i="2"/>
  <c r="S432" i="2"/>
  <c r="H433" i="2"/>
  <c r="M433" i="2"/>
  <c r="O433" i="2"/>
  <c r="U433" i="2"/>
  <c r="R433" i="2"/>
  <c r="V433" i="2"/>
  <c r="S433" i="2"/>
  <c r="H434" i="2"/>
  <c r="M434" i="2"/>
  <c r="O434" i="2"/>
  <c r="U434" i="2"/>
  <c r="R434" i="2"/>
  <c r="V434" i="2"/>
  <c r="S434" i="2"/>
  <c r="H435" i="2"/>
  <c r="M435" i="2"/>
  <c r="O435" i="2"/>
  <c r="U435" i="2"/>
  <c r="R435" i="2"/>
  <c r="V435" i="2"/>
  <c r="S435" i="2"/>
  <c r="H436" i="2"/>
  <c r="M436" i="2"/>
  <c r="O436" i="2"/>
  <c r="U436" i="2"/>
  <c r="R436" i="2"/>
  <c r="V436" i="2"/>
  <c r="S436" i="2"/>
  <c r="H437" i="2"/>
  <c r="M437" i="2"/>
  <c r="O437" i="2"/>
  <c r="U437" i="2"/>
  <c r="R437" i="2"/>
  <c r="V437" i="2"/>
  <c r="S437" i="2"/>
  <c r="H438" i="2"/>
  <c r="M438" i="2"/>
  <c r="O438" i="2"/>
  <c r="U438" i="2"/>
  <c r="R438" i="2"/>
  <c r="V438" i="2"/>
  <c r="S438" i="2"/>
  <c r="H439" i="2"/>
  <c r="M439" i="2"/>
  <c r="O439" i="2"/>
  <c r="U439" i="2"/>
  <c r="R439" i="2"/>
  <c r="V439" i="2"/>
  <c r="S439" i="2"/>
  <c r="H440" i="2"/>
  <c r="M440" i="2"/>
  <c r="O440" i="2"/>
  <c r="U440" i="2"/>
  <c r="R440" i="2"/>
  <c r="V440" i="2"/>
  <c r="S440" i="2"/>
  <c r="H441" i="2"/>
  <c r="M441" i="2"/>
  <c r="O441" i="2"/>
  <c r="U441" i="2"/>
  <c r="R441" i="2"/>
  <c r="V441" i="2"/>
  <c r="S441" i="2"/>
  <c r="H442" i="2"/>
  <c r="M442" i="2"/>
  <c r="O442" i="2"/>
  <c r="U442" i="2"/>
  <c r="R442" i="2"/>
  <c r="V442" i="2"/>
  <c r="S442" i="2"/>
  <c r="H443" i="2"/>
  <c r="M443" i="2"/>
  <c r="O443" i="2"/>
  <c r="U443" i="2"/>
  <c r="R443" i="2"/>
  <c r="V443" i="2"/>
  <c r="S443" i="2"/>
  <c r="H444" i="2"/>
  <c r="M444" i="2"/>
  <c r="O444" i="2"/>
  <c r="U444" i="2"/>
  <c r="R444" i="2"/>
  <c r="V444" i="2"/>
  <c r="S444" i="2"/>
  <c r="H445" i="2"/>
  <c r="M445" i="2"/>
  <c r="O445" i="2"/>
  <c r="U445" i="2"/>
  <c r="R445" i="2"/>
  <c r="V445" i="2"/>
  <c r="S445" i="2"/>
  <c r="H446" i="2"/>
  <c r="M446" i="2"/>
  <c r="O446" i="2"/>
  <c r="U446" i="2"/>
  <c r="R446" i="2"/>
  <c r="V446" i="2"/>
  <c r="S446" i="2"/>
  <c r="H447" i="2"/>
  <c r="M447" i="2"/>
  <c r="O447" i="2"/>
  <c r="U447" i="2"/>
  <c r="R447" i="2"/>
  <c r="V447" i="2"/>
  <c r="S447" i="2"/>
  <c r="H448" i="2"/>
  <c r="M448" i="2"/>
  <c r="O448" i="2"/>
  <c r="U448" i="2"/>
  <c r="R448" i="2"/>
  <c r="V448" i="2"/>
  <c r="S448" i="2"/>
  <c r="H449" i="2"/>
  <c r="M449" i="2"/>
  <c r="O449" i="2"/>
  <c r="U449" i="2"/>
  <c r="R449" i="2"/>
  <c r="V449" i="2"/>
  <c r="S449" i="2"/>
  <c r="H450" i="2"/>
  <c r="M450" i="2"/>
  <c r="O450" i="2"/>
  <c r="U450" i="2"/>
  <c r="R450" i="2"/>
  <c r="V450" i="2"/>
  <c r="S450" i="2"/>
  <c r="H451" i="2"/>
  <c r="M451" i="2"/>
  <c r="O451" i="2"/>
  <c r="U451" i="2"/>
  <c r="R451" i="2"/>
  <c r="V451" i="2"/>
  <c r="S451" i="2"/>
  <c r="H452" i="2"/>
  <c r="M452" i="2"/>
  <c r="O452" i="2"/>
  <c r="U452" i="2"/>
  <c r="R452" i="2"/>
  <c r="V452" i="2"/>
  <c r="S452" i="2"/>
  <c r="H453" i="2"/>
  <c r="M453" i="2"/>
  <c r="O453" i="2"/>
  <c r="U453" i="2"/>
  <c r="R453" i="2"/>
  <c r="V453" i="2"/>
  <c r="S453" i="2"/>
  <c r="H454" i="2"/>
  <c r="M454" i="2"/>
  <c r="O454" i="2"/>
  <c r="U454" i="2"/>
  <c r="R454" i="2"/>
  <c r="V454" i="2"/>
  <c r="S454" i="2"/>
  <c r="H455" i="2"/>
  <c r="M455" i="2"/>
  <c r="O455" i="2"/>
  <c r="U455" i="2"/>
  <c r="R455" i="2"/>
  <c r="V455" i="2"/>
  <c r="S455" i="2"/>
  <c r="H456" i="2"/>
  <c r="M456" i="2"/>
  <c r="O456" i="2"/>
  <c r="U456" i="2"/>
  <c r="R456" i="2"/>
  <c r="V456" i="2"/>
  <c r="S456" i="2"/>
  <c r="H457" i="2"/>
  <c r="M457" i="2"/>
  <c r="O457" i="2"/>
  <c r="U457" i="2"/>
  <c r="R457" i="2"/>
  <c r="V457" i="2"/>
  <c r="S457" i="2"/>
  <c r="H458" i="2"/>
  <c r="M458" i="2"/>
  <c r="O458" i="2"/>
  <c r="U458" i="2"/>
  <c r="R458" i="2"/>
  <c r="V458" i="2"/>
  <c r="S458" i="2"/>
  <c r="H459" i="2"/>
  <c r="M459" i="2"/>
  <c r="O459" i="2"/>
  <c r="U459" i="2"/>
  <c r="R459" i="2"/>
  <c r="V459" i="2"/>
  <c r="S459" i="2"/>
  <c r="H460" i="2"/>
  <c r="M460" i="2"/>
  <c r="O460" i="2"/>
  <c r="U460" i="2"/>
  <c r="R460" i="2"/>
  <c r="V460" i="2"/>
  <c r="S460" i="2"/>
  <c r="H461" i="2"/>
  <c r="M461" i="2"/>
  <c r="O461" i="2"/>
  <c r="U461" i="2"/>
  <c r="R461" i="2"/>
  <c r="V461" i="2"/>
  <c r="S461" i="2"/>
  <c r="H462" i="2"/>
  <c r="M462" i="2"/>
  <c r="O462" i="2"/>
  <c r="U462" i="2"/>
  <c r="R462" i="2"/>
  <c r="V462" i="2"/>
  <c r="S462" i="2"/>
  <c r="H463" i="2"/>
  <c r="M463" i="2"/>
  <c r="O463" i="2"/>
  <c r="U463" i="2"/>
  <c r="R463" i="2"/>
  <c r="V463" i="2"/>
  <c r="S463" i="2"/>
  <c r="H464" i="2"/>
  <c r="M464" i="2"/>
  <c r="O464" i="2"/>
  <c r="U464" i="2"/>
  <c r="R464" i="2"/>
  <c r="V464" i="2"/>
  <c r="S464" i="2"/>
  <c r="H465" i="2"/>
  <c r="M465" i="2"/>
  <c r="O465" i="2"/>
  <c r="U465" i="2"/>
  <c r="R465" i="2"/>
  <c r="V465" i="2"/>
  <c r="S465" i="2"/>
  <c r="H466" i="2"/>
  <c r="M466" i="2"/>
  <c r="O466" i="2"/>
  <c r="U466" i="2"/>
  <c r="R466" i="2"/>
  <c r="V466" i="2"/>
  <c r="S466" i="2"/>
  <c r="H467" i="2"/>
  <c r="M467" i="2"/>
  <c r="O467" i="2"/>
  <c r="U467" i="2"/>
  <c r="R467" i="2"/>
  <c r="V467" i="2"/>
  <c r="S467" i="2"/>
  <c r="H468" i="2"/>
  <c r="M468" i="2"/>
  <c r="O468" i="2"/>
  <c r="U468" i="2"/>
  <c r="R468" i="2"/>
  <c r="V468" i="2"/>
  <c r="S468" i="2"/>
  <c r="H469" i="2"/>
  <c r="M469" i="2"/>
  <c r="O469" i="2"/>
  <c r="U469" i="2"/>
  <c r="R469" i="2"/>
  <c r="V469" i="2"/>
  <c r="S469" i="2"/>
  <c r="H470" i="2"/>
  <c r="M470" i="2"/>
  <c r="O470" i="2"/>
  <c r="U470" i="2"/>
  <c r="R470" i="2"/>
  <c r="V470" i="2"/>
  <c r="S470" i="2"/>
  <c r="H471" i="2"/>
  <c r="M471" i="2"/>
  <c r="O471" i="2"/>
  <c r="U471" i="2"/>
  <c r="R471" i="2"/>
  <c r="V471" i="2"/>
  <c r="S471" i="2"/>
  <c r="H472" i="2"/>
  <c r="M472" i="2"/>
  <c r="O472" i="2"/>
  <c r="U472" i="2"/>
  <c r="R472" i="2"/>
  <c r="V472" i="2"/>
  <c r="S472" i="2"/>
  <c r="H473" i="2"/>
  <c r="M473" i="2"/>
  <c r="O473" i="2"/>
  <c r="U473" i="2"/>
  <c r="R473" i="2"/>
  <c r="V473" i="2"/>
  <c r="S473" i="2"/>
  <c r="H474" i="2"/>
  <c r="M474" i="2"/>
  <c r="O474" i="2"/>
  <c r="U474" i="2"/>
  <c r="R474" i="2"/>
  <c r="V474" i="2"/>
  <c r="S474" i="2"/>
  <c r="H475" i="2"/>
  <c r="M475" i="2"/>
  <c r="O475" i="2"/>
  <c r="U475" i="2"/>
  <c r="R475" i="2"/>
  <c r="V475" i="2"/>
  <c r="S475" i="2"/>
  <c r="H476" i="2"/>
  <c r="M476" i="2"/>
  <c r="O476" i="2"/>
  <c r="U476" i="2"/>
  <c r="R476" i="2"/>
  <c r="V476" i="2"/>
  <c r="S476" i="2"/>
  <c r="H477" i="2"/>
  <c r="M477" i="2"/>
  <c r="O477" i="2"/>
  <c r="U477" i="2"/>
  <c r="R477" i="2"/>
  <c r="V477" i="2"/>
  <c r="S477" i="2"/>
  <c r="H478" i="2"/>
  <c r="M478" i="2"/>
  <c r="O478" i="2"/>
  <c r="U478" i="2"/>
  <c r="R478" i="2"/>
  <c r="V478" i="2"/>
  <c r="S478" i="2"/>
  <c r="H479" i="2"/>
  <c r="M479" i="2"/>
  <c r="O479" i="2"/>
  <c r="U479" i="2"/>
  <c r="R479" i="2"/>
  <c r="V479" i="2"/>
  <c r="S479" i="2"/>
  <c r="H480" i="2"/>
  <c r="M480" i="2"/>
  <c r="O480" i="2"/>
  <c r="U480" i="2"/>
  <c r="R480" i="2"/>
  <c r="V480" i="2"/>
  <c r="S480" i="2"/>
  <c r="H481" i="2"/>
  <c r="M481" i="2"/>
  <c r="O481" i="2"/>
  <c r="U481" i="2"/>
  <c r="R481" i="2"/>
  <c r="V481" i="2"/>
  <c r="S481" i="2"/>
  <c r="H482" i="2"/>
  <c r="M482" i="2"/>
  <c r="O482" i="2"/>
  <c r="U482" i="2"/>
  <c r="R482" i="2"/>
  <c r="V482" i="2"/>
  <c r="S482" i="2"/>
  <c r="H483" i="2"/>
  <c r="M483" i="2"/>
  <c r="O483" i="2"/>
  <c r="U483" i="2"/>
  <c r="R483" i="2"/>
  <c r="V483" i="2"/>
  <c r="S483" i="2"/>
  <c r="H484" i="2"/>
  <c r="M484" i="2"/>
  <c r="O484" i="2"/>
  <c r="U484" i="2"/>
  <c r="R484" i="2"/>
  <c r="V484" i="2"/>
  <c r="S484" i="2"/>
  <c r="H485" i="2"/>
  <c r="M485" i="2"/>
  <c r="O485" i="2"/>
  <c r="U485" i="2"/>
  <c r="R485" i="2"/>
  <c r="V485" i="2"/>
  <c r="S485" i="2"/>
  <c r="H486" i="2"/>
  <c r="M486" i="2"/>
  <c r="O486" i="2"/>
  <c r="U486" i="2"/>
  <c r="R486" i="2"/>
  <c r="V486" i="2"/>
  <c r="S486" i="2"/>
  <c r="H487" i="2"/>
  <c r="M487" i="2"/>
  <c r="O487" i="2"/>
  <c r="U487" i="2"/>
  <c r="R487" i="2"/>
  <c r="V487" i="2"/>
  <c r="S487" i="2"/>
  <c r="H488" i="2"/>
  <c r="M488" i="2"/>
  <c r="O488" i="2"/>
  <c r="U488" i="2"/>
  <c r="R488" i="2"/>
  <c r="V488" i="2"/>
  <c r="S488" i="2"/>
  <c r="H489" i="2"/>
  <c r="M489" i="2"/>
  <c r="O489" i="2"/>
  <c r="U489" i="2"/>
  <c r="R489" i="2"/>
  <c r="V489" i="2"/>
  <c r="S489" i="2"/>
  <c r="H490" i="2"/>
  <c r="M490" i="2"/>
  <c r="O490" i="2"/>
  <c r="U490" i="2"/>
  <c r="R490" i="2"/>
  <c r="V490" i="2"/>
  <c r="S490" i="2"/>
  <c r="H491" i="2"/>
  <c r="M491" i="2"/>
  <c r="O491" i="2"/>
  <c r="U491" i="2"/>
  <c r="R491" i="2"/>
  <c r="V491" i="2"/>
  <c r="S491" i="2"/>
  <c r="H492" i="2"/>
  <c r="M492" i="2"/>
  <c r="O492" i="2"/>
  <c r="U492" i="2"/>
  <c r="R492" i="2"/>
  <c r="V492" i="2"/>
  <c r="S492" i="2"/>
  <c r="H493" i="2"/>
  <c r="M493" i="2"/>
  <c r="O493" i="2"/>
  <c r="U493" i="2"/>
  <c r="R493" i="2"/>
  <c r="V493" i="2"/>
  <c r="S493" i="2"/>
  <c r="H494" i="2"/>
  <c r="M494" i="2"/>
  <c r="O494" i="2"/>
  <c r="U494" i="2"/>
  <c r="R494" i="2"/>
  <c r="V494" i="2"/>
  <c r="S494" i="2"/>
  <c r="H495" i="2"/>
  <c r="M495" i="2"/>
  <c r="O495" i="2"/>
  <c r="U495" i="2"/>
  <c r="R495" i="2"/>
  <c r="V495" i="2"/>
  <c r="S495" i="2"/>
  <c r="H496" i="2"/>
  <c r="M496" i="2"/>
  <c r="O496" i="2"/>
  <c r="U496" i="2"/>
  <c r="R496" i="2"/>
  <c r="V496" i="2"/>
  <c r="S496" i="2"/>
  <c r="H497" i="2"/>
  <c r="M497" i="2"/>
  <c r="O497" i="2"/>
  <c r="U497" i="2"/>
  <c r="R497" i="2"/>
  <c r="V497" i="2"/>
  <c r="S497" i="2"/>
  <c r="H498" i="2"/>
  <c r="M498" i="2"/>
  <c r="O498" i="2"/>
  <c r="U498" i="2"/>
  <c r="R498" i="2"/>
  <c r="V498" i="2"/>
  <c r="S498" i="2"/>
  <c r="H499" i="2"/>
  <c r="M499" i="2"/>
  <c r="O499" i="2"/>
  <c r="U499" i="2"/>
  <c r="R499" i="2"/>
  <c r="V499" i="2"/>
  <c r="S499" i="2"/>
  <c r="H500" i="2"/>
  <c r="M500" i="2"/>
  <c r="O500" i="2"/>
  <c r="U500" i="2"/>
  <c r="R500" i="2"/>
  <c r="V500" i="2"/>
  <c r="S500" i="2"/>
  <c r="H501" i="2"/>
  <c r="M501" i="2"/>
  <c r="O501" i="2"/>
  <c r="U501" i="2"/>
  <c r="R501" i="2"/>
  <c r="V501" i="2"/>
  <c r="S501" i="2"/>
  <c r="H502" i="2"/>
  <c r="M502" i="2"/>
  <c r="O502" i="2"/>
  <c r="U502" i="2"/>
  <c r="R502" i="2"/>
  <c r="V502" i="2"/>
  <c r="S502" i="2"/>
  <c r="H503" i="2"/>
  <c r="M503" i="2"/>
  <c r="O503" i="2"/>
  <c r="U503" i="2"/>
  <c r="R503" i="2"/>
  <c r="V503" i="2"/>
  <c r="S503" i="2"/>
  <c r="H504" i="2"/>
  <c r="M504" i="2"/>
  <c r="O504" i="2"/>
  <c r="U504" i="2"/>
  <c r="R504" i="2"/>
  <c r="V504" i="2"/>
  <c r="S504" i="2"/>
  <c r="H505" i="2"/>
  <c r="M505" i="2"/>
  <c r="O505" i="2"/>
  <c r="U505" i="2"/>
  <c r="R505" i="2"/>
  <c r="V505" i="2"/>
  <c r="S505" i="2"/>
  <c r="H506" i="2"/>
  <c r="M506" i="2"/>
  <c r="O506" i="2"/>
  <c r="U506" i="2"/>
  <c r="R506" i="2"/>
  <c r="V506" i="2"/>
  <c r="S506" i="2"/>
  <c r="H507" i="2"/>
  <c r="M507" i="2"/>
  <c r="O507" i="2"/>
  <c r="U507" i="2"/>
  <c r="R507" i="2"/>
  <c r="V507" i="2"/>
  <c r="S507" i="2"/>
  <c r="H508" i="2"/>
  <c r="M508" i="2"/>
  <c r="O508" i="2"/>
  <c r="U508" i="2"/>
  <c r="R508" i="2"/>
  <c r="V508" i="2"/>
  <c r="S508" i="2"/>
  <c r="H509" i="2"/>
  <c r="M509" i="2"/>
  <c r="O509" i="2"/>
  <c r="U509" i="2"/>
  <c r="R509" i="2"/>
  <c r="V509" i="2"/>
  <c r="S509" i="2"/>
  <c r="H510" i="2"/>
  <c r="M510" i="2"/>
  <c r="O510" i="2"/>
  <c r="U510" i="2"/>
  <c r="R510" i="2"/>
  <c r="V510" i="2"/>
  <c r="S510" i="2"/>
  <c r="H511" i="2"/>
  <c r="M511" i="2"/>
  <c r="O511" i="2"/>
  <c r="U511" i="2"/>
  <c r="R511" i="2"/>
  <c r="V511" i="2"/>
  <c r="S511" i="2"/>
  <c r="H512" i="2"/>
  <c r="M512" i="2"/>
  <c r="O512" i="2"/>
  <c r="U512" i="2"/>
  <c r="R512" i="2"/>
  <c r="V512" i="2"/>
  <c r="S512" i="2"/>
  <c r="H513" i="2"/>
  <c r="M513" i="2"/>
  <c r="O513" i="2"/>
  <c r="U513" i="2"/>
  <c r="R513" i="2"/>
  <c r="V513" i="2"/>
  <c r="S513" i="2"/>
  <c r="H514" i="2"/>
  <c r="M514" i="2"/>
  <c r="O514" i="2"/>
  <c r="U514" i="2"/>
  <c r="R514" i="2"/>
  <c r="V514" i="2"/>
  <c r="S514" i="2"/>
  <c r="H515" i="2"/>
  <c r="M515" i="2"/>
  <c r="O515" i="2"/>
  <c r="U515" i="2"/>
  <c r="R515" i="2"/>
  <c r="V515" i="2"/>
  <c r="S515" i="2"/>
  <c r="H516" i="2"/>
  <c r="M516" i="2"/>
  <c r="O516" i="2"/>
  <c r="U516" i="2"/>
  <c r="R516" i="2"/>
  <c r="V516" i="2"/>
  <c r="S516" i="2"/>
  <c r="H517" i="2"/>
  <c r="M517" i="2"/>
  <c r="O517" i="2"/>
  <c r="U517" i="2"/>
  <c r="R517" i="2"/>
  <c r="V517" i="2"/>
  <c r="S517" i="2"/>
  <c r="H518" i="2"/>
  <c r="M518" i="2"/>
  <c r="O518" i="2"/>
  <c r="U518" i="2"/>
  <c r="R518" i="2"/>
  <c r="V518" i="2"/>
  <c r="S518" i="2"/>
  <c r="H519" i="2"/>
  <c r="M519" i="2"/>
  <c r="O519" i="2"/>
  <c r="U519" i="2"/>
  <c r="R519" i="2"/>
  <c r="V519" i="2"/>
  <c r="S519" i="2"/>
  <c r="H520" i="2"/>
  <c r="M520" i="2"/>
  <c r="O520" i="2"/>
  <c r="U520" i="2"/>
  <c r="R520" i="2"/>
  <c r="V520" i="2"/>
  <c r="S520" i="2"/>
  <c r="H521" i="2"/>
  <c r="M521" i="2"/>
  <c r="O521" i="2"/>
  <c r="U521" i="2"/>
  <c r="R521" i="2"/>
  <c r="V521" i="2"/>
  <c r="S521" i="2"/>
  <c r="H522" i="2"/>
  <c r="M522" i="2"/>
  <c r="O522" i="2"/>
  <c r="U522" i="2"/>
  <c r="R522" i="2"/>
  <c r="V522" i="2"/>
  <c r="S522" i="2"/>
  <c r="H523" i="2"/>
  <c r="M523" i="2"/>
  <c r="O523" i="2"/>
  <c r="U523" i="2"/>
  <c r="R523" i="2"/>
  <c r="V523" i="2"/>
  <c r="S523" i="2"/>
  <c r="H524" i="2"/>
  <c r="M524" i="2"/>
  <c r="O524" i="2"/>
  <c r="U524" i="2"/>
  <c r="R524" i="2"/>
  <c r="V524" i="2"/>
  <c r="S524" i="2"/>
  <c r="H525" i="2"/>
  <c r="M525" i="2"/>
  <c r="O525" i="2"/>
  <c r="U525" i="2"/>
  <c r="R525" i="2"/>
  <c r="V525" i="2"/>
  <c r="S525" i="2"/>
  <c r="H526" i="2"/>
  <c r="M526" i="2"/>
  <c r="O526" i="2"/>
  <c r="U526" i="2"/>
  <c r="R526" i="2"/>
  <c r="V526" i="2"/>
  <c r="S526" i="2"/>
  <c r="H527" i="2"/>
  <c r="M527" i="2"/>
  <c r="O527" i="2"/>
  <c r="U527" i="2"/>
  <c r="R527" i="2"/>
  <c r="V527" i="2"/>
  <c r="S527" i="2"/>
  <c r="H528" i="2"/>
  <c r="M528" i="2"/>
  <c r="O528" i="2"/>
  <c r="U528" i="2"/>
  <c r="R528" i="2"/>
  <c r="V528" i="2"/>
  <c r="S528" i="2"/>
  <c r="H529" i="2"/>
  <c r="M529" i="2"/>
  <c r="O529" i="2"/>
  <c r="U529" i="2"/>
  <c r="R529" i="2"/>
  <c r="V529" i="2"/>
  <c r="S529" i="2"/>
  <c r="H530" i="2"/>
  <c r="M530" i="2"/>
  <c r="O530" i="2"/>
  <c r="U530" i="2"/>
  <c r="R530" i="2"/>
  <c r="V530" i="2"/>
  <c r="S530" i="2"/>
  <c r="H531" i="2"/>
  <c r="M531" i="2"/>
  <c r="O531" i="2"/>
  <c r="U531" i="2"/>
  <c r="R531" i="2"/>
  <c r="V531" i="2"/>
  <c r="S531" i="2"/>
  <c r="H532" i="2"/>
  <c r="M532" i="2"/>
  <c r="O532" i="2"/>
  <c r="U532" i="2"/>
  <c r="R532" i="2"/>
  <c r="V532" i="2"/>
  <c r="S532" i="2"/>
  <c r="H533" i="2"/>
  <c r="M533" i="2"/>
  <c r="O533" i="2"/>
  <c r="U533" i="2"/>
  <c r="R533" i="2"/>
  <c r="V533" i="2"/>
  <c r="S533" i="2"/>
  <c r="H534" i="2"/>
  <c r="M534" i="2"/>
  <c r="O534" i="2"/>
  <c r="U534" i="2"/>
  <c r="R534" i="2"/>
  <c r="V534" i="2"/>
  <c r="S534" i="2"/>
  <c r="H535" i="2"/>
  <c r="M535" i="2"/>
  <c r="O535" i="2"/>
  <c r="U535" i="2"/>
  <c r="R535" i="2"/>
  <c r="V535" i="2"/>
  <c r="S535" i="2"/>
  <c r="H536" i="2"/>
  <c r="M536" i="2"/>
  <c r="O536" i="2"/>
  <c r="U536" i="2"/>
  <c r="R536" i="2"/>
  <c r="V536" i="2"/>
  <c r="S536" i="2"/>
  <c r="H537" i="2"/>
  <c r="M537" i="2"/>
  <c r="O537" i="2"/>
  <c r="U537" i="2"/>
  <c r="R537" i="2"/>
  <c r="V537" i="2"/>
  <c r="S537" i="2"/>
  <c r="H538" i="2"/>
  <c r="M538" i="2"/>
  <c r="O538" i="2"/>
  <c r="U538" i="2"/>
  <c r="R538" i="2"/>
  <c r="V538" i="2"/>
  <c r="S538" i="2"/>
  <c r="H539" i="2"/>
  <c r="M539" i="2"/>
  <c r="O539" i="2"/>
  <c r="U539" i="2"/>
  <c r="R539" i="2"/>
  <c r="V539" i="2"/>
  <c r="S539" i="2"/>
  <c r="H540" i="2"/>
  <c r="M540" i="2"/>
  <c r="O540" i="2"/>
  <c r="U540" i="2"/>
  <c r="R540" i="2"/>
  <c r="V540" i="2"/>
  <c r="S540" i="2"/>
  <c r="H541" i="2"/>
  <c r="M541" i="2"/>
  <c r="O541" i="2"/>
  <c r="U541" i="2"/>
  <c r="R541" i="2"/>
  <c r="V541" i="2"/>
  <c r="S541" i="2"/>
  <c r="H542" i="2"/>
  <c r="M542" i="2"/>
  <c r="O542" i="2"/>
  <c r="U542" i="2"/>
  <c r="R542" i="2"/>
  <c r="V542" i="2"/>
  <c r="S542" i="2"/>
  <c r="H543" i="2"/>
  <c r="M543" i="2"/>
  <c r="O543" i="2"/>
  <c r="U543" i="2"/>
  <c r="R543" i="2"/>
  <c r="V543" i="2"/>
  <c r="S543" i="2"/>
  <c r="H544" i="2"/>
  <c r="M544" i="2"/>
  <c r="O544" i="2"/>
  <c r="U544" i="2"/>
  <c r="R544" i="2"/>
  <c r="V544" i="2"/>
  <c r="S544" i="2"/>
  <c r="H545" i="2"/>
  <c r="M545" i="2"/>
  <c r="O545" i="2"/>
  <c r="U545" i="2"/>
  <c r="R545" i="2"/>
  <c r="V545" i="2"/>
  <c r="S545" i="2"/>
  <c r="H546" i="2"/>
  <c r="M546" i="2"/>
  <c r="O546" i="2"/>
  <c r="U546" i="2"/>
  <c r="R546" i="2"/>
  <c r="V546" i="2"/>
  <c r="S546" i="2"/>
  <c r="H547" i="2"/>
  <c r="M547" i="2"/>
  <c r="O547" i="2"/>
  <c r="U547" i="2"/>
  <c r="R547" i="2"/>
  <c r="V547" i="2"/>
  <c r="S547" i="2"/>
  <c r="H548" i="2"/>
  <c r="M548" i="2"/>
  <c r="O548" i="2"/>
  <c r="U548" i="2"/>
  <c r="R548" i="2"/>
  <c r="V548" i="2"/>
  <c r="S548" i="2"/>
  <c r="H549" i="2"/>
  <c r="M549" i="2"/>
  <c r="O549" i="2"/>
  <c r="U549" i="2"/>
  <c r="R549" i="2"/>
  <c r="V549" i="2"/>
  <c r="S549" i="2"/>
  <c r="H550" i="2"/>
  <c r="M550" i="2"/>
  <c r="O550" i="2"/>
  <c r="U550" i="2"/>
  <c r="R550" i="2"/>
  <c r="V550" i="2"/>
  <c r="S550" i="2"/>
  <c r="H551" i="2"/>
  <c r="M551" i="2"/>
  <c r="O551" i="2"/>
  <c r="U551" i="2"/>
  <c r="R551" i="2"/>
  <c r="V551" i="2"/>
  <c r="S551" i="2"/>
  <c r="H552" i="2"/>
  <c r="M552" i="2"/>
  <c r="O552" i="2"/>
  <c r="U552" i="2"/>
  <c r="R552" i="2"/>
  <c r="V552" i="2"/>
  <c r="S552" i="2"/>
  <c r="H553" i="2"/>
  <c r="M553" i="2"/>
  <c r="O553" i="2"/>
  <c r="U553" i="2"/>
  <c r="R553" i="2"/>
  <c r="V553" i="2"/>
  <c r="S553" i="2"/>
  <c r="H554" i="2"/>
  <c r="M554" i="2"/>
  <c r="O554" i="2"/>
  <c r="U554" i="2"/>
  <c r="R554" i="2"/>
  <c r="V554" i="2"/>
  <c r="S554" i="2"/>
  <c r="H555" i="2"/>
  <c r="M555" i="2"/>
  <c r="O555" i="2"/>
  <c r="U555" i="2"/>
  <c r="R555" i="2"/>
  <c r="V555" i="2"/>
  <c r="S555" i="2"/>
  <c r="H556" i="2"/>
  <c r="M556" i="2"/>
  <c r="O556" i="2"/>
  <c r="U556" i="2"/>
  <c r="R556" i="2"/>
  <c r="V556" i="2"/>
  <c r="S556" i="2"/>
  <c r="H557" i="2"/>
  <c r="M557" i="2"/>
  <c r="O557" i="2"/>
  <c r="U557" i="2"/>
  <c r="R557" i="2"/>
  <c r="V557" i="2"/>
  <c r="S557" i="2"/>
  <c r="H558" i="2"/>
  <c r="M558" i="2"/>
  <c r="O558" i="2"/>
  <c r="U558" i="2"/>
  <c r="R558" i="2"/>
  <c r="V558" i="2"/>
  <c r="S558" i="2"/>
  <c r="H559" i="2"/>
  <c r="M559" i="2"/>
  <c r="O559" i="2"/>
  <c r="U559" i="2"/>
  <c r="R559" i="2"/>
  <c r="V559" i="2"/>
  <c r="S559" i="2"/>
  <c r="H560" i="2"/>
  <c r="M560" i="2"/>
  <c r="O560" i="2"/>
  <c r="U560" i="2"/>
  <c r="R560" i="2"/>
  <c r="V560" i="2"/>
  <c r="S560" i="2"/>
  <c r="H561" i="2"/>
  <c r="M561" i="2"/>
  <c r="O561" i="2"/>
  <c r="U561" i="2"/>
  <c r="R561" i="2"/>
  <c r="V561" i="2"/>
  <c r="S561" i="2"/>
  <c r="H562" i="2"/>
  <c r="M562" i="2"/>
  <c r="O562" i="2"/>
  <c r="U562" i="2"/>
  <c r="R562" i="2"/>
  <c r="V562" i="2"/>
  <c r="S562" i="2"/>
  <c r="H563" i="2"/>
  <c r="M563" i="2"/>
  <c r="O563" i="2"/>
  <c r="U563" i="2"/>
  <c r="R563" i="2"/>
  <c r="V563" i="2"/>
  <c r="S563" i="2"/>
  <c r="H564" i="2"/>
  <c r="M564" i="2"/>
  <c r="O564" i="2"/>
  <c r="U564" i="2"/>
  <c r="R564" i="2"/>
  <c r="V564" i="2"/>
  <c r="S564" i="2"/>
  <c r="H565" i="2"/>
  <c r="M565" i="2"/>
  <c r="O565" i="2"/>
  <c r="U565" i="2"/>
  <c r="R565" i="2"/>
  <c r="V565" i="2"/>
  <c r="S565" i="2"/>
  <c r="H566" i="2"/>
  <c r="M566" i="2"/>
  <c r="O566" i="2"/>
  <c r="U566" i="2"/>
  <c r="R566" i="2"/>
  <c r="V566" i="2"/>
  <c r="S566" i="2"/>
  <c r="H567" i="2"/>
  <c r="M567" i="2"/>
  <c r="O567" i="2"/>
  <c r="U567" i="2"/>
  <c r="R567" i="2"/>
  <c r="V567" i="2"/>
  <c r="S567" i="2"/>
  <c r="H568" i="2"/>
  <c r="M568" i="2"/>
  <c r="O568" i="2"/>
  <c r="U568" i="2"/>
  <c r="R568" i="2"/>
  <c r="V568" i="2"/>
  <c r="S568" i="2"/>
  <c r="H569" i="2"/>
  <c r="M569" i="2"/>
  <c r="O569" i="2"/>
  <c r="U569" i="2"/>
  <c r="R569" i="2"/>
  <c r="V569" i="2"/>
  <c r="S569" i="2"/>
  <c r="H570" i="2"/>
  <c r="M570" i="2"/>
  <c r="O570" i="2"/>
  <c r="U570" i="2"/>
  <c r="R570" i="2"/>
  <c r="V570" i="2"/>
  <c r="S570" i="2"/>
  <c r="H571" i="2"/>
  <c r="M571" i="2"/>
  <c r="O571" i="2"/>
  <c r="U571" i="2"/>
  <c r="R571" i="2"/>
  <c r="V571" i="2"/>
  <c r="S571" i="2"/>
  <c r="H572" i="2"/>
  <c r="M572" i="2"/>
  <c r="O572" i="2"/>
  <c r="U572" i="2"/>
  <c r="R572" i="2"/>
  <c r="V572" i="2"/>
  <c r="S572" i="2"/>
  <c r="H573" i="2"/>
  <c r="M573" i="2"/>
  <c r="O573" i="2"/>
  <c r="U573" i="2"/>
  <c r="R573" i="2"/>
  <c r="V573" i="2"/>
  <c r="S573" i="2"/>
  <c r="H574" i="2"/>
  <c r="M574" i="2"/>
  <c r="O574" i="2"/>
  <c r="U574" i="2"/>
  <c r="R574" i="2"/>
  <c r="V574" i="2"/>
  <c r="S574" i="2"/>
  <c r="H575" i="2"/>
  <c r="M575" i="2"/>
  <c r="O575" i="2"/>
  <c r="U575" i="2"/>
  <c r="R575" i="2"/>
  <c r="V575" i="2"/>
  <c r="S575" i="2"/>
  <c r="H576" i="2"/>
  <c r="M576" i="2"/>
  <c r="O576" i="2"/>
  <c r="U576" i="2"/>
  <c r="R576" i="2"/>
  <c r="V576" i="2"/>
  <c r="S576" i="2"/>
  <c r="H577" i="2"/>
  <c r="M577" i="2"/>
  <c r="O577" i="2"/>
  <c r="U577" i="2"/>
  <c r="R577" i="2"/>
  <c r="V577" i="2"/>
  <c r="S577" i="2"/>
  <c r="H578" i="2"/>
  <c r="M578" i="2"/>
  <c r="O578" i="2"/>
  <c r="U578" i="2"/>
  <c r="R578" i="2"/>
  <c r="V578" i="2"/>
  <c r="S578" i="2"/>
  <c r="H579" i="2"/>
  <c r="M579" i="2"/>
  <c r="O579" i="2"/>
  <c r="U579" i="2"/>
  <c r="R579" i="2"/>
  <c r="V579" i="2"/>
  <c r="S579" i="2"/>
  <c r="H580" i="2"/>
  <c r="M580" i="2"/>
  <c r="O580" i="2"/>
  <c r="U580" i="2"/>
  <c r="R580" i="2"/>
  <c r="V580" i="2"/>
  <c r="S580" i="2"/>
  <c r="H581" i="2"/>
  <c r="M581" i="2"/>
  <c r="O581" i="2"/>
  <c r="U581" i="2"/>
  <c r="R581" i="2"/>
  <c r="V581" i="2"/>
  <c r="S581" i="2"/>
  <c r="H582" i="2"/>
  <c r="M582" i="2"/>
  <c r="O582" i="2"/>
  <c r="U582" i="2"/>
  <c r="R582" i="2"/>
  <c r="V582" i="2"/>
  <c r="S582" i="2"/>
  <c r="H583" i="2"/>
  <c r="M583" i="2"/>
  <c r="O583" i="2"/>
  <c r="U583" i="2"/>
  <c r="R583" i="2"/>
  <c r="V583" i="2"/>
  <c r="S583" i="2"/>
  <c r="H584" i="2"/>
  <c r="M584" i="2"/>
  <c r="O584" i="2"/>
  <c r="U584" i="2"/>
  <c r="R584" i="2"/>
  <c r="V584" i="2"/>
  <c r="S584" i="2"/>
  <c r="H585" i="2"/>
  <c r="M585" i="2"/>
  <c r="O585" i="2"/>
  <c r="U585" i="2"/>
  <c r="R585" i="2"/>
  <c r="V585" i="2"/>
  <c r="S585" i="2"/>
  <c r="H586" i="2"/>
  <c r="M586" i="2"/>
  <c r="O586" i="2"/>
  <c r="U586" i="2"/>
  <c r="R586" i="2"/>
  <c r="V586" i="2"/>
  <c r="S586" i="2"/>
  <c r="H587" i="2"/>
  <c r="M587" i="2"/>
  <c r="O587" i="2"/>
  <c r="U587" i="2"/>
  <c r="R587" i="2"/>
  <c r="V587" i="2"/>
  <c r="S587" i="2"/>
  <c r="H588" i="2"/>
  <c r="M588" i="2"/>
  <c r="O588" i="2"/>
  <c r="U588" i="2"/>
  <c r="R588" i="2"/>
  <c r="V588" i="2"/>
  <c r="S588" i="2"/>
  <c r="H589" i="2"/>
  <c r="M589" i="2"/>
  <c r="O589" i="2"/>
  <c r="U589" i="2"/>
  <c r="R589" i="2"/>
  <c r="V589" i="2"/>
  <c r="S589" i="2"/>
  <c r="H590" i="2"/>
  <c r="M590" i="2"/>
  <c r="O590" i="2"/>
  <c r="U590" i="2"/>
  <c r="R590" i="2"/>
  <c r="V590" i="2"/>
  <c r="S590" i="2"/>
  <c r="H591" i="2"/>
  <c r="M591" i="2"/>
  <c r="O591" i="2"/>
  <c r="U591" i="2"/>
  <c r="R591" i="2"/>
  <c r="V591" i="2"/>
  <c r="S591" i="2"/>
  <c r="H592" i="2"/>
  <c r="M592" i="2"/>
  <c r="O592" i="2"/>
  <c r="U592" i="2"/>
  <c r="R592" i="2"/>
  <c r="V592" i="2"/>
  <c r="S592" i="2"/>
  <c r="H593" i="2"/>
  <c r="M593" i="2"/>
  <c r="O593" i="2"/>
  <c r="U593" i="2"/>
  <c r="R593" i="2"/>
  <c r="V593" i="2"/>
  <c r="S593" i="2"/>
  <c r="H594" i="2"/>
  <c r="M594" i="2"/>
  <c r="O594" i="2"/>
  <c r="U594" i="2"/>
  <c r="R594" i="2"/>
  <c r="V594" i="2"/>
  <c r="S594" i="2"/>
  <c r="H595" i="2"/>
  <c r="M595" i="2"/>
  <c r="O595" i="2"/>
  <c r="U595" i="2"/>
  <c r="R595" i="2"/>
  <c r="V595" i="2"/>
  <c r="S595" i="2"/>
  <c r="H596" i="2"/>
  <c r="M596" i="2"/>
  <c r="O596" i="2"/>
  <c r="U596" i="2"/>
  <c r="R596" i="2"/>
  <c r="V596" i="2"/>
  <c r="S596" i="2"/>
  <c r="H597" i="2"/>
  <c r="M597" i="2"/>
  <c r="O597" i="2"/>
  <c r="U597" i="2"/>
  <c r="R597" i="2"/>
  <c r="V597" i="2"/>
  <c r="S597" i="2"/>
  <c r="H598" i="2"/>
  <c r="M598" i="2"/>
  <c r="O598" i="2"/>
  <c r="U598" i="2"/>
  <c r="R598" i="2"/>
  <c r="V598" i="2"/>
  <c r="S598" i="2"/>
  <c r="H599" i="2"/>
  <c r="M599" i="2"/>
  <c r="O599" i="2"/>
  <c r="U599" i="2"/>
  <c r="R599" i="2"/>
  <c r="V599" i="2"/>
  <c r="S599" i="2"/>
  <c r="H600" i="2"/>
  <c r="M600" i="2"/>
  <c r="O600" i="2"/>
  <c r="U600" i="2"/>
  <c r="R600" i="2"/>
  <c r="V600" i="2"/>
  <c r="S600" i="2"/>
  <c r="H601" i="2"/>
  <c r="M601" i="2"/>
  <c r="O601" i="2"/>
  <c r="U601" i="2"/>
  <c r="R601" i="2"/>
  <c r="V601" i="2"/>
  <c r="S601" i="2"/>
  <c r="H602" i="2"/>
  <c r="M602" i="2"/>
  <c r="O602" i="2"/>
  <c r="U602" i="2"/>
  <c r="R602" i="2"/>
  <c r="V602" i="2"/>
  <c r="S602" i="2"/>
  <c r="H603" i="2"/>
  <c r="M603" i="2"/>
  <c r="O603" i="2"/>
  <c r="U603" i="2"/>
  <c r="R603" i="2"/>
  <c r="V603" i="2"/>
  <c r="S603" i="2"/>
  <c r="H604" i="2"/>
  <c r="M604" i="2"/>
  <c r="O604" i="2"/>
  <c r="U604" i="2"/>
  <c r="R604" i="2"/>
  <c r="V604" i="2"/>
  <c r="S604" i="2"/>
  <c r="H605" i="2"/>
  <c r="M605" i="2"/>
  <c r="O605" i="2"/>
  <c r="U605" i="2"/>
  <c r="R605" i="2"/>
  <c r="V605" i="2"/>
  <c r="S605" i="2"/>
  <c r="H606" i="2"/>
  <c r="M606" i="2"/>
  <c r="O606" i="2"/>
  <c r="U606" i="2"/>
  <c r="R606" i="2"/>
  <c r="V606" i="2"/>
  <c r="S606" i="2"/>
  <c r="H607" i="2"/>
  <c r="M607" i="2"/>
  <c r="O607" i="2"/>
  <c r="U607" i="2"/>
  <c r="R607" i="2"/>
  <c r="V607" i="2"/>
  <c r="S607" i="2"/>
  <c r="H608" i="2"/>
  <c r="M608" i="2"/>
  <c r="O608" i="2"/>
  <c r="U608" i="2"/>
  <c r="R608" i="2"/>
  <c r="V608" i="2"/>
  <c r="S608" i="2"/>
  <c r="H609" i="2"/>
  <c r="M609" i="2"/>
  <c r="O609" i="2"/>
  <c r="U609" i="2"/>
  <c r="R609" i="2"/>
  <c r="V609" i="2"/>
  <c r="S609" i="2"/>
  <c r="H610" i="2"/>
  <c r="M610" i="2"/>
  <c r="O610" i="2"/>
  <c r="U610" i="2"/>
  <c r="R610" i="2"/>
  <c r="V610" i="2"/>
  <c r="S610" i="2"/>
  <c r="H611" i="2"/>
  <c r="M611" i="2"/>
  <c r="O611" i="2"/>
  <c r="U611" i="2"/>
  <c r="R611" i="2"/>
  <c r="V611" i="2"/>
  <c r="S611" i="2"/>
  <c r="H612" i="2"/>
  <c r="M612" i="2"/>
  <c r="O612" i="2"/>
  <c r="U612" i="2"/>
  <c r="R612" i="2"/>
  <c r="V612" i="2"/>
  <c r="S612" i="2"/>
  <c r="H613" i="2"/>
  <c r="M613" i="2"/>
  <c r="O613" i="2"/>
  <c r="U613" i="2"/>
  <c r="R613" i="2"/>
  <c r="V613" i="2"/>
  <c r="S613" i="2"/>
  <c r="H614" i="2"/>
  <c r="M614" i="2"/>
  <c r="O614" i="2"/>
  <c r="U614" i="2"/>
  <c r="R614" i="2"/>
  <c r="V614" i="2"/>
  <c r="S614" i="2"/>
  <c r="H615" i="2"/>
  <c r="M615" i="2"/>
  <c r="O615" i="2"/>
  <c r="U615" i="2"/>
  <c r="R615" i="2"/>
  <c r="V615" i="2"/>
  <c r="S615" i="2"/>
  <c r="H616" i="2"/>
  <c r="M616" i="2"/>
  <c r="O616" i="2"/>
  <c r="U616" i="2"/>
  <c r="R616" i="2"/>
  <c r="V616" i="2"/>
  <c r="S616" i="2"/>
  <c r="H617" i="2"/>
  <c r="M617" i="2"/>
  <c r="O617" i="2"/>
  <c r="U617" i="2"/>
  <c r="R617" i="2"/>
  <c r="V617" i="2"/>
  <c r="S617" i="2"/>
  <c r="H618" i="2"/>
  <c r="M618" i="2"/>
  <c r="O618" i="2"/>
  <c r="U618" i="2"/>
  <c r="R618" i="2"/>
  <c r="V618" i="2"/>
  <c r="S618" i="2"/>
  <c r="H619" i="2"/>
  <c r="M619" i="2"/>
  <c r="O619" i="2"/>
  <c r="U619" i="2"/>
  <c r="R619" i="2"/>
  <c r="V619" i="2"/>
  <c r="S619" i="2"/>
  <c r="H620" i="2"/>
  <c r="M620" i="2"/>
  <c r="O620" i="2"/>
  <c r="U620" i="2"/>
  <c r="R620" i="2"/>
  <c r="V620" i="2"/>
  <c r="S620" i="2"/>
  <c r="H621" i="2"/>
  <c r="M621" i="2"/>
  <c r="O621" i="2"/>
  <c r="U621" i="2"/>
  <c r="R621" i="2"/>
  <c r="V621" i="2"/>
  <c r="S621" i="2"/>
  <c r="H622" i="2"/>
  <c r="M622" i="2"/>
  <c r="O622" i="2"/>
  <c r="U622" i="2"/>
  <c r="R622" i="2"/>
  <c r="V622" i="2"/>
  <c r="S622" i="2"/>
  <c r="H623" i="2"/>
  <c r="M623" i="2"/>
  <c r="O623" i="2"/>
  <c r="U623" i="2"/>
  <c r="R623" i="2"/>
  <c r="V623" i="2"/>
  <c r="S623" i="2"/>
  <c r="H624" i="2"/>
  <c r="M624" i="2"/>
  <c r="O624" i="2"/>
  <c r="U624" i="2"/>
  <c r="R624" i="2"/>
  <c r="V624" i="2"/>
  <c r="S624" i="2"/>
  <c r="H625" i="2"/>
  <c r="M625" i="2"/>
  <c r="O625" i="2"/>
  <c r="U625" i="2"/>
  <c r="R625" i="2"/>
  <c r="V625" i="2"/>
  <c r="S625" i="2"/>
  <c r="H626" i="2"/>
  <c r="M626" i="2"/>
  <c r="O626" i="2"/>
  <c r="U626" i="2"/>
  <c r="R626" i="2"/>
  <c r="V626" i="2"/>
  <c r="S626" i="2"/>
  <c r="H627" i="2"/>
  <c r="M627" i="2"/>
  <c r="O627" i="2"/>
  <c r="U627" i="2"/>
  <c r="R627" i="2"/>
  <c r="V627" i="2"/>
  <c r="S627" i="2"/>
  <c r="H628" i="2"/>
  <c r="M628" i="2"/>
  <c r="O628" i="2"/>
  <c r="U628" i="2"/>
  <c r="R628" i="2"/>
  <c r="V628" i="2"/>
  <c r="S628" i="2"/>
  <c r="H629" i="2"/>
  <c r="M629" i="2"/>
  <c r="O629" i="2"/>
  <c r="U629" i="2"/>
  <c r="R629" i="2"/>
  <c r="V629" i="2"/>
  <c r="S629" i="2"/>
  <c r="H630" i="2"/>
  <c r="M630" i="2"/>
  <c r="O630" i="2"/>
  <c r="U630" i="2"/>
  <c r="R630" i="2"/>
  <c r="V630" i="2"/>
  <c r="S630" i="2"/>
  <c r="H631" i="2"/>
  <c r="M631" i="2"/>
  <c r="O631" i="2"/>
  <c r="U631" i="2"/>
  <c r="R631" i="2"/>
  <c r="V631" i="2"/>
  <c r="S631" i="2"/>
  <c r="H632" i="2"/>
  <c r="M632" i="2"/>
  <c r="O632" i="2"/>
  <c r="U632" i="2"/>
  <c r="R632" i="2"/>
  <c r="V632" i="2"/>
  <c r="S632" i="2"/>
  <c r="H633" i="2"/>
  <c r="M633" i="2"/>
  <c r="O633" i="2"/>
  <c r="U633" i="2"/>
  <c r="R633" i="2"/>
  <c r="V633" i="2"/>
  <c r="S633" i="2"/>
  <c r="H634" i="2"/>
  <c r="M634" i="2"/>
  <c r="O634" i="2"/>
  <c r="U634" i="2"/>
  <c r="R634" i="2"/>
  <c r="V634" i="2"/>
  <c r="S634" i="2"/>
  <c r="H635" i="2"/>
  <c r="M635" i="2"/>
  <c r="O635" i="2"/>
  <c r="U635" i="2"/>
  <c r="R635" i="2"/>
  <c r="V635" i="2"/>
  <c r="S635" i="2"/>
  <c r="H636" i="2"/>
  <c r="M636" i="2"/>
  <c r="O636" i="2"/>
  <c r="U636" i="2"/>
  <c r="R636" i="2"/>
  <c r="V636" i="2"/>
  <c r="S636" i="2"/>
  <c r="H637" i="2"/>
  <c r="M637" i="2"/>
  <c r="O637" i="2"/>
  <c r="U637" i="2"/>
  <c r="R637" i="2"/>
  <c r="V637" i="2"/>
  <c r="S637" i="2"/>
  <c r="H638" i="2"/>
  <c r="M638" i="2"/>
  <c r="O638" i="2"/>
  <c r="U638" i="2"/>
  <c r="R638" i="2"/>
  <c r="V638" i="2"/>
  <c r="S638" i="2"/>
  <c r="H639" i="2"/>
  <c r="M639" i="2"/>
  <c r="O639" i="2"/>
  <c r="U639" i="2"/>
  <c r="R639" i="2"/>
  <c r="V639" i="2"/>
  <c r="S639" i="2"/>
  <c r="H640" i="2"/>
  <c r="M640" i="2"/>
  <c r="O640" i="2"/>
  <c r="U640" i="2"/>
  <c r="R640" i="2"/>
  <c r="V640" i="2"/>
  <c r="S640" i="2"/>
  <c r="H641" i="2"/>
  <c r="M641" i="2"/>
  <c r="O641" i="2"/>
  <c r="U641" i="2"/>
  <c r="R641" i="2"/>
  <c r="V641" i="2"/>
  <c r="S641" i="2"/>
  <c r="H642" i="2"/>
  <c r="M642" i="2"/>
  <c r="O642" i="2"/>
  <c r="U642" i="2"/>
  <c r="R642" i="2"/>
  <c r="V642" i="2"/>
  <c r="S642" i="2"/>
  <c r="H643" i="2"/>
  <c r="M643" i="2"/>
  <c r="O643" i="2"/>
  <c r="U643" i="2"/>
  <c r="R643" i="2"/>
  <c r="V643" i="2"/>
  <c r="S643" i="2"/>
  <c r="H644" i="2"/>
  <c r="M644" i="2"/>
  <c r="O644" i="2"/>
  <c r="U644" i="2"/>
  <c r="R644" i="2"/>
  <c r="V644" i="2"/>
  <c r="S644" i="2"/>
  <c r="H645" i="2"/>
  <c r="M645" i="2"/>
  <c r="O645" i="2"/>
  <c r="U645" i="2"/>
  <c r="R645" i="2"/>
  <c r="V645" i="2"/>
  <c r="S645" i="2"/>
  <c r="H646" i="2"/>
  <c r="M646" i="2"/>
  <c r="O646" i="2"/>
  <c r="U646" i="2"/>
  <c r="R646" i="2"/>
  <c r="V646" i="2"/>
  <c r="S646" i="2"/>
  <c r="H647" i="2"/>
  <c r="M647" i="2"/>
  <c r="O647" i="2"/>
  <c r="U647" i="2"/>
  <c r="R647" i="2"/>
  <c r="V647" i="2"/>
  <c r="S647" i="2"/>
  <c r="H648" i="2"/>
  <c r="M648" i="2"/>
  <c r="O648" i="2"/>
  <c r="U648" i="2"/>
  <c r="R648" i="2"/>
  <c r="V648" i="2"/>
  <c r="S648" i="2"/>
  <c r="H649" i="2"/>
  <c r="M649" i="2"/>
  <c r="O649" i="2"/>
  <c r="U649" i="2"/>
  <c r="R649" i="2"/>
  <c r="V649" i="2"/>
  <c r="S649" i="2"/>
  <c r="H650" i="2"/>
  <c r="M650" i="2"/>
  <c r="O650" i="2"/>
  <c r="U650" i="2"/>
  <c r="R650" i="2"/>
  <c r="V650" i="2"/>
  <c r="S650" i="2"/>
  <c r="H651" i="2"/>
  <c r="M651" i="2"/>
  <c r="O651" i="2"/>
  <c r="U651" i="2"/>
  <c r="R651" i="2"/>
  <c r="V651" i="2"/>
  <c r="S651" i="2"/>
  <c r="H652" i="2"/>
  <c r="M652" i="2"/>
  <c r="O652" i="2"/>
  <c r="U652" i="2"/>
  <c r="R652" i="2"/>
  <c r="V652" i="2"/>
  <c r="S652" i="2"/>
  <c r="H653" i="2"/>
  <c r="M653" i="2"/>
  <c r="O653" i="2"/>
  <c r="U653" i="2"/>
  <c r="R653" i="2"/>
  <c r="V653" i="2"/>
  <c r="S653" i="2"/>
  <c r="H654" i="2"/>
  <c r="M654" i="2"/>
  <c r="O654" i="2"/>
  <c r="U654" i="2"/>
  <c r="R654" i="2"/>
  <c r="V654" i="2"/>
  <c r="S654" i="2"/>
  <c r="H655" i="2"/>
  <c r="M655" i="2"/>
  <c r="O655" i="2"/>
  <c r="U655" i="2"/>
  <c r="R655" i="2"/>
  <c r="V655" i="2"/>
  <c r="S655" i="2"/>
  <c r="H656" i="2"/>
  <c r="M656" i="2"/>
  <c r="O656" i="2"/>
  <c r="U656" i="2"/>
  <c r="R656" i="2"/>
  <c r="V656" i="2"/>
  <c r="S656" i="2"/>
  <c r="H657" i="2"/>
  <c r="M657" i="2"/>
  <c r="O657" i="2"/>
  <c r="U657" i="2"/>
  <c r="R657" i="2"/>
  <c r="V657" i="2"/>
  <c r="S657" i="2"/>
  <c r="H658" i="2"/>
  <c r="M658" i="2"/>
  <c r="O658" i="2"/>
  <c r="U658" i="2"/>
  <c r="R658" i="2"/>
  <c r="V658" i="2"/>
  <c r="S658" i="2"/>
  <c r="H659" i="2"/>
  <c r="M659" i="2"/>
  <c r="O659" i="2"/>
  <c r="U659" i="2"/>
  <c r="R659" i="2"/>
  <c r="V659" i="2"/>
  <c r="S659" i="2"/>
  <c r="H660" i="2"/>
  <c r="M660" i="2"/>
  <c r="O660" i="2"/>
  <c r="U660" i="2"/>
  <c r="R660" i="2"/>
  <c r="V660" i="2"/>
  <c r="S660" i="2"/>
  <c r="H661" i="2"/>
  <c r="M661" i="2"/>
  <c r="O661" i="2"/>
  <c r="U661" i="2"/>
  <c r="R661" i="2"/>
  <c r="V661" i="2"/>
  <c r="S661" i="2"/>
  <c r="H662" i="2"/>
  <c r="M662" i="2"/>
  <c r="O662" i="2"/>
  <c r="U662" i="2"/>
  <c r="R662" i="2"/>
  <c r="V662" i="2"/>
  <c r="S662" i="2"/>
  <c r="H663" i="2"/>
  <c r="M663" i="2"/>
  <c r="O663" i="2"/>
  <c r="U663" i="2"/>
  <c r="R663" i="2"/>
  <c r="V663" i="2"/>
  <c r="S663" i="2"/>
  <c r="H664" i="2"/>
  <c r="M664" i="2"/>
  <c r="O664" i="2"/>
  <c r="U664" i="2"/>
  <c r="R664" i="2"/>
  <c r="V664" i="2"/>
  <c r="S664" i="2"/>
  <c r="H665" i="2"/>
  <c r="M665" i="2"/>
  <c r="O665" i="2"/>
  <c r="U665" i="2"/>
  <c r="R665" i="2"/>
  <c r="V665" i="2"/>
  <c r="S665" i="2"/>
  <c r="H666" i="2"/>
  <c r="M666" i="2"/>
  <c r="O666" i="2"/>
  <c r="U666" i="2"/>
  <c r="R666" i="2"/>
  <c r="V666" i="2"/>
  <c r="S666" i="2"/>
  <c r="H667" i="2"/>
  <c r="M667" i="2"/>
  <c r="O667" i="2"/>
  <c r="U667" i="2"/>
  <c r="R667" i="2"/>
  <c r="V667" i="2"/>
  <c r="S667" i="2"/>
  <c r="H668" i="2"/>
  <c r="M668" i="2"/>
  <c r="O668" i="2"/>
  <c r="U668" i="2"/>
  <c r="R668" i="2"/>
  <c r="V668" i="2"/>
  <c r="S668" i="2"/>
  <c r="H669" i="2"/>
  <c r="M669" i="2"/>
  <c r="O669" i="2"/>
  <c r="U669" i="2"/>
  <c r="R669" i="2"/>
  <c r="V669" i="2"/>
  <c r="S669" i="2"/>
  <c r="H670" i="2"/>
  <c r="M670" i="2"/>
  <c r="O670" i="2"/>
  <c r="U670" i="2"/>
  <c r="R670" i="2"/>
  <c r="V670" i="2"/>
  <c r="S670" i="2"/>
  <c r="H671" i="2"/>
  <c r="M671" i="2"/>
  <c r="O671" i="2"/>
  <c r="U671" i="2"/>
  <c r="R671" i="2"/>
  <c r="V671" i="2"/>
  <c r="S671" i="2"/>
  <c r="H672" i="2"/>
  <c r="M672" i="2"/>
  <c r="O672" i="2"/>
  <c r="U672" i="2"/>
  <c r="R672" i="2"/>
  <c r="V672" i="2"/>
  <c r="S672" i="2"/>
  <c r="H673" i="2"/>
  <c r="M673" i="2"/>
  <c r="O673" i="2"/>
  <c r="U673" i="2"/>
  <c r="R673" i="2"/>
  <c r="V673" i="2"/>
  <c r="S673" i="2"/>
  <c r="H674" i="2"/>
  <c r="M674" i="2"/>
  <c r="O674" i="2"/>
  <c r="U674" i="2"/>
  <c r="R674" i="2"/>
  <c r="V674" i="2"/>
  <c r="S674" i="2"/>
  <c r="H675" i="2"/>
  <c r="M675" i="2"/>
  <c r="O675" i="2"/>
  <c r="U675" i="2"/>
  <c r="R675" i="2"/>
  <c r="V675" i="2"/>
  <c r="S675" i="2"/>
  <c r="H676" i="2"/>
  <c r="M676" i="2"/>
  <c r="O676" i="2"/>
  <c r="U676" i="2"/>
  <c r="R676" i="2"/>
  <c r="V676" i="2"/>
  <c r="S676" i="2"/>
  <c r="H677" i="2"/>
  <c r="M677" i="2"/>
  <c r="O677" i="2"/>
  <c r="U677" i="2"/>
  <c r="R677" i="2"/>
  <c r="V677" i="2"/>
  <c r="S677" i="2"/>
  <c r="H678" i="2"/>
  <c r="M678" i="2"/>
  <c r="O678" i="2"/>
  <c r="U678" i="2"/>
  <c r="R678" i="2"/>
  <c r="V678" i="2"/>
  <c r="S678" i="2"/>
  <c r="H679" i="2"/>
  <c r="M679" i="2"/>
  <c r="O679" i="2"/>
  <c r="U679" i="2"/>
  <c r="R679" i="2"/>
  <c r="V679" i="2"/>
  <c r="S679" i="2"/>
  <c r="H680" i="2"/>
  <c r="M680" i="2"/>
  <c r="O680" i="2"/>
  <c r="U680" i="2"/>
  <c r="R680" i="2"/>
  <c r="V680" i="2"/>
  <c r="S680" i="2"/>
  <c r="H681" i="2"/>
  <c r="M681" i="2"/>
  <c r="O681" i="2"/>
  <c r="U681" i="2"/>
  <c r="R681" i="2"/>
  <c r="V681" i="2"/>
  <c r="S681" i="2"/>
  <c r="H682" i="2"/>
  <c r="M682" i="2"/>
  <c r="O682" i="2"/>
  <c r="U682" i="2"/>
  <c r="R682" i="2"/>
  <c r="V682" i="2"/>
  <c r="S682" i="2"/>
  <c r="H683" i="2"/>
  <c r="M683" i="2"/>
  <c r="O683" i="2"/>
  <c r="U683" i="2"/>
  <c r="R683" i="2"/>
  <c r="V683" i="2"/>
  <c r="S683" i="2"/>
  <c r="H684" i="2"/>
  <c r="M684" i="2"/>
  <c r="O684" i="2"/>
  <c r="U684" i="2"/>
  <c r="R684" i="2"/>
  <c r="V684" i="2"/>
  <c r="S684" i="2"/>
  <c r="H685" i="2"/>
  <c r="M685" i="2"/>
  <c r="O685" i="2"/>
  <c r="U685" i="2"/>
  <c r="R685" i="2"/>
  <c r="V685" i="2"/>
  <c r="S685" i="2"/>
  <c r="H686" i="2"/>
  <c r="M686" i="2"/>
  <c r="O686" i="2"/>
  <c r="U686" i="2"/>
  <c r="R686" i="2"/>
  <c r="V686" i="2"/>
  <c r="S686" i="2"/>
  <c r="H687" i="2"/>
  <c r="M687" i="2"/>
  <c r="O687" i="2"/>
  <c r="U687" i="2"/>
  <c r="R687" i="2"/>
  <c r="V687" i="2"/>
  <c r="S687" i="2"/>
  <c r="H688" i="2"/>
  <c r="M688" i="2"/>
  <c r="O688" i="2"/>
  <c r="U688" i="2"/>
  <c r="R688" i="2"/>
  <c r="V688" i="2"/>
  <c r="S688" i="2"/>
  <c r="H689" i="2"/>
  <c r="M689" i="2"/>
  <c r="O689" i="2"/>
  <c r="U689" i="2"/>
  <c r="R689" i="2"/>
  <c r="V689" i="2"/>
  <c r="S689" i="2"/>
  <c r="H690" i="2"/>
  <c r="M690" i="2"/>
  <c r="O690" i="2"/>
  <c r="U690" i="2"/>
  <c r="R690" i="2"/>
  <c r="V690" i="2"/>
  <c r="S690" i="2"/>
  <c r="H691" i="2"/>
  <c r="M691" i="2"/>
  <c r="O691" i="2"/>
  <c r="U691" i="2"/>
  <c r="R691" i="2"/>
  <c r="V691" i="2"/>
  <c r="S691" i="2"/>
  <c r="H692" i="2"/>
  <c r="M692" i="2"/>
  <c r="O692" i="2"/>
  <c r="U692" i="2"/>
  <c r="R692" i="2"/>
  <c r="V692" i="2"/>
  <c r="S692" i="2"/>
  <c r="H693" i="2"/>
  <c r="M693" i="2"/>
  <c r="O693" i="2"/>
  <c r="U693" i="2"/>
  <c r="R693" i="2"/>
  <c r="V693" i="2"/>
  <c r="S693" i="2"/>
  <c r="H694" i="2"/>
  <c r="M694" i="2"/>
  <c r="O694" i="2"/>
  <c r="U694" i="2"/>
  <c r="R694" i="2"/>
  <c r="V694" i="2"/>
  <c r="S694" i="2"/>
  <c r="H695" i="2"/>
  <c r="M695" i="2"/>
  <c r="O695" i="2"/>
  <c r="U695" i="2"/>
  <c r="R695" i="2"/>
  <c r="V695" i="2"/>
  <c r="S695" i="2"/>
  <c r="H696" i="2"/>
  <c r="M696" i="2"/>
  <c r="O696" i="2"/>
  <c r="U696" i="2"/>
  <c r="R696" i="2"/>
  <c r="V696" i="2"/>
  <c r="S696" i="2"/>
  <c r="H697" i="2"/>
  <c r="M697" i="2"/>
  <c r="O697" i="2"/>
  <c r="U697" i="2"/>
  <c r="R697" i="2"/>
  <c r="V697" i="2"/>
  <c r="S697" i="2"/>
  <c r="H698" i="2"/>
  <c r="M698" i="2"/>
  <c r="O698" i="2"/>
  <c r="U698" i="2"/>
  <c r="R698" i="2"/>
  <c r="V698" i="2"/>
  <c r="S698" i="2"/>
  <c r="H699" i="2"/>
  <c r="M699" i="2"/>
  <c r="O699" i="2"/>
  <c r="U699" i="2"/>
  <c r="R699" i="2"/>
  <c r="V699" i="2"/>
  <c r="S699" i="2"/>
  <c r="H700" i="2"/>
  <c r="M700" i="2"/>
  <c r="O700" i="2"/>
  <c r="U700" i="2"/>
  <c r="R700" i="2"/>
  <c r="V700" i="2"/>
  <c r="S700" i="2"/>
  <c r="H701" i="2"/>
  <c r="M701" i="2"/>
  <c r="O701" i="2"/>
  <c r="U701" i="2"/>
  <c r="R701" i="2"/>
  <c r="V701" i="2"/>
  <c r="S701" i="2"/>
  <c r="H702" i="2"/>
  <c r="M702" i="2"/>
  <c r="O702" i="2"/>
  <c r="U702" i="2"/>
  <c r="R702" i="2"/>
  <c r="V702" i="2"/>
  <c r="S702" i="2"/>
  <c r="H703" i="2"/>
  <c r="M703" i="2"/>
  <c r="O703" i="2"/>
  <c r="U703" i="2"/>
  <c r="R703" i="2"/>
  <c r="V703" i="2"/>
  <c r="S703" i="2"/>
  <c r="H704" i="2"/>
  <c r="M704" i="2"/>
  <c r="O704" i="2"/>
  <c r="U704" i="2"/>
  <c r="R704" i="2"/>
  <c r="V704" i="2"/>
  <c r="S704" i="2"/>
  <c r="H705" i="2"/>
  <c r="M705" i="2"/>
  <c r="O705" i="2"/>
  <c r="U705" i="2"/>
  <c r="R705" i="2"/>
  <c r="V705" i="2"/>
  <c r="S705" i="2"/>
  <c r="H706" i="2"/>
  <c r="M706" i="2"/>
  <c r="O706" i="2"/>
  <c r="U706" i="2"/>
  <c r="R706" i="2"/>
  <c r="V706" i="2"/>
  <c r="S706" i="2"/>
  <c r="H707" i="2"/>
  <c r="M707" i="2"/>
  <c r="O707" i="2"/>
  <c r="U707" i="2"/>
  <c r="R707" i="2"/>
  <c r="V707" i="2"/>
  <c r="S707" i="2"/>
  <c r="H708" i="2"/>
  <c r="M708" i="2"/>
  <c r="O708" i="2"/>
  <c r="U708" i="2"/>
  <c r="R708" i="2"/>
  <c r="V708" i="2"/>
  <c r="S708" i="2"/>
  <c r="H709" i="2"/>
  <c r="M709" i="2"/>
  <c r="O709" i="2"/>
  <c r="U709" i="2"/>
  <c r="R709" i="2"/>
  <c r="V709" i="2"/>
  <c r="S709" i="2"/>
  <c r="H710" i="2"/>
  <c r="M710" i="2"/>
  <c r="O710" i="2"/>
  <c r="U710" i="2"/>
  <c r="R710" i="2"/>
  <c r="V710" i="2"/>
  <c r="S710" i="2"/>
  <c r="H711" i="2"/>
  <c r="M711" i="2"/>
  <c r="O711" i="2"/>
  <c r="U711" i="2"/>
  <c r="R711" i="2"/>
  <c r="V711" i="2"/>
  <c r="S711" i="2"/>
  <c r="H712" i="2"/>
  <c r="M712" i="2"/>
  <c r="O712" i="2"/>
  <c r="U712" i="2"/>
  <c r="R712" i="2"/>
  <c r="V712" i="2"/>
  <c r="S712" i="2"/>
  <c r="H713" i="2"/>
  <c r="M713" i="2"/>
  <c r="O713" i="2"/>
  <c r="U713" i="2"/>
  <c r="R713" i="2"/>
  <c r="V713" i="2"/>
  <c r="S713" i="2"/>
  <c r="H714" i="2"/>
  <c r="M714" i="2"/>
  <c r="O714" i="2"/>
  <c r="U714" i="2"/>
  <c r="R714" i="2"/>
  <c r="V714" i="2"/>
  <c r="S714" i="2"/>
  <c r="H715" i="2"/>
  <c r="M715" i="2"/>
  <c r="O715" i="2"/>
  <c r="U715" i="2"/>
  <c r="R715" i="2"/>
  <c r="V715" i="2"/>
  <c r="S715" i="2"/>
  <c r="H716" i="2"/>
  <c r="M716" i="2"/>
  <c r="O716" i="2"/>
  <c r="U716" i="2"/>
  <c r="R716" i="2"/>
  <c r="V716" i="2"/>
  <c r="S716" i="2"/>
  <c r="H717" i="2"/>
  <c r="M717" i="2"/>
  <c r="O717" i="2"/>
  <c r="U717" i="2"/>
  <c r="R717" i="2"/>
  <c r="V717" i="2"/>
  <c r="S717" i="2"/>
  <c r="H718" i="2"/>
  <c r="M718" i="2"/>
  <c r="O718" i="2"/>
  <c r="U718" i="2"/>
  <c r="R718" i="2"/>
  <c r="V718" i="2"/>
  <c r="S718" i="2"/>
  <c r="H719" i="2"/>
  <c r="M719" i="2"/>
  <c r="O719" i="2"/>
  <c r="U719" i="2"/>
  <c r="R719" i="2"/>
  <c r="V719" i="2"/>
  <c r="S719" i="2"/>
  <c r="H720" i="2"/>
  <c r="M720" i="2"/>
  <c r="O720" i="2"/>
  <c r="U720" i="2"/>
  <c r="R720" i="2"/>
  <c r="V720" i="2"/>
  <c r="S720" i="2"/>
  <c r="H721" i="2"/>
  <c r="M721" i="2"/>
  <c r="O721" i="2"/>
  <c r="U721" i="2"/>
  <c r="R721" i="2"/>
  <c r="V721" i="2"/>
  <c r="S721" i="2"/>
  <c r="H722" i="2"/>
  <c r="M722" i="2"/>
  <c r="O722" i="2"/>
  <c r="U722" i="2"/>
  <c r="R722" i="2"/>
  <c r="V722" i="2"/>
  <c r="S722" i="2"/>
  <c r="H723" i="2"/>
  <c r="M723" i="2"/>
  <c r="O723" i="2"/>
  <c r="U723" i="2"/>
  <c r="R723" i="2"/>
  <c r="V723" i="2"/>
  <c r="S723" i="2"/>
  <c r="H724" i="2"/>
  <c r="M724" i="2"/>
  <c r="O724" i="2"/>
  <c r="U724" i="2"/>
  <c r="R724" i="2"/>
  <c r="V724" i="2"/>
  <c r="S724" i="2"/>
  <c r="H725" i="2"/>
  <c r="M725" i="2"/>
  <c r="O725" i="2"/>
  <c r="U725" i="2"/>
  <c r="R725" i="2"/>
  <c r="V725" i="2"/>
  <c r="S725" i="2"/>
  <c r="H726" i="2"/>
  <c r="M726" i="2"/>
  <c r="O726" i="2"/>
  <c r="U726" i="2"/>
  <c r="R726" i="2"/>
  <c r="V726" i="2"/>
  <c r="S726" i="2"/>
  <c r="H727" i="2"/>
  <c r="M727" i="2"/>
  <c r="O727" i="2"/>
  <c r="U727" i="2"/>
  <c r="R727" i="2"/>
  <c r="V727" i="2"/>
  <c r="S727" i="2"/>
  <c r="H728" i="2"/>
  <c r="M728" i="2"/>
  <c r="O728" i="2"/>
  <c r="U728" i="2"/>
  <c r="R728" i="2"/>
  <c r="V728" i="2"/>
  <c r="S728" i="2"/>
  <c r="H729" i="2"/>
  <c r="M729" i="2"/>
  <c r="O729" i="2"/>
  <c r="U729" i="2"/>
  <c r="R729" i="2"/>
  <c r="V729" i="2"/>
  <c r="S729" i="2"/>
  <c r="H730" i="2"/>
  <c r="M730" i="2"/>
  <c r="O730" i="2"/>
  <c r="U730" i="2"/>
  <c r="R730" i="2"/>
  <c r="V730" i="2"/>
  <c r="S730" i="2"/>
  <c r="H731" i="2"/>
  <c r="M731" i="2"/>
  <c r="O731" i="2"/>
  <c r="U731" i="2"/>
  <c r="R731" i="2"/>
  <c r="V731" i="2"/>
  <c r="S731" i="2"/>
  <c r="H732" i="2"/>
  <c r="M732" i="2"/>
  <c r="O732" i="2"/>
  <c r="U732" i="2"/>
  <c r="R732" i="2"/>
  <c r="V732" i="2"/>
  <c r="S732" i="2"/>
  <c r="H733" i="2"/>
  <c r="M733" i="2"/>
  <c r="O733" i="2"/>
  <c r="U733" i="2"/>
  <c r="R733" i="2"/>
  <c r="V733" i="2"/>
  <c r="S733" i="2"/>
  <c r="H734" i="2"/>
  <c r="M734" i="2"/>
  <c r="O734" i="2"/>
  <c r="U734" i="2"/>
  <c r="R734" i="2"/>
  <c r="V734" i="2"/>
  <c r="S734" i="2"/>
  <c r="H735" i="2"/>
  <c r="M735" i="2"/>
  <c r="O735" i="2"/>
  <c r="U735" i="2"/>
  <c r="R735" i="2"/>
  <c r="V735" i="2"/>
  <c r="S735" i="2"/>
  <c r="H736" i="2"/>
  <c r="M736" i="2"/>
  <c r="O736" i="2"/>
  <c r="U736" i="2"/>
  <c r="R736" i="2"/>
  <c r="V736" i="2"/>
  <c r="S736" i="2"/>
  <c r="H737" i="2"/>
  <c r="M737" i="2"/>
  <c r="O737" i="2"/>
  <c r="U737" i="2"/>
  <c r="R737" i="2"/>
  <c r="V737" i="2"/>
  <c r="S737" i="2"/>
  <c r="H738" i="2"/>
  <c r="M738" i="2"/>
  <c r="O738" i="2"/>
  <c r="U738" i="2"/>
  <c r="R738" i="2"/>
  <c r="V738" i="2"/>
  <c r="S738" i="2"/>
  <c r="H739" i="2"/>
  <c r="M739" i="2"/>
  <c r="O739" i="2"/>
  <c r="U739" i="2"/>
  <c r="R739" i="2"/>
  <c r="V739" i="2"/>
  <c r="S739" i="2"/>
  <c r="H740" i="2"/>
  <c r="M740" i="2"/>
  <c r="O740" i="2"/>
  <c r="U740" i="2"/>
  <c r="R740" i="2"/>
  <c r="V740" i="2"/>
  <c r="S740" i="2"/>
  <c r="H741" i="2"/>
  <c r="M741" i="2"/>
  <c r="O741" i="2"/>
  <c r="U741" i="2"/>
  <c r="R741" i="2"/>
  <c r="V741" i="2"/>
  <c r="S741" i="2"/>
  <c r="H742" i="2"/>
  <c r="M742" i="2"/>
  <c r="O742" i="2"/>
  <c r="U742" i="2"/>
  <c r="R742" i="2"/>
  <c r="V742" i="2"/>
  <c r="S742" i="2"/>
  <c r="H743" i="2"/>
  <c r="M743" i="2"/>
  <c r="O743" i="2"/>
  <c r="U743" i="2"/>
  <c r="R743" i="2"/>
  <c r="V743" i="2"/>
  <c r="S743" i="2"/>
  <c r="H744" i="2"/>
  <c r="M744" i="2"/>
  <c r="O744" i="2"/>
  <c r="U744" i="2"/>
  <c r="R744" i="2"/>
  <c r="V744" i="2"/>
  <c r="S744" i="2"/>
  <c r="H745" i="2"/>
  <c r="M745" i="2"/>
  <c r="O745" i="2"/>
  <c r="U745" i="2"/>
  <c r="R745" i="2"/>
  <c r="V745" i="2"/>
  <c r="S745" i="2"/>
  <c r="H746" i="2"/>
  <c r="M746" i="2"/>
  <c r="O746" i="2"/>
  <c r="U746" i="2"/>
  <c r="R746" i="2"/>
  <c r="V746" i="2"/>
  <c r="S746" i="2"/>
  <c r="H747" i="2"/>
  <c r="M747" i="2"/>
  <c r="O747" i="2"/>
  <c r="U747" i="2"/>
  <c r="R747" i="2"/>
  <c r="V747" i="2"/>
  <c r="S747" i="2"/>
  <c r="H748" i="2"/>
  <c r="M748" i="2"/>
  <c r="O748" i="2"/>
  <c r="U748" i="2"/>
  <c r="R748" i="2"/>
  <c r="V748" i="2"/>
  <c r="S748" i="2"/>
  <c r="H749" i="2"/>
  <c r="M749" i="2"/>
  <c r="O749" i="2"/>
  <c r="U749" i="2"/>
  <c r="R749" i="2"/>
  <c r="V749" i="2"/>
  <c r="S749" i="2"/>
  <c r="H750" i="2"/>
  <c r="M750" i="2"/>
  <c r="O750" i="2"/>
  <c r="U750" i="2"/>
  <c r="R750" i="2"/>
  <c r="V750" i="2"/>
  <c r="S750" i="2"/>
  <c r="H751" i="2"/>
  <c r="M751" i="2"/>
  <c r="O751" i="2"/>
  <c r="U751" i="2"/>
  <c r="R751" i="2"/>
  <c r="V751" i="2"/>
  <c r="S751" i="2"/>
  <c r="H752" i="2"/>
  <c r="M752" i="2"/>
  <c r="O752" i="2"/>
  <c r="U752" i="2"/>
  <c r="R752" i="2"/>
  <c r="V752" i="2"/>
  <c r="S752" i="2"/>
  <c r="H753" i="2"/>
  <c r="M753" i="2"/>
  <c r="O753" i="2"/>
  <c r="U753" i="2"/>
  <c r="R753" i="2"/>
  <c r="V753" i="2"/>
  <c r="S753" i="2"/>
  <c r="H754" i="2"/>
  <c r="M754" i="2"/>
  <c r="O754" i="2"/>
  <c r="U754" i="2"/>
  <c r="R754" i="2"/>
  <c r="V754" i="2"/>
  <c r="S754" i="2"/>
  <c r="H755" i="2"/>
  <c r="M755" i="2"/>
  <c r="O755" i="2"/>
  <c r="U755" i="2"/>
  <c r="R755" i="2"/>
  <c r="V755" i="2"/>
  <c r="S755" i="2"/>
  <c r="H756" i="2"/>
  <c r="M756" i="2"/>
  <c r="O756" i="2"/>
  <c r="U756" i="2"/>
  <c r="R756" i="2"/>
  <c r="V756" i="2"/>
  <c r="S756" i="2"/>
  <c r="H757" i="2"/>
  <c r="M757" i="2"/>
  <c r="O757" i="2"/>
  <c r="U757" i="2"/>
  <c r="R757" i="2"/>
  <c r="V757" i="2"/>
  <c r="S757" i="2"/>
  <c r="H758" i="2"/>
  <c r="M758" i="2"/>
  <c r="O758" i="2"/>
  <c r="U758" i="2"/>
  <c r="R758" i="2"/>
  <c r="V758" i="2"/>
  <c r="S758" i="2"/>
  <c r="H759" i="2"/>
  <c r="M759" i="2"/>
  <c r="O759" i="2"/>
  <c r="U759" i="2"/>
  <c r="R759" i="2"/>
  <c r="V759" i="2"/>
  <c r="S759" i="2"/>
  <c r="H760" i="2"/>
  <c r="M760" i="2"/>
  <c r="O760" i="2"/>
  <c r="U760" i="2"/>
  <c r="R760" i="2"/>
  <c r="V760" i="2"/>
  <c r="S760" i="2"/>
  <c r="H761" i="2"/>
  <c r="M761" i="2"/>
  <c r="O761" i="2"/>
  <c r="U761" i="2"/>
  <c r="R761" i="2"/>
  <c r="V761" i="2"/>
  <c r="S761" i="2"/>
  <c r="H762" i="2"/>
  <c r="M762" i="2"/>
  <c r="O762" i="2"/>
  <c r="U762" i="2"/>
  <c r="R762" i="2"/>
  <c r="V762" i="2"/>
  <c r="S762" i="2"/>
  <c r="H763" i="2"/>
  <c r="M763" i="2"/>
  <c r="O763" i="2"/>
  <c r="U763" i="2"/>
  <c r="R763" i="2"/>
  <c r="V763" i="2"/>
  <c r="S763" i="2"/>
  <c r="H764" i="2"/>
  <c r="M764" i="2"/>
  <c r="O764" i="2"/>
  <c r="U764" i="2"/>
  <c r="R764" i="2"/>
  <c r="V764" i="2"/>
  <c r="S764" i="2"/>
  <c r="H765" i="2"/>
  <c r="M765" i="2"/>
  <c r="O765" i="2"/>
  <c r="U765" i="2"/>
  <c r="R765" i="2"/>
  <c r="V765" i="2"/>
  <c r="S765" i="2"/>
  <c r="H766" i="2"/>
  <c r="M766" i="2"/>
  <c r="O766" i="2"/>
  <c r="U766" i="2"/>
  <c r="R766" i="2"/>
  <c r="V766" i="2"/>
  <c r="S766" i="2"/>
  <c r="H767" i="2"/>
  <c r="M767" i="2"/>
  <c r="O767" i="2"/>
  <c r="U767" i="2"/>
  <c r="R767" i="2"/>
  <c r="V767" i="2"/>
  <c r="S767" i="2"/>
  <c r="H768" i="2"/>
  <c r="M768" i="2"/>
  <c r="O768" i="2"/>
  <c r="U768" i="2"/>
  <c r="R768" i="2"/>
  <c r="V768" i="2"/>
  <c r="S768" i="2"/>
  <c r="H769" i="2"/>
  <c r="M769" i="2"/>
  <c r="O769" i="2"/>
  <c r="U769" i="2"/>
  <c r="R769" i="2"/>
  <c r="V769" i="2"/>
  <c r="S769" i="2"/>
  <c r="H770" i="2"/>
  <c r="M770" i="2"/>
  <c r="O770" i="2"/>
  <c r="U770" i="2"/>
  <c r="R770" i="2"/>
  <c r="V770" i="2"/>
  <c r="S770" i="2"/>
  <c r="H771" i="2"/>
  <c r="M771" i="2"/>
  <c r="O771" i="2"/>
  <c r="U771" i="2"/>
  <c r="R771" i="2"/>
  <c r="V771" i="2"/>
  <c r="S771" i="2"/>
  <c r="H772" i="2"/>
  <c r="M772" i="2"/>
  <c r="O772" i="2"/>
  <c r="U772" i="2"/>
  <c r="R772" i="2"/>
  <c r="V772" i="2"/>
  <c r="S772" i="2"/>
  <c r="H773" i="2"/>
  <c r="M773" i="2"/>
  <c r="O773" i="2"/>
  <c r="U773" i="2"/>
  <c r="R773" i="2"/>
  <c r="V773" i="2"/>
  <c r="S773" i="2"/>
  <c r="H774" i="2"/>
  <c r="M774" i="2"/>
  <c r="O774" i="2"/>
  <c r="U774" i="2"/>
  <c r="R774" i="2"/>
  <c r="V774" i="2"/>
  <c r="S774" i="2"/>
  <c r="H775" i="2"/>
  <c r="M775" i="2"/>
  <c r="O775" i="2"/>
  <c r="U775" i="2"/>
  <c r="R775" i="2"/>
  <c r="V775" i="2"/>
  <c r="S775" i="2"/>
  <c r="H776" i="2"/>
  <c r="M776" i="2"/>
  <c r="O776" i="2"/>
  <c r="U776" i="2"/>
  <c r="R776" i="2"/>
  <c r="V776" i="2"/>
  <c r="S776" i="2"/>
  <c r="H777" i="2"/>
  <c r="M777" i="2"/>
  <c r="O777" i="2"/>
  <c r="U777" i="2"/>
  <c r="R777" i="2"/>
  <c r="V777" i="2"/>
  <c r="S777" i="2"/>
  <c r="H778" i="2"/>
  <c r="M778" i="2"/>
  <c r="O778" i="2"/>
  <c r="U778" i="2"/>
  <c r="R778" i="2"/>
  <c r="V778" i="2"/>
  <c r="S778" i="2"/>
  <c r="H779" i="2"/>
  <c r="M779" i="2"/>
  <c r="O779" i="2"/>
  <c r="U779" i="2"/>
  <c r="R779" i="2"/>
  <c r="V779" i="2"/>
  <c r="S779" i="2"/>
  <c r="H780" i="2"/>
  <c r="M780" i="2"/>
  <c r="O780" i="2"/>
  <c r="U780" i="2"/>
  <c r="R780" i="2"/>
  <c r="V780" i="2"/>
  <c r="S780" i="2"/>
  <c r="H781" i="2"/>
  <c r="M781" i="2"/>
  <c r="O781" i="2"/>
  <c r="U781" i="2"/>
  <c r="R781" i="2"/>
  <c r="V781" i="2"/>
  <c r="S781" i="2"/>
  <c r="H782" i="2"/>
  <c r="M782" i="2"/>
  <c r="O782" i="2"/>
  <c r="U782" i="2"/>
  <c r="R782" i="2"/>
  <c r="V782" i="2"/>
  <c r="S782" i="2"/>
  <c r="H783" i="2"/>
  <c r="M783" i="2"/>
  <c r="O783" i="2"/>
  <c r="U783" i="2"/>
  <c r="R783" i="2"/>
  <c r="V783" i="2"/>
  <c r="S783" i="2"/>
  <c r="H784" i="2"/>
  <c r="M784" i="2"/>
  <c r="O784" i="2"/>
  <c r="U784" i="2"/>
  <c r="R784" i="2"/>
  <c r="V784" i="2"/>
  <c r="S784" i="2"/>
  <c r="H785" i="2"/>
  <c r="M785" i="2"/>
  <c r="O785" i="2"/>
  <c r="U785" i="2"/>
  <c r="R785" i="2"/>
  <c r="V785" i="2"/>
  <c r="S785" i="2"/>
  <c r="H786" i="2"/>
  <c r="M786" i="2"/>
  <c r="O786" i="2"/>
  <c r="U786" i="2"/>
  <c r="R786" i="2"/>
  <c r="V786" i="2"/>
  <c r="S786" i="2"/>
  <c r="H787" i="2"/>
  <c r="M787" i="2"/>
  <c r="O787" i="2"/>
  <c r="U787" i="2"/>
  <c r="R787" i="2"/>
  <c r="V787" i="2"/>
  <c r="S787" i="2"/>
  <c r="H788" i="2"/>
  <c r="M788" i="2"/>
  <c r="O788" i="2"/>
  <c r="U788" i="2"/>
  <c r="R788" i="2"/>
  <c r="V788" i="2"/>
  <c r="S788" i="2"/>
  <c r="H789" i="2"/>
  <c r="M789" i="2"/>
  <c r="O789" i="2"/>
  <c r="U789" i="2"/>
  <c r="R789" i="2"/>
  <c r="V789" i="2"/>
  <c r="S789" i="2"/>
  <c r="H790" i="2"/>
  <c r="M790" i="2"/>
  <c r="O790" i="2"/>
  <c r="U790" i="2"/>
  <c r="R790" i="2"/>
  <c r="V790" i="2"/>
  <c r="S790" i="2"/>
  <c r="H791" i="2"/>
  <c r="M791" i="2"/>
  <c r="O791" i="2"/>
  <c r="U791" i="2"/>
  <c r="R791" i="2"/>
  <c r="V791" i="2"/>
  <c r="S791" i="2"/>
  <c r="H792" i="2"/>
  <c r="M792" i="2"/>
  <c r="O792" i="2"/>
  <c r="U792" i="2"/>
  <c r="R792" i="2"/>
  <c r="V792" i="2"/>
  <c r="S792" i="2"/>
  <c r="H793" i="2"/>
  <c r="M793" i="2"/>
  <c r="O793" i="2"/>
  <c r="U793" i="2"/>
  <c r="R793" i="2"/>
  <c r="V793" i="2"/>
  <c r="S793" i="2"/>
  <c r="H794" i="2"/>
  <c r="M794" i="2"/>
  <c r="O794" i="2"/>
  <c r="U794" i="2"/>
  <c r="R794" i="2"/>
  <c r="V794" i="2"/>
  <c r="S794" i="2"/>
  <c r="H795" i="2"/>
  <c r="M795" i="2"/>
  <c r="O795" i="2"/>
  <c r="U795" i="2"/>
  <c r="R795" i="2"/>
  <c r="V795" i="2"/>
  <c r="S795" i="2"/>
  <c r="H796" i="2"/>
  <c r="M796" i="2"/>
  <c r="O796" i="2"/>
  <c r="U796" i="2"/>
  <c r="R796" i="2"/>
  <c r="V796" i="2"/>
  <c r="S796" i="2"/>
  <c r="H797" i="2"/>
  <c r="M797" i="2"/>
  <c r="O797" i="2"/>
  <c r="U797" i="2"/>
  <c r="R797" i="2"/>
  <c r="V797" i="2"/>
  <c r="S797" i="2"/>
  <c r="H798" i="2"/>
  <c r="M798" i="2"/>
  <c r="O798" i="2"/>
  <c r="U798" i="2"/>
  <c r="R798" i="2"/>
  <c r="V798" i="2"/>
  <c r="S798" i="2"/>
  <c r="H799" i="2"/>
  <c r="M799" i="2"/>
  <c r="O799" i="2"/>
  <c r="U799" i="2"/>
  <c r="R799" i="2"/>
  <c r="V799" i="2"/>
  <c r="S799" i="2"/>
  <c r="H800" i="2"/>
  <c r="M800" i="2"/>
  <c r="O800" i="2"/>
  <c r="U800" i="2"/>
  <c r="R800" i="2"/>
  <c r="V800" i="2"/>
  <c r="S800" i="2"/>
  <c r="H801" i="2"/>
  <c r="M801" i="2"/>
  <c r="O801" i="2"/>
  <c r="U801" i="2"/>
  <c r="R801" i="2"/>
  <c r="V801" i="2"/>
  <c r="S801" i="2"/>
  <c r="H802" i="2"/>
  <c r="M802" i="2"/>
  <c r="O802" i="2"/>
  <c r="U802" i="2"/>
  <c r="R802" i="2"/>
  <c r="V802" i="2"/>
  <c r="S802" i="2"/>
  <c r="H803" i="2"/>
  <c r="M803" i="2"/>
  <c r="O803" i="2"/>
  <c r="U803" i="2"/>
  <c r="R803" i="2"/>
  <c r="V803" i="2"/>
  <c r="S803" i="2"/>
  <c r="H804" i="2"/>
  <c r="M804" i="2"/>
  <c r="O804" i="2"/>
  <c r="U804" i="2"/>
  <c r="R804" i="2"/>
  <c r="V804" i="2"/>
  <c r="S804" i="2"/>
  <c r="H805" i="2"/>
  <c r="M805" i="2"/>
  <c r="O805" i="2"/>
  <c r="U805" i="2"/>
  <c r="R805" i="2"/>
  <c r="V805" i="2"/>
  <c r="S805" i="2"/>
  <c r="H806" i="2"/>
  <c r="M806" i="2"/>
  <c r="O806" i="2"/>
  <c r="U806" i="2"/>
  <c r="R806" i="2"/>
  <c r="V806" i="2"/>
  <c r="S806" i="2"/>
  <c r="H807" i="2"/>
  <c r="M807" i="2"/>
  <c r="O807" i="2"/>
  <c r="U807" i="2"/>
  <c r="R807" i="2"/>
  <c r="V807" i="2"/>
  <c r="S807" i="2"/>
  <c r="H808" i="2"/>
  <c r="M808" i="2"/>
  <c r="O808" i="2"/>
  <c r="U808" i="2"/>
  <c r="R808" i="2"/>
  <c r="V808" i="2"/>
  <c r="S808" i="2"/>
  <c r="H809" i="2"/>
  <c r="M809" i="2"/>
  <c r="O809" i="2"/>
  <c r="U809" i="2"/>
  <c r="R809" i="2"/>
  <c r="V809" i="2"/>
  <c r="S809" i="2"/>
  <c r="H810" i="2"/>
  <c r="M810" i="2"/>
  <c r="O810" i="2"/>
  <c r="U810" i="2"/>
  <c r="R810" i="2"/>
  <c r="V810" i="2"/>
  <c r="S810" i="2"/>
  <c r="H811" i="2"/>
  <c r="M811" i="2"/>
  <c r="O811" i="2"/>
  <c r="U811" i="2"/>
  <c r="R811" i="2"/>
  <c r="V811" i="2"/>
  <c r="S811" i="2"/>
  <c r="H812" i="2"/>
  <c r="M812" i="2"/>
  <c r="O812" i="2"/>
  <c r="U812" i="2"/>
  <c r="R812" i="2"/>
  <c r="V812" i="2"/>
  <c r="S812" i="2"/>
  <c r="H813" i="2"/>
  <c r="M813" i="2"/>
  <c r="O813" i="2"/>
  <c r="U813" i="2"/>
  <c r="R813" i="2"/>
  <c r="V813" i="2"/>
  <c r="S813" i="2"/>
  <c r="H814" i="2"/>
  <c r="M814" i="2"/>
  <c r="O814" i="2"/>
  <c r="U814" i="2"/>
  <c r="R814" i="2"/>
  <c r="V814" i="2"/>
  <c r="S814" i="2"/>
  <c r="H815" i="2"/>
  <c r="M815" i="2"/>
  <c r="O815" i="2"/>
  <c r="U815" i="2"/>
  <c r="R815" i="2"/>
  <c r="V815" i="2"/>
  <c r="S815" i="2"/>
  <c r="H816" i="2"/>
  <c r="M816" i="2"/>
  <c r="O816" i="2"/>
  <c r="U816" i="2"/>
  <c r="R816" i="2"/>
  <c r="V816" i="2"/>
  <c r="S816" i="2"/>
  <c r="H817" i="2"/>
  <c r="M817" i="2"/>
  <c r="O817" i="2"/>
  <c r="U817" i="2"/>
  <c r="R817" i="2"/>
  <c r="V817" i="2"/>
  <c r="S817" i="2"/>
  <c r="H818" i="2"/>
  <c r="M818" i="2"/>
  <c r="O818" i="2"/>
  <c r="U818" i="2"/>
  <c r="R818" i="2"/>
  <c r="V818" i="2"/>
  <c r="S818" i="2"/>
  <c r="H819" i="2"/>
  <c r="M819" i="2"/>
  <c r="O819" i="2"/>
  <c r="U819" i="2"/>
  <c r="R819" i="2"/>
  <c r="V819" i="2"/>
  <c r="S819" i="2"/>
  <c r="H820" i="2"/>
  <c r="M820" i="2"/>
  <c r="O820" i="2"/>
  <c r="U820" i="2"/>
  <c r="R820" i="2"/>
  <c r="V820" i="2"/>
  <c r="S820" i="2"/>
  <c r="H821" i="2"/>
  <c r="M821" i="2"/>
  <c r="O821" i="2"/>
  <c r="U821" i="2"/>
  <c r="R821" i="2"/>
  <c r="V821" i="2"/>
  <c r="S821" i="2"/>
  <c r="H822" i="2"/>
  <c r="M822" i="2"/>
  <c r="O822" i="2"/>
  <c r="U822" i="2"/>
  <c r="R822" i="2"/>
  <c r="V822" i="2"/>
  <c r="S822" i="2"/>
  <c r="H823" i="2"/>
  <c r="M823" i="2"/>
  <c r="O823" i="2"/>
  <c r="U823" i="2"/>
  <c r="R823" i="2"/>
  <c r="V823" i="2"/>
  <c r="S823" i="2"/>
  <c r="H824" i="2"/>
  <c r="M824" i="2"/>
  <c r="O824" i="2"/>
  <c r="U824" i="2"/>
  <c r="R824" i="2"/>
  <c r="V824" i="2"/>
  <c r="S824" i="2"/>
  <c r="H825" i="2"/>
  <c r="M825" i="2"/>
  <c r="O825" i="2"/>
  <c r="U825" i="2"/>
  <c r="R825" i="2"/>
  <c r="V825" i="2"/>
  <c r="S825" i="2"/>
  <c r="T11" i="2"/>
  <c r="Q11" i="2"/>
  <c r="T12" i="2"/>
  <c r="Q12" i="2"/>
  <c r="T13" i="2"/>
  <c r="Q13" i="2"/>
  <c r="T14" i="2"/>
  <c r="Q14" i="2"/>
  <c r="T15" i="2"/>
  <c r="Q15" i="2"/>
  <c r="T16" i="2"/>
  <c r="Q16" i="2"/>
  <c r="T17" i="2"/>
  <c r="Q17" i="2"/>
  <c r="T18" i="2"/>
  <c r="Q18" i="2"/>
  <c r="T19" i="2"/>
  <c r="Q19" i="2"/>
  <c r="T20" i="2"/>
  <c r="Q20" i="2"/>
  <c r="T21" i="2"/>
  <c r="Q21" i="2"/>
  <c r="T22" i="2"/>
  <c r="Q22" i="2"/>
  <c r="T23" i="2"/>
  <c r="Q23" i="2"/>
  <c r="T24" i="2"/>
  <c r="Q24" i="2"/>
  <c r="T25" i="2"/>
  <c r="Q25" i="2"/>
  <c r="T26" i="2"/>
  <c r="Q26" i="2"/>
  <c r="T27" i="2"/>
  <c r="Q27" i="2"/>
  <c r="T28" i="2"/>
  <c r="Q28" i="2"/>
  <c r="T29" i="2"/>
  <c r="Q29" i="2"/>
  <c r="T30" i="2"/>
  <c r="Q30" i="2"/>
  <c r="T31" i="2"/>
  <c r="Q31" i="2"/>
  <c r="T32" i="2"/>
  <c r="Q32" i="2"/>
  <c r="T33" i="2"/>
  <c r="Q33" i="2"/>
  <c r="T34" i="2"/>
  <c r="Q34" i="2"/>
  <c r="T35" i="2"/>
  <c r="Q35" i="2"/>
  <c r="T36" i="2"/>
  <c r="Q36" i="2"/>
  <c r="T37" i="2"/>
  <c r="Q37" i="2"/>
  <c r="T38" i="2"/>
  <c r="Q38" i="2"/>
  <c r="T39" i="2"/>
  <c r="Q39" i="2"/>
  <c r="T40" i="2"/>
  <c r="Q40" i="2"/>
  <c r="T41" i="2"/>
  <c r="Q41" i="2"/>
  <c r="T42" i="2"/>
  <c r="Q42" i="2"/>
  <c r="T43" i="2"/>
  <c r="Q43" i="2"/>
  <c r="T44" i="2"/>
  <c r="Q44" i="2"/>
  <c r="T45" i="2"/>
  <c r="Q45" i="2"/>
  <c r="T46" i="2"/>
  <c r="Q46" i="2"/>
  <c r="T47" i="2"/>
  <c r="Q47" i="2"/>
  <c r="T48" i="2"/>
  <c r="Q48" i="2"/>
  <c r="T49" i="2"/>
  <c r="Q49" i="2"/>
  <c r="T50" i="2"/>
  <c r="Q50" i="2"/>
  <c r="T51" i="2"/>
  <c r="Q51" i="2"/>
  <c r="T52" i="2"/>
  <c r="Q52" i="2"/>
  <c r="T53" i="2"/>
  <c r="Q53" i="2"/>
  <c r="T54" i="2"/>
  <c r="Q54" i="2"/>
  <c r="T55" i="2"/>
  <c r="Q55" i="2"/>
  <c r="T56" i="2"/>
  <c r="Q56" i="2"/>
  <c r="T57" i="2"/>
  <c r="Q57" i="2"/>
  <c r="T58" i="2"/>
  <c r="Q58" i="2"/>
  <c r="T59" i="2"/>
  <c r="Q59" i="2"/>
  <c r="T60" i="2"/>
  <c r="Q60" i="2"/>
  <c r="T61" i="2"/>
  <c r="Q61" i="2"/>
  <c r="T62" i="2"/>
  <c r="Q62" i="2"/>
  <c r="T63" i="2"/>
  <c r="Q63" i="2"/>
  <c r="T64" i="2"/>
  <c r="Q64" i="2"/>
  <c r="T65" i="2"/>
  <c r="Q65" i="2"/>
  <c r="T66" i="2"/>
  <c r="Q66" i="2"/>
  <c r="T67" i="2"/>
  <c r="Q67" i="2"/>
  <c r="T68" i="2"/>
  <c r="Q68" i="2"/>
  <c r="T69" i="2"/>
  <c r="Q69" i="2"/>
  <c r="T70" i="2"/>
  <c r="Q70" i="2"/>
  <c r="T71" i="2"/>
  <c r="Q71" i="2"/>
  <c r="T72" i="2"/>
  <c r="Q72" i="2"/>
  <c r="T73" i="2"/>
  <c r="Q73" i="2"/>
  <c r="T74" i="2"/>
  <c r="Q74" i="2"/>
  <c r="T75" i="2"/>
  <c r="Q75" i="2"/>
  <c r="T76" i="2"/>
  <c r="Q76" i="2"/>
  <c r="T77" i="2"/>
  <c r="Q77" i="2"/>
  <c r="T78" i="2"/>
  <c r="Q78" i="2"/>
  <c r="T79" i="2"/>
  <c r="Q79" i="2"/>
  <c r="T80" i="2"/>
  <c r="Q80" i="2"/>
  <c r="T81" i="2"/>
  <c r="Q81" i="2"/>
  <c r="T82" i="2"/>
  <c r="Q82" i="2"/>
  <c r="T83" i="2"/>
  <c r="Q83" i="2"/>
  <c r="T84" i="2"/>
  <c r="Q84" i="2"/>
  <c r="T85" i="2"/>
  <c r="Q85" i="2"/>
  <c r="T86" i="2"/>
  <c r="Q86" i="2"/>
  <c r="T87" i="2"/>
  <c r="Q87" i="2"/>
  <c r="T88" i="2"/>
  <c r="Q88" i="2"/>
  <c r="T89" i="2"/>
  <c r="Q89" i="2"/>
  <c r="T90" i="2"/>
  <c r="Q90" i="2"/>
  <c r="T91" i="2"/>
  <c r="Q91" i="2"/>
  <c r="T92" i="2"/>
  <c r="Q92" i="2"/>
  <c r="T93" i="2"/>
  <c r="Q93" i="2"/>
  <c r="T94" i="2"/>
  <c r="Q94" i="2"/>
  <c r="T95" i="2"/>
  <c r="Q95" i="2"/>
  <c r="T96" i="2"/>
  <c r="Q96" i="2"/>
  <c r="T97" i="2"/>
  <c r="Q97" i="2"/>
  <c r="T98" i="2"/>
  <c r="Q98" i="2"/>
  <c r="T99" i="2"/>
  <c r="Q99" i="2"/>
  <c r="T100" i="2"/>
  <c r="Q100" i="2"/>
  <c r="T101" i="2"/>
  <c r="Q101" i="2"/>
  <c r="T102" i="2"/>
  <c r="Q102" i="2"/>
  <c r="T103" i="2"/>
  <c r="Q103" i="2"/>
  <c r="T104" i="2"/>
  <c r="Q104" i="2"/>
  <c r="T105" i="2"/>
  <c r="Q105" i="2"/>
  <c r="T106" i="2"/>
  <c r="Q106" i="2"/>
  <c r="T107" i="2"/>
  <c r="Q107" i="2"/>
  <c r="T108" i="2"/>
  <c r="Q108" i="2"/>
  <c r="T109" i="2"/>
  <c r="Q109" i="2"/>
  <c r="T110" i="2"/>
  <c r="Q110" i="2"/>
  <c r="T111" i="2"/>
  <c r="Q111" i="2"/>
  <c r="T112" i="2"/>
  <c r="Q112" i="2"/>
  <c r="T113" i="2"/>
  <c r="Q113" i="2"/>
  <c r="T114" i="2"/>
  <c r="Q114" i="2"/>
  <c r="T115" i="2"/>
  <c r="Q115" i="2"/>
  <c r="T116" i="2"/>
  <c r="Q116" i="2"/>
  <c r="T117" i="2"/>
  <c r="Q117" i="2"/>
  <c r="T118" i="2"/>
  <c r="Q118" i="2"/>
  <c r="T119" i="2"/>
  <c r="Q119" i="2"/>
  <c r="T120" i="2"/>
  <c r="Q120" i="2"/>
  <c r="T121" i="2"/>
  <c r="Q121" i="2"/>
  <c r="T122" i="2"/>
  <c r="Q122" i="2"/>
  <c r="T123" i="2"/>
  <c r="Q123" i="2"/>
  <c r="T124" i="2"/>
  <c r="Q124" i="2"/>
  <c r="T125" i="2"/>
  <c r="Q125" i="2"/>
  <c r="T126" i="2"/>
  <c r="Q126" i="2"/>
  <c r="T127" i="2"/>
  <c r="Q127" i="2"/>
  <c r="T128" i="2"/>
  <c r="Q128" i="2"/>
  <c r="T129" i="2"/>
  <c r="Q129" i="2"/>
  <c r="T130" i="2"/>
  <c r="Q130" i="2"/>
  <c r="T131" i="2"/>
  <c r="Q131" i="2"/>
  <c r="T132" i="2"/>
  <c r="Q132" i="2"/>
  <c r="T133" i="2"/>
  <c r="Q133" i="2"/>
  <c r="T134" i="2"/>
  <c r="Q134" i="2"/>
  <c r="T135" i="2"/>
  <c r="Q135" i="2"/>
  <c r="T136" i="2"/>
  <c r="Q136" i="2"/>
  <c r="T137" i="2"/>
  <c r="Q137" i="2"/>
  <c r="T138" i="2"/>
  <c r="Q138" i="2"/>
  <c r="T139" i="2"/>
  <c r="Q139" i="2"/>
  <c r="T140" i="2"/>
  <c r="Q140" i="2"/>
  <c r="T141" i="2"/>
  <c r="Q141" i="2"/>
  <c r="T142" i="2"/>
  <c r="Q142" i="2"/>
  <c r="T143" i="2"/>
  <c r="Q143" i="2"/>
  <c r="T144" i="2"/>
  <c r="Q144" i="2"/>
  <c r="T145" i="2"/>
  <c r="Q145" i="2"/>
  <c r="T146" i="2"/>
  <c r="Q146" i="2"/>
  <c r="T147" i="2"/>
  <c r="Q147" i="2"/>
  <c r="T148" i="2"/>
  <c r="Q148" i="2"/>
  <c r="T149" i="2"/>
  <c r="Q149" i="2"/>
  <c r="T150" i="2"/>
  <c r="Q150" i="2"/>
  <c r="T151" i="2"/>
  <c r="Q151" i="2"/>
  <c r="T152" i="2"/>
  <c r="Q152" i="2"/>
  <c r="T153" i="2"/>
  <c r="Q153" i="2"/>
  <c r="T154" i="2"/>
  <c r="Q154" i="2"/>
  <c r="T155" i="2"/>
  <c r="Q155" i="2"/>
  <c r="T156" i="2"/>
  <c r="Q156" i="2"/>
  <c r="T157" i="2"/>
  <c r="Q157" i="2"/>
  <c r="T158" i="2"/>
  <c r="Q158" i="2"/>
  <c r="T159" i="2"/>
  <c r="Q159" i="2"/>
  <c r="T160" i="2"/>
  <c r="Q160" i="2"/>
  <c r="T161" i="2"/>
  <c r="Q161" i="2"/>
  <c r="T162" i="2"/>
  <c r="Q162" i="2"/>
  <c r="T163" i="2"/>
  <c r="Q163" i="2"/>
  <c r="T164" i="2"/>
  <c r="Q164" i="2"/>
  <c r="T165" i="2"/>
  <c r="Q165" i="2"/>
  <c r="T166" i="2"/>
  <c r="Q166" i="2"/>
  <c r="T167" i="2"/>
  <c r="Q167" i="2"/>
  <c r="T168" i="2"/>
  <c r="Q168" i="2"/>
  <c r="T169" i="2"/>
  <c r="Q169" i="2"/>
  <c r="T170" i="2"/>
  <c r="Q170" i="2"/>
  <c r="T171" i="2"/>
  <c r="Q171" i="2"/>
  <c r="T172" i="2"/>
  <c r="Q172" i="2"/>
  <c r="T173" i="2"/>
  <c r="Q173" i="2"/>
  <c r="T174" i="2"/>
  <c r="Q174" i="2"/>
  <c r="T175" i="2"/>
  <c r="Q175" i="2"/>
  <c r="T176" i="2"/>
  <c r="Q176" i="2"/>
  <c r="T177" i="2"/>
  <c r="Q177" i="2"/>
  <c r="T178" i="2"/>
  <c r="Q178" i="2"/>
  <c r="T179" i="2"/>
  <c r="Q179" i="2"/>
  <c r="T180" i="2"/>
  <c r="Q180" i="2"/>
  <c r="T181" i="2"/>
  <c r="Q181" i="2"/>
  <c r="T182" i="2"/>
  <c r="Q182" i="2"/>
  <c r="T183" i="2"/>
  <c r="Q183" i="2"/>
  <c r="T184" i="2"/>
  <c r="Q184" i="2"/>
  <c r="T185" i="2"/>
  <c r="Q185" i="2"/>
  <c r="T186" i="2"/>
  <c r="Q186" i="2"/>
  <c r="T187" i="2"/>
  <c r="Q187" i="2"/>
  <c r="T188" i="2"/>
  <c r="Q188" i="2"/>
  <c r="T189" i="2"/>
  <c r="Q189" i="2"/>
  <c r="T190" i="2"/>
  <c r="Q190" i="2"/>
  <c r="T191" i="2"/>
  <c r="Q191" i="2"/>
  <c r="T192" i="2"/>
  <c r="Q192" i="2"/>
  <c r="T193" i="2"/>
  <c r="Q193" i="2"/>
  <c r="T194" i="2"/>
  <c r="Q194" i="2"/>
  <c r="T195" i="2"/>
  <c r="Q195" i="2"/>
  <c r="T196" i="2"/>
  <c r="Q196" i="2"/>
  <c r="T197" i="2"/>
  <c r="Q197" i="2"/>
  <c r="T198" i="2"/>
  <c r="Q198" i="2"/>
  <c r="T199" i="2"/>
  <c r="Q199" i="2"/>
  <c r="T200" i="2"/>
  <c r="Q200" i="2"/>
  <c r="T201" i="2"/>
  <c r="Q201" i="2"/>
  <c r="T202" i="2"/>
  <c r="Q202" i="2"/>
  <c r="T203" i="2"/>
  <c r="Q203" i="2"/>
  <c r="T204" i="2"/>
  <c r="Q204" i="2"/>
  <c r="T205" i="2"/>
  <c r="Q205" i="2"/>
  <c r="T206" i="2"/>
  <c r="Q206" i="2"/>
  <c r="T207" i="2"/>
  <c r="Q207" i="2"/>
  <c r="T208" i="2"/>
  <c r="Q208" i="2"/>
  <c r="T209" i="2"/>
  <c r="Q209" i="2"/>
  <c r="T210" i="2"/>
  <c r="Q210" i="2"/>
  <c r="T211" i="2"/>
  <c r="Q211" i="2"/>
  <c r="T212" i="2"/>
  <c r="Q212" i="2"/>
  <c r="T213" i="2"/>
  <c r="Q213" i="2"/>
  <c r="T214" i="2"/>
  <c r="Q214" i="2"/>
  <c r="T215" i="2"/>
  <c r="Q215" i="2"/>
  <c r="T216" i="2"/>
  <c r="Q216" i="2"/>
  <c r="T217" i="2"/>
  <c r="Q217" i="2"/>
  <c r="T218" i="2"/>
  <c r="Q218" i="2"/>
  <c r="T219" i="2"/>
  <c r="Q219" i="2"/>
  <c r="T220" i="2"/>
  <c r="Q220" i="2"/>
  <c r="T221" i="2"/>
  <c r="Q221" i="2"/>
  <c r="T222" i="2"/>
  <c r="Q222" i="2"/>
  <c r="T223" i="2"/>
  <c r="Q223" i="2"/>
  <c r="T224" i="2"/>
  <c r="Q224" i="2"/>
  <c r="T225" i="2"/>
  <c r="Q225" i="2"/>
  <c r="T226" i="2"/>
  <c r="Q226" i="2"/>
  <c r="T227" i="2"/>
  <c r="Q227" i="2"/>
  <c r="T228" i="2"/>
  <c r="Q228" i="2"/>
  <c r="T229" i="2"/>
  <c r="Q229" i="2"/>
  <c r="T230" i="2"/>
  <c r="Q230" i="2"/>
  <c r="T231" i="2"/>
  <c r="Q231" i="2"/>
  <c r="T232" i="2"/>
  <c r="Q232" i="2"/>
  <c r="T233" i="2"/>
  <c r="Q233" i="2"/>
  <c r="T234" i="2"/>
  <c r="Q234" i="2"/>
  <c r="T235" i="2"/>
  <c r="Q235" i="2"/>
  <c r="T236" i="2"/>
  <c r="Q236" i="2"/>
  <c r="T237" i="2"/>
  <c r="Q237" i="2"/>
  <c r="T238" i="2"/>
  <c r="Q238" i="2"/>
  <c r="T239" i="2"/>
  <c r="Q239" i="2"/>
  <c r="T240" i="2"/>
  <c r="Q240" i="2"/>
  <c r="T241" i="2"/>
  <c r="Q241" i="2"/>
  <c r="T242" i="2"/>
  <c r="Q242" i="2"/>
  <c r="T243" i="2"/>
  <c r="Q243" i="2"/>
  <c r="T244" i="2"/>
  <c r="Q244" i="2"/>
  <c r="T245" i="2"/>
  <c r="Q245" i="2"/>
  <c r="T246" i="2"/>
  <c r="Q246" i="2"/>
  <c r="T247" i="2"/>
  <c r="Q247" i="2"/>
  <c r="T248" i="2"/>
  <c r="Q248" i="2"/>
  <c r="T249" i="2"/>
  <c r="Q249" i="2"/>
  <c r="T250" i="2"/>
  <c r="Q250" i="2"/>
  <c r="T251" i="2"/>
  <c r="Q251" i="2"/>
  <c r="T252" i="2"/>
  <c r="Q252" i="2"/>
  <c r="T253" i="2"/>
  <c r="Q253" i="2"/>
  <c r="T254" i="2"/>
  <c r="Q254" i="2"/>
  <c r="T255" i="2"/>
  <c r="Q255" i="2"/>
  <c r="T256" i="2"/>
  <c r="Q256" i="2"/>
  <c r="T257" i="2"/>
  <c r="Q257" i="2"/>
  <c r="T258" i="2"/>
  <c r="Q258" i="2"/>
  <c r="T259" i="2"/>
  <c r="Q259" i="2"/>
  <c r="T260" i="2"/>
  <c r="Q260" i="2"/>
  <c r="T261" i="2"/>
  <c r="Q261" i="2"/>
  <c r="T262" i="2"/>
  <c r="Q262" i="2"/>
  <c r="T263" i="2"/>
  <c r="Q263" i="2"/>
  <c r="T264" i="2"/>
  <c r="Q264" i="2"/>
  <c r="T265" i="2"/>
  <c r="Q265" i="2"/>
  <c r="T266" i="2"/>
  <c r="Q266" i="2"/>
  <c r="T267" i="2"/>
  <c r="Q267" i="2"/>
  <c r="T268" i="2"/>
  <c r="Q268" i="2"/>
  <c r="T269" i="2"/>
  <c r="Q269" i="2"/>
  <c r="T270" i="2"/>
  <c r="Q270" i="2"/>
  <c r="T271" i="2"/>
  <c r="Q271" i="2"/>
  <c r="T272" i="2"/>
  <c r="Q272" i="2"/>
  <c r="T273" i="2"/>
  <c r="Q273" i="2"/>
  <c r="T274" i="2"/>
  <c r="Q274" i="2"/>
  <c r="T275" i="2"/>
  <c r="Q275" i="2"/>
  <c r="T276" i="2"/>
  <c r="Q276" i="2"/>
  <c r="T277" i="2"/>
  <c r="Q277" i="2"/>
  <c r="T278" i="2"/>
  <c r="Q278" i="2"/>
  <c r="T279" i="2"/>
  <c r="Q279" i="2"/>
  <c r="T280" i="2"/>
  <c r="Q280" i="2"/>
  <c r="T281" i="2"/>
  <c r="Q281" i="2"/>
  <c r="T282" i="2"/>
  <c r="Q282" i="2"/>
  <c r="T283" i="2"/>
  <c r="Q283" i="2"/>
  <c r="T284" i="2"/>
  <c r="Q284" i="2"/>
  <c r="T285" i="2"/>
  <c r="Q285" i="2"/>
  <c r="T286" i="2"/>
  <c r="Q286" i="2"/>
  <c r="T287" i="2"/>
  <c r="Q287" i="2"/>
  <c r="T288" i="2"/>
  <c r="Q288" i="2"/>
  <c r="T289" i="2"/>
  <c r="Q289" i="2"/>
  <c r="T290" i="2"/>
  <c r="Q290" i="2"/>
  <c r="T291" i="2"/>
  <c r="Q291" i="2"/>
  <c r="T292" i="2"/>
  <c r="Q292" i="2"/>
  <c r="T293" i="2"/>
  <c r="Q293" i="2"/>
  <c r="T294" i="2"/>
  <c r="Q294" i="2"/>
  <c r="T295" i="2"/>
  <c r="Q295" i="2"/>
  <c r="T296" i="2"/>
  <c r="Q296" i="2"/>
  <c r="T297" i="2"/>
  <c r="Q297" i="2"/>
  <c r="T298" i="2"/>
  <c r="Q298" i="2"/>
  <c r="T299" i="2"/>
  <c r="Q299" i="2"/>
  <c r="T300" i="2"/>
  <c r="Q300" i="2"/>
  <c r="T301" i="2"/>
  <c r="Q301" i="2"/>
  <c r="T302" i="2"/>
  <c r="Q302" i="2"/>
  <c r="T303" i="2"/>
  <c r="Q303" i="2"/>
  <c r="T304" i="2"/>
  <c r="Q304" i="2"/>
  <c r="T305" i="2"/>
  <c r="Q305" i="2"/>
  <c r="T306" i="2"/>
  <c r="Q306" i="2"/>
  <c r="T307" i="2"/>
  <c r="Q307" i="2"/>
  <c r="T308" i="2"/>
  <c r="Q308" i="2"/>
  <c r="T309" i="2"/>
  <c r="Q309" i="2"/>
  <c r="T310" i="2"/>
  <c r="Q310" i="2"/>
  <c r="T311" i="2"/>
  <c r="Q311" i="2"/>
  <c r="T312" i="2"/>
  <c r="Q312" i="2"/>
  <c r="T313" i="2"/>
  <c r="Q313" i="2"/>
  <c r="T314" i="2"/>
  <c r="Q314" i="2"/>
  <c r="T315" i="2"/>
  <c r="Q315" i="2"/>
  <c r="T316" i="2"/>
  <c r="Q316" i="2"/>
  <c r="T317" i="2"/>
  <c r="Q317" i="2"/>
  <c r="T318" i="2"/>
  <c r="Q318" i="2"/>
  <c r="T319" i="2"/>
  <c r="Q319" i="2"/>
  <c r="T320" i="2"/>
  <c r="Q320" i="2"/>
  <c r="T321" i="2"/>
  <c r="Q321" i="2"/>
  <c r="T322" i="2"/>
  <c r="Q322" i="2"/>
  <c r="T323" i="2"/>
  <c r="Q323" i="2"/>
  <c r="T324" i="2"/>
  <c r="Q324" i="2"/>
  <c r="T325" i="2"/>
  <c r="Q325" i="2"/>
  <c r="T326" i="2"/>
  <c r="Q326" i="2"/>
  <c r="T327" i="2"/>
  <c r="Q327" i="2"/>
  <c r="T328" i="2"/>
  <c r="Q328" i="2"/>
  <c r="T329" i="2"/>
  <c r="Q329" i="2"/>
  <c r="T330" i="2"/>
  <c r="Q330" i="2"/>
  <c r="T331" i="2"/>
  <c r="Q331" i="2"/>
  <c r="T332" i="2"/>
  <c r="Q332" i="2"/>
  <c r="T333" i="2"/>
  <c r="Q333" i="2"/>
  <c r="T334" i="2"/>
  <c r="Q334" i="2"/>
  <c r="T335" i="2"/>
  <c r="Q335" i="2"/>
  <c r="T336" i="2"/>
  <c r="Q336" i="2"/>
  <c r="T337" i="2"/>
  <c r="Q337" i="2"/>
  <c r="T338" i="2"/>
  <c r="Q338" i="2"/>
  <c r="T339" i="2"/>
  <c r="Q339" i="2"/>
  <c r="T340" i="2"/>
  <c r="Q340" i="2"/>
  <c r="T341" i="2"/>
  <c r="Q341" i="2"/>
  <c r="T342" i="2"/>
  <c r="Q342" i="2"/>
  <c r="T343" i="2"/>
  <c r="Q343" i="2"/>
  <c r="T344" i="2"/>
  <c r="Q344" i="2"/>
  <c r="T345" i="2"/>
  <c r="Q345" i="2"/>
  <c r="T346" i="2"/>
  <c r="Q346" i="2"/>
  <c r="T347" i="2"/>
  <c r="Q347" i="2"/>
  <c r="T348" i="2"/>
  <c r="Q348" i="2"/>
  <c r="T349" i="2"/>
  <c r="Q349" i="2"/>
  <c r="T350" i="2"/>
  <c r="Q350" i="2"/>
  <c r="T351" i="2"/>
  <c r="Q351" i="2"/>
  <c r="T352" i="2"/>
  <c r="Q352" i="2"/>
  <c r="T353" i="2"/>
  <c r="Q353" i="2"/>
  <c r="T354" i="2"/>
  <c r="Q354" i="2"/>
  <c r="T355" i="2"/>
  <c r="Q355" i="2"/>
  <c r="T356" i="2"/>
  <c r="Q356" i="2"/>
  <c r="T357" i="2"/>
  <c r="Q357" i="2"/>
  <c r="T358" i="2"/>
  <c r="Q358" i="2"/>
  <c r="T359" i="2"/>
  <c r="Q359" i="2"/>
  <c r="T360" i="2"/>
  <c r="Q360" i="2"/>
  <c r="T361" i="2"/>
  <c r="Q361" i="2"/>
  <c r="T362" i="2"/>
  <c r="Q362" i="2"/>
  <c r="T363" i="2"/>
  <c r="Q363" i="2"/>
  <c r="T364" i="2"/>
  <c r="Q364" i="2"/>
  <c r="T365" i="2"/>
  <c r="Q365" i="2"/>
  <c r="T366" i="2"/>
  <c r="Q366" i="2"/>
  <c r="T367" i="2"/>
  <c r="Q367" i="2"/>
  <c r="T368" i="2"/>
  <c r="Q368" i="2"/>
  <c r="T369" i="2"/>
  <c r="Q369" i="2"/>
  <c r="T370" i="2"/>
  <c r="Q370" i="2"/>
  <c r="T371" i="2"/>
  <c r="Q371" i="2"/>
  <c r="T372" i="2"/>
  <c r="Q372" i="2"/>
  <c r="T373" i="2"/>
  <c r="Q373" i="2"/>
  <c r="T374" i="2"/>
  <c r="Q374" i="2"/>
  <c r="T375" i="2"/>
  <c r="Q375" i="2"/>
  <c r="T376" i="2"/>
  <c r="Q376" i="2"/>
  <c r="T377" i="2"/>
  <c r="Q377" i="2"/>
  <c r="T378" i="2"/>
  <c r="Q378" i="2"/>
  <c r="T379" i="2"/>
  <c r="Q379" i="2"/>
  <c r="T380" i="2"/>
  <c r="Q380" i="2"/>
  <c r="T381" i="2"/>
  <c r="Q381" i="2"/>
  <c r="T382" i="2"/>
  <c r="Q382" i="2"/>
  <c r="T383" i="2"/>
  <c r="Q383" i="2"/>
  <c r="T384" i="2"/>
  <c r="Q384" i="2"/>
  <c r="T385" i="2"/>
  <c r="Q385" i="2"/>
  <c r="T386" i="2"/>
  <c r="Q386" i="2"/>
  <c r="T387" i="2"/>
  <c r="Q387" i="2"/>
  <c r="T388" i="2"/>
  <c r="Q388" i="2"/>
  <c r="T389" i="2"/>
  <c r="Q389" i="2"/>
  <c r="T390" i="2"/>
  <c r="Q390" i="2"/>
  <c r="T391" i="2"/>
  <c r="Q391" i="2"/>
  <c r="T392" i="2"/>
  <c r="Q392" i="2"/>
  <c r="T393" i="2"/>
  <c r="Q393" i="2"/>
  <c r="T394" i="2"/>
  <c r="Q394" i="2"/>
  <c r="T395" i="2"/>
  <c r="Q395" i="2"/>
  <c r="T396" i="2"/>
  <c r="Q396" i="2"/>
  <c r="T397" i="2"/>
  <c r="Q397" i="2"/>
  <c r="T398" i="2"/>
  <c r="Q398" i="2"/>
  <c r="T399" i="2"/>
  <c r="Q399" i="2"/>
  <c r="T400" i="2"/>
  <c r="Q400" i="2"/>
  <c r="T401" i="2"/>
  <c r="Q401" i="2"/>
  <c r="T402" i="2"/>
  <c r="Q402" i="2"/>
  <c r="T403" i="2"/>
  <c r="Q403" i="2"/>
  <c r="T404" i="2"/>
  <c r="Q404" i="2"/>
  <c r="T405" i="2"/>
  <c r="Q405" i="2"/>
  <c r="T406" i="2"/>
  <c r="Q406" i="2"/>
  <c r="T407" i="2"/>
  <c r="Q407" i="2"/>
  <c r="T408" i="2"/>
  <c r="Q408" i="2"/>
  <c r="T409" i="2"/>
  <c r="Q409" i="2"/>
  <c r="T410" i="2"/>
  <c r="Q410" i="2"/>
  <c r="T411" i="2"/>
  <c r="Q411" i="2"/>
  <c r="T412" i="2"/>
  <c r="Q412" i="2"/>
  <c r="T413" i="2"/>
  <c r="Q413" i="2"/>
  <c r="T414" i="2"/>
  <c r="Q414" i="2"/>
  <c r="T415" i="2"/>
  <c r="Q415" i="2"/>
  <c r="T416" i="2"/>
  <c r="Q416" i="2"/>
  <c r="T417" i="2"/>
  <c r="Q417" i="2"/>
  <c r="T418" i="2"/>
  <c r="Q418" i="2"/>
  <c r="T419" i="2"/>
  <c r="Q419" i="2"/>
  <c r="T420" i="2"/>
  <c r="Q420" i="2"/>
  <c r="T421" i="2"/>
  <c r="Q421" i="2"/>
  <c r="T422" i="2"/>
  <c r="Q422" i="2"/>
  <c r="T423" i="2"/>
  <c r="Q423" i="2"/>
  <c r="T424" i="2"/>
  <c r="Q424" i="2"/>
  <c r="T425" i="2"/>
  <c r="Q425" i="2"/>
  <c r="T426" i="2"/>
  <c r="Q426" i="2"/>
  <c r="T427" i="2"/>
  <c r="Q427" i="2"/>
  <c r="T428" i="2"/>
  <c r="Q428" i="2"/>
  <c r="T429" i="2"/>
  <c r="Q429" i="2"/>
  <c r="T430" i="2"/>
  <c r="Q430" i="2"/>
  <c r="T431" i="2"/>
  <c r="Q431" i="2"/>
  <c r="T432" i="2"/>
  <c r="Q432" i="2"/>
  <c r="T433" i="2"/>
  <c r="Q433" i="2"/>
  <c r="T434" i="2"/>
  <c r="Q434" i="2"/>
  <c r="T435" i="2"/>
  <c r="Q435" i="2"/>
  <c r="T436" i="2"/>
  <c r="Q436" i="2"/>
  <c r="T437" i="2"/>
  <c r="Q437" i="2"/>
  <c r="T438" i="2"/>
  <c r="Q438" i="2"/>
  <c r="T439" i="2"/>
  <c r="Q439" i="2"/>
  <c r="T440" i="2"/>
  <c r="Q440" i="2"/>
  <c r="T441" i="2"/>
  <c r="Q441" i="2"/>
  <c r="T442" i="2"/>
  <c r="Q442" i="2"/>
  <c r="T443" i="2"/>
  <c r="Q443" i="2"/>
  <c r="T444" i="2"/>
  <c r="Q444" i="2"/>
  <c r="T445" i="2"/>
  <c r="Q445" i="2"/>
  <c r="T446" i="2"/>
  <c r="Q446" i="2"/>
  <c r="T447" i="2"/>
  <c r="Q447" i="2"/>
  <c r="T448" i="2"/>
  <c r="Q448" i="2"/>
  <c r="T449" i="2"/>
  <c r="Q449" i="2"/>
  <c r="T450" i="2"/>
  <c r="Q450" i="2"/>
  <c r="T451" i="2"/>
  <c r="Q451" i="2"/>
  <c r="T452" i="2"/>
  <c r="Q452" i="2"/>
  <c r="T453" i="2"/>
  <c r="Q453" i="2"/>
  <c r="T454" i="2"/>
  <c r="Q454" i="2"/>
  <c r="T455" i="2"/>
  <c r="Q455" i="2"/>
  <c r="T456" i="2"/>
  <c r="Q456" i="2"/>
  <c r="T457" i="2"/>
  <c r="Q457" i="2"/>
  <c r="T458" i="2"/>
  <c r="Q458" i="2"/>
  <c r="T459" i="2"/>
  <c r="Q459" i="2"/>
  <c r="T460" i="2"/>
  <c r="Q460" i="2"/>
  <c r="T461" i="2"/>
  <c r="Q461" i="2"/>
  <c r="T462" i="2"/>
  <c r="Q462" i="2"/>
  <c r="T463" i="2"/>
  <c r="Q463" i="2"/>
  <c r="T464" i="2"/>
  <c r="Q464" i="2"/>
  <c r="T465" i="2"/>
  <c r="Q465" i="2"/>
  <c r="T466" i="2"/>
  <c r="Q466" i="2"/>
  <c r="T467" i="2"/>
  <c r="Q467" i="2"/>
  <c r="T468" i="2"/>
  <c r="Q468" i="2"/>
  <c r="T469" i="2"/>
  <c r="Q469" i="2"/>
  <c r="T470" i="2"/>
  <c r="Q470" i="2"/>
  <c r="T471" i="2"/>
  <c r="Q471" i="2"/>
  <c r="T472" i="2"/>
  <c r="Q472" i="2"/>
  <c r="T473" i="2"/>
  <c r="Q473" i="2"/>
  <c r="T474" i="2"/>
  <c r="Q474" i="2"/>
  <c r="T475" i="2"/>
  <c r="Q475" i="2"/>
  <c r="T476" i="2"/>
  <c r="Q476" i="2"/>
  <c r="T477" i="2"/>
  <c r="Q477" i="2"/>
  <c r="T478" i="2"/>
  <c r="Q478" i="2"/>
  <c r="T479" i="2"/>
  <c r="Q479" i="2"/>
  <c r="T480" i="2"/>
  <c r="Q480" i="2"/>
  <c r="T481" i="2"/>
  <c r="Q481" i="2"/>
  <c r="T482" i="2"/>
  <c r="Q482" i="2"/>
  <c r="T483" i="2"/>
  <c r="Q483" i="2"/>
  <c r="T484" i="2"/>
  <c r="Q484" i="2"/>
  <c r="T485" i="2"/>
  <c r="Q485" i="2"/>
  <c r="T486" i="2"/>
  <c r="Q486" i="2"/>
  <c r="T487" i="2"/>
  <c r="Q487" i="2"/>
  <c r="T488" i="2"/>
  <c r="Q488" i="2"/>
  <c r="T489" i="2"/>
  <c r="Q489" i="2"/>
  <c r="T490" i="2"/>
  <c r="Q490" i="2"/>
  <c r="T491" i="2"/>
  <c r="Q491" i="2"/>
  <c r="T492" i="2"/>
  <c r="Q492" i="2"/>
  <c r="T493" i="2"/>
  <c r="Q493" i="2"/>
  <c r="T494" i="2"/>
  <c r="Q494" i="2"/>
  <c r="T495" i="2"/>
  <c r="Q495" i="2"/>
  <c r="T496" i="2"/>
  <c r="Q496" i="2"/>
  <c r="T497" i="2"/>
  <c r="Q497" i="2"/>
  <c r="T498" i="2"/>
  <c r="Q498" i="2"/>
  <c r="T499" i="2"/>
  <c r="Q499" i="2"/>
  <c r="T500" i="2"/>
  <c r="Q500" i="2"/>
  <c r="T501" i="2"/>
  <c r="Q501" i="2"/>
  <c r="T502" i="2"/>
  <c r="Q502" i="2"/>
  <c r="T503" i="2"/>
  <c r="Q503" i="2"/>
  <c r="T504" i="2"/>
  <c r="Q504" i="2"/>
  <c r="T505" i="2"/>
  <c r="Q505" i="2"/>
  <c r="T506" i="2"/>
  <c r="Q506" i="2"/>
  <c r="T507" i="2"/>
  <c r="Q507" i="2"/>
  <c r="T508" i="2"/>
  <c r="Q508" i="2"/>
  <c r="T509" i="2"/>
  <c r="Q509" i="2"/>
  <c r="T510" i="2"/>
  <c r="Q510" i="2"/>
  <c r="T511" i="2"/>
  <c r="Q511" i="2"/>
  <c r="T512" i="2"/>
  <c r="Q512" i="2"/>
  <c r="T513" i="2"/>
  <c r="Q513" i="2"/>
  <c r="T514" i="2"/>
  <c r="Q514" i="2"/>
  <c r="T515" i="2"/>
  <c r="Q515" i="2"/>
  <c r="T516" i="2"/>
  <c r="Q516" i="2"/>
  <c r="T517" i="2"/>
  <c r="Q517" i="2"/>
  <c r="T518" i="2"/>
  <c r="Q518" i="2"/>
  <c r="T519" i="2"/>
  <c r="Q519" i="2"/>
  <c r="T520" i="2"/>
  <c r="Q520" i="2"/>
  <c r="T521" i="2"/>
  <c r="Q521" i="2"/>
  <c r="T522" i="2"/>
  <c r="Q522" i="2"/>
  <c r="T523" i="2"/>
  <c r="Q523" i="2"/>
  <c r="T524" i="2"/>
  <c r="Q524" i="2"/>
  <c r="T525" i="2"/>
  <c r="Q525" i="2"/>
  <c r="T526" i="2"/>
  <c r="Q526" i="2"/>
  <c r="T527" i="2"/>
  <c r="Q527" i="2"/>
  <c r="T528" i="2"/>
  <c r="Q528" i="2"/>
  <c r="T529" i="2"/>
  <c r="Q529" i="2"/>
  <c r="T530" i="2"/>
  <c r="Q530" i="2"/>
  <c r="T531" i="2"/>
  <c r="Q531" i="2"/>
  <c r="T532" i="2"/>
  <c r="Q532" i="2"/>
  <c r="T533" i="2"/>
  <c r="Q533" i="2"/>
  <c r="T534" i="2"/>
  <c r="Q534" i="2"/>
  <c r="T535" i="2"/>
  <c r="Q535" i="2"/>
  <c r="T536" i="2"/>
  <c r="Q536" i="2"/>
  <c r="T537" i="2"/>
  <c r="Q537" i="2"/>
  <c r="T538" i="2"/>
  <c r="Q538" i="2"/>
  <c r="T539" i="2"/>
  <c r="Q539" i="2"/>
  <c r="T540" i="2"/>
  <c r="Q540" i="2"/>
  <c r="T541" i="2"/>
  <c r="Q541" i="2"/>
  <c r="T542" i="2"/>
  <c r="Q542" i="2"/>
  <c r="T543" i="2"/>
  <c r="Q543" i="2"/>
  <c r="T544" i="2"/>
  <c r="Q544" i="2"/>
  <c r="T545" i="2"/>
  <c r="Q545" i="2"/>
  <c r="T546" i="2"/>
  <c r="Q546" i="2"/>
  <c r="T547" i="2"/>
  <c r="Q547" i="2"/>
  <c r="T548" i="2"/>
  <c r="Q548" i="2"/>
  <c r="T549" i="2"/>
  <c r="Q549" i="2"/>
  <c r="T550" i="2"/>
  <c r="Q550" i="2"/>
  <c r="T551" i="2"/>
  <c r="Q551" i="2"/>
  <c r="T552" i="2"/>
  <c r="Q552" i="2"/>
  <c r="T553" i="2"/>
  <c r="Q553" i="2"/>
  <c r="T554" i="2"/>
  <c r="Q554" i="2"/>
  <c r="T555" i="2"/>
  <c r="Q555" i="2"/>
  <c r="T556" i="2"/>
  <c r="Q556" i="2"/>
  <c r="T557" i="2"/>
  <c r="Q557" i="2"/>
  <c r="T558" i="2"/>
  <c r="Q558" i="2"/>
  <c r="T559" i="2"/>
  <c r="Q559" i="2"/>
  <c r="T560" i="2"/>
  <c r="Q560" i="2"/>
  <c r="T561" i="2"/>
  <c r="Q561" i="2"/>
  <c r="T562" i="2"/>
  <c r="Q562" i="2"/>
  <c r="T563" i="2"/>
  <c r="Q563" i="2"/>
  <c r="T564" i="2"/>
  <c r="Q564" i="2"/>
  <c r="T565" i="2"/>
  <c r="Q565" i="2"/>
  <c r="T566" i="2"/>
  <c r="Q566" i="2"/>
  <c r="T567" i="2"/>
  <c r="Q567" i="2"/>
  <c r="T568" i="2"/>
  <c r="Q568" i="2"/>
  <c r="T569" i="2"/>
  <c r="Q569" i="2"/>
  <c r="T570" i="2"/>
  <c r="Q570" i="2"/>
  <c r="T571" i="2"/>
  <c r="Q571" i="2"/>
  <c r="T572" i="2"/>
  <c r="Q572" i="2"/>
  <c r="T573" i="2"/>
  <c r="Q573" i="2"/>
  <c r="T574" i="2"/>
  <c r="Q574" i="2"/>
  <c r="T575" i="2"/>
  <c r="Q575" i="2"/>
  <c r="T576" i="2"/>
  <c r="Q576" i="2"/>
  <c r="T577" i="2"/>
  <c r="Q577" i="2"/>
  <c r="T578" i="2"/>
  <c r="Q578" i="2"/>
  <c r="T579" i="2"/>
  <c r="Q579" i="2"/>
  <c r="T580" i="2"/>
  <c r="Q580" i="2"/>
  <c r="T581" i="2"/>
  <c r="Q581" i="2"/>
  <c r="T582" i="2"/>
  <c r="Q582" i="2"/>
  <c r="T583" i="2"/>
  <c r="Q583" i="2"/>
  <c r="T584" i="2"/>
  <c r="Q584" i="2"/>
  <c r="T585" i="2"/>
  <c r="Q585" i="2"/>
  <c r="T586" i="2"/>
  <c r="Q586" i="2"/>
  <c r="T587" i="2"/>
  <c r="Q587" i="2"/>
  <c r="T588" i="2"/>
  <c r="Q588" i="2"/>
  <c r="T589" i="2"/>
  <c r="Q589" i="2"/>
  <c r="T590" i="2"/>
  <c r="Q590" i="2"/>
  <c r="T591" i="2"/>
  <c r="Q591" i="2"/>
  <c r="T592" i="2"/>
  <c r="Q592" i="2"/>
  <c r="T593" i="2"/>
  <c r="Q593" i="2"/>
  <c r="T594" i="2"/>
  <c r="Q594" i="2"/>
  <c r="T595" i="2"/>
  <c r="Q595" i="2"/>
  <c r="T596" i="2"/>
  <c r="Q596" i="2"/>
  <c r="T597" i="2"/>
  <c r="Q597" i="2"/>
  <c r="T598" i="2"/>
  <c r="Q598" i="2"/>
  <c r="T599" i="2"/>
  <c r="Q599" i="2"/>
  <c r="T600" i="2"/>
  <c r="Q600" i="2"/>
  <c r="T601" i="2"/>
  <c r="Q601" i="2"/>
  <c r="T602" i="2"/>
  <c r="Q602" i="2"/>
  <c r="T603" i="2"/>
  <c r="Q603" i="2"/>
  <c r="T604" i="2"/>
  <c r="Q604" i="2"/>
  <c r="T605" i="2"/>
  <c r="Q605" i="2"/>
  <c r="T606" i="2"/>
  <c r="Q606" i="2"/>
  <c r="T607" i="2"/>
  <c r="Q607" i="2"/>
  <c r="T608" i="2"/>
  <c r="Q608" i="2"/>
  <c r="T609" i="2"/>
  <c r="Q609" i="2"/>
  <c r="T610" i="2"/>
  <c r="Q610" i="2"/>
  <c r="T611" i="2"/>
  <c r="Q611" i="2"/>
  <c r="T612" i="2"/>
  <c r="Q612" i="2"/>
  <c r="T613" i="2"/>
  <c r="Q613" i="2"/>
  <c r="T614" i="2"/>
  <c r="Q614" i="2"/>
  <c r="T615" i="2"/>
  <c r="Q615" i="2"/>
  <c r="T616" i="2"/>
  <c r="Q616" i="2"/>
  <c r="T617" i="2"/>
  <c r="Q617" i="2"/>
  <c r="T618" i="2"/>
  <c r="Q618" i="2"/>
  <c r="T619" i="2"/>
  <c r="Q619" i="2"/>
  <c r="T620" i="2"/>
  <c r="Q620" i="2"/>
  <c r="T621" i="2"/>
  <c r="Q621" i="2"/>
  <c r="T622" i="2"/>
  <c r="Q622" i="2"/>
  <c r="T623" i="2"/>
  <c r="Q623" i="2"/>
  <c r="T624" i="2"/>
  <c r="Q624" i="2"/>
  <c r="T625" i="2"/>
  <c r="Q625" i="2"/>
  <c r="T626" i="2"/>
  <c r="Q626" i="2"/>
  <c r="T627" i="2"/>
  <c r="Q627" i="2"/>
  <c r="T628" i="2"/>
  <c r="Q628" i="2"/>
  <c r="T629" i="2"/>
  <c r="Q629" i="2"/>
  <c r="T630" i="2"/>
  <c r="Q630" i="2"/>
  <c r="T631" i="2"/>
  <c r="Q631" i="2"/>
  <c r="T632" i="2"/>
  <c r="Q632" i="2"/>
  <c r="T633" i="2"/>
  <c r="Q633" i="2"/>
  <c r="T634" i="2"/>
  <c r="Q634" i="2"/>
  <c r="T635" i="2"/>
  <c r="Q635" i="2"/>
  <c r="T636" i="2"/>
  <c r="Q636" i="2"/>
  <c r="T637" i="2"/>
  <c r="Q637" i="2"/>
  <c r="T638" i="2"/>
  <c r="Q638" i="2"/>
  <c r="T639" i="2"/>
  <c r="Q639" i="2"/>
  <c r="T640" i="2"/>
  <c r="Q640" i="2"/>
  <c r="T641" i="2"/>
  <c r="Q641" i="2"/>
  <c r="T642" i="2"/>
  <c r="Q642" i="2"/>
  <c r="T643" i="2"/>
  <c r="Q643" i="2"/>
  <c r="T644" i="2"/>
  <c r="Q644" i="2"/>
  <c r="T645" i="2"/>
  <c r="Q645" i="2"/>
  <c r="T646" i="2"/>
  <c r="Q646" i="2"/>
  <c r="T647" i="2"/>
  <c r="Q647" i="2"/>
  <c r="T648" i="2"/>
  <c r="Q648" i="2"/>
  <c r="T649" i="2"/>
  <c r="Q649" i="2"/>
  <c r="T650" i="2"/>
  <c r="Q650" i="2"/>
  <c r="T651" i="2"/>
  <c r="Q651" i="2"/>
  <c r="T652" i="2"/>
  <c r="Q652" i="2"/>
  <c r="T653" i="2"/>
  <c r="Q653" i="2"/>
  <c r="T654" i="2"/>
  <c r="Q654" i="2"/>
  <c r="T655" i="2"/>
  <c r="Q655" i="2"/>
  <c r="T656" i="2"/>
  <c r="Q656" i="2"/>
  <c r="T657" i="2"/>
  <c r="Q657" i="2"/>
  <c r="T658" i="2"/>
  <c r="Q658" i="2"/>
  <c r="T659" i="2"/>
  <c r="Q659" i="2"/>
  <c r="T660" i="2"/>
  <c r="Q660" i="2"/>
  <c r="T661" i="2"/>
  <c r="Q661" i="2"/>
  <c r="T662" i="2"/>
  <c r="Q662" i="2"/>
  <c r="T663" i="2"/>
  <c r="Q663" i="2"/>
  <c r="T664" i="2"/>
  <c r="Q664" i="2"/>
  <c r="T665" i="2"/>
  <c r="Q665" i="2"/>
  <c r="T666" i="2"/>
  <c r="Q666" i="2"/>
  <c r="T667" i="2"/>
  <c r="Q667" i="2"/>
  <c r="T668" i="2"/>
  <c r="Q668" i="2"/>
  <c r="T669" i="2"/>
  <c r="Q669" i="2"/>
  <c r="T670" i="2"/>
  <c r="Q670" i="2"/>
  <c r="T671" i="2"/>
  <c r="Q671" i="2"/>
  <c r="T672" i="2"/>
  <c r="Q672" i="2"/>
  <c r="T673" i="2"/>
  <c r="Q673" i="2"/>
  <c r="T674" i="2"/>
  <c r="Q674" i="2"/>
  <c r="T675" i="2"/>
  <c r="Q675" i="2"/>
  <c r="T676" i="2"/>
  <c r="Q676" i="2"/>
  <c r="T677" i="2"/>
  <c r="Q677" i="2"/>
  <c r="T678" i="2"/>
  <c r="Q678" i="2"/>
  <c r="T679" i="2"/>
  <c r="Q679" i="2"/>
  <c r="T680" i="2"/>
  <c r="Q680" i="2"/>
  <c r="T681" i="2"/>
  <c r="Q681" i="2"/>
  <c r="T682" i="2"/>
  <c r="Q682" i="2"/>
  <c r="T683" i="2"/>
  <c r="Q683" i="2"/>
  <c r="T684" i="2"/>
  <c r="Q684" i="2"/>
  <c r="T685" i="2"/>
  <c r="Q685" i="2"/>
  <c r="T686" i="2"/>
  <c r="Q686" i="2"/>
  <c r="T687" i="2"/>
  <c r="Q687" i="2"/>
  <c r="T688" i="2"/>
  <c r="Q688" i="2"/>
  <c r="T689" i="2"/>
  <c r="Q689" i="2"/>
  <c r="T690" i="2"/>
  <c r="Q690" i="2"/>
  <c r="T691" i="2"/>
  <c r="Q691" i="2"/>
  <c r="T692" i="2"/>
  <c r="Q692" i="2"/>
  <c r="T693" i="2"/>
  <c r="Q693" i="2"/>
  <c r="T694" i="2"/>
  <c r="Q694" i="2"/>
  <c r="T695" i="2"/>
  <c r="Q695" i="2"/>
  <c r="T696" i="2"/>
  <c r="Q696" i="2"/>
  <c r="T697" i="2"/>
  <c r="Q697" i="2"/>
  <c r="T698" i="2"/>
  <c r="Q698" i="2"/>
  <c r="T699" i="2"/>
  <c r="Q699" i="2"/>
  <c r="T700" i="2"/>
  <c r="Q700" i="2"/>
  <c r="T701" i="2"/>
  <c r="Q701" i="2"/>
  <c r="T702" i="2"/>
  <c r="Q702" i="2"/>
  <c r="T703" i="2"/>
  <c r="Q703" i="2"/>
  <c r="T704" i="2"/>
  <c r="Q704" i="2"/>
  <c r="T705" i="2"/>
  <c r="Q705" i="2"/>
  <c r="T706" i="2"/>
  <c r="Q706" i="2"/>
  <c r="T707" i="2"/>
  <c r="Q707" i="2"/>
  <c r="T708" i="2"/>
  <c r="Q708" i="2"/>
  <c r="T709" i="2"/>
  <c r="Q709" i="2"/>
  <c r="T710" i="2"/>
  <c r="Q710" i="2"/>
  <c r="T711" i="2"/>
  <c r="Q711" i="2"/>
  <c r="T712" i="2"/>
  <c r="Q712" i="2"/>
  <c r="T713" i="2"/>
  <c r="Q713" i="2"/>
  <c r="T714" i="2"/>
  <c r="Q714" i="2"/>
  <c r="T715" i="2"/>
  <c r="Q715" i="2"/>
  <c r="T716" i="2"/>
  <c r="Q716" i="2"/>
  <c r="T717" i="2"/>
  <c r="Q717" i="2"/>
  <c r="T718" i="2"/>
  <c r="Q718" i="2"/>
  <c r="T719" i="2"/>
  <c r="Q719" i="2"/>
  <c r="T720" i="2"/>
  <c r="Q720" i="2"/>
  <c r="T721" i="2"/>
  <c r="Q721" i="2"/>
  <c r="T722" i="2"/>
  <c r="Q722" i="2"/>
  <c r="T723" i="2"/>
  <c r="Q723" i="2"/>
  <c r="T724" i="2"/>
  <c r="Q724" i="2"/>
  <c r="T725" i="2"/>
  <c r="Q725" i="2"/>
  <c r="T726" i="2"/>
  <c r="Q726" i="2"/>
  <c r="T727" i="2"/>
  <c r="Q727" i="2"/>
  <c r="T728" i="2"/>
  <c r="Q728" i="2"/>
  <c r="T729" i="2"/>
  <c r="Q729" i="2"/>
  <c r="T730" i="2"/>
  <c r="Q730" i="2"/>
  <c r="T731" i="2"/>
  <c r="Q731" i="2"/>
  <c r="T732" i="2"/>
  <c r="Q732" i="2"/>
  <c r="T733" i="2"/>
  <c r="Q733" i="2"/>
  <c r="T734" i="2"/>
  <c r="Q734" i="2"/>
  <c r="T735" i="2"/>
  <c r="Q735" i="2"/>
  <c r="T736" i="2"/>
  <c r="Q736" i="2"/>
  <c r="T737" i="2"/>
  <c r="Q737" i="2"/>
  <c r="T738" i="2"/>
  <c r="Q738" i="2"/>
  <c r="T739" i="2"/>
  <c r="Q739" i="2"/>
  <c r="T740" i="2"/>
  <c r="Q740" i="2"/>
  <c r="T741" i="2"/>
  <c r="Q741" i="2"/>
  <c r="T742" i="2"/>
  <c r="Q742" i="2"/>
  <c r="T743" i="2"/>
  <c r="Q743" i="2"/>
  <c r="T744" i="2"/>
  <c r="Q744" i="2"/>
  <c r="T745" i="2"/>
  <c r="Q745" i="2"/>
  <c r="T746" i="2"/>
  <c r="Q746" i="2"/>
  <c r="T747" i="2"/>
  <c r="Q747" i="2"/>
  <c r="T748" i="2"/>
  <c r="Q748" i="2"/>
  <c r="T749" i="2"/>
  <c r="Q749" i="2"/>
  <c r="T750" i="2"/>
  <c r="Q750" i="2"/>
  <c r="T751" i="2"/>
  <c r="Q751" i="2"/>
  <c r="T752" i="2"/>
  <c r="Q752" i="2"/>
  <c r="T753" i="2"/>
  <c r="Q753" i="2"/>
  <c r="T754" i="2"/>
  <c r="Q754" i="2"/>
  <c r="T755" i="2"/>
  <c r="Q755" i="2"/>
  <c r="T756" i="2"/>
  <c r="Q756" i="2"/>
  <c r="T757" i="2"/>
  <c r="Q757" i="2"/>
  <c r="T758" i="2"/>
  <c r="Q758" i="2"/>
  <c r="T759" i="2"/>
  <c r="Q759" i="2"/>
  <c r="T760" i="2"/>
  <c r="Q760" i="2"/>
  <c r="T761" i="2"/>
  <c r="Q761" i="2"/>
  <c r="T762" i="2"/>
  <c r="Q762" i="2"/>
  <c r="T763" i="2"/>
  <c r="Q763" i="2"/>
  <c r="T764" i="2"/>
  <c r="Q764" i="2"/>
  <c r="T765" i="2"/>
  <c r="Q765" i="2"/>
  <c r="T766" i="2"/>
  <c r="Q766" i="2"/>
  <c r="T767" i="2"/>
  <c r="Q767" i="2"/>
  <c r="T768" i="2"/>
  <c r="Q768" i="2"/>
  <c r="T769" i="2"/>
  <c r="Q769" i="2"/>
  <c r="T770" i="2"/>
  <c r="Q770" i="2"/>
  <c r="T771" i="2"/>
  <c r="Q771" i="2"/>
  <c r="T772" i="2"/>
  <c r="Q772" i="2"/>
  <c r="T773" i="2"/>
  <c r="Q773" i="2"/>
  <c r="T774" i="2"/>
  <c r="Q774" i="2"/>
  <c r="T775" i="2"/>
  <c r="Q775" i="2"/>
  <c r="T776" i="2"/>
  <c r="Q776" i="2"/>
  <c r="T777" i="2"/>
  <c r="Q777" i="2"/>
  <c r="T778" i="2"/>
  <c r="Q778" i="2"/>
  <c r="T779" i="2"/>
  <c r="Q779" i="2"/>
  <c r="T780" i="2"/>
  <c r="Q780" i="2"/>
  <c r="T781" i="2"/>
  <c r="Q781" i="2"/>
  <c r="T782" i="2"/>
  <c r="Q782" i="2"/>
  <c r="T783" i="2"/>
  <c r="Q783" i="2"/>
  <c r="T784" i="2"/>
  <c r="Q784" i="2"/>
  <c r="T785" i="2"/>
  <c r="Q785" i="2"/>
  <c r="T786" i="2"/>
  <c r="Q786" i="2"/>
  <c r="T787" i="2"/>
  <c r="Q787" i="2"/>
  <c r="T788" i="2"/>
  <c r="Q788" i="2"/>
  <c r="T789" i="2"/>
  <c r="Q789" i="2"/>
  <c r="T790" i="2"/>
  <c r="Q790" i="2"/>
  <c r="T791" i="2"/>
  <c r="Q791" i="2"/>
  <c r="T792" i="2"/>
  <c r="Q792" i="2"/>
  <c r="T793" i="2"/>
  <c r="Q793" i="2"/>
  <c r="T794" i="2"/>
  <c r="Q794" i="2"/>
  <c r="T795" i="2"/>
  <c r="Q795" i="2"/>
  <c r="T796" i="2"/>
  <c r="Q796" i="2"/>
  <c r="T797" i="2"/>
  <c r="Q797" i="2"/>
  <c r="T798" i="2"/>
  <c r="Q798" i="2"/>
  <c r="T799" i="2"/>
  <c r="Q799" i="2"/>
  <c r="T800" i="2"/>
  <c r="Q800" i="2"/>
  <c r="T801" i="2"/>
  <c r="Q801" i="2"/>
  <c r="T802" i="2"/>
  <c r="Q802" i="2"/>
  <c r="T803" i="2"/>
  <c r="Q803" i="2"/>
  <c r="T804" i="2"/>
  <c r="Q804" i="2"/>
  <c r="T805" i="2"/>
  <c r="Q805" i="2"/>
  <c r="T806" i="2"/>
  <c r="Q806" i="2"/>
  <c r="T807" i="2"/>
  <c r="Q807" i="2"/>
  <c r="T808" i="2"/>
  <c r="Q808" i="2"/>
  <c r="T809" i="2"/>
  <c r="Q809" i="2"/>
  <c r="T810" i="2"/>
  <c r="Q810" i="2"/>
  <c r="T811" i="2"/>
  <c r="Q811" i="2"/>
  <c r="T812" i="2"/>
  <c r="Q812" i="2"/>
  <c r="T813" i="2"/>
  <c r="Q813" i="2"/>
  <c r="T814" i="2"/>
  <c r="Q814" i="2"/>
  <c r="T815" i="2"/>
  <c r="Q815" i="2"/>
  <c r="T816" i="2"/>
  <c r="Q816" i="2"/>
  <c r="T817" i="2"/>
  <c r="Q817" i="2"/>
  <c r="T818" i="2"/>
  <c r="Q818" i="2"/>
  <c r="T819" i="2"/>
  <c r="Q819" i="2"/>
  <c r="T820" i="2"/>
  <c r="Q820" i="2"/>
  <c r="T821" i="2"/>
  <c r="Q821" i="2"/>
  <c r="T822" i="2"/>
  <c r="Q822" i="2"/>
  <c r="T823" i="2"/>
  <c r="Q823" i="2"/>
  <c r="T824" i="2"/>
  <c r="Q824" i="2"/>
  <c r="T825" i="2"/>
  <c r="Q825" i="2"/>
  <c r="H42" i="28"/>
  <c r="J42" i="28"/>
  <c r="H39" i="28"/>
  <c r="J39" i="28"/>
  <c r="A24" i="28"/>
  <c r="E24" i="28"/>
  <c r="D4" i="2"/>
  <c r="F4" i="2"/>
  <c r="D5" i="2"/>
  <c r="D6" i="2"/>
  <c r="F6" i="2"/>
  <c r="D7" i="2"/>
  <c r="E5" i="31"/>
  <c r="C5" i="28"/>
  <c r="F6" i="1"/>
  <c r="F7" i="2"/>
  <c r="D8" i="2"/>
  <c r="F8" i="2"/>
  <c r="H8" i="2"/>
  <c r="F24" i="28"/>
  <c r="H24" i="28"/>
  <c r="I24" i="28"/>
  <c r="J24" i="28"/>
  <c r="K24" i="28"/>
  <c r="L24" i="28"/>
  <c r="A25" i="28"/>
  <c r="E25" i="28"/>
  <c r="F25" i="28"/>
  <c r="H25" i="28"/>
  <c r="I25" i="28"/>
  <c r="J25" i="28"/>
  <c r="K25" i="28"/>
  <c r="L25" i="28"/>
  <c r="A26" i="28"/>
  <c r="E26" i="28"/>
  <c r="F26" i="28"/>
  <c r="H26" i="28"/>
  <c r="I26" i="28"/>
  <c r="J26" i="28"/>
  <c r="K26" i="28"/>
  <c r="L26" i="28"/>
  <c r="A27" i="28"/>
  <c r="E27" i="28"/>
  <c r="F27" i="28"/>
  <c r="H27" i="28"/>
  <c r="I27" i="28"/>
  <c r="J27" i="28"/>
  <c r="K27" i="28"/>
  <c r="L27" i="28"/>
  <c r="A28" i="28"/>
  <c r="E28" i="28"/>
  <c r="F28" i="28"/>
  <c r="H28" i="28"/>
  <c r="I28" i="28"/>
  <c r="J28" i="28"/>
  <c r="K28" i="28"/>
  <c r="L28" i="28"/>
  <c r="A29" i="28"/>
  <c r="E29" i="28"/>
  <c r="F29" i="28"/>
  <c r="H29" i="28"/>
  <c r="I29" i="28"/>
  <c r="J29" i="28"/>
  <c r="K29" i="28"/>
  <c r="L29" i="28"/>
  <c r="A30" i="28"/>
  <c r="E30" i="28"/>
  <c r="F30" i="28"/>
  <c r="H30" i="28"/>
  <c r="I30" i="28"/>
  <c r="J30" i="28"/>
  <c r="K30" i="28"/>
  <c r="L30" i="28"/>
  <c r="A31" i="28"/>
  <c r="E31" i="28"/>
  <c r="F31" i="28"/>
  <c r="H31" i="28"/>
  <c r="I31" i="28"/>
  <c r="J31" i="28"/>
  <c r="K31" i="28"/>
  <c r="L31" i="28"/>
  <c r="A32" i="28"/>
  <c r="E32" i="28"/>
  <c r="F32" i="28"/>
  <c r="H32" i="28"/>
  <c r="I32" i="28"/>
  <c r="J32" i="28"/>
  <c r="K32" i="28"/>
  <c r="L32" i="28"/>
  <c r="A33" i="28"/>
  <c r="E33" i="28"/>
  <c r="F33" i="28"/>
  <c r="H33" i="28"/>
  <c r="I33" i="28"/>
  <c r="J33" i="28"/>
  <c r="K33" i="28"/>
  <c r="L33" i="28"/>
  <c r="A34" i="28"/>
  <c r="E34" i="28"/>
  <c r="F34" i="28"/>
  <c r="H34" i="28"/>
  <c r="I34" i="28"/>
  <c r="J34" i="28"/>
  <c r="K34" i="28"/>
  <c r="L34" i="28"/>
  <c r="A35" i="28"/>
  <c r="E35" i="28"/>
  <c r="F35" i="28"/>
  <c r="H35" i="28"/>
  <c r="I35" i="28"/>
  <c r="J35" i="28"/>
  <c r="K35" i="28"/>
  <c r="L35" i="28"/>
  <c r="A36" i="28"/>
  <c r="E36" i="28"/>
  <c r="F36" i="28"/>
  <c r="H36" i="28"/>
  <c r="I36" i="28"/>
  <c r="J36" i="28"/>
  <c r="K36" i="28"/>
  <c r="L36" i="28"/>
  <c r="A37" i="28"/>
  <c r="E37" i="28"/>
  <c r="F37" i="28"/>
  <c r="H37" i="28"/>
  <c r="I37" i="28"/>
  <c r="J37" i="28"/>
  <c r="K37" i="28"/>
  <c r="L37" i="28"/>
  <c r="A38" i="28"/>
  <c r="E38" i="28"/>
  <c r="F38" i="28"/>
  <c r="H38" i="28"/>
  <c r="I38" i="28"/>
  <c r="J38" i="28"/>
  <c r="K38" i="28"/>
  <c r="L38" i="28"/>
  <c r="A39" i="28"/>
  <c r="E39" i="28"/>
  <c r="F39" i="28"/>
  <c r="I39" i="28"/>
  <c r="K39" i="28"/>
  <c r="L39" i="28"/>
  <c r="A40" i="28"/>
  <c r="E40" i="28"/>
  <c r="F40" i="28"/>
  <c r="H40" i="28"/>
  <c r="I40" i="28"/>
  <c r="J40" i="28"/>
  <c r="K40" i="28"/>
  <c r="L40" i="28"/>
  <c r="A41" i="28"/>
  <c r="E41" i="28"/>
  <c r="F41" i="28"/>
  <c r="H41" i="28"/>
  <c r="I41" i="28"/>
  <c r="J41" i="28"/>
  <c r="K41" i="28"/>
  <c r="L41" i="28"/>
  <c r="A42" i="28"/>
  <c r="E42" i="28"/>
  <c r="F42" i="28"/>
  <c r="I42" i="28"/>
  <c r="K42" i="28"/>
  <c r="L42" i="28"/>
  <c r="A43" i="28"/>
  <c r="E43" i="28"/>
  <c r="F43" i="28"/>
  <c r="H43" i="28"/>
  <c r="I43" i="28"/>
  <c r="J43" i="28"/>
  <c r="K43" i="28"/>
  <c r="L43" i="28"/>
  <c r="B97" i="10"/>
  <c r="H29" i="31"/>
  <c r="G96" i="10"/>
  <c r="C97" i="10"/>
  <c r="E45" i="10"/>
  <c r="E48" i="10"/>
  <c r="E50" i="10"/>
  <c r="E65" i="10"/>
  <c r="E68" i="10"/>
  <c r="E70" i="10"/>
  <c r="E93" i="10"/>
  <c r="E97" i="10"/>
  <c r="B98" i="10"/>
  <c r="C98" i="10"/>
  <c r="E98" i="10"/>
  <c r="B99" i="10"/>
  <c r="C99" i="10"/>
  <c r="E99" i="10"/>
  <c r="B100" i="10"/>
  <c r="C100" i="10"/>
  <c r="E100" i="10"/>
  <c r="B101" i="10"/>
  <c r="C101" i="10"/>
  <c r="E101" i="10"/>
  <c r="B102" i="10"/>
  <c r="C102" i="10"/>
  <c r="E102" i="10"/>
  <c r="A83" i="28"/>
  <c r="B83" i="28"/>
  <c r="C83" i="28"/>
  <c r="B110" i="10"/>
  <c r="C110" i="10"/>
  <c r="E110" i="10"/>
  <c r="B103" i="10"/>
  <c r="B104" i="10"/>
  <c r="B105" i="10"/>
  <c r="B106" i="10"/>
  <c r="B107" i="10"/>
  <c r="B108" i="10"/>
  <c r="B109" i="10"/>
  <c r="E83" i="28"/>
  <c r="L29" i="31"/>
  <c r="H67" i="28"/>
  <c r="I67" i="28"/>
  <c r="F83" i="28"/>
  <c r="H32" i="31"/>
  <c r="H35" i="31"/>
  <c r="H38" i="31"/>
  <c r="H39" i="31"/>
  <c r="L39" i="31"/>
  <c r="K67" i="28"/>
  <c r="G83" i="28"/>
  <c r="I83" i="28"/>
  <c r="J83" i="28"/>
  <c r="Y29" i="35"/>
  <c r="AE29" i="35"/>
  <c r="AD29" i="35"/>
  <c r="L83" i="28"/>
  <c r="M83" i="28"/>
  <c r="O83" i="28"/>
  <c r="P83" i="28"/>
  <c r="A84" i="28"/>
  <c r="B84" i="28"/>
  <c r="C84" i="28"/>
  <c r="B111" i="10"/>
  <c r="C111" i="10"/>
  <c r="E111" i="10"/>
  <c r="E84" i="28"/>
  <c r="F84" i="28"/>
  <c r="G84" i="28"/>
  <c r="I84" i="28"/>
  <c r="J84" i="28"/>
  <c r="Y34" i="35"/>
  <c r="AE34" i="35"/>
  <c r="AD34" i="35"/>
  <c r="L84" i="28"/>
  <c r="M84" i="28"/>
  <c r="O84" i="28"/>
  <c r="P84" i="28"/>
  <c r="A85" i="28"/>
  <c r="B85" i="28"/>
  <c r="C85" i="28"/>
  <c r="B112" i="10"/>
  <c r="C112" i="10"/>
  <c r="E112" i="10"/>
  <c r="E85" i="28"/>
  <c r="F85" i="28"/>
  <c r="G85" i="28"/>
  <c r="I85" i="28"/>
  <c r="J85" i="28"/>
  <c r="Y38" i="35"/>
  <c r="AE38" i="35"/>
  <c r="AD38" i="35"/>
  <c r="L85" i="28"/>
  <c r="M85" i="28"/>
  <c r="O85" i="28"/>
  <c r="P85" i="28"/>
  <c r="A86" i="28"/>
  <c r="B86" i="28"/>
  <c r="C86" i="28"/>
  <c r="B113" i="10"/>
  <c r="C113" i="10"/>
  <c r="E113" i="10"/>
  <c r="E86" i="28"/>
  <c r="F86" i="28"/>
  <c r="G86" i="28"/>
  <c r="I86" i="28"/>
  <c r="J86" i="28"/>
  <c r="Y30" i="35"/>
  <c r="AE30" i="35"/>
  <c r="AD30" i="35"/>
  <c r="L86" i="28"/>
  <c r="M86" i="28"/>
  <c r="O86" i="28"/>
  <c r="P86" i="28"/>
  <c r="A87" i="28"/>
  <c r="B87" i="28"/>
  <c r="C87" i="28"/>
  <c r="B114" i="10"/>
  <c r="C114" i="10"/>
  <c r="E114" i="10"/>
  <c r="E87" i="28"/>
  <c r="F87" i="28"/>
  <c r="G87" i="28"/>
  <c r="I87" i="28"/>
  <c r="J87" i="28"/>
  <c r="Y37" i="35"/>
  <c r="AE37" i="35"/>
  <c r="AD37" i="35"/>
  <c r="L87" i="28"/>
  <c r="M87" i="28"/>
  <c r="O87" i="28"/>
  <c r="P87" i="28"/>
  <c r="A88" i="28"/>
  <c r="B88" i="28"/>
  <c r="C88" i="28"/>
  <c r="B115" i="10"/>
  <c r="C115" i="10"/>
  <c r="E115" i="10"/>
  <c r="E88" i="28"/>
  <c r="F88" i="28"/>
  <c r="G88" i="28"/>
  <c r="I88" i="28"/>
  <c r="J88" i="28"/>
  <c r="Y31" i="35"/>
  <c r="AE31" i="35"/>
  <c r="AD31" i="35"/>
  <c r="L88" i="28"/>
  <c r="M88" i="28"/>
  <c r="O88" i="28"/>
  <c r="P88" i="28"/>
  <c r="A89" i="28"/>
  <c r="B89" i="28"/>
  <c r="C89" i="28"/>
  <c r="B116" i="10"/>
  <c r="C116" i="10"/>
  <c r="E116" i="10"/>
  <c r="E89" i="28"/>
  <c r="F89" i="28"/>
  <c r="G89" i="28"/>
  <c r="I89" i="28"/>
  <c r="J89" i="28"/>
  <c r="Y32" i="35"/>
  <c r="AE32" i="35"/>
  <c r="AD32" i="35"/>
  <c r="L89" i="28"/>
  <c r="M89" i="28"/>
  <c r="O89" i="28"/>
  <c r="P89" i="28"/>
  <c r="A90" i="28"/>
  <c r="B90" i="28"/>
  <c r="C90" i="28"/>
  <c r="B117" i="10"/>
  <c r="C117" i="10"/>
  <c r="E117" i="10"/>
  <c r="E90" i="28"/>
  <c r="F90" i="28"/>
  <c r="G90" i="28"/>
  <c r="I90" i="28"/>
  <c r="J90" i="28"/>
  <c r="Y35" i="35"/>
  <c r="AE35" i="35"/>
  <c r="AD35" i="35"/>
  <c r="L90" i="28"/>
  <c r="M90" i="28"/>
  <c r="O90" i="28"/>
  <c r="P90" i="28"/>
  <c r="A91" i="28"/>
  <c r="B91" i="28"/>
  <c r="C91" i="28"/>
  <c r="B118" i="10"/>
  <c r="C118" i="10"/>
  <c r="E118" i="10"/>
  <c r="E91" i="28"/>
  <c r="F91" i="28"/>
  <c r="G91" i="28"/>
  <c r="I91" i="28"/>
  <c r="J91" i="28"/>
  <c r="Y39" i="35"/>
  <c r="AE39" i="35"/>
  <c r="AD39" i="35"/>
  <c r="L91" i="28"/>
  <c r="M91" i="28"/>
  <c r="O91" i="28"/>
  <c r="P91" i="28"/>
  <c r="A92" i="28"/>
  <c r="B92" i="28"/>
  <c r="C92" i="28"/>
  <c r="B119" i="10"/>
  <c r="C119" i="10"/>
  <c r="E119" i="10"/>
  <c r="E92" i="28"/>
  <c r="F92" i="28"/>
  <c r="G92" i="28"/>
  <c r="I92" i="28"/>
  <c r="J92" i="28"/>
  <c r="Y33" i="35"/>
  <c r="AE33" i="35"/>
  <c r="AD33" i="35"/>
  <c r="L92" i="28"/>
  <c r="M92" i="28"/>
  <c r="O92" i="28"/>
  <c r="P92" i="28"/>
  <c r="A93" i="28"/>
  <c r="B93" i="28"/>
  <c r="C93" i="28"/>
  <c r="B120" i="10"/>
  <c r="C120" i="10"/>
  <c r="E120" i="10"/>
  <c r="E93" i="28"/>
  <c r="F93" i="28"/>
  <c r="G93" i="28"/>
  <c r="I93" i="28"/>
  <c r="J93" i="28"/>
  <c r="Y36" i="35"/>
  <c r="AE36" i="35"/>
  <c r="AD36" i="35"/>
  <c r="L93" i="28"/>
  <c r="M93" i="28"/>
  <c r="O93" i="28"/>
  <c r="P93" i="28"/>
  <c r="A94" i="28"/>
  <c r="B94" i="28"/>
  <c r="C94" i="28"/>
  <c r="J94" i="28"/>
  <c r="Y40" i="35"/>
  <c r="AE40" i="35"/>
  <c r="AD40" i="35"/>
  <c r="L94" i="28"/>
  <c r="M94" i="28"/>
  <c r="O94" i="28"/>
  <c r="P94" i="28"/>
  <c r="A95" i="28"/>
  <c r="B95" i="28"/>
  <c r="C95" i="28"/>
  <c r="B121" i="10"/>
  <c r="B122" i="10"/>
  <c r="C122" i="10"/>
  <c r="E122" i="10"/>
  <c r="E95" i="28"/>
  <c r="F95" i="28"/>
  <c r="G95" i="28"/>
  <c r="I95" i="28"/>
  <c r="J95" i="28"/>
  <c r="Y41" i="35"/>
  <c r="AE41" i="35"/>
  <c r="AD41" i="35"/>
  <c r="L95" i="28"/>
  <c r="M95" i="28"/>
  <c r="O95" i="28"/>
  <c r="P95" i="28"/>
  <c r="A96" i="28"/>
  <c r="B96" i="28"/>
  <c r="C96" i="28"/>
  <c r="B123" i="10"/>
  <c r="C123" i="10"/>
  <c r="E123" i="10"/>
  <c r="E96" i="28"/>
  <c r="F96" i="28"/>
  <c r="G96" i="28"/>
  <c r="I96" i="28"/>
  <c r="J96" i="28"/>
  <c r="Y42" i="35"/>
  <c r="AE42" i="35"/>
  <c r="AD42" i="35"/>
  <c r="L96" i="28"/>
  <c r="M96" i="28"/>
  <c r="O96" i="28"/>
  <c r="P96" i="28"/>
  <c r="A97" i="28"/>
  <c r="B97" i="28"/>
  <c r="C97" i="28"/>
  <c r="B124" i="10"/>
  <c r="C124" i="10"/>
  <c r="E124" i="10"/>
  <c r="E97" i="28"/>
  <c r="F97" i="28"/>
  <c r="G97" i="28"/>
  <c r="I97" i="28"/>
  <c r="J97" i="28"/>
  <c r="Y43" i="35"/>
  <c r="AE43" i="35"/>
  <c r="AD47" i="35"/>
  <c r="AD43" i="35"/>
  <c r="L97" i="28"/>
  <c r="M97" i="28"/>
  <c r="O97" i="28"/>
  <c r="P97" i="28"/>
  <c r="A98" i="28"/>
  <c r="B98" i="28"/>
  <c r="C98" i="28"/>
  <c r="B125" i="10"/>
  <c r="C125" i="10"/>
  <c r="E125" i="10"/>
  <c r="E98" i="28"/>
  <c r="F98" i="28"/>
  <c r="G98" i="28"/>
  <c r="I98" i="28"/>
  <c r="J98" i="28"/>
  <c r="Y45" i="35"/>
  <c r="AE45" i="35"/>
  <c r="AD45" i="35"/>
  <c r="L98" i="28"/>
  <c r="M98" i="28"/>
  <c r="O98" i="28"/>
  <c r="P98" i="28"/>
  <c r="A99" i="28"/>
  <c r="B99" i="28"/>
  <c r="C99" i="28"/>
  <c r="B126" i="10"/>
  <c r="C126" i="10"/>
  <c r="E126" i="10"/>
  <c r="E99" i="28"/>
  <c r="F99" i="28"/>
  <c r="G99" i="28"/>
  <c r="I99" i="28"/>
  <c r="J99" i="28"/>
  <c r="Y52" i="35"/>
  <c r="AE52" i="35"/>
  <c r="AD52" i="35"/>
  <c r="L99" i="28"/>
  <c r="M99" i="28"/>
  <c r="O99" i="28"/>
  <c r="P99" i="28"/>
  <c r="A100" i="28"/>
  <c r="B100" i="28"/>
  <c r="C100" i="28"/>
  <c r="B127" i="10"/>
  <c r="C127" i="10"/>
  <c r="E127" i="10"/>
  <c r="E100" i="28"/>
  <c r="F100" i="28"/>
  <c r="G100" i="28"/>
  <c r="I100" i="28"/>
  <c r="J100" i="28"/>
  <c r="Y46" i="35"/>
  <c r="AE46" i="35"/>
  <c r="AD46" i="35"/>
  <c r="L100" i="28"/>
  <c r="M100" i="28"/>
  <c r="O100" i="28"/>
  <c r="P100" i="28"/>
  <c r="A101" i="28"/>
  <c r="B101" i="28"/>
  <c r="C101" i="28"/>
  <c r="B128" i="10"/>
  <c r="C128" i="10"/>
  <c r="E128" i="10"/>
  <c r="E101" i="28"/>
  <c r="F101" i="28"/>
  <c r="G101" i="28"/>
  <c r="I101" i="28"/>
  <c r="J101" i="28"/>
  <c r="Y53" i="35"/>
  <c r="AE53" i="35"/>
  <c r="AD53" i="35"/>
  <c r="L101" i="28"/>
  <c r="M101" i="28"/>
  <c r="O101" i="28"/>
  <c r="P101" i="28"/>
  <c r="A102" i="28"/>
  <c r="B102" i="28"/>
  <c r="C102" i="28"/>
  <c r="B129" i="10"/>
  <c r="C129" i="10"/>
  <c r="E129" i="10"/>
  <c r="E102" i="28"/>
  <c r="F102" i="28"/>
  <c r="G102" i="28"/>
  <c r="I102" i="28"/>
  <c r="J102" i="28"/>
  <c r="Y48" i="35"/>
  <c r="AE48" i="35"/>
  <c r="Y50" i="35"/>
  <c r="AE50" i="35"/>
  <c r="Y51" i="35"/>
  <c r="AE51" i="35"/>
  <c r="AD48" i="35"/>
  <c r="AD49" i="35"/>
  <c r="AD50" i="35"/>
  <c r="AD51" i="35"/>
  <c r="L102" i="28"/>
  <c r="M102" i="28"/>
  <c r="O102" i="28"/>
  <c r="P102" i="28"/>
  <c r="B130" i="10"/>
  <c r="C130" i="10"/>
  <c r="E130" i="10"/>
  <c r="B131" i="10"/>
  <c r="C131" i="10"/>
  <c r="E131" i="10"/>
  <c r="B132" i="10"/>
  <c r="C132" i="10"/>
  <c r="E132" i="10"/>
  <c r="B133" i="10"/>
  <c r="C133" i="10"/>
  <c r="E133" i="10"/>
  <c r="B134" i="10"/>
  <c r="C134" i="10"/>
  <c r="E134" i="10"/>
  <c r="B135" i="10"/>
  <c r="C135" i="10"/>
  <c r="E135" i="10"/>
  <c r="B136" i="10"/>
  <c r="C136" i="10"/>
  <c r="E136" i="10"/>
  <c r="B137" i="10"/>
  <c r="C137" i="10"/>
  <c r="E137" i="10"/>
  <c r="B138" i="10"/>
  <c r="C138" i="10"/>
  <c r="E138" i="10"/>
  <c r="B139" i="10"/>
  <c r="C139" i="10"/>
  <c r="E139" i="10"/>
  <c r="B140" i="10"/>
  <c r="C140" i="10"/>
  <c r="E140" i="10"/>
  <c r="B141" i="10"/>
  <c r="C141" i="10"/>
  <c r="E141" i="10"/>
  <c r="B142" i="10"/>
  <c r="C142" i="10"/>
  <c r="E142" i="10"/>
  <c r="B143" i="10"/>
  <c r="C143" i="10"/>
  <c r="E143" i="10"/>
  <c r="B144" i="10"/>
  <c r="C144" i="10"/>
  <c r="E144" i="10"/>
  <c r="B145" i="10"/>
  <c r="C145" i="10"/>
  <c r="E145" i="10"/>
  <c r="B146" i="10"/>
  <c r="C146" i="10"/>
  <c r="E146" i="10"/>
  <c r="E58" i="10"/>
  <c r="E63" i="10"/>
  <c r="E66" i="10"/>
  <c r="L97"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8" i="1"/>
  <c r="L99" i="1"/>
  <c r="L100" i="1"/>
  <c r="L101" i="1"/>
  <c r="L103" i="1"/>
  <c r="N97" i="1"/>
  <c r="M97" i="1"/>
  <c r="K97" i="1"/>
  <c r="C3" i="1"/>
  <c r="F3" i="1"/>
  <c r="C4" i="1"/>
  <c r="C5" i="1"/>
  <c r="F5" i="1"/>
  <c r="C6" i="1"/>
  <c r="C7" i="1"/>
  <c r="F7" i="1"/>
  <c r="C138" i="28"/>
  <c r="I133" i="31"/>
  <c r="J133" i="31"/>
  <c r="Q29" i="35"/>
  <c r="R29" i="35"/>
  <c r="S29" i="35"/>
  <c r="Q30" i="35"/>
  <c r="R30" i="35"/>
  <c r="S30" i="35"/>
  <c r="Q31" i="35"/>
  <c r="R31" i="35"/>
  <c r="S31" i="35"/>
  <c r="Q32" i="35"/>
  <c r="R32" i="35"/>
  <c r="S32" i="35"/>
  <c r="Q33" i="35"/>
  <c r="R33" i="35"/>
  <c r="S33" i="35"/>
  <c r="Q34" i="35"/>
  <c r="R34" i="35"/>
  <c r="S34" i="35"/>
  <c r="Q35" i="35"/>
  <c r="R35" i="35"/>
  <c r="S35" i="35"/>
  <c r="Q36" i="35"/>
  <c r="R36" i="35"/>
  <c r="S36" i="35"/>
  <c r="Q37" i="35"/>
  <c r="R37" i="35"/>
  <c r="S37" i="35"/>
  <c r="Q38" i="35"/>
  <c r="R38" i="35"/>
  <c r="S38" i="35"/>
  <c r="Q39" i="35"/>
  <c r="R39" i="35"/>
  <c r="S39" i="35"/>
  <c r="Q40" i="35"/>
  <c r="R40" i="35"/>
  <c r="S40" i="35"/>
  <c r="Q41" i="35"/>
  <c r="R41" i="35"/>
  <c r="S41" i="35"/>
  <c r="Q42" i="35"/>
  <c r="R42" i="35"/>
  <c r="S42" i="35"/>
  <c r="Q43" i="35"/>
  <c r="R43" i="35"/>
  <c r="S43" i="35"/>
  <c r="Q45" i="35"/>
  <c r="R45" i="35"/>
  <c r="S45" i="35"/>
  <c r="Q46" i="35"/>
  <c r="R46" i="35"/>
  <c r="S46" i="35"/>
  <c r="Q48" i="35"/>
  <c r="R48" i="35"/>
  <c r="S48" i="35"/>
  <c r="Q50" i="35"/>
  <c r="R50" i="35"/>
  <c r="S50" i="35"/>
  <c r="Q51" i="35"/>
  <c r="R51" i="35"/>
  <c r="S51" i="35"/>
  <c r="Q52" i="35"/>
  <c r="R52" i="35"/>
  <c r="S52" i="35"/>
  <c r="Q53" i="35"/>
  <c r="R53" i="35"/>
  <c r="S53" i="35"/>
  <c r="H127" i="31"/>
  <c r="I130" i="31"/>
  <c r="J130" i="31"/>
  <c r="I136" i="31"/>
  <c r="J136" i="31"/>
  <c r="J137" i="31"/>
  <c r="I114" i="31"/>
  <c r="J114" i="31"/>
  <c r="I126" i="31"/>
  <c r="J126" i="31"/>
  <c r="J33" i="32"/>
  <c r="L33" i="32"/>
  <c r="N33" i="32"/>
  <c r="O33" i="32"/>
  <c r="Q33" i="32"/>
  <c r="R33" i="32"/>
  <c r="S33" i="32"/>
  <c r="D54" i="29"/>
  <c r="D60" i="29"/>
  <c r="C62" i="29"/>
  <c r="C63" i="29"/>
  <c r="C64" i="29"/>
  <c r="C65" i="29"/>
  <c r="D66" i="29"/>
  <c r="U33" i="32"/>
  <c r="V33" i="32"/>
  <c r="AA33" i="32"/>
  <c r="AK33" i="32"/>
  <c r="AM33" i="32"/>
  <c r="AO33" i="32"/>
  <c r="I117" i="31"/>
  <c r="J117" i="31"/>
  <c r="J34" i="32"/>
  <c r="L34" i="32"/>
  <c r="N34" i="32"/>
  <c r="O34" i="32"/>
  <c r="Q34" i="32"/>
  <c r="R34" i="32"/>
  <c r="S34" i="32"/>
  <c r="U34" i="32"/>
  <c r="V34" i="32"/>
  <c r="AA34" i="32"/>
  <c r="AK34" i="32"/>
  <c r="AM34" i="32"/>
  <c r="AO34" i="32"/>
  <c r="I120" i="31"/>
  <c r="J120" i="31"/>
  <c r="I123" i="31"/>
  <c r="J123" i="31"/>
  <c r="J127" i="31"/>
  <c r="J139" i="31"/>
  <c r="L137" i="31"/>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B147" i="10"/>
  <c r="E18" i="10"/>
  <c r="E23" i="10"/>
  <c r="E25" i="10"/>
  <c r="E26" i="10"/>
  <c r="E28" i="10"/>
  <c r="E30" i="10"/>
  <c r="E38" i="10"/>
  <c r="E43" i="10"/>
  <c r="E46" i="10"/>
  <c r="G97" i="10"/>
  <c r="G98" i="10"/>
  <c r="G99" i="10"/>
  <c r="G100" i="10"/>
  <c r="C103" i="10"/>
  <c r="E103" i="10"/>
  <c r="C104" i="10"/>
  <c r="E104" i="10"/>
  <c r="C105" i="10"/>
  <c r="E105" i="10"/>
  <c r="C106" i="10"/>
  <c r="E106" i="10"/>
  <c r="C107" i="10"/>
  <c r="E107" i="10"/>
  <c r="C108" i="10"/>
  <c r="E108" i="10"/>
  <c r="C109" i="10"/>
  <c r="E109" i="10"/>
  <c r="C121" i="10"/>
  <c r="E121" i="10"/>
  <c r="G147" i="10"/>
  <c r="C147" i="10"/>
  <c r="E147" i="10"/>
  <c r="B148" i="10"/>
  <c r="G148" i="10"/>
  <c r="C148" i="10"/>
  <c r="E148" i="10"/>
  <c r="B149" i="10"/>
  <c r="G149" i="10"/>
  <c r="C149" i="10"/>
  <c r="E149" i="10"/>
  <c r="H16" i="31"/>
  <c r="J16" i="32"/>
  <c r="L16" i="32"/>
  <c r="N16" i="32"/>
  <c r="O16" i="32"/>
  <c r="Q16" i="32"/>
  <c r="R16" i="32"/>
  <c r="S16" i="32"/>
  <c r="U16" i="32"/>
  <c r="V16" i="32"/>
  <c r="AA16" i="32"/>
  <c r="AK16" i="32"/>
  <c r="AM16" i="32"/>
  <c r="AO16" i="32"/>
  <c r="I16" i="31"/>
  <c r="J16" i="31"/>
  <c r="H19" i="31"/>
  <c r="J18" i="32"/>
  <c r="L18" i="32"/>
  <c r="N18" i="32"/>
  <c r="O18" i="32"/>
  <c r="Q18" i="32"/>
  <c r="R18" i="32"/>
  <c r="S18" i="32"/>
  <c r="U18" i="32"/>
  <c r="V18" i="32"/>
  <c r="AA18" i="32"/>
  <c r="AK18" i="32"/>
  <c r="AM18" i="32"/>
  <c r="AO18" i="32"/>
  <c r="I19" i="31"/>
  <c r="J19" i="31"/>
  <c r="H22" i="31"/>
  <c r="J19" i="32"/>
  <c r="L19" i="32"/>
  <c r="N19" i="32"/>
  <c r="O19" i="32"/>
  <c r="Q19" i="32"/>
  <c r="R19" i="32"/>
  <c r="S19" i="32"/>
  <c r="U19" i="32"/>
  <c r="V19" i="32"/>
  <c r="AA19" i="32"/>
  <c r="AK19" i="32"/>
  <c r="AM19" i="32"/>
  <c r="AO19" i="32"/>
  <c r="I22" i="31"/>
  <c r="J22" i="31"/>
  <c r="H25" i="31"/>
  <c r="I25" i="31"/>
  <c r="J25" i="31"/>
  <c r="H28" i="31"/>
  <c r="J27" i="32"/>
  <c r="L27" i="32"/>
  <c r="N27" i="32"/>
  <c r="O27" i="32"/>
  <c r="Q27" i="32"/>
  <c r="R27" i="32"/>
  <c r="S27" i="32"/>
  <c r="U27" i="32"/>
  <c r="V27" i="32"/>
  <c r="AA27" i="32"/>
  <c r="AK27" i="32"/>
  <c r="AM27" i="32"/>
  <c r="AO27" i="32"/>
  <c r="I28" i="31"/>
  <c r="J28" i="31"/>
  <c r="J29" i="31"/>
  <c r="E39" i="31"/>
  <c r="J29" i="32"/>
  <c r="L29" i="32"/>
  <c r="N29" i="32"/>
  <c r="O29" i="32"/>
  <c r="Q29" i="32"/>
  <c r="R29" i="32"/>
  <c r="S29" i="32"/>
  <c r="U29" i="32"/>
  <c r="V29" i="32"/>
  <c r="AA29" i="32"/>
  <c r="AK29" i="32"/>
  <c r="AM29" i="32"/>
  <c r="AO29" i="32"/>
  <c r="I32" i="31"/>
  <c r="J32" i="31"/>
  <c r="I35" i="31"/>
  <c r="J35" i="31"/>
  <c r="J30" i="32"/>
  <c r="L30" i="32"/>
  <c r="N30" i="32"/>
  <c r="O30" i="32"/>
  <c r="Q30" i="32"/>
  <c r="R30" i="32"/>
  <c r="S30" i="32"/>
  <c r="U30" i="32"/>
  <c r="V30" i="32"/>
  <c r="AA30" i="32"/>
  <c r="AK30" i="32"/>
  <c r="AM30" i="32"/>
  <c r="AO30" i="32"/>
  <c r="I38" i="31"/>
  <c r="J38" i="31"/>
  <c r="J39" i="31"/>
  <c r="E4" i="39"/>
  <c r="E5" i="39"/>
  <c r="E6" i="39"/>
  <c r="E7" i="39"/>
  <c r="E8" i="39"/>
  <c r="AE47" i="35"/>
  <c r="U45" i="35"/>
  <c r="V45" i="35"/>
  <c r="W45" i="35"/>
  <c r="X45" i="35"/>
  <c r="U52" i="35"/>
  <c r="V52" i="35"/>
  <c r="W52" i="35"/>
  <c r="X52" i="35"/>
  <c r="U46" i="35"/>
  <c r="V46" i="35"/>
  <c r="W46" i="35"/>
  <c r="X46" i="35"/>
  <c r="U53" i="35"/>
  <c r="V53" i="35"/>
  <c r="W53" i="35"/>
  <c r="X53" i="35"/>
  <c r="U48" i="35"/>
  <c r="V48" i="35"/>
  <c r="W48" i="35"/>
  <c r="X48" i="35"/>
  <c r="U50" i="35"/>
  <c r="V50" i="35"/>
  <c r="W50" i="35"/>
  <c r="X50" i="35"/>
  <c r="U51" i="35"/>
  <c r="V51" i="35"/>
  <c r="W51" i="35"/>
  <c r="X51" i="35"/>
  <c r="AE49" i="35"/>
  <c r="E152" i="10"/>
  <c r="J87" i="31"/>
  <c r="I52" i="31"/>
  <c r="G68" i="31"/>
  <c r="G42" i="31"/>
  <c r="H49" i="31"/>
  <c r="H52" i="31"/>
  <c r="J52" i="31"/>
  <c r="I55" i="31"/>
  <c r="H55" i="31"/>
  <c r="J55" i="31"/>
  <c r="I58" i="31"/>
  <c r="H58" i="31"/>
  <c r="J58" i="31"/>
  <c r="J60" i="31"/>
  <c r="I42" i="31"/>
  <c r="H42" i="31"/>
  <c r="J42" i="31"/>
  <c r="I45" i="31"/>
  <c r="H45" i="31"/>
  <c r="J45" i="31"/>
  <c r="I48" i="31"/>
  <c r="H48" i="31"/>
  <c r="J48" i="31"/>
  <c r="J49" i="31"/>
  <c r="J62" i="31"/>
  <c r="J89" i="31"/>
  <c r="L98" i="31"/>
  <c r="Y783" i="2"/>
  <c r="C148" i="28"/>
  <c r="D148" i="28"/>
  <c r="E148" i="28"/>
  <c r="F148" i="28"/>
  <c r="G148" i="28"/>
  <c r="C149" i="28"/>
  <c r="B2" i="28"/>
  <c r="B3" i="28"/>
  <c r="B4" i="28"/>
  <c r="B5" i="28"/>
  <c r="B6" i="28"/>
  <c r="C2" i="28"/>
  <c r="C4" i="28"/>
  <c r="C6" i="28"/>
  <c r="U29" i="35"/>
  <c r="V29" i="35"/>
  <c r="W29" i="35"/>
  <c r="X29" i="35"/>
  <c r="U34" i="35"/>
  <c r="V34" i="35"/>
  <c r="W34" i="35"/>
  <c r="X34" i="35"/>
  <c r="U38" i="35"/>
  <c r="V38" i="35"/>
  <c r="W38" i="35"/>
  <c r="X38" i="35"/>
  <c r="U30" i="35"/>
  <c r="V30" i="35"/>
  <c r="W30" i="35"/>
  <c r="X30" i="35"/>
  <c r="U37" i="35"/>
  <c r="V37" i="35"/>
  <c r="W37" i="35"/>
  <c r="X37" i="35"/>
  <c r="U31" i="35"/>
  <c r="V31" i="35"/>
  <c r="W31" i="35"/>
  <c r="X31" i="35"/>
  <c r="U32" i="35"/>
  <c r="V32" i="35"/>
  <c r="W32" i="35"/>
  <c r="X32" i="35"/>
  <c r="U35" i="35"/>
  <c r="V35" i="35"/>
  <c r="W35" i="35"/>
  <c r="X35" i="35"/>
  <c r="U39" i="35"/>
  <c r="V39" i="35"/>
  <c r="W39" i="35"/>
  <c r="X39" i="35"/>
  <c r="U33" i="35"/>
  <c r="V33" i="35"/>
  <c r="W33" i="35"/>
  <c r="X33" i="35"/>
  <c r="U36" i="35"/>
  <c r="V36" i="35"/>
  <c r="W36" i="35"/>
  <c r="X36" i="35"/>
  <c r="U40" i="35"/>
  <c r="V40" i="35"/>
  <c r="W40" i="35"/>
  <c r="X40" i="35"/>
  <c r="U41" i="35"/>
  <c r="V41" i="35"/>
  <c r="W41" i="35"/>
  <c r="X41" i="35"/>
  <c r="U42" i="35"/>
  <c r="V42" i="35"/>
  <c r="W42" i="35"/>
  <c r="X42" i="35"/>
  <c r="U43" i="35"/>
  <c r="V43" i="35"/>
  <c r="W43" i="35"/>
  <c r="X43" i="35"/>
  <c r="B121" i="28"/>
  <c r="C121" i="28"/>
  <c r="O121" i="28"/>
  <c r="P121" i="28"/>
  <c r="Z783" i="2"/>
  <c r="Y784" i="2"/>
  <c r="Z784" i="2"/>
  <c r="Y785" i="2"/>
  <c r="Z785" i="2"/>
  <c r="Y786" i="2"/>
  <c r="Z786" i="2"/>
  <c r="Y787" i="2"/>
  <c r="Z787" i="2"/>
  <c r="Y788" i="2"/>
  <c r="Z788" i="2"/>
  <c r="Y789" i="2"/>
  <c r="Z789" i="2"/>
  <c r="Y790" i="2"/>
  <c r="Z790" i="2"/>
  <c r="Y791" i="2"/>
  <c r="Z791" i="2"/>
  <c r="Y792" i="2"/>
  <c r="Z792" i="2"/>
  <c r="Y793" i="2"/>
  <c r="Z793" i="2"/>
  <c r="Y794" i="2"/>
  <c r="Z794" i="2"/>
  <c r="Y795" i="2"/>
  <c r="Z795" i="2"/>
  <c r="Y796" i="2"/>
  <c r="Z796" i="2"/>
  <c r="Y797" i="2"/>
  <c r="Z797" i="2"/>
  <c r="Y798" i="2"/>
  <c r="Z798" i="2"/>
  <c r="Y799" i="2"/>
  <c r="Z799" i="2"/>
  <c r="Y800" i="2"/>
  <c r="Z800" i="2"/>
  <c r="Y801" i="2"/>
  <c r="Z801" i="2"/>
  <c r="Y802" i="2"/>
  <c r="Z802" i="2"/>
  <c r="Y803" i="2"/>
  <c r="Z803" i="2"/>
  <c r="Y804" i="2"/>
  <c r="Z804" i="2"/>
  <c r="Y805" i="2"/>
  <c r="Z805" i="2"/>
  <c r="Y806" i="2"/>
  <c r="Z806" i="2"/>
  <c r="Y807" i="2"/>
  <c r="Z807" i="2"/>
  <c r="Y808" i="2"/>
  <c r="Z808" i="2"/>
  <c r="Y809" i="2"/>
  <c r="Z809" i="2"/>
  <c r="Y810" i="2"/>
  <c r="Z810" i="2"/>
  <c r="Y811" i="2"/>
  <c r="Z811" i="2"/>
  <c r="Y812" i="2"/>
  <c r="Z812" i="2"/>
  <c r="Y813" i="2"/>
  <c r="Z813" i="2"/>
  <c r="Y11" i="2"/>
  <c r="Z11" i="2"/>
  <c r="Y12" i="2"/>
  <c r="Z12" i="2"/>
  <c r="Y13" i="2"/>
  <c r="Z13" i="2"/>
  <c r="Y14" i="2"/>
  <c r="Z14" i="2"/>
  <c r="Y15" i="2"/>
  <c r="Z15" i="2"/>
  <c r="Y16" i="2"/>
  <c r="Z16" i="2"/>
  <c r="Y17" i="2"/>
  <c r="Z17" i="2"/>
  <c r="Y18" i="2"/>
  <c r="Z18" i="2"/>
  <c r="Y19" i="2"/>
  <c r="Z19" i="2"/>
  <c r="Y20" i="2"/>
  <c r="Z20" i="2"/>
  <c r="Y21" i="2"/>
  <c r="Z21" i="2"/>
  <c r="Y22" i="2"/>
  <c r="Z22" i="2"/>
  <c r="Y23" i="2"/>
  <c r="Z23" i="2"/>
  <c r="Y24" i="2"/>
  <c r="Z24" i="2"/>
  <c r="Y25" i="2"/>
  <c r="Z25" i="2"/>
  <c r="Y26" i="2"/>
  <c r="Z26" i="2"/>
  <c r="Y27" i="2"/>
  <c r="Z27" i="2"/>
  <c r="Y28" i="2"/>
  <c r="Z28" i="2"/>
  <c r="Y29" i="2"/>
  <c r="Z29" i="2"/>
  <c r="Y30" i="2"/>
  <c r="Z30" i="2"/>
  <c r="Y31" i="2"/>
  <c r="Z31" i="2"/>
  <c r="Y32" i="2"/>
  <c r="Z32" i="2"/>
  <c r="Y33" i="2"/>
  <c r="Z33" i="2"/>
  <c r="Y34" i="2"/>
  <c r="Z34" i="2"/>
  <c r="Y35" i="2"/>
  <c r="Z35" i="2"/>
  <c r="Y36" i="2"/>
  <c r="Z36" i="2"/>
  <c r="Y37" i="2"/>
  <c r="Z37" i="2"/>
  <c r="Y38" i="2"/>
  <c r="Z38" i="2"/>
  <c r="Y39" i="2"/>
  <c r="Z39" i="2"/>
  <c r="Y40" i="2"/>
  <c r="Z40" i="2"/>
  <c r="Y41" i="2"/>
  <c r="Z41" i="2"/>
  <c r="Y42" i="2"/>
  <c r="Z42" i="2"/>
  <c r="Y43" i="2"/>
  <c r="Z43" i="2"/>
  <c r="Y44" i="2"/>
  <c r="Z44" i="2"/>
  <c r="Y45" i="2"/>
  <c r="Z45" i="2"/>
  <c r="Y46" i="2"/>
  <c r="Z46" i="2"/>
  <c r="Y47" i="2"/>
  <c r="Z47" i="2"/>
  <c r="Y48" i="2"/>
  <c r="Z48" i="2"/>
  <c r="Y49" i="2"/>
  <c r="Z49" i="2"/>
  <c r="Y50" i="2"/>
  <c r="Z50" i="2"/>
  <c r="Y51" i="2"/>
  <c r="Z51" i="2"/>
  <c r="Y52" i="2"/>
  <c r="Z52" i="2"/>
  <c r="Y53" i="2"/>
  <c r="Z53" i="2"/>
  <c r="Y54" i="2"/>
  <c r="Z54" i="2"/>
  <c r="Y55" i="2"/>
  <c r="Z55" i="2"/>
  <c r="Y56" i="2"/>
  <c r="Z56" i="2"/>
  <c r="Y57" i="2"/>
  <c r="Z57" i="2"/>
  <c r="Y58" i="2"/>
  <c r="Z58" i="2"/>
  <c r="Y59" i="2"/>
  <c r="Z59" i="2"/>
  <c r="Y60" i="2"/>
  <c r="Z60" i="2"/>
  <c r="Y61" i="2"/>
  <c r="Z61" i="2"/>
  <c r="Y62" i="2"/>
  <c r="Z62" i="2"/>
  <c r="Y63" i="2"/>
  <c r="Z63" i="2"/>
  <c r="Y64" i="2"/>
  <c r="Z64" i="2"/>
  <c r="Y65" i="2"/>
  <c r="Z65" i="2"/>
  <c r="Y66" i="2"/>
  <c r="Z66" i="2"/>
  <c r="Y67" i="2"/>
  <c r="Z67" i="2"/>
  <c r="Y68" i="2"/>
  <c r="Z68" i="2"/>
  <c r="Y69" i="2"/>
  <c r="Z69" i="2"/>
  <c r="Y70" i="2"/>
  <c r="Z70" i="2"/>
  <c r="Y71" i="2"/>
  <c r="Z71" i="2"/>
  <c r="Y72" i="2"/>
  <c r="Z72" i="2"/>
  <c r="Y73" i="2"/>
  <c r="Z73" i="2"/>
  <c r="Y74" i="2"/>
  <c r="Z74" i="2"/>
  <c r="Y75" i="2"/>
  <c r="Z75" i="2"/>
  <c r="Y76" i="2"/>
  <c r="Z76" i="2"/>
  <c r="Y77" i="2"/>
  <c r="Z77" i="2"/>
  <c r="Y78" i="2"/>
  <c r="Z78" i="2"/>
  <c r="Y79" i="2"/>
  <c r="Z79" i="2"/>
  <c r="Y80" i="2"/>
  <c r="Z80" i="2"/>
  <c r="Y81" i="2"/>
  <c r="Z81" i="2"/>
  <c r="Y82" i="2"/>
  <c r="Z82" i="2"/>
  <c r="Y83" i="2"/>
  <c r="Z83" i="2"/>
  <c r="Y84" i="2"/>
  <c r="Z84" i="2"/>
  <c r="Y85" i="2"/>
  <c r="Z85" i="2"/>
  <c r="Y86" i="2"/>
  <c r="Z86" i="2"/>
  <c r="Y87" i="2"/>
  <c r="Z87" i="2"/>
  <c r="Y88" i="2"/>
  <c r="Z88" i="2"/>
  <c r="Y89" i="2"/>
  <c r="Z89" i="2"/>
  <c r="Y90" i="2"/>
  <c r="Z90" i="2"/>
  <c r="Y91" i="2"/>
  <c r="Z91" i="2"/>
  <c r="Y92" i="2"/>
  <c r="Z92" i="2"/>
  <c r="Y93" i="2"/>
  <c r="Z93" i="2"/>
  <c r="Y94" i="2"/>
  <c r="Z94" i="2"/>
  <c r="Y95" i="2"/>
  <c r="Z95" i="2"/>
  <c r="Y96" i="2"/>
  <c r="Z96" i="2"/>
  <c r="Y97" i="2"/>
  <c r="Z97" i="2"/>
  <c r="Y98" i="2"/>
  <c r="Z98" i="2"/>
  <c r="Y99" i="2"/>
  <c r="Z99" i="2"/>
  <c r="Y100" i="2"/>
  <c r="Z100" i="2"/>
  <c r="Y101" i="2"/>
  <c r="Z101" i="2"/>
  <c r="Y102" i="2"/>
  <c r="Z102" i="2"/>
  <c r="Y103" i="2"/>
  <c r="Z103" i="2"/>
  <c r="Y104" i="2"/>
  <c r="Z104" i="2"/>
  <c r="Y105" i="2"/>
  <c r="Z105" i="2"/>
  <c r="Y106" i="2"/>
  <c r="Z106" i="2"/>
  <c r="Y107" i="2"/>
  <c r="Z107" i="2"/>
  <c r="Y108" i="2"/>
  <c r="Z108" i="2"/>
  <c r="Y109" i="2"/>
  <c r="Z109" i="2"/>
  <c r="Y110" i="2"/>
  <c r="Z110" i="2"/>
  <c r="Y111" i="2"/>
  <c r="Z111" i="2"/>
  <c r="Y112" i="2"/>
  <c r="Z112" i="2"/>
  <c r="Y113" i="2"/>
  <c r="Z113" i="2"/>
  <c r="Y114" i="2"/>
  <c r="Z114" i="2"/>
  <c r="Y115" i="2"/>
  <c r="Z115" i="2"/>
  <c r="Y116" i="2"/>
  <c r="Z116" i="2"/>
  <c r="Y117" i="2"/>
  <c r="Z117" i="2"/>
  <c r="Y118" i="2"/>
  <c r="Z118" i="2"/>
  <c r="Y119" i="2"/>
  <c r="Z119" i="2"/>
  <c r="Y120" i="2"/>
  <c r="Z120" i="2"/>
  <c r="Y121" i="2"/>
  <c r="Z121" i="2"/>
  <c r="Y122" i="2"/>
  <c r="Z122" i="2"/>
  <c r="Y123" i="2"/>
  <c r="Z123" i="2"/>
  <c r="Y124" i="2"/>
  <c r="Z124" i="2"/>
  <c r="Y125" i="2"/>
  <c r="Z125" i="2"/>
  <c r="Y126" i="2"/>
  <c r="Z126" i="2"/>
  <c r="Y127" i="2"/>
  <c r="Z127" i="2"/>
  <c r="Y128" i="2"/>
  <c r="Z128" i="2"/>
  <c r="Y129" i="2"/>
  <c r="Z129" i="2"/>
  <c r="Y130" i="2"/>
  <c r="Z130" i="2"/>
  <c r="Y131" i="2"/>
  <c r="Z131" i="2"/>
  <c r="Y132" i="2"/>
  <c r="Z132" i="2"/>
  <c r="Y133" i="2"/>
  <c r="Z133" i="2"/>
  <c r="Y134" i="2"/>
  <c r="Z134" i="2"/>
  <c r="Y135" i="2"/>
  <c r="Z135" i="2"/>
  <c r="Y136" i="2"/>
  <c r="Z136" i="2"/>
  <c r="Y137" i="2"/>
  <c r="Z137" i="2"/>
  <c r="Y138" i="2"/>
  <c r="Z138" i="2"/>
  <c r="Y139" i="2"/>
  <c r="Z139" i="2"/>
  <c r="Y140" i="2"/>
  <c r="Z140" i="2"/>
  <c r="Y141" i="2"/>
  <c r="Z141" i="2"/>
  <c r="Y142" i="2"/>
  <c r="Z142" i="2"/>
  <c r="Y143" i="2"/>
  <c r="Z143" i="2"/>
  <c r="Y144" i="2"/>
  <c r="Z144" i="2"/>
  <c r="Y145" i="2"/>
  <c r="Z145" i="2"/>
  <c r="Y146" i="2"/>
  <c r="Z146" i="2"/>
  <c r="Y147" i="2"/>
  <c r="Z147" i="2"/>
  <c r="Y148" i="2"/>
  <c r="Z148" i="2"/>
  <c r="Y149" i="2"/>
  <c r="Z149" i="2"/>
  <c r="Y150" i="2"/>
  <c r="Z150" i="2"/>
  <c r="Y151" i="2"/>
  <c r="Z151" i="2"/>
  <c r="Y152" i="2"/>
  <c r="Z152" i="2"/>
  <c r="Y153" i="2"/>
  <c r="Z153" i="2"/>
  <c r="Y154" i="2"/>
  <c r="Z154" i="2"/>
  <c r="Y155" i="2"/>
  <c r="Z155" i="2"/>
  <c r="Y156" i="2"/>
  <c r="Z156" i="2"/>
  <c r="Y157" i="2"/>
  <c r="Z157" i="2"/>
  <c r="Y158" i="2"/>
  <c r="Z158" i="2"/>
  <c r="Y159" i="2"/>
  <c r="Z159" i="2"/>
  <c r="Y160" i="2"/>
  <c r="Z160" i="2"/>
  <c r="Y161" i="2"/>
  <c r="Z161" i="2"/>
  <c r="Y162" i="2"/>
  <c r="Z162" i="2"/>
  <c r="Y163" i="2"/>
  <c r="Z163" i="2"/>
  <c r="Y164" i="2"/>
  <c r="Z164" i="2"/>
  <c r="Y165" i="2"/>
  <c r="Z165" i="2"/>
  <c r="Y166" i="2"/>
  <c r="Z166" i="2"/>
  <c r="Y167" i="2"/>
  <c r="Z167" i="2"/>
  <c r="Y168" i="2"/>
  <c r="Z168" i="2"/>
  <c r="Y169" i="2"/>
  <c r="Z169" i="2"/>
  <c r="Y170" i="2"/>
  <c r="Z170" i="2"/>
  <c r="Y171" i="2"/>
  <c r="Z171" i="2"/>
  <c r="Y172" i="2"/>
  <c r="Z172" i="2"/>
  <c r="Y173" i="2"/>
  <c r="Z173" i="2"/>
  <c r="Y174" i="2"/>
  <c r="Z174" i="2"/>
  <c r="Y175" i="2"/>
  <c r="Z175" i="2"/>
  <c r="Y176" i="2"/>
  <c r="Z176" i="2"/>
  <c r="Y177" i="2"/>
  <c r="Z177" i="2"/>
  <c r="Y178" i="2"/>
  <c r="Z178" i="2"/>
  <c r="Y179" i="2"/>
  <c r="Z179" i="2"/>
  <c r="Y180" i="2"/>
  <c r="Z180" i="2"/>
  <c r="Y181" i="2"/>
  <c r="Z181" i="2"/>
  <c r="Y182" i="2"/>
  <c r="Z182" i="2"/>
  <c r="Y183" i="2"/>
  <c r="Z183" i="2"/>
  <c r="Y184" i="2"/>
  <c r="Z184" i="2"/>
  <c r="Y185" i="2"/>
  <c r="Z185" i="2"/>
  <c r="Y186" i="2"/>
  <c r="Z186" i="2"/>
  <c r="Y187" i="2"/>
  <c r="Z187" i="2"/>
  <c r="Y188" i="2"/>
  <c r="Z188" i="2"/>
  <c r="Y189" i="2"/>
  <c r="Z189" i="2"/>
  <c r="Y190" i="2"/>
  <c r="Z190" i="2"/>
  <c r="Y191" i="2"/>
  <c r="Z191" i="2"/>
  <c r="Y192" i="2"/>
  <c r="Z192" i="2"/>
  <c r="Y193" i="2"/>
  <c r="Z193" i="2"/>
  <c r="Y194" i="2"/>
  <c r="Z194" i="2"/>
  <c r="Y195" i="2"/>
  <c r="Z195" i="2"/>
  <c r="Y196" i="2"/>
  <c r="Z196" i="2"/>
  <c r="Y197" i="2"/>
  <c r="Z197" i="2"/>
  <c r="Y198" i="2"/>
  <c r="Z198" i="2"/>
  <c r="Y199" i="2"/>
  <c r="Z199" i="2"/>
  <c r="Y200" i="2"/>
  <c r="Z200" i="2"/>
  <c r="Y201" i="2"/>
  <c r="Z201" i="2"/>
  <c r="Y202" i="2"/>
  <c r="Z202" i="2"/>
  <c r="Y203" i="2"/>
  <c r="Z203" i="2"/>
  <c r="Y204" i="2"/>
  <c r="Z204" i="2"/>
  <c r="Y205" i="2"/>
  <c r="Z205" i="2"/>
  <c r="Y206" i="2"/>
  <c r="Z206" i="2"/>
  <c r="Y207" i="2"/>
  <c r="Z207" i="2"/>
  <c r="Y208" i="2"/>
  <c r="Z208" i="2"/>
  <c r="Y209" i="2"/>
  <c r="Z209" i="2"/>
  <c r="Y210" i="2"/>
  <c r="Z210" i="2"/>
  <c r="Y211" i="2"/>
  <c r="Z211" i="2"/>
  <c r="Y212" i="2"/>
  <c r="Z212" i="2"/>
  <c r="Y213" i="2"/>
  <c r="Z213" i="2"/>
  <c r="Y214" i="2"/>
  <c r="Z214" i="2"/>
  <c r="Y215" i="2"/>
  <c r="Z215" i="2"/>
  <c r="Y216" i="2"/>
  <c r="Z216" i="2"/>
  <c r="Y217" i="2"/>
  <c r="Z217" i="2"/>
  <c r="Y218" i="2"/>
  <c r="Z218" i="2"/>
  <c r="Y219" i="2"/>
  <c r="Z219" i="2"/>
  <c r="Y220" i="2"/>
  <c r="Z220" i="2"/>
  <c r="Y221" i="2"/>
  <c r="Z221" i="2"/>
  <c r="Y222" i="2"/>
  <c r="Z222" i="2"/>
  <c r="Y223" i="2"/>
  <c r="Z223" i="2"/>
  <c r="Y224" i="2"/>
  <c r="Z224" i="2"/>
  <c r="Y225" i="2"/>
  <c r="Z225" i="2"/>
  <c r="Y226" i="2"/>
  <c r="Z226" i="2"/>
  <c r="Y227" i="2"/>
  <c r="Z227" i="2"/>
  <c r="Y228" i="2"/>
  <c r="Z228" i="2"/>
  <c r="Y229" i="2"/>
  <c r="Z229" i="2"/>
  <c r="Y230" i="2"/>
  <c r="Z230" i="2"/>
  <c r="Y231" i="2"/>
  <c r="Z231" i="2"/>
  <c r="Y232" i="2"/>
  <c r="Z232" i="2"/>
  <c r="Y233" i="2"/>
  <c r="Z233" i="2"/>
  <c r="Y234" i="2"/>
  <c r="Z234" i="2"/>
  <c r="Y235" i="2"/>
  <c r="Z235" i="2"/>
  <c r="Y236" i="2"/>
  <c r="Z236" i="2"/>
  <c r="Y237" i="2"/>
  <c r="Z237" i="2"/>
  <c r="Y238" i="2"/>
  <c r="Z238" i="2"/>
  <c r="Y239" i="2"/>
  <c r="Z239" i="2"/>
  <c r="Y240" i="2"/>
  <c r="Z240" i="2"/>
  <c r="Y241" i="2"/>
  <c r="Z241" i="2"/>
  <c r="Y242" i="2"/>
  <c r="Z242" i="2"/>
  <c r="Y243" i="2"/>
  <c r="Z243" i="2"/>
  <c r="Y244" i="2"/>
  <c r="Z244" i="2"/>
  <c r="Y245" i="2"/>
  <c r="Z245" i="2"/>
  <c r="Y246" i="2"/>
  <c r="Z246" i="2"/>
  <c r="Y247" i="2"/>
  <c r="Z247" i="2"/>
  <c r="Y248" i="2"/>
  <c r="Z248" i="2"/>
  <c r="Y249" i="2"/>
  <c r="Z249" i="2"/>
  <c r="Y250" i="2"/>
  <c r="Z250" i="2"/>
  <c r="Y251" i="2"/>
  <c r="Z251" i="2"/>
  <c r="Y252" i="2"/>
  <c r="Z252" i="2"/>
  <c r="Y253" i="2"/>
  <c r="Z253" i="2"/>
  <c r="Y254" i="2"/>
  <c r="Z254" i="2"/>
  <c r="Y255" i="2"/>
  <c r="Z255" i="2"/>
  <c r="Y256" i="2"/>
  <c r="Z256" i="2"/>
  <c r="Y257" i="2"/>
  <c r="Z257" i="2"/>
  <c r="Y258" i="2"/>
  <c r="Z258" i="2"/>
  <c r="Y259" i="2"/>
  <c r="Z259" i="2"/>
  <c r="Y260" i="2"/>
  <c r="Z260" i="2"/>
  <c r="Y261" i="2"/>
  <c r="Z261" i="2"/>
  <c r="Y262" i="2"/>
  <c r="Z262" i="2"/>
  <c r="Y263" i="2"/>
  <c r="Z263" i="2"/>
  <c r="Y264" i="2"/>
  <c r="Z264" i="2"/>
  <c r="Y265" i="2"/>
  <c r="Z265" i="2"/>
  <c r="Y266" i="2"/>
  <c r="Z266" i="2"/>
  <c r="Y267" i="2"/>
  <c r="Z267" i="2"/>
  <c r="Y268" i="2"/>
  <c r="Z268" i="2"/>
  <c r="Y269" i="2"/>
  <c r="Z269" i="2"/>
  <c r="Y270" i="2"/>
  <c r="Z270" i="2"/>
  <c r="Y271" i="2"/>
  <c r="Z271" i="2"/>
  <c r="Y272" i="2"/>
  <c r="Z272" i="2"/>
  <c r="Y273" i="2"/>
  <c r="Z273" i="2"/>
  <c r="Y274" i="2"/>
  <c r="Z274" i="2"/>
  <c r="Y275" i="2"/>
  <c r="Z275" i="2"/>
  <c r="Y276" i="2"/>
  <c r="Z276" i="2"/>
  <c r="Y277" i="2"/>
  <c r="Z277" i="2"/>
  <c r="Y278" i="2"/>
  <c r="Z278" i="2"/>
  <c r="Y279" i="2"/>
  <c r="Z279" i="2"/>
  <c r="Y280" i="2"/>
  <c r="Z280" i="2"/>
  <c r="Y281" i="2"/>
  <c r="Z281" i="2"/>
  <c r="Y282" i="2"/>
  <c r="Z282" i="2"/>
  <c r="Y283" i="2"/>
  <c r="Z283" i="2"/>
  <c r="Y284" i="2"/>
  <c r="Z284" i="2"/>
  <c r="Y285" i="2"/>
  <c r="Z285" i="2"/>
  <c r="Y286" i="2"/>
  <c r="Z286" i="2"/>
  <c r="Y287" i="2"/>
  <c r="Z287" i="2"/>
  <c r="Y288" i="2"/>
  <c r="Z288" i="2"/>
  <c r="Y289" i="2"/>
  <c r="Z289" i="2"/>
  <c r="Y290" i="2"/>
  <c r="Z290" i="2"/>
  <c r="Y291" i="2"/>
  <c r="Z291" i="2"/>
  <c r="Y292" i="2"/>
  <c r="Z292" i="2"/>
  <c r="Y293" i="2"/>
  <c r="Z293" i="2"/>
  <c r="Y294" i="2"/>
  <c r="Z294" i="2"/>
  <c r="Y295" i="2"/>
  <c r="Z295" i="2"/>
  <c r="Y296" i="2"/>
  <c r="Z296" i="2"/>
  <c r="Y297" i="2"/>
  <c r="Z297" i="2"/>
  <c r="Y298" i="2"/>
  <c r="Z298" i="2"/>
  <c r="Y299" i="2"/>
  <c r="Z299" i="2"/>
  <c r="Y300" i="2"/>
  <c r="Z300" i="2"/>
  <c r="Y301" i="2"/>
  <c r="Z301" i="2"/>
  <c r="Y302" i="2"/>
  <c r="Z302" i="2"/>
  <c r="Y303" i="2"/>
  <c r="Z303" i="2"/>
  <c r="Y304" i="2"/>
  <c r="Z304" i="2"/>
  <c r="Y305" i="2"/>
  <c r="Z305" i="2"/>
  <c r="Y306" i="2"/>
  <c r="Z306" i="2"/>
  <c r="Y307" i="2"/>
  <c r="Z307" i="2"/>
  <c r="Y308" i="2"/>
  <c r="Z308" i="2"/>
  <c r="Y309" i="2"/>
  <c r="Z309" i="2"/>
  <c r="Y310" i="2"/>
  <c r="Z310" i="2"/>
  <c r="Y311" i="2"/>
  <c r="Z311" i="2"/>
  <c r="Y312" i="2"/>
  <c r="Z312" i="2"/>
  <c r="Y313" i="2"/>
  <c r="Z313" i="2"/>
  <c r="Y314" i="2"/>
  <c r="Z314" i="2"/>
  <c r="Y315" i="2"/>
  <c r="Z315" i="2"/>
  <c r="Y316" i="2"/>
  <c r="Z316" i="2"/>
  <c r="Y317" i="2"/>
  <c r="Z317" i="2"/>
  <c r="Y318" i="2"/>
  <c r="Z318" i="2"/>
  <c r="Y319" i="2"/>
  <c r="Z319" i="2"/>
  <c r="Y320" i="2"/>
  <c r="Z320" i="2"/>
  <c r="Y321" i="2"/>
  <c r="Z321" i="2"/>
  <c r="Y322" i="2"/>
  <c r="Z322" i="2"/>
  <c r="Y323" i="2"/>
  <c r="Z323" i="2"/>
  <c r="Y324" i="2"/>
  <c r="Z324" i="2"/>
  <c r="Y325" i="2"/>
  <c r="Z325" i="2"/>
  <c r="Y326" i="2"/>
  <c r="Z326" i="2"/>
  <c r="Y327" i="2"/>
  <c r="Z327" i="2"/>
  <c r="Y328" i="2"/>
  <c r="Z328" i="2"/>
  <c r="Y329" i="2"/>
  <c r="Z329" i="2"/>
  <c r="Y330" i="2"/>
  <c r="Z330" i="2"/>
  <c r="Y331" i="2"/>
  <c r="Z331" i="2"/>
  <c r="Y332" i="2"/>
  <c r="Z332" i="2"/>
  <c r="Y333" i="2"/>
  <c r="Z333" i="2"/>
  <c r="Y334" i="2"/>
  <c r="Z334" i="2"/>
  <c r="Y335" i="2"/>
  <c r="Z335" i="2"/>
  <c r="Y336" i="2"/>
  <c r="Z336" i="2"/>
  <c r="Y337" i="2"/>
  <c r="Z337" i="2"/>
  <c r="Y338" i="2"/>
  <c r="Z338" i="2"/>
  <c r="Y339" i="2"/>
  <c r="Z339" i="2"/>
  <c r="Y340" i="2"/>
  <c r="Z340" i="2"/>
  <c r="Y341" i="2"/>
  <c r="Z341" i="2"/>
  <c r="Y342" i="2"/>
  <c r="Z342" i="2"/>
  <c r="Y343" i="2"/>
  <c r="Z343" i="2"/>
  <c r="Y344" i="2"/>
  <c r="Z344" i="2"/>
  <c r="Y345" i="2"/>
  <c r="Z345" i="2"/>
  <c r="Y346" i="2"/>
  <c r="Z346" i="2"/>
  <c r="Y347" i="2"/>
  <c r="Z347" i="2"/>
  <c r="Y348" i="2"/>
  <c r="Z348" i="2"/>
  <c r="Y349" i="2"/>
  <c r="Z349" i="2"/>
  <c r="Y350" i="2"/>
  <c r="Z350" i="2"/>
  <c r="Y351" i="2"/>
  <c r="Z351" i="2"/>
  <c r="Y352" i="2"/>
  <c r="Z352" i="2"/>
  <c r="Y353" i="2"/>
  <c r="Z353" i="2"/>
  <c r="Y354" i="2"/>
  <c r="Z354" i="2"/>
  <c r="Y355" i="2"/>
  <c r="Z355" i="2"/>
  <c r="Y356" i="2"/>
  <c r="Z356" i="2"/>
  <c r="Y357" i="2"/>
  <c r="Z357" i="2"/>
  <c r="Y358" i="2"/>
  <c r="Z358" i="2"/>
  <c r="Y359" i="2"/>
  <c r="Z359" i="2"/>
  <c r="Y360" i="2"/>
  <c r="Z360" i="2"/>
  <c r="Y361" i="2"/>
  <c r="Z361" i="2"/>
  <c r="Y362" i="2"/>
  <c r="Z362" i="2"/>
  <c r="Y363" i="2"/>
  <c r="Z363" i="2"/>
  <c r="Y364" i="2"/>
  <c r="Z364" i="2"/>
  <c r="Y365" i="2"/>
  <c r="Z365" i="2"/>
  <c r="Y366" i="2"/>
  <c r="Z366" i="2"/>
  <c r="Y367" i="2"/>
  <c r="Z367" i="2"/>
  <c r="Y368" i="2"/>
  <c r="Z368" i="2"/>
  <c r="Y369" i="2"/>
  <c r="Z369" i="2"/>
  <c r="Y370" i="2"/>
  <c r="Z370" i="2"/>
  <c r="Y371" i="2"/>
  <c r="Z371" i="2"/>
  <c r="Y372" i="2"/>
  <c r="Z372" i="2"/>
  <c r="Y373" i="2"/>
  <c r="Z373" i="2"/>
  <c r="Y374" i="2"/>
  <c r="Z374" i="2"/>
  <c r="Y375" i="2"/>
  <c r="Z375" i="2"/>
  <c r="Y376" i="2"/>
  <c r="Z376" i="2"/>
  <c r="Y377" i="2"/>
  <c r="Z377" i="2"/>
  <c r="Y378" i="2"/>
  <c r="Z378" i="2"/>
  <c r="Y379" i="2"/>
  <c r="Z379" i="2"/>
  <c r="Y380" i="2"/>
  <c r="Z380" i="2"/>
  <c r="Y381" i="2"/>
  <c r="Z381" i="2"/>
  <c r="Y382" i="2"/>
  <c r="Z382" i="2"/>
  <c r="Y383" i="2"/>
  <c r="Z383" i="2"/>
  <c r="Y384" i="2"/>
  <c r="Z384" i="2"/>
  <c r="Y385" i="2"/>
  <c r="Z385" i="2"/>
  <c r="Y386" i="2"/>
  <c r="Z386" i="2"/>
  <c r="Y387" i="2"/>
  <c r="Z387" i="2"/>
  <c r="Y388" i="2"/>
  <c r="Z388" i="2"/>
  <c r="Y389" i="2"/>
  <c r="Z389" i="2"/>
  <c r="Y390" i="2"/>
  <c r="Z390" i="2"/>
  <c r="Y391" i="2"/>
  <c r="Z391" i="2"/>
  <c r="Y392" i="2"/>
  <c r="Z392" i="2"/>
  <c r="Y393" i="2"/>
  <c r="Z393" i="2"/>
  <c r="Y394" i="2"/>
  <c r="Z394" i="2"/>
  <c r="Y395" i="2"/>
  <c r="Z395" i="2"/>
  <c r="Y396" i="2"/>
  <c r="Z396" i="2"/>
  <c r="Y397" i="2"/>
  <c r="Z397" i="2"/>
  <c r="Y398" i="2"/>
  <c r="Z398" i="2"/>
  <c r="Y399" i="2"/>
  <c r="Z399" i="2"/>
  <c r="Y400" i="2"/>
  <c r="Z400" i="2"/>
  <c r="Y401" i="2"/>
  <c r="Z401" i="2"/>
  <c r="Y402" i="2"/>
  <c r="Z402" i="2"/>
  <c r="Y403" i="2"/>
  <c r="Z403" i="2"/>
  <c r="Y404" i="2"/>
  <c r="Z404" i="2"/>
  <c r="Y405" i="2"/>
  <c r="Z405" i="2"/>
  <c r="Y406" i="2"/>
  <c r="Z406" i="2"/>
  <c r="Y407" i="2"/>
  <c r="Z407" i="2"/>
  <c r="Y408" i="2"/>
  <c r="Z408" i="2"/>
  <c r="Y409" i="2"/>
  <c r="Z409" i="2"/>
  <c r="Y410" i="2"/>
  <c r="Z410" i="2"/>
  <c r="Y411" i="2"/>
  <c r="Z411" i="2"/>
  <c r="Y412" i="2"/>
  <c r="Z412" i="2"/>
  <c r="Y413" i="2"/>
  <c r="Z413" i="2"/>
  <c r="Y414" i="2"/>
  <c r="Z414" i="2"/>
  <c r="Y415" i="2"/>
  <c r="Z415" i="2"/>
  <c r="Y416" i="2"/>
  <c r="Z416" i="2"/>
  <c r="Y417" i="2"/>
  <c r="Z417" i="2"/>
  <c r="Y418" i="2"/>
  <c r="Z418" i="2"/>
  <c r="Y419" i="2"/>
  <c r="Z419" i="2"/>
  <c r="Y420" i="2"/>
  <c r="Z420" i="2"/>
  <c r="Y421" i="2"/>
  <c r="Z421" i="2"/>
  <c r="Y422" i="2"/>
  <c r="Z422" i="2"/>
  <c r="Y423" i="2"/>
  <c r="Z423" i="2"/>
  <c r="Y424" i="2"/>
  <c r="Z424" i="2"/>
  <c r="Y425" i="2"/>
  <c r="Z425" i="2"/>
  <c r="Y426" i="2"/>
  <c r="Z426" i="2"/>
  <c r="Y427" i="2"/>
  <c r="Z427" i="2"/>
  <c r="Y428" i="2"/>
  <c r="Z428" i="2"/>
  <c r="Y429" i="2"/>
  <c r="Z429" i="2"/>
  <c r="Y430" i="2"/>
  <c r="Z430" i="2"/>
  <c r="Y431" i="2"/>
  <c r="Z431" i="2"/>
  <c r="Y432" i="2"/>
  <c r="Z432" i="2"/>
  <c r="Y433" i="2"/>
  <c r="Z433" i="2"/>
  <c r="Y434" i="2"/>
  <c r="Z434" i="2"/>
  <c r="Y435" i="2"/>
  <c r="Z435" i="2"/>
  <c r="Y436" i="2"/>
  <c r="Z436" i="2"/>
  <c r="Y437" i="2"/>
  <c r="Z437" i="2"/>
  <c r="Y438" i="2"/>
  <c r="Z438" i="2"/>
  <c r="Y439" i="2"/>
  <c r="Z439" i="2"/>
  <c r="Y440" i="2"/>
  <c r="Z440" i="2"/>
  <c r="Y441" i="2"/>
  <c r="Z441" i="2"/>
  <c r="Y442" i="2"/>
  <c r="Z442" i="2"/>
  <c r="Y443" i="2"/>
  <c r="Z443" i="2"/>
  <c r="Y444" i="2"/>
  <c r="Z444" i="2"/>
  <c r="Y445" i="2"/>
  <c r="Z445" i="2"/>
  <c r="Y446" i="2"/>
  <c r="Z446" i="2"/>
  <c r="Y447" i="2"/>
  <c r="Z447" i="2"/>
  <c r="Y448" i="2"/>
  <c r="Z448" i="2"/>
  <c r="Y449" i="2"/>
  <c r="Z449" i="2"/>
  <c r="Y450" i="2"/>
  <c r="Z450" i="2"/>
  <c r="Y451" i="2"/>
  <c r="Z451" i="2"/>
  <c r="Y452" i="2"/>
  <c r="Z452" i="2"/>
  <c r="Y453" i="2"/>
  <c r="Z453" i="2"/>
  <c r="Y454" i="2"/>
  <c r="Z454" i="2"/>
  <c r="Y455" i="2"/>
  <c r="Z455" i="2"/>
  <c r="Y456" i="2"/>
  <c r="Z456" i="2"/>
  <c r="Y457" i="2"/>
  <c r="Z457" i="2"/>
  <c r="Y458" i="2"/>
  <c r="Z458" i="2"/>
  <c r="Y459" i="2"/>
  <c r="Z459" i="2"/>
  <c r="Y460" i="2"/>
  <c r="Z460" i="2"/>
  <c r="Y461" i="2"/>
  <c r="Z461" i="2"/>
  <c r="Y462" i="2"/>
  <c r="Z462" i="2"/>
  <c r="Y463" i="2"/>
  <c r="Z463" i="2"/>
  <c r="Y464" i="2"/>
  <c r="Z464" i="2"/>
  <c r="Y465" i="2"/>
  <c r="Z465" i="2"/>
  <c r="Y466" i="2"/>
  <c r="Z466" i="2"/>
  <c r="Y467" i="2"/>
  <c r="Z467" i="2"/>
  <c r="Y468" i="2"/>
  <c r="Z468" i="2"/>
  <c r="Y469" i="2"/>
  <c r="Z469" i="2"/>
  <c r="Y470" i="2"/>
  <c r="Z470" i="2"/>
  <c r="Y471" i="2"/>
  <c r="Z471" i="2"/>
  <c r="Y472" i="2"/>
  <c r="Z472" i="2"/>
  <c r="Y473" i="2"/>
  <c r="Z473" i="2"/>
  <c r="Y474" i="2"/>
  <c r="Z474" i="2"/>
  <c r="Y475" i="2"/>
  <c r="Z475" i="2"/>
  <c r="Y476" i="2"/>
  <c r="Z476" i="2"/>
  <c r="Y477" i="2"/>
  <c r="Z477" i="2"/>
  <c r="Y478" i="2"/>
  <c r="Z478" i="2"/>
  <c r="Y479" i="2"/>
  <c r="Z479" i="2"/>
  <c r="Y480" i="2"/>
  <c r="Z480" i="2"/>
  <c r="Y481" i="2"/>
  <c r="Z481" i="2"/>
  <c r="Y482" i="2"/>
  <c r="Z482" i="2"/>
  <c r="Y483" i="2"/>
  <c r="Z483" i="2"/>
  <c r="Y484" i="2"/>
  <c r="Z484" i="2"/>
  <c r="Y485" i="2"/>
  <c r="Z485" i="2"/>
  <c r="Y486" i="2"/>
  <c r="Z486" i="2"/>
  <c r="Y487" i="2"/>
  <c r="Z487" i="2"/>
  <c r="Y488" i="2"/>
  <c r="Z488" i="2"/>
  <c r="Y489" i="2"/>
  <c r="Z489" i="2"/>
  <c r="Y490" i="2"/>
  <c r="Z490" i="2"/>
  <c r="Y491" i="2"/>
  <c r="Z491" i="2"/>
  <c r="Y492" i="2"/>
  <c r="Z492" i="2"/>
  <c r="Y493" i="2"/>
  <c r="Z493" i="2"/>
  <c r="Y494" i="2"/>
  <c r="Z494" i="2"/>
  <c r="Y495" i="2"/>
  <c r="Z495" i="2"/>
  <c r="Y496" i="2"/>
  <c r="Z496" i="2"/>
  <c r="Y497" i="2"/>
  <c r="Z497" i="2"/>
  <c r="Y498" i="2"/>
  <c r="Z498" i="2"/>
  <c r="Y499" i="2"/>
  <c r="Z499" i="2"/>
  <c r="Y500" i="2"/>
  <c r="Z500" i="2"/>
  <c r="Y501" i="2"/>
  <c r="Z501" i="2"/>
  <c r="Y502" i="2"/>
  <c r="Z502" i="2"/>
  <c r="Y503" i="2"/>
  <c r="Z503" i="2"/>
  <c r="Y504" i="2"/>
  <c r="Z504" i="2"/>
  <c r="Y505" i="2"/>
  <c r="Z505" i="2"/>
  <c r="Y506" i="2"/>
  <c r="Z506" i="2"/>
  <c r="Y507" i="2"/>
  <c r="Z507" i="2"/>
  <c r="Y508" i="2"/>
  <c r="Z508" i="2"/>
  <c r="Y509" i="2"/>
  <c r="Z509" i="2"/>
  <c r="Y510" i="2"/>
  <c r="Z510" i="2"/>
  <c r="Y511" i="2"/>
  <c r="Z511" i="2"/>
  <c r="Y512" i="2"/>
  <c r="Z512" i="2"/>
  <c r="Y513" i="2"/>
  <c r="Z513" i="2"/>
  <c r="Y514" i="2"/>
  <c r="Z514" i="2"/>
  <c r="Y515" i="2"/>
  <c r="Z515" i="2"/>
  <c r="Y516" i="2"/>
  <c r="Z516" i="2"/>
  <c r="Y517" i="2"/>
  <c r="Z517" i="2"/>
  <c r="Y518" i="2"/>
  <c r="Z518" i="2"/>
  <c r="Y519" i="2"/>
  <c r="Z519" i="2"/>
  <c r="Y520" i="2"/>
  <c r="Z520" i="2"/>
  <c r="Y521" i="2"/>
  <c r="Z521" i="2"/>
  <c r="Y522" i="2"/>
  <c r="Z522" i="2"/>
  <c r="Y523" i="2"/>
  <c r="Z523" i="2"/>
  <c r="Y524" i="2"/>
  <c r="Z524" i="2"/>
  <c r="Y525" i="2"/>
  <c r="Z525" i="2"/>
  <c r="Y526" i="2"/>
  <c r="Z526" i="2"/>
  <c r="Y527" i="2"/>
  <c r="Z527" i="2"/>
  <c r="Y528" i="2"/>
  <c r="Z528" i="2"/>
  <c r="Y529" i="2"/>
  <c r="Z529" i="2"/>
  <c r="Y530" i="2"/>
  <c r="Z530" i="2"/>
  <c r="Y531" i="2"/>
  <c r="Z531" i="2"/>
  <c r="Y532" i="2"/>
  <c r="Z532" i="2"/>
  <c r="Y533" i="2"/>
  <c r="Z533" i="2"/>
  <c r="Y534" i="2"/>
  <c r="Z534" i="2"/>
  <c r="Y535" i="2"/>
  <c r="Z535" i="2"/>
  <c r="Y536" i="2"/>
  <c r="Z536" i="2"/>
  <c r="Y537" i="2"/>
  <c r="Z537" i="2"/>
  <c r="Y538" i="2"/>
  <c r="Z538" i="2"/>
  <c r="Y539" i="2"/>
  <c r="Z539" i="2"/>
  <c r="Y540" i="2"/>
  <c r="Z540" i="2"/>
  <c r="Y541" i="2"/>
  <c r="Z541" i="2"/>
  <c r="Y542" i="2"/>
  <c r="Z542" i="2"/>
  <c r="Y543" i="2"/>
  <c r="Z543" i="2"/>
  <c r="Y544" i="2"/>
  <c r="Z544" i="2"/>
  <c r="Y545" i="2"/>
  <c r="Z545" i="2"/>
  <c r="Y546" i="2"/>
  <c r="Z546" i="2"/>
  <c r="Y547" i="2"/>
  <c r="Z547" i="2"/>
  <c r="Y548" i="2"/>
  <c r="Z548" i="2"/>
  <c r="Y549" i="2"/>
  <c r="Z549" i="2"/>
  <c r="Y550" i="2"/>
  <c r="Z550" i="2"/>
  <c r="Y551" i="2"/>
  <c r="Z551" i="2"/>
  <c r="Y552" i="2"/>
  <c r="Z552" i="2"/>
  <c r="Y553" i="2"/>
  <c r="Z553" i="2"/>
  <c r="Y554" i="2"/>
  <c r="Z554" i="2"/>
  <c r="Y555" i="2"/>
  <c r="Z555" i="2"/>
  <c r="Y556" i="2"/>
  <c r="Z556" i="2"/>
  <c r="Y557" i="2"/>
  <c r="Z557" i="2"/>
  <c r="Y558" i="2"/>
  <c r="Z558" i="2"/>
  <c r="Y559" i="2"/>
  <c r="Z559" i="2"/>
  <c r="Y560" i="2"/>
  <c r="Z560" i="2"/>
  <c r="Y561" i="2"/>
  <c r="Z561" i="2"/>
  <c r="Y562" i="2"/>
  <c r="Z562" i="2"/>
  <c r="Y563" i="2"/>
  <c r="Z563" i="2"/>
  <c r="Y564" i="2"/>
  <c r="Z564" i="2"/>
  <c r="Y565" i="2"/>
  <c r="Z565" i="2"/>
  <c r="Y566" i="2"/>
  <c r="Z566" i="2"/>
  <c r="Y567" i="2"/>
  <c r="Z567" i="2"/>
  <c r="Y568" i="2"/>
  <c r="Z568" i="2"/>
  <c r="Y569" i="2"/>
  <c r="Z569" i="2"/>
  <c r="Y570" i="2"/>
  <c r="Z570" i="2"/>
  <c r="Y571" i="2"/>
  <c r="Z571" i="2"/>
  <c r="Y572" i="2"/>
  <c r="Z572" i="2"/>
  <c r="Y573" i="2"/>
  <c r="Z573" i="2"/>
  <c r="Y574" i="2"/>
  <c r="Z574" i="2"/>
  <c r="Y575" i="2"/>
  <c r="Z575" i="2"/>
  <c r="Y576" i="2"/>
  <c r="Z576" i="2"/>
  <c r="Y577" i="2"/>
  <c r="Z577" i="2"/>
  <c r="Y578" i="2"/>
  <c r="Z578" i="2"/>
  <c r="Y579" i="2"/>
  <c r="Z579" i="2"/>
  <c r="Y580" i="2"/>
  <c r="Z580" i="2"/>
  <c r="Y581" i="2"/>
  <c r="Z581" i="2"/>
  <c r="Y582" i="2"/>
  <c r="Z582" i="2"/>
  <c r="Y583" i="2"/>
  <c r="Z583" i="2"/>
  <c r="Y584" i="2"/>
  <c r="Z584" i="2"/>
  <c r="Y585" i="2"/>
  <c r="Z585" i="2"/>
  <c r="Y586" i="2"/>
  <c r="Z586" i="2"/>
  <c r="Y587" i="2"/>
  <c r="Z587" i="2"/>
  <c r="Y588" i="2"/>
  <c r="Z588" i="2"/>
  <c r="Y589" i="2"/>
  <c r="Z589" i="2"/>
  <c r="Y590" i="2"/>
  <c r="Z590" i="2"/>
  <c r="Y591" i="2"/>
  <c r="Z591" i="2"/>
  <c r="Y592" i="2"/>
  <c r="Z592" i="2"/>
  <c r="Y593" i="2"/>
  <c r="Z593" i="2"/>
  <c r="Y594" i="2"/>
  <c r="Z594" i="2"/>
  <c r="Y595" i="2"/>
  <c r="Z595" i="2"/>
  <c r="Y596" i="2"/>
  <c r="Z596" i="2"/>
  <c r="Y597" i="2"/>
  <c r="Z597" i="2"/>
  <c r="Y598" i="2"/>
  <c r="Z598" i="2"/>
  <c r="Y599" i="2"/>
  <c r="Z599" i="2"/>
  <c r="Y600" i="2"/>
  <c r="Z600" i="2"/>
  <c r="Y601" i="2"/>
  <c r="Z601" i="2"/>
  <c r="Y602" i="2"/>
  <c r="Z602" i="2"/>
  <c r="Y603" i="2"/>
  <c r="Z603" i="2"/>
  <c r="Y604" i="2"/>
  <c r="Z604" i="2"/>
  <c r="Y605" i="2"/>
  <c r="Z605" i="2"/>
  <c r="Y606" i="2"/>
  <c r="Z606" i="2"/>
  <c r="Y607" i="2"/>
  <c r="Z607" i="2"/>
  <c r="Y608" i="2"/>
  <c r="Z608" i="2"/>
  <c r="Y609" i="2"/>
  <c r="Z609" i="2"/>
  <c r="Y610" i="2"/>
  <c r="Z610" i="2"/>
  <c r="Y611" i="2"/>
  <c r="Z611" i="2"/>
  <c r="Y612" i="2"/>
  <c r="Z612" i="2"/>
  <c r="Y613" i="2"/>
  <c r="Z613" i="2"/>
  <c r="Y614" i="2"/>
  <c r="Z614" i="2"/>
  <c r="Y615" i="2"/>
  <c r="Z615" i="2"/>
  <c r="Y616" i="2"/>
  <c r="Z616" i="2"/>
  <c r="Y617" i="2"/>
  <c r="Z617" i="2"/>
  <c r="Y618" i="2"/>
  <c r="Z618" i="2"/>
  <c r="Y619" i="2"/>
  <c r="Z619" i="2"/>
  <c r="Y620" i="2"/>
  <c r="Z620" i="2"/>
  <c r="Y621" i="2"/>
  <c r="Z621" i="2"/>
  <c r="Y622" i="2"/>
  <c r="Z622" i="2"/>
  <c r="Y623" i="2"/>
  <c r="Z623" i="2"/>
  <c r="Y624" i="2"/>
  <c r="Z624" i="2"/>
  <c r="Y625" i="2"/>
  <c r="Z625" i="2"/>
  <c r="Y626" i="2"/>
  <c r="Z626" i="2"/>
  <c r="Y627" i="2"/>
  <c r="Z627" i="2"/>
  <c r="Y628" i="2"/>
  <c r="Z628" i="2"/>
  <c r="Y629" i="2"/>
  <c r="Z629" i="2"/>
  <c r="Y630" i="2"/>
  <c r="Z630" i="2"/>
  <c r="Y631" i="2"/>
  <c r="Z631" i="2"/>
  <c r="Y632" i="2"/>
  <c r="Z632" i="2"/>
  <c r="Y633" i="2"/>
  <c r="Z633" i="2"/>
  <c r="Y634" i="2"/>
  <c r="Z634" i="2"/>
  <c r="Y635" i="2"/>
  <c r="Z635" i="2"/>
  <c r="Y636" i="2"/>
  <c r="Z636" i="2"/>
  <c r="Y637" i="2"/>
  <c r="Z637" i="2"/>
  <c r="Y638" i="2"/>
  <c r="Z638" i="2"/>
  <c r="Y639" i="2"/>
  <c r="Z639" i="2"/>
  <c r="Y640" i="2"/>
  <c r="Z640" i="2"/>
  <c r="Y641" i="2"/>
  <c r="Z641" i="2"/>
  <c r="Y642" i="2"/>
  <c r="Z642" i="2"/>
  <c r="Y643" i="2"/>
  <c r="Z643" i="2"/>
  <c r="Y644" i="2"/>
  <c r="Z644" i="2"/>
  <c r="Y645" i="2"/>
  <c r="Z645" i="2"/>
  <c r="Y646" i="2"/>
  <c r="Z646" i="2"/>
  <c r="Y647" i="2"/>
  <c r="Z647" i="2"/>
  <c r="Y648" i="2"/>
  <c r="Z648" i="2"/>
  <c r="Y649" i="2"/>
  <c r="Z649" i="2"/>
  <c r="Y650" i="2"/>
  <c r="Z650" i="2"/>
  <c r="Y651" i="2"/>
  <c r="Z651" i="2"/>
  <c r="Y652" i="2"/>
  <c r="Z652" i="2"/>
  <c r="Y653" i="2"/>
  <c r="Z653" i="2"/>
  <c r="Y654" i="2"/>
  <c r="Z654" i="2"/>
  <c r="Y655" i="2"/>
  <c r="Z655" i="2"/>
  <c r="Y656" i="2"/>
  <c r="Z656" i="2"/>
  <c r="Y657" i="2"/>
  <c r="Z657" i="2"/>
  <c r="Y658" i="2"/>
  <c r="Z658" i="2"/>
  <c r="Y659" i="2"/>
  <c r="Z659" i="2"/>
  <c r="Y660" i="2"/>
  <c r="Z660" i="2"/>
  <c r="Y661" i="2"/>
  <c r="Z661" i="2"/>
  <c r="Y662" i="2"/>
  <c r="Z662" i="2"/>
  <c r="Y663" i="2"/>
  <c r="Z663" i="2"/>
  <c r="Y664" i="2"/>
  <c r="Z664" i="2"/>
  <c r="Y665" i="2"/>
  <c r="Z665" i="2"/>
  <c r="Y666" i="2"/>
  <c r="Z666" i="2"/>
  <c r="Y667" i="2"/>
  <c r="Z667" i="2"/>
  <c r="Y668" i="2"/>
  <c r="Z668" i="2"/>
  <c r="Y669" i="2"/>
  <c r="Z669" i="2"/>
  <c r="Y670" i="2"/>
  <c r="Z670" i="2"/>
  <c r="Y671" i="2"/>
  <c r="Z671" i="2"/>
  <c r="Y672" i="2"/>
  <c r="Z672" i="2"/>
  <c r="Y673" i="2"/>
  <c r="Z673" i="2"/>
  <c r="Y674" i="2"/>
  <c r="Z674" i="2"/>
  <c r="Y675" i="2"/>
  <c r="Z675" i="2"/>
  <c r="Y676" i="2"/>
  <c r="Z676" i="2"/>
  <c r="Y677" i="2"/>
  <c r="Z677" i="2"/>
  <c r="Y678" i="2"/>
  <c r="Z678" i="2"/>
  <c r="Y679" i="2"/>
  <c r="Z679" i="2"/>
  <c r="Y680" i="2"/>
  <c r="Z680" i="2"/>
  <c r="Y681" i="2"/>
  <c r="Z681" i="2"/>
  <c r="Y682" i="2"/>
  <c r="Z682" i="2"/>
  <c r="Y683" i="2"/>
  <c r="Z683" i="2"/>
  <c r="Y684" i="2"/>
  <c r="Z684" i="2"/>
  <c r="Y685" i="2"/>
  <c r="Z685" i="2"/>
  <c r="Y686" i="2"/>
  <c r="Z686" i="2"/>
  <c r="Y687" i="2"/>
  <c r="Z687" i="2"/>
  <c r="Y688" i="2"/>
  <c r="Z688" i="2"/>
  <c r="Y689" i="2"/>
  <c r="Z689" i="2"/>
  <c r="Y690" i="2"/>
  <c r="Z690" i="2"/>
  <c r="Y691" i="2"/>
  <c r="Z691" i="2"/>
  <c r="Y692" i="2"/>
  <c r="Z692" i="2"/>
  <c r="Y693" i="2"/>
  <c r="Z693" i="2"/>
  <c r="Y694" i="2"/>
  <c r="Z694" i="2"/>
  <c r="Y695" i="2"/>
  <c r="Z695" i="2"/>
  <c r="Y696" i="2"/>
  <c r="Z696" i="2"/>
  <c r="Y697" i="2"/>
  <c r="Z697" i="2"/>
  <c r="Y698" i="2"/>
  <c r="Z698" i="2"/>
  <c r="Y699" i="2"/>
  <c r="Z699" i="2"/>
  <c r="Y700" i="2"/>
  <c r="Z700" i="2"/>
  <c r="Y701" i="2"/>
  <c r="Z701" i="2"/>
  <c r="Y702" i="2"/>
  <c r="Z702" i="2"/>
  <c r="Y703" i="2"/>
  <c r="Z703" i="2"/>
  <c r="Y704" i="2"/>
  <c r="Z704" i="2"/>
  <c r="Y705" i="2"/>
  <c r="Z705" i="2"/>
  <c r="Y706" i="2"/>
  <c r="Z706" i="2"/>
  <c r="Y707" i="2"/>
  <c r="Z707" i="2"/>
  <c r="Y708" i="2"/>
  <c r="Z708" i="2"/>
  <c r="Y709" i="2"/>
  <c r="Z709" i="2"/>
  <c r="Y710" i="2"/>
  <c r="Z710" i="2"/>
  <c r="Y711" i="2"/>
  <c r="Z711" i="2"/>
  <c r="Y712" i="2"/>
  <c r="Z712" i="2"/>
  <c r="Y713" i="2"/>
  <c r="Z713" i="2"/>
  <c r="Y714" i="2"/>
  <c r="Z714" i="2"/>
  <c r="Y715" i="2"/>
  <c r="Z715" i="2"/>
  <c r="Y716" i="2"/>
  <c r="Z716" i="2"/>
  <c r="Y717" i="2"/>
  <c r="Z717" i="2"/>
  <c r="Y718" i="2"/>
  <c r="Z718" i="2"/>
  <c r="Y719" i="2"/>
  <c r="Z719" i="2"/>
  <c r="Y720" i="2"/>
  <c r="Z720" i="2"/>
  <c r="Y721" i="2"/>
  <c r="Z721" i="2"/>
  <c r="Y722" i="2"/>
  <c r="Z722" i="2"/>
  <c r="Y723" i="2"/>
  <c r="Z723" i="2"/>
  <c r="Y724" i="2"/>
  <c r="Z724" i="2"/>
  <c r="Y725" i="2"/>
  <c r="Z725" i="2"/>
  <c r="Y726" i="2"/>
  <c r="Z726" i="2"/>
  <c r="Y727" i="2"/>
  <c r="Z727" i="2"/>
  <c r="Y728" i="2"/>
  <c r="Z728" i="2"/>
  <c r="Y729" i="2"/>
  <c r="Z729" i="2"/>
  <c r="Y730" i="2"/>
  <c r="Z730" i="2"/>
  <c r="Y731" i="2"/>
  <c r="Z731" i="2"/>
  <c r="Y732" i="2"/>
  <c r="Z732" i="2"/>
  <c r="Y733" i="2"/>
  <c r="Z733" i="2"/>
  <c r="Y734" i="2"/>
  <c r="Z734" i="2"/>
  <c r="Y735" i="2"/>
  <c r="Z735" i="2"/>
  <c r="Y736" i="2"/>
  <c r="Z736" i="2"/>
  <c r="Y737" i="2"/>
  <c r="Z737" i="2"/>
  <c r="Y738" i="2"/>
  <c r="Z738" i="2"/>
  <c r="Y739" i="2"/>
  <c r="Z739" i="2"/>
  <c r="Y740" i="2"/>
  <c r="Z740" i="2"/>
  <c r="Y741" i="2"/>
  <c r="Z741" i="2"/>
  <c r="Y742" i="2"/>
  <c r="Z742" i="2"/>
  <c r="Y743" i="2"/>
  <c r="Z743" i="2"/>
  <c r="Y744" i="2"/>
  <c r="Z744" i="2"/>
  <c r="Y745" i="2"/>
  <c r="Z745" i="2"/>
  <c r="Y746" i="2"/>
  <c r="Z746" i="2"/>
  <c r="Y747" i="2"/>
  <c r="Z747" i="2"/>
  <c r="Y748" i="2"/>
  <c r="Z748" i="2"/>
  <c r="Y749" i="2"/>
  <c r="Z749" i="2"/>
  <c r="Y750" i="2"/>
  <c r="Z750" i="2"/>
  <c r="Y751" i="2"/>
  <c r="Z751" i="2"/>
  <c r="Y752" i="2"/>
  <c r="Z752" i="2"/>
  <c r="Y753" i="2"/>
  <c r="Z753" i="2"/>
  <c r="Y754" i="2"/>
  <c r="Z754" i="2"/>
  <c r="Y755" i="2"/>
  <c r="Z755" i="2"/>
  <c r="Y756" i="2"/>
  <c r="Z756" i="2"/>
  <c r="Y757" i="2"/>
  <c r="Z757" i="2"/>
  <c r="Y758" i="2"/>
  <c r="Z758" i="2"/>
  <c r="Y759" i="2"/>
  <c r="Z759" i="2"/>
  <c r="Y760" i="2"/>
  <c r="Z760" i="2"/>
  <c r="Y761" i="2"/>
  <c r="Z761" i="2"/>
  <c r="Y762" i="2"/>
  <c r="Z762" i="2"/>
  <c r="Y763" i="2"/>
  <c r="Z763" i="2"/>
  <c r="Y764" i="2"/>
  <c r="Z764" i="2"/>
  <c r="Y765" i="2"/>
  <c r="Z765" i="2"/>
  <c r="Y766" i="2"/>
  <c r="Z766" i="2"/>
  <c r="Y767" i="2"/>
  <c r="Z767" i="2"/>
  <c r="Y768" i="2"/>
  <c r="Z768" i="2"/>
  <c r="Y769" i="2"/>
  <c r="Z769" i="2"/>
  <c r="Y770" i="2"/>
  <c r="Z770" i="2"/>
  <c r="Y771" i="2"/>
  <c r="Z771" i="2"/>
  <c r="Y772" i="2"/>
  <c r="Z772" i="2"/>
  <c r="Y773" i="2"/>
  <c r="Z773" i="2"/>
  <c r="Y774" i="2"/>
  <c r="Z774" i="2"/>
  <c r="Y775" i="2"/>
  <c r="Z775" i="2"/>
  <c r="Y776" i="2"/>
  <c r="Z776" i="2"/>
  <c r="Y777" i="2"/>
  <c r="Z777" i="2"/>
  <c r="Y778" i="2"/>
  <c r="Z778" i="2"/>
  <c r="Y779" i="2"/>
  <c r="Z779" i="2"/>
  <c r="Y780" i="2"/>
  <c r="Z780" i="2"/>
  <c r="Y781" i="2"/>
  <c r="Z781" i="2"/>
  <c r="Y782" i="2"/>
  <c r="Z782" i="2"/>
  <c r="Y814" i="2"/>
  <c r="Z814" i="2"/>
  <c r="Y815" i="2"/>
  <c r="Z815" i="2"/>
  <c r="Y816" i="2"/>
  <c r="Z816" i="2"/>
  <c r="Y817" i="2"/>
  <c r="Z817" i="2"/>
  <c r="Y818" i="2"/>
  <c r="Z818" i="2"/>
  <c r="Y819" i="2"/>
  <c r="Z819" i="2"/>
  <c r="Y820" i="2"/>
  <c r="Z820" i="2"/>
  <c r="Y821" i="2"/>
  <c r="Z821" i="2"/>
  <c r="Y822" i="2"/>
  <c r="Z822" i="2"/>
  <c r="Y823" i="2"/>
  <c r="Z823" i="2"/>
  <c r="Y824" i="2"/>
  <c r="Z824" i="2"/>
  <c r="Y825" i="2"/>
  <c r="Z825" i="2"/>
  <c r="J102" i="31"/>
  <c r="V47" i="35"/>
  <c r="W47" i="35"/>
  <c r="X47" i="35"/>
  <c r="Y47" i="35"/>
  <c r="V49" i="35"/>
  <c r="W49" i="35"/>
  <c r="X49" i="35"/>
  <c r="Y49" i="35"/>
  <c r="A121" i="28"/>
  <c r="I128" i="28"/>
  <c r="I129" i="28"/>
  <c r="I130" i="28"/>
  <c r="I131" i="28"/>
  <c r="I133" i="28"/>
  <c r="L131" i="28"/>
  <c r="L130" i="28"/>
  <c r="AH29" i="35"/>
  <c r="AH34" i="35"/>
  <c r="AH38" i="35"/>
  <c r="AH30" i="35"/>
  <c r="AH37" i="35"/>
  <c r="AH31" i="35"/>
  <c r="AH32" i="35"/>
  <c r="AH35" i="35"/>
  <c r="AH39" i="35"/>
  <c r="AH33" i="35"/>
  <c r="AH36" i="35"/>
  <c r="AH40" i="35"/>
  <c r="AH41" i="35"/>
  <c r="AH42" i="35"/>
  <c r="AH47" i="35"/>
  <c r="AH45" i="35"/>
  <c r="AH46" i="35"/>
  <c r="AH53" i="35"/>
  <c r="AH48" i="35"/>
  <c r="AH49" i="35"/>
  <c r="AH50" i="35"/>
  <c r="AH51" i="35"/>
  <c r="G136" i="28"/>
  <c r="K93" i="1"/>
  <c r="M93" i="1"/>
  <c r="N93" i="1"/>
  <c r="K90" i="1"/>
  <c r="M90" i="1"/>
  <c r="N90" i="1"/>
  <c r="J17" i="32"/>
  <c r="L17" i="32"/>
  <c r="N17" i="32"/>
  <c r="O17" i="32"/>
  <c r="Q17" i="32"/>
  <c r="J20" i="32"/>
  <c r="L20" i="32"/>
  <c r="N20" i="32"/>
  <c r="O20" i="32"/>
  <c r="Q20" i="32"/>
  <c r="J21" i="32"/>
  <c r="L21" i="32"/>
  <c r="N21" i="32"/>
  <c r="O21" i="32"/>
  <c r="Q21" i="32"/>
  <c r="J22" i="32"/>
  <c r="L22" i="32"/>
  <c r="N22" i="32"/>
  <c r="O22" i="32"/>
  <c r="Q22" i="32"/>
  <c r="J23" i="32"/>
  <c r="L23" i="32"/>
  <c r="N23" i="32"/>
  <c r="O23" i="32"/>
  <c r="Q23" i="32"/>
  <c r="J24" i="32"/>
  <c r="L24" i="32"/>
  <c r="N24" i="32"/>
  <c r="O24" i="32"/>
  <c r="Q24" i="32"/>
  <c r="J25" i="32"/>
  <c r="L25" i="32"/>
  <c r="N25" i="32"/>
  <c r="O25" i="32"/>
  <c r="Q25" i="32"/>
  <c r="J26" i="32"/>
  <c r="L26" i="32"/>
  <c r="N26" i="32"/>
  <c r="O26" i="32"/>
  <c r="Q26" i="32"/>
  <c r="J28" i="32"/>
  <c r="L28" i="32"/>
  <c r="N28" i="32"/>
  <c r="O28" i="32"/>
  <c r="Q28" i="32"/>
  <c r="J31" i="32"/>
  <c r="L31" i="32"/>
  <c r="N31" i="32"/>
  <c r="O31" i="32"/>
  <c r="Q31" i="32"/>
  <c r="J13" i="32"/>
  <c r="L13" i="32"/>
  <c r="N13" i="32"/>
  <c r="O13" i="32"/>
  <c r="Q13" i="32"/>
  <c r="J14" i="32"/>
  <c r="L14" i="32"/>
  <c r="N14" i="32"/>
  <c r="O14" i="32"/>
  <c r="Q14" i="32"/>
  <c r="J15" i="32"/>
  <c r="L15" i="32"/>
  <c r="N15" i="32"/>
  <c r="O15" i="32"/>
  <c r="Q15" i="32"/>
  <c r="Q38" i="32"/>
  <c r="Q39" i="32"/>
  <c r="Q40" i="32"/>
  <c r="D40" i="29"/>
  <c r="D42" i="29"/>
  <c r="D45" i="29"/>
  <c r="D27" i="29"/>
  <c r="D22" i="29"/>
  <c r="D33" i="29"/>
  <c r="N68" i="1"/>
  <c r="M68" i="1"/>
  <c r="K68" i="1"/>
  <c r="N32" i="1"/>
  <c r="M32" i="1"/>
  <c r="K32" i="1"/>
  <c r="N47" i="1"/>
  <c r="M47" i="1"/>
  <c r="K47" i="1"/>
  <c r="N81" i="1"/>
  <c r="M81" i="1"/>
  <c r="K81" i="1"/>
  <c r="N40" i="1"/>
  <c r="M40" i="1"/>
  <c r="K40" i="1"/>
  <c r="N94" i="1"/>
  <c r="M94" i="1"/>
  <c r="K94" i="1"/>
  <c r="N95" i="1"/>
  <c r="M95" i="1"/>
  <c r="K95" i="1"/>
  <c r="K96" i="1"/>
  <c r="L89" i="31"/>
  <c r="N64" i="1"/>
  <c r="M64" i="1"/>
  <c r="K64" i="1"/>
  <c r="N76" i="1"/>
  <c r="M76" i="1"/>
  <c r="K76" i="1"/>
  <c r="A13" i="32"/>
  <c r="A14" i="32"/>
  <c r="A15" i="32"/>
  <c r="A17" i="32"/>
  <c r="A20" i="32"/>
  <c r="A21" i="32"/>
  <c r="A22" i="32"/>
  <c r="A23" i="32"/>
  <c r="R12" i="32"/>
  <c r="R13" i="32"/>
  <c r="S13" i="32"/>
  <c r="U13" i="32"/>
  <c r="V13" i="32"/>
  <c r="AA13" i="32"/>
  <c r="AK13" i="32"/>
  <c r="AM13" i="32"/>
  <c r="AO13" i="32"/>
  <c r="AQ13" i="32"/>
  <c r="AS13" i="32"/>
  <c r="AU13" i="32"/>
  <c r="R14" i="32"/>
  <c r="S14" i="32"/>
  <c r="U14" i="32"/>
  <c r="V14" i="32"/>
  <c r="AA14" i="32"/>
  <c r="AK14" i="32"/>
  <c r="AM14" i="32"/>
  <c r="AO14" i="32"/>
  <c r="AQ14" i="32"/>
  <c r="AS14" i="32"/>
  <c r="AU14" i="32"/>
  <c r="R15" i="32"/>
  <c r="S15" i="32"/>
  <c r="U15" i="32"/>
  <c r="V15" i="32"/>
  <c r="AA15" i="32"/>
  <c r="AK15" i="32"/>
  <c r="AM15" i="32"/>
  <c r="AO15" i="32"/>
  <c r="AQ15" i="32"/>
  <c r="AS15" i="32"/>
  <c r="AU15" i="32"/>
  <c r="AQ16" i="32"/>
  <c r="AS16" i="32"/>
  <c r="AU16" i="32"/>
  <c r="R17" i="32"/>
  <c r="S17" i="32"/>
  <c r="U17" i="32"/>
  <c r="V17" i="32"/>
  <c r="AA17" i="32"/>
  <c r="AK17" i="32"/>
  <c r="AM17" i="32"/>
  <c r="AO17" i="32"/>
  <c r="AQ17" i="32"/>
  <c r="AS17" i="32"/>
  <c r="AU17" i="32"/>
  <c r="AQ18" i="32"/>
  <c r="AS18" i="32"/>
  <c r="AU18" i="32"/>
  <c r="AQ19" i="32"/>
  <c r="AS19" i="32"/>
  <c r="AU19" i="32"/>
  <c r="B20" i="32"/>
  <c r="R20" i="32"/>
  <c r="S20" i="32"/>
  <c r="U20" i="32"/>
  <c r="V20" i="32"/>
  <c r="AA20" i="32"/>
  <c r="AK20" i="32"/>
  <c r="AM20" i="32"/>
  <c r="AO20" i="32"/>
  <c r="AQ20" i="32"/>
  <c r="AS20" i="32"/>
  <c r="AU20" i="32"/>
  <c r="B21" i="32"/>
  <c r="R21" i="32"/>
  <c r="S21" i="32"/>
  <c r="U21" i="32"/>
  <c r="V21" i="32"/>
  <c r="AA21" i="32"/>
  <c r="AK21" i="32"/>
  <c r="AM21" i="32"/>
  <c r="AO21" i="32"/>
  <c r="AQ21" i="32"/>
  <c r="AS21" i="32"/>
  <c r="AU21" i="32"/>
  <c r="B22" i="32"/>
  <c r="R22" i="32"/>
  <c r="S22" i="32"/>
  <c r="U22" i="32"/>
  <c r="V22" i="32"/>
  <c r="AA22" i="32"/>
  <c r="AK22" i="32"/>
  <c r="AM22" i="32"/>
  <c r="AO22" i="32"/>
  <c r="AQ22" i="32"/>
  <c r="AS22" i="32"/>
  <c r="AU22" i="32"/>
  <c r="B23" i="32"/>
  <c r="R23" i="32"/>
  <c r="S23" i="32"/>
  <c r="U23" i="32"/>
  <c r="V23" i="32"/>
  <c r="AA23" i="32"/>
  <c r="AK23" i="32"/>
  <c r="AM23" i="32"/>
  <c r="AO23" i="32"/>
  <c r="AQ23" i="32"/>
  <c r="AS23" i="32"/>
  <c r="AU23" i="32"/>
  <c r="A24" i="32"/>
  <c r="B24" i="32"/>
  <c r="R24" i="32"/>
  <c r="S24" i="32"/>
  <c r="U24" i="32"/>
  <c r="V24" i="32"/>
  <c r="AA24" i="32"/>
  <c r="AK24" i="32"/>
  <c r="AM24" i="32"/>
  <c r="AO24" i="32"/>
  <c r="AQ24" i="32"/>
  <c r="AS24" i="32"/>
  <c r="AU24" i="32"/>
  <c r="A25" i="32"/>
  <c r="B25" i="32"/>
  <c r="R25" i="32"/>
  <c r="S25" i="32"/>
  <c r="U25" i="32"/>
  <c r="V25" i="32"/>
  <c r="AA25" i="32"/>
  <c r="AK25" i="32"/>
  <c r="AM25" i="32"/>
  <c r="AO25" i="32"/>
  <c r="AQ25" i="32"/>
  <c r="AS25" i="32"/>
  <c r="AU25" i="32"/>
  <c r="A26" i="32"/>
  <c r="B26" i="32"/>
  <c r="R26" i="32"/>
  <c r="S26" i="32"/>
  <c r="U26" i="32"/>
  <c r="V26" i="32"/>
  <c r="AA26" i="32"/>
  <c r="AK26" i="32"/>
  <c r="AM26" i="32"/>
  <c r="AO26" i="32"/>
  <c r="AQ26" i="32"/>
  <c r="AS26" i="32"/>
  <c r="AU26" i="32"/>
  <c r="AQ27" i="32"/>
  <c r="AS27" i="32"/>
  <c r="AU27" i="32"/>
  <c r="R28" i="32"/>
  <c r="S28" i="32"/>
  <c r="U28" i="32"/>
  <c r="V28" i="32"/>
  <c r="AA28" i="32"/>
  <c r="AK28" i="32"/>
  <c r="AM28" i="32"/>
  <c r="AO28" i="32"/>
  <c r="AQ28" i="32"/>
  <c r="AS28" i="32"/>
  <c r="AU28" i="32"/>
  <c r="AQ29" i="32"/>
  <c r="AS29" i="32"/>
  <c r="AU29" i="32"/>
  <c r="AQ30" i="32"/>
  <c r="AS30" i="32"/>
  <c r="AU30" i="32"/>
  <c r="R31" i="32"/>
  <c r="S31" i="32"/>
  <c r="U31" i="32"/>
  <c r="V31" i="32"/>
  <c r="AA31" i="32"/>
  <c r="AK31" i="32"/>
  <c r="AM31" i="32"/>
  <c r="AO31" i="32"/>
  <c r="AQ31" i="32"/>
  <c r="AS31" i="32"/>
  <c r="AU31" i="32"/>
  <c r="R32" i="32"/>
  <c r="AQ33" i="32"/>
  <c r="AS33" i="32"/>
  <c r="AU33" i="32"/>
  <c r="AQ34" i="32"/>
  <c r="AS34" i="32"/>
  <c r="AU34" i="32"/>
  <c r="A28" i="32"/>
  <c r="A30" i="32"/>
  <c r="K53" i="1"/>
  <c r="M53" i="1"/>
  <c r="N53" i="1"/>
  <c r="N89" i="1"/>
  <c r="M89" i="1"/>
  <c r="K89" i="1"/>
  <c r="N83" i="1"/>
  <c r="M83" i="1"/>
  <c r="K83" i="1"/>
  <c r="H75" i="31"/>
  <c r="L75" i="31"/>
  <c r="J67" i="28"/>
  <c r="AH52" i="35"/>
  <c r="AH43" i="35"/>
  <c r="AH78" i="35"/>
  <c r="AH79" i="35"/>
  <c r="AH80" i="35"/>
  <c r="E83" i="10"/>
  <c r="E78" i="10"/>
  <c r="E85" i="10"/>
  <c r="E86" i="10"/>
  <c r="E88" i="10"/>
  <c r="E90" i="10"/>
  <c r="N58" i="1"/>
  <c r="M58" i="1"/>
  <c r="K58" i="1"/>
  <c r="N21" i="1"/>
  <c r="M21" i="1"/>
  <c r="K21" i="1"/>
  <c r="N12" i="1"/>
  <c r="M12" i="1"/>
  <c r="K12" i="1"/>
  <c r="N96" i="1"/>
  <c r="M96" i="1"/>
  <c r="N67" i="1"/>
  <c r="M67" i="1"/>
  <c r="K67" i="1"/>
  <c r="G137" i="28"/>
  <c r="L129" i="28"/>
  <c r="F145" i="31"/>
  <c r="L149" i="31"/>
  <c r="A31" i="32"/>
  <c r="A33" i="32"/>
  <c r="A34" i="32"/>
  <c r="L128" i="28"/>
  <c r="G138" i="28"/>
  <c r="E138" i="28"/>
  <c r="D16" i="29"/>
  <c r="D15" i="29"/>
  <c r="D14" i="29"/>
  <c r="A16" i="32"/>
  <c r="A18" i="32"/>
  <c r="A19" i="32"/>
  <c r="U12" i="32"/>
  <c r="B13" i="32"/>
  <c r="B14" i="32"/>
  <c r="B15" i="32"/>
  <c r="B16" i="32"/>
  <c r="B17" i="32"/>
  <c r="B18" i="32"/>
  <c r="B19" i="32"/>
  <c r="A27" i="32"/>
  <c r="B27" i="32"/>
  <c r="B28" i="32"/>
  <c r="A29" i="32"/>
  <c r="B29" i="32"/>
  <c r="B30" i="32"/>
  <c r="B31" i="32"/>
  <c r="A32" i="32"/>
  <c r="B32" i="32"/>
  <c r="G54" i="29"/>
  <c r="G60" i="29"/>
  <c r="F62" i="29"/>
  <c r="F63" i="29"/>
  <c r="F64" i="29"/>
  <c r="F65" i="29"/>
  <c r="G66" i="29"/>
  <c r="U32" i="32"/>
  <c r="B33" i="32"/>
  <c r="B34" i="32"/>
  <c r="W681" i="2"/>
  <c r="AC29" i="35"/>
  <c r="AC30" i="35"/>
  <c r="Z31" i="35"/>
  <c r="AA31" i="35"/>
  <c r="AB31" i="35"/>
  <c r="AC31" i="35"/>
  <c r="Z32" i="35"/>
  <c r="AA32" i="35"/>
  <c r="AB32" i="35"/>
  <c r="AC32" i="35"/>
  <c r="Z33" i="35"/>
  <c r="AA33" i="35"/>
  <c r="AB33" i="35"/>
  <c r="AC33" i="35"/>
  <c r="Z34" i="35"/>
  <c r="AA34" i="35"/>
  <c r="AB34" i="35"/>
  <c r="AC34" i="35"/>
  <c r="Z35" i="35"/>
  <c r="AA35" i="35"/>
  <c r="AB35" i="35"/>
  <c r="AC35" i="35"/>
  <c r="Z36" i="35"/>
  <c r="AA36" i="35"/>
  <c r="AB36" i="35"/>
  <c r="AC36" i="35"/>
  <c r="Z37" i="35"/>
  <c r="AA37" i="35"/>
  <c r="AB37" i="35"/>
  <c r="AC37" i="35"/>
  <c r="Z38" i="35"/>
  <c r="AA38" i="35"/>
  <c r="AB38" i="35"/>
  <c r="AC38" i="35"/>
  <c r="Z39" i="35"/>
  <c r="AA39" i="35"/>
  <c r="AB39" i="35"/>
  <c r="AC39" i="35"/>
  <c r="Z40" i="35"/>
  <c r="AA40" i="35"/>
  <c r="AB40" i="35"/>
  <c r="AC40" i="35"/>
  <c r="Z41" i="35"/>
  <c r="AA41" i="35"/>
  <c r="AB41" i="35"/>
  <c r="AC41" i="35"/>
  <c r="AC42" i="35"/>
  <c r="Z43" i="35"/>
  <c r="AA43" i="35"/>
  <c r="AB43" i="35"/>
  <c r="AC43" i="35"/>
  <c r="Z45" i="35"/>
  <c r="AA45" i="35"/>
  <c r="AB45" i="35"/>
  <c r="AC45" i="35"/>
  <c r="AC46" i="35"/>
  <c r="Z48" i="35"/>
  <c r="AA48" i="35"/>
  <c r="AB48" i="35"/>
  <c r="AC48" i="35"/>
  <c r="AC50" i="35"/>
  <c r="AA51" i="35"/>
  <c r="AB51" i="35"/>
  <c r="AC51" i="35"/>
  <c r="Z52" i="35"/>
  <c r="AA52" i="35"/>
  <c r="AB52" i="35"/>
  <c r="AC52" i="35"/>
  <c r="Z53" i="35"/>
  <c r="AA53" i="35"/>
  <c r="AB53" i="35"/>
  <c r="AC53" i="35"/>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823" i="2"/>
  <c r="W824" i="2"/>
  <c r="W825" i="2"/>
  <c r="F2" i="34"/>
  <c r="C4" i="35"/>
  <c r="F3" i="34"/>
  <c r="C6" i="35"/>
  <c r="F4" i="34"/>
  <c r="C7" i="35"/>
  <c r="C8" i="35"/>
  <c r="E8" i="35"/>
  <c r="N19" i="1"/>
  <c r="M19" i="1"/>
  <c r="K19" i="1"/>
  <c r="N65" i="1"/>
  <c r="M65" i="1"/>
  <c r="N84" i="1"/>
  <c r="M84" i="1"/>
  <c r="K84" i="1"/>
  <c r="N70" i="1"/>
  <c r="M70" i="1"/>
  <c r="N71" i="1"/>
  <c r="M71" i="1"/>
  <c r="K71" i="1"/>
  <c r="N25" i="1"/>
  <c r="M25" i="1"/>
  <c r="N26" i="1"/>
  <c r="M26" i="1"/>
  <c r="N35" i="1"/>
  <c r="M35" i="1"/>
  <c r="K35" i="1"/>
  <c r="N36" i="1"/>
  <c r="M36" i="1"/>
  <c r="K36" i="1"/>
  <c r="N43" i="1"/>
  <c r="M43" i="1"/>
  <c r="N44" i="1"/>
  <c r="M44" i="1"/>
  <c r="K44" i="1"/>
  <c r="N57" i="1"/>
  <c r="M57" i="1"/>
  <c r="K57" i="1"/>
  <c r="N48" i="1"/>
  <c r="M48" i="1"/>
  <c r="K48" i="1"/>
  <c r="N78" i="1"/>
  <c r="M78" i="1"/>
  <c r="K78" i="1"/>
  <c r="N85" i="1"/>
  <c r="M85" i="1"/>
  <c r="K85" i="1"/>
  <c r="N72" i="1"/>
  <c r="M72" i="1"/>
  <c r="K72" i="1"/>
  <c r="N17" i="1"/>
  <c r="M17" i="1"/>
  <c r="K17" i="1"/>
  <c r="N69" i="1"/>
  <c r="M69" i="1"/>
  <c r="N63" i="1"/>
  <c r="M63" i="1"/>
  <c r="N60" i="1"/>
  <c r="M60" i="1"/>
  <c r="N55" i="1"/>
  <c r="M55" i="1"/>
  <c r="K55" i="1"/>
  <c r="N92" i="1"/>
  <c r="M92" i="1"/>
  <c r="K92" i="1"/>
  <c r="N82" i="1"/>
  <c r="M82" i="1"/>
  <c r="K82" i="1"/>
  <c r="N33" i="1"/>
  <c r="M33" i="1"/>
  <c r="K33" i="1"/>
  <c r="N74" i="1"/>
  <c r="M74" i="1"/>
  <c r="K74" i="1"/>
  <c r="N42" i="1"/>
  <c r="M42" i="1"/>
  <c r="M31" i="1"/>
  <c r="N31" i="1"/>
  <c r="M34" i="1"/>
  <c r="N34" i="1"/>
  <c r="N13" i="1"/>
  <c r="M13" i="1"/>
  <c r="K13" i="1"/>
  <c r="K11" i="1"/>
  <c r="M11" i="1"/>
  <c r="N11" i="1"/>
  <c r="K14" i="1"/>
  <c r="M14" i="1"/>
  <c r="N14" i="1"/>
  <c r="K15" i="1"/>
  <c r="M15" i="1"/>
  <c r="N15" i="1"/>
  <c r="K16" i="1"/>
  <c r="M16" i="1"/>
  <c r="N16" i="1"/>
  <c r="K18" i="1"/>
  <c r="M18" i="1"/>
  <c r="N18" i="1"/>
  <c r="M20" i="1"/>
  <c r="N20" i="1"/>
  <c r="M22" i="1"/>
  <c r="N22" i="1"/>
  <c r="M23" i="1"/>
  <c r="N23" i="1"/>
  <c r="M24" i="1"/>
  <c r="N24" i="1"/>
  <c r="K27" i="1"/>
  <c r="M27" i="1"/>
  <c r="N27" i="1"/>
  <c r="K28" i="1"/>
  <c r="M28" i="1"/>
  <c r="N28" i="1"/>
  <c r="K29" i="1"/>
  <c r="M29" i="1"/>
  <c r="N29" i="1"/>
  <c r="K30" i="1"/>
  <c r="M30" i="1"/>
  <c r="N30" i="1"/>
  <c r="K31" i="1"/>
  <c r="K34" i="1"/>
  <c r="M37" i="1"/>
  <c r="N37" i="1"/>
  <c r="M38" i="1"/>
  <c r="N38" i="1"/>
  <c r="M39" i="1"/>
  <c r="N39" i="1"/>
  <c r="M41" i="1"/>
  <c r="N41" i="1"/>
  <c r="K45" i="1"/>
  <c r="M45" i="1"/>
  <c r="N45" i="1"/>
  <c r="K46" i="1"/>
  <c r="M46" i="1"/>
  <c r="N46" i="1"/>
  <c r="K49" i="1"/>
  <c r="M49" i="1"/>
  <c r="N49" i="1"/>
  <c r="K50" i="1"/>
  <c r="M50" i="1"/>
  <c r="N50" i="1"/>
  <c r="K51" i="1"/>
  <c r="M51" i="1"/>
  <c r="N51" i="1"/>
  <c r="K52" i="1"/>
  <c r="M52" i="1"/>
  <c r="N52" i="1"/>
  <c r="K54" i="1"/>
  <c r="M54" i="1"/>
  <c r="N54" i="1"/>
  <c r="K56" i="1"/>
  <c r="M56" i="1"/>
  <c r="N56" i="1"/>
  <c r="M59" i="1"/>
  <c r="N59" i="1"/>
  <c r="M61" i="1"/>
  <c r="N61" i="1"/>
  <c r="M62" i="1"/>
  <c r="N62" i="1"/>
  <c r="M66" i="1"/>
  <c r="N66" i="1"/>
  <c r="K73" i="1"/>
  <c r="M73" i="1"/>
  <c r="N73" i="1"/>
  <c r="K75" i="1"/>
  <c r="M75" i="1"/>
  <c r="N75" i="1"/>
  <c r="K77" i="1"/>
  <c r="M77" i="1"/>
  <c r="N77" i="1"/>
  <c r="K79" i="1"/>
  <c r="M79" i="1"/>
  <c r="N79" i="1"/>
  <c r="K80" i="1"/>
  <c r="M80" i="1"/>
  <c r="N80" i="1"/>
  <c r="K86" i="1"/>
  <c r="M86" i="1"/>
  <c r="N86" i="1"/>
  <c r="K87" i="1"/>
  <c r="M87" i="1"/>
  <c r="N87" i="1"/>
  <c r="K88" i="1"/>
  <c r="M88" i="1"/>
  <c r="N88" i="1"/>
  <c r="K91" i="1"/>
  <c r="M91" i="1"/>
  <c r="N91" i="1"/>
  <c r="K98" i="1"/>
  <c r="M98" i="1"/>
  <c r="N98" i="1"/>
  <c r="K99" i="1"/>
  <c r="M99" i="1"/>
  <c r="N99" i="1"/>
  <c r="E8" i="5"/>
  <c r="D7" i="10"/>
  <c r="D6" i="32"/>
  <c r="C6" i="32"/>
  <c r="D5" i="32"/>
  <c r="C5" i="32"/>
  <c r="D4" i="32"/>
  <c r="C4" i="32"/>
  <c r="C3" i="32"/>
  <c r="D2" i="32"/>
  <c r="C2" i="32"/>
  <c r="J143" i="31"/>
  <c r="AC825" i="2"/>
  <c r="C137" i="28"/>
  <c r="C139" i="28"/>
  <c r="E139" i="28"/>
  <c r="G139" i="28"/>
  <c r="C136" i="28"/>
  <c r="AA825" i="2"/>
  <c r="J6" i="32"/>
  <c r="C7" i="29"/>
  <c r="H68" i="31"/>
  <c r="I68" i="31"/>
  <c r="J68" i="31"/>
  <c r="H71" i="31"/>
  <c r="I71" i="31"/>
  <c r="J71" i="31"/>
  <c r="H74" i="31"/>
  <c r="I74" i="31"/>
  <c r="J74" i="31"/>
  <c r="J75" i="31"/>
  <c r="H59" i="31"/>
  <c r="L59" i="31"/>
  <c r="L67" i="28"/>
  <c r="H78" i="31"/>
  <c r="H81" i="31"/>
  <c r="H84" i="31"/>
  <c r="H85" i="31"/>
  <c r="L85" i="31"/>
  <c r="M67" i="28"/>
  <c r="E12" i="33"/>
  <c r="I8" i="31"/>
  <c r="I8" i="39"/>
  <c r="G7" i="1"/>
  <c r="F6" i="28"/>
  <c r="J17" i="5"/>
  <c r="D135" i="31"/>
  <c r="D132" i="31"/>
  <c r="D129" i="31"/>
  <c r="D125" i="31"/>
  <c r="D122" i="31"/>
  <c r="D119" i="31"/>
  <c r="D116" i="31"/>
  <c r="N100" i="1"/>
  <c r="M100" i="1"/>
  <c r="G4" i="39"/>
  <c r="G6" i="39"/>
  <c r="G7" i="39"/>
  <c r="G8" i="39"/>
  <c r="E137" i="31"/>
  <c r="E127" i="31"/>
  <c r="A127" i="31"/>
  <c r="M21" i="5"/>
  <c r="L21" i="5"/>
  <c r="K21" i="5"/>
  <c r="J21" i="5"/>
  <c r="M20" i="5"/>
  <c r="L20" i="5"/>
  <c r="K20" i="5"/>
  <c r="J20" i="5"/>
  <c r="M19" i="5"/>
  <c r="L19" i="5"/>
  <c r="K19" i="5"/>
  <c r="J19" i="5"/>
  <c r="M18" i="5"/>
  <c r="L18" i="5"/>
  <c r="K18" i="5"/>
  <c r="J18" i="5"/>
  <c r="M17" i="5"/>
  <c r="L17" i="5"/>
  <c r="K17" i="5"/>
  <c r="N21" i="5"/>
  <c r="N20" i="5"/>
  <c r="N19" i="5"/>
  <c r="N18" i="5"/>
  <c r="N17" i="5"/>
  <c r="A69" i="28"/>
  <c r="I78" i="31"/>
  <c r="J78" i="31"/>
  <c r="I81" i="31"/>
  <c r="J81" i="31"/>
  <c r="I84" i="31"/>
  <c r="J84" i="31"/>
  <c r="J85" i="31"/>
  <c r="D145" i="28"/>
  <c r="E145" i="28"/>
  <c r="F145" i="28"/>
  <c r="G145" i="28"/>
  <c r="O108" i="1"/>
  <c r="L49" i="31"/>
  <c r="N101" i="1"/>
  <c r="M101" i="1"/>
  <c r="D4" i="34"/>
  <c r="D3" i="34"/>
  <c r="D2" i="34"/>
  <c r="G35" i="34"/>
  <c r="G45" i="31"/>
  <c r="E75" i="31"/>
  <c r="A75" i="31"/>
  <c r="E59" i="31"/>
  <c r="E85" i="31"/>
  <c r="B3" i="10"/>
  <c r="B4" i="10"/>
  <c r="B5" i="10"/>
  <c r="B6" i="10"/>
  <c r="C3" i="10"/>
  <c r="C5" i="10"/>
  <c r="C6" i="10"/>
  <c r="B7" i="10"/>
  <c r="C7" i="10"/>
  <c r="G78" i="31"/>
  <c r="F78" i="31"/>
  <c r="G81" i="31"/>
  <c r="F81" i="31"/>
  <c r="G84" i="31"/>
  <c r="F84" i="31"/>
  <c r="F85" i="31"/>
  <c r="F68" i="31"/>
  <c r="G71" i="31"/>
  <c r="F71" i="31"/>
  <c r="G74" i="31"/>
  <c r="F74" i="31"/>
  <c r="F75" i="31"/>
  <c r="G52" i="31"/>
  <c r="F52" i="31"/>
  <c r="G55" i="31"/>
  <c r="F55" i="31"/>
  <c r="G58" i="31"/>
  <c r="F58" i="31"/>
  <c r="F59" i="31"/>
  <c r="G48" i="31"/>
  <c r="F42" i="31"/>
  <c r="F45" i="31"/>
  <c r="F48" i="31"/>
  <c r="F49" i="31"/>
  <c r="D31" i="31"/>
  <c r="D54" i="31"/>
  <c r="E49" i="31"/>
  <c r="A49" i="31"/>
  <c r="E29" i="31"/>
  <c r="A29" i="31"/>
  <c r="D15" i="31"/>
  <c r="D18" i="31"/>
  <c r="D83" i="31"/>
  <c r="D80" i="31"/>
  <c r="D77" i="31"/>
  <c r="D73" i="31"/>
  <c r="D70" i="31"/>
  <c r="D67" i="31"/>
  <c r="D57" i="31"/>
  <c r="D51" i="31"/>
  <c r="D47" i="31"/>
  <c r="D44" i="31"/>
  <c r="D41" i="31"/>
  <c r="D37" i="31"/>
  <c r="D34" i="31"/>
  <c r="D27" i="31"/>
  <c r="D24" i="31"/>
  <c r="D21" i="31"/>
  <c r="R101" i="1"/>
  <c r="R102" i="1"/>
  <c r="C2" i="11"/>
  <c r="C4" i="11"/>
  <c r="C5" i="11"/>
  <c r="C2" i="29"/>
  <c r="C4" i="29"/>
  <c r="C5" i="29"/>
  <c r="C6" i="29"/>
  <c r="B4" i="5"/>
  <c r="C4" i="5"/>
  <c r="B5" i="5"/>
  <c r="B6" i="5"/>
  <c r="C6" i="5"/>
  <c r="B7" i="5"/>
  <c r="C7" i="5"/>
  <c r="B8" i="5"/>
  <c r="C8" i="5"/>
  <c r="B9" i="5"/>
  <c r="C9" i="5"/>
  <c r="M103" i="1"/>
  <c r="N103" i="1"/>
  <c r="C141" i="28"/>
  <c r="F136" i="31"/>
  <c r="F130" i="31"/>
  <c r="F120" i="31"/>
  <c r="F123" i="31"/>
  <c r="F117" i="31"/>
  <c r="K43" i="1"/>
  <c r="K42" i="1"/>
  <c r="K37" i="1"/>
  <c r="K38" i="1"/>
  <c r="K39" i="1"/>
  <c r="K41" i="1"/>
  <c r="K70" i="1"/>
  <c r="K69" i="1"/>
  <c r="K20" i="1"/>
  <c r="K22" i="1"/>
  <c r="K23" i="1"/>
  <c r="K24" i="1"/>
  <c r="E136" i="28"/>
  <c r="K26" i="1"/>
  <c r="K25" i="1"/>
  <c r="K65" i="1"/>
  <c r="K63" i="1"/>
  <c r="K60" i="1"/>
  <c r="K59" i="1"/>
  <c r="K61" i="1"/>
  <c r="K62" i="1"/>
  <c r="K66" i="1"/>
  <c r="F129" i="28"/>
  <c r="J149" i="31"/>
  <c r="L133" i="28"/>
  <c r="M128" i="28"/>
  <c r="M129" i="28"/>
  <c r="M130" i="28"/>
  <c r="M131" i="28"/>
  <c r="M133" i="28"/>
  <c r="H131" i="28"/>
  <c r="H129" i="28"/>
  <c r="H128" i="28"/>
  <c r="G131" i="28"/>
  <c r="G129" i="28"/>
  <c r="G128" i="28"/>
  <c r="F131" i="28"/>
  <c r="E131" i="28"/>
  <c r="E129" i="28"/>
  <c r="E128" i="28"/>
  <c r="D131" i="28"/>
  <c r="D129" i="28"/>
  <c r="D128" i="28"/>
  <c r="G141" i="28"/>
  <c r="C150" i="10"/>
  <c r="L96" i="31"/>
  <c r="J103" i="31"/>
  <c r="J104" i="31"/>
  <c r="J128" i="28"/>
  <c r="J129" i="28"/>
  <c r="J130" i="28"/>
  <c r="J131" i="28"/>
  <c r="J133" i="28"/>
  <c r="J150" i="31"/>
  <c r="J151" i="31"/>
  <c r="F114" i="31"/>
  <c r="F126" i="31"/>
  <c r="F127" i="31"/>
  <c r="L127" i="31"/>
  <c r="F133" i="31"/>
  <c r="F137" i="31"/>
  <c r="H137" i="31"/>
  <c r="D136" i="28"/>
  <c r="D137" i="28"/>
  <c r="E137" i="28"/>
  <c r="D138" i="28"/>
  <c r="D139" i="28"/>
  <c r="D141" i="28"/>
  <c r="C131" i="28"/>
  <c r="C129" i="28"/>
  <c r="C128" i="28"/>
  <c r="F32" i="31"/>
  <c r="F35" i="31"/>
  <c r="F38" i="31"/>
  <c r="F39" i="31"/>
  <c r="F16" i="31"/>
  <c r="F19" i="31"/>
  <c r="F22" i="31"/>
  <c r="F25" i="31"/>
  <c r="F28" i="31"/>
  <c r="F29" i="31"/>
  <c r="J65" i="31"/>
  <c r="F136" i="28"/>
  <c r="F137" i="28"/>
  <c r="F138" i="28"/>
  <c r="F139" i="28"/>
  <c r="F141" i="28"/>
  <c r="Z51" i="35"/>
  <c r="AB50" i="35"/>
  <c r="AA50" i="35"/>
  <c r="Z50" i="35"/>
  <c r="AB46" i="35"/>
  <c r="AA46" i="35"/>
  <c r="Z46" i="35"/>
  <c r="AB42" i="35"/>
  <c r="AA42" i="35"/>
  <c r="Z42" i="35"/>
  <c r="AB30" i="35"/>
  <c r="AA30" i="35"/>
  <c r="Z30" i="35"/>
  <c r="AB29" i="35"/>
  <c r="AA29" i="35"/>
  <c r="Z29" i="35"/>
  <c r="F128" i="28"/>
  <c r="C130" i="28"/>
  <c r="D130" i="28"/>
  <c r="E130" i="28"/>
  <c r="F130" i="28"/>
  <c r="G130" i="28"/>
  <c r="H130" i="28"/>
</calcChain>
</file>

<file path=xl/comments1.xml><?xml version="1.0" encoding="utf-8"?>
<comments xmlns="http://schemas.openxmlformats.org/spreadsheetml/2006/main">
  <authors>
    <author>Lydia Huizinga</author>
    <author>ICCA bv</author>
  </authors>
  <commentList>
    <comment ref="L18" authorId="0">
      <text>
        <r>
          <rPr>
            <sz val="10"/>
            <color indexed="81"/>
            <rFont val="Verdana"/>
          </rPr>
          <t xml:space="preserve">
M2 Glas is zowel van Konijnenstraat 7 als 9.</t>
        </r>
      </text>
    </comment>
    <comment ref="L24" authorId="0">
      <text>
        <r>
          <rPr>
            <sz val="9"/>
            <color indexed="81"/>
            <rFont val="Verdana"/>
          </rPr>
          <t xml:space="preserve">
m2 Glas is totaal van Horizon Anker gebouw A en gebouw S -/- Kompas 1</t>
        </r>
      </text>
    </comment>
    <comment ref="L37" authorId="0">
      <text>
        <r>
          <rPr>
            <sz val="9"/>
            <color indexed="81"/>
            <rFont val="Verdana"/>
          </rPr>
          <t xml:space="preserve">
m2 Glas is totaal van Horizon Prisma gebouw C</t>
        </r>
      </text>
    </comment>
    <comment ref="D71" authorId="1">
      <text>
        <r>
          <rPr>
            <b/>
            <sz val="10"/>
            <color indexed="81"/>
            <rFont val="Verdana"/>
          </rPr>
          <t>Is gekoppeld aan Cel H46 Tabblad 1.8-Afroepprijs</t>
        </r>
      </text>
    </comment>
  </commentList>
</comments>
</file>

<file path=xl/sharedStrings.xml><?xml version="1.0" encoding="utf-8"?>
<sst xmlns="http://schemas.openxmlformats.org/spreadsheetml/2006/main" count="5820" uniqueCount="1520">
  <si>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</si>
  <si>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</si>
  <si>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</si>
  <si>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</si>
  <si>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</si>
  <si>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</si>
  <si>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</si>
  <si>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</si>
  <si>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</si>
  <si>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</si>
  <si>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</si>
  <si>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</si>
  <si>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</si>
  <si>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</si>
  <si>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</si>
  <si>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</si>
  <si>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</si>
  <si>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</si>
  <si>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</si>
  <si>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</si>
  <si>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</si>
  <si>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</si>
  <si>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</si>
  <si>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</si>
  <si>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</si>
  <si>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</si>
  <si>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</si>
  <si>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</si>
  <si>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</si>
  <si>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</si>
  <si>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</si>
  <si>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</si>
  <si>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</si>
  <si>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</si>
  <si>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</si>
  <si>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</si>
  <si>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</si>
  <si>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</si>
  <si>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</si>
  <si>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</si>
  <si>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</si>
  <si>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</si>
  <si>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</si>
  <si>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</si>
  <si>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</si>
  <si>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</si>
  <si>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</si>
  <si>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</si>
  <si>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</si>
  <si>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</si>
  <si>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</si>
  <si>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</si>
  <si>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</si>
  <si>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</si>
  <si>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</si>
  <si>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</si>
  <si>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</si>
  <si>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</si>
  <si>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</si>
  <si>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</si>
  <si>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</si>
  <si>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</si>
  <si>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</si>
  <si>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</si>
  <si>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</si>
  <si>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</si>
  <si>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</si>
  <si>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</si>
  <si>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</si>
  <si>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</si>
  <si>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</si>
  <si>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</si>
  <si>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</si>
  <si>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</si>
  <si>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</si>
  <si>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</si>
  <si>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</si>
  <si>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Reinigen sproei-extractiemethode</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</si>
  <si>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</si>
  <si>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</si>
  <si>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</si>
  <si>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</si>
  <si>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</si>
  <si>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</si>
  <si>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</si>
  <si>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</si>
  <si>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</si>
  <si>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</si>
  <si>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</si>
  <si>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</si>
  <si>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</si>
  <si>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</si>
  <si>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</si>
  <si>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</si>
  <si>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</si>
  <si>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</si>
  <si>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</si>
  <si>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</si>
  <si>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</si>
  <si>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</si>
  <si>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</si>
  <si>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</si>
  <si>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</si>
  <si>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</si>
  <si>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</si>
  <si>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</si>
  <si>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Linoleum</t>
  </si>
  <si>
    <t>TOEZICHT-UREN ZATERDAG-ZONDAG</t>
  </si>
  <si>
    <t>Vloeren</t>
  </si>
  <si>
    <t>501-1.000 m2</t>
  </si>
  <si>
    <t>&gt; 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</si>
  <si>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</si>
  <si>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</si>
  <si>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</si>
  <si>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</si>
  <si>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</si>
  <si>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</si>
  <si>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</si>
  <si>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</si>
  <si>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</si>
  <si>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</si>
  <si>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</si>
  <si>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</si>
  <si>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</si>
  <si>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</si>
  <si>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</si>
  <si>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</si>
  <si>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</si>
  <si>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</si>
  <si>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</si>
  <si>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</si>
  <si>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</si>
  <si>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</si>
  <si>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</si>
  <si>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</si>
  <si>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</si>
  <si>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</si>
  <si>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</si>
  <si>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</si>
  <si>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</si>
  <si>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</si>
  <si>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</si>
  <si>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</si>
  <si>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</si>
  <si>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</si>
  <si>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</si>
  <si>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Reinigen Host/Chemdry-methode</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</si>
  <si>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</si>
  <si>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</si>
  <si>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</si>
  <si>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</si>
  <si>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</si>
  <si>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</si>
  <si>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</si>
  <si>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</si>
  <si>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</si>
  <si>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Verrekend ja/nee</t>
  </si>
  <si>
    <t>Mutaties volgens blad 1.1c</t>
  </si>
  <si>
    <t>Naam leverancier</t>
  </si>
  <si>
    <t>Kengetallenoverzicht schoonmaakonderhoud</t>
  </si>
  <si>
    <t>Naam opdrachtgever</t>
  </si>
  <si>
    <t>Informatie</t>
  </si>
  <si>
    <t>Omschrijving opdracht</t>
  </si>
  <si>
    <t>WGA gedifferentieerde premie</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</si>
  <si>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</si>
  <si>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</si>
  <si>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</si>
  <si>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</si>
  <si>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</si>
  <si>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</si>
  <si>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</si>
  <si>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</si>
  <si>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</si>
  <si>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</si>
  <si>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</si>
  <si>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</si>
  <si>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</si>
  <si>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</si>
  <si>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</si>
  <si>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</si>
  <si>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</si>
  <si>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</si>
  <si>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Vloeropp niet in onderhoud</t>
  </si>
  <si>
    <t>Toezicht uren ma-vr</t>
  </si>
  <si>
    <t xml:space="preserve">Sociale verzekeringen </t>
  </si>
  <si>
    <t>Prijsvorming Perceel 1-2-3 Extra Vloerenonderhoud  (inclusief uit-/inruimen van het meubilair)</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</si>
  <si>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</si>
  <si>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</si>
  <si>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</si>
  <si>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</si>
  <si>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</si>
  <si>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</si>
  <si>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</si>
  <si>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</si>
  <si>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</si>
  <si>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</si>
  <si>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</si>
  <si>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</si>
  <si>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</si>
  <si>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</si>
  <si>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</si>
  <si>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</si>
  <si>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</si>
  <si>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</si>
  <si>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</si>
  <si>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</si>
  <si>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</si>
  <si>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</si>
  <si>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</si>
  <si>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</si>
  <si>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Totaal eindtarief normale werktijden [06.00-21.30 uur]</t>
  </si>
  <si>
    <t>Categorie/medewerker</t>
  </si>
  <si>
    <t>Onderhoudskosten per jaar*</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</si>
  <si>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</si>
  <si>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</si>
  <si>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</si>
  <si>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</si>
  <si>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</si>
  <si>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</si>
  <si>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</si>
  <si>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</si>
  <si>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</si>
  <si>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</si>
  <si>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</si>
  <si>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</si>
  <si>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</si>
  <si>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</si>
  <si>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</si>
  <si>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</si>
  <si>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</si>
  <si>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</si>
  <si>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</si>
  <si>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</si>
  <si>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Beeldscherm</t>
  </si>
  <si>
    <t>RUIMTECATEGORIE</t>
  </si>
  <si>
    <t>Vloeropp in onderhoud</t>
  </si>
  <si>
    <t>Indexering</t>
  </si>
  <si>
    <t>invoerings datum</t>
  </si>
  <si>
    <t>percentage</t>
  </si>
  <si>
    <t>Mutatie in schoonmaakcontract volgens blad 1.1b Overzicht mutaties</t>
  </si>
  <si>
    <t>uren per jaar</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</si>
  <si>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</si>
  <si>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</si>
  <si>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</si>
  <si>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</si>
  <si>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</si>
  <si>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</si>
  <si>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</si>
  <si>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</si>
  <si>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</si>
  <si>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</si>
  <si>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</si>
  <si>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</si>
  <si>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</si>
  <si>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</si>
  <si>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</si>
  <si>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</si>
  <si>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</si>
  <si>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</si>
  <si>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</si>
  <si>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</si>
  <si>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</si>
  <si>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</si>
  <si>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</si>
  <si>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</si>
  <si>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ADDITIONELE PROJECTGEBONDEN SCHOONMAAKWERKZAAMHEDEN</t>
  </si>
  <si>
    <t>GLASBEWASSING</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</si>
  <si>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</si>
  <si>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</si>
  <si>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</si>
  <si>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</si>
  <si>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</si>
  <si>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</si>
  <si>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</si>
  <si>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 8 jaar en meer</t>
  </si>
  <si>
    <t>tarief per uur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</si>
  <si>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</si>
  <si>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</si>
  <si>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</si>
  <si>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</si>
  <si>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</si>
  <si>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</si>
  <si>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</si>
  <si>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</si>
  <si>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</si>
  <si>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</si>
  <si>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</si>
  <si>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</si>
  <si>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</si>
  <si>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</si>
  <si>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Op het tabblad 1.4 Opbouw uurtarieven dient u uw gegevens in de oranje omlijnde invoervelden in te voeren.</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</si>
  <si>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</si>
  <si>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</si>
  <si>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Selecteer als eerste aan de linkerzijde een wite cel, selecteer de pijl         en kies uw keuze van medewerker/ster uit het overzicht. De desbetreffende gegevens worden automatisch ingevoerd.</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</si>
  <si>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</si>
  <si>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</si>
  <si>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</si>
  <si>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t>Op het tabblad 1.5 Machine-investering dient u uw gegevens in de oranje omlijnde invoervelden in te voeren.</t>
  </si>
  <si>
    <t>Dit tabblad is niet van toepassing</t>
  </si>
  <si>
    <t>n.v.t.</t>
  </si>
  <si>
    <t>Op het tabblad 1.6  Afroepprijs dient u uw gegevens in de oranje omlijnde invoervelden in te voeren.</t>
  </si>
  <si>
    <t>Een aantal onderdelen worden automatisch geplaatst in de tabbladen 1.1a t/m 1.1h-Contractblad.</t>
  </si>
  <si>
    <t>Op het tabblad 1.7-Glasbewassing dient u uw gegevens in de oranje omlijnde invoervelden in te voeren.</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</si>
  <si>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</si>
  <si>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</si>
  <si>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</si>
  <si>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keuken</t>
  </si>
  <si>
    <t>S</t>
  </si>
  <si>
    <t>L</t>
  </si>
  <si>
    <t>leslokaal</t>
  </si>
  <si>
    <t>pantry</t>
  </si>
  <si>
    <t>PROGR. CODE MA-VR Regulier</t>
  </si>
  <si>
    <t>KENGETAL Periodiek</t>
  </si>
  <si>
    <t>KENGETAL MA-VR Regulier</t>
  </si>
  <si>
    <t>UREN P/JR Periodiek</t>
  </si>
  <si>
    <t>1.</t>
  </si>
  <si>
    <t>2.</t>
  </si>
  <si>
    <t>3.</t>
  </si>
  <si>
    <t>Productie uren ma-vr regulier</t>
  </si>
  <si>
    <t>Productie uren Periodiek</t>
  </si>
  <si>
    <t>Frequentie</t>
  </si>
  <si>
    <t>Prijsvorming Glasbewassing</t>
  </si>
  <si>
    <t>TOTAAL</t>
  </si>
  <si>
    <t>m2</t>
  </si>
  <si>
    <t>a</t>
  </si>
  <si>
    <t>b</t>
  </si>
  <si>
    <t>s</t>
  </si>
  <si>
    <t>t</t>
  </si>
  <si>
    <t>Calculatiecode</t>
  </si>
  <si>
    <t>Code opleverstaat</t>
  </si>
  <si>
    <t>Overal waar in Calculatiemodel 2700-35-2011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</si>
  <si>
    <t>Overname kosten volgens Bijlage 4. overname personeel</t>
  </si>
  <si>
    <t>lift</t>
  </si>
  <si>
    <t>trappenhuis</t>
  </si>
  <si>
    <t>administratieve -, personeels- en vergaderruimte</t>
  </si>
  <si>
    <t>5 x per week - 40 weken</t>
  </si>
  <si>
    <t>1 x per week - 40 weken</t>
  </si>
  <si>
    <t>sanitaire ruimte (toilet-/doucheruimte)</t>
  </si>
  <si>
    <t>niet van toepassing</t>
  </si>
  <si>
    <t>tijdelijk niet van toepassing</t>
  </si>
  <si>
    <t>Kosten ziekteverzuim</t>
  </si>
  <si>
    <t>11.02 Werknemer meewerkend toezicht algemeen schoonmaakonderhoud</t>
  </si>
  <si>
    <t>11.02 Werknemer niet meewerkend toezicht algemeen schoonmaakonderhoud</t>
  </si>
  <si>
    <t>Oppervlakte (separatieglas dubbellvoudig gemeten)</t>
  </si>
  <si>
    <t>m2 buitenglas</t>
  </si>
  <si>
    <t>Tarief p/uur</t>
  </si>
  <si>
    <t xml:space="preserve"> € per m2 buitenglas</t>
  </si>
  <si>
    <t>€ per m2 binnenglas</t>
  </si>
  <si>
    <t>€ per m2 separatieglas</t>
  </si>
  <si>
    <t>Inzet arbeids middelen</t>
  </si>
  <si>
    <t>Regio</t>
  </si>
  <si>
    <t>Bedrag per beurt</t>
  </si>
  <si>
    <t>Inzet arbeidsmiddel (omschijving)</t>
  </si>
  <si>
    <t>Productkeuze:</t>
  </si>
  <si>
    <t>Neutraal reinigingsmiddel, pH-7, het product mag niet schadelijk zijn voor het afwerkmateriaal, geen corroderende werking hebben en mag geen schuurmiddel of etsende stoffen bevatten.</t>
  </si>
  <si>
    <t>Het product is vrij van zure en alkalische bestanddelen, waardoor er geen enkel gevaar is voor aantasting van metaal, lak, rubber enz.</t>
  </si>
  <si>
    <t>Handeling:</t>
  </si>
  <si>
    <t>Inzetten van de beglazing met water en een reinigingsmiddel met behulp van schapenvacht en/of spons</t>
  </si>
  <si>
    <t>Omlijstingen en raam- en kozijnprofielen met spons afnemen.</t>
  </si>
  <si>
    <t>Droogtrekken van het glas en kozijnen zodat er geen resten van het reinigingsmiddel met de opgenomen vervuiling achterblijven.</t>
  </si>
  <si>
    <t>12.01A Glazenwasser A</t>
  </si>
  <si>
    <t>12.01B Glazenwasser B</t>
  </si>
  <si>
    <t>INZET ARBEIDSMIDDELEN</t>
  </si>
  <si>
    <t>Volgens specificatie blad 1.9-Glasbewassing</t>
  </si>
  <si>
    <t>Aantal uren gemiddeld per wasbeurt</t>
  </si>
  <si>
    <t>&amp;</t>
  </si>
  <si>
    <t>Mutatie nummer</t>
  </si>
  <si>
    <t>Mutatie datum</t>
  </si>
  <si>
    <t>Premies en opslagen voor schoonmaak</t>
  </si>
  <si>
    <t>Vervallen</t>
  </si>
  <si>
    <t>Vervallen (mutatie)</t>
  </si>
  <si>
    <t>Overzicht Mutaties</t>
  </si>
  <si>
    <t>WAO/WIA basispremie (Aof)</t>
  </si>
  <si>
    <t>WW-premie</t>
  </si>
  <si>
    <t>OP/NP pensioen</t>
  </si>
  <si>
    <t>[Waarvan WGA-vast]</t>
  </si>
  <si>
    <t>[Waarvan WGA-flex]</t>
  </si>
  <si>
    <t>[Waarvan ZW-flex]</t>
  </si>
  <si>
    <t>Totaal</t>
  </si>
  <si>
    <t>Kleine werkgever</t>
  </si>
  <si>
    <t>Middelgrote werkgever</t>
  </si>
  <si>
    <t>Grote werkgever</t>
  </si>
  <si>
    <t>[NAAM LEVERANCIER]</t>
  </si>
  <si>
    <t>Totaal uren per jaar</t>
  </si>
  <si>
    <t>Perentage inzet per locatieo.b.v. verhouding inzewt productie-uren</t>
  </si>
  <si>
    <t>Bedrag reservering per jaar/locatie</t>
  </si>
  <si>
    <t>Totaal uren per jaar per locatie</t>
  </si>
  <si>
    <t>: afkortingen voor ruimtecategorieën bij toepassing van VSR-kwaliteitsmetingen V=verkeersruimten, S=Sanitaire ruimten en L=Leslokalen</t>
  </si>
  <si>
    <t>Gemiddelde uren per dag</t>
  </si>
  <si>
    <t xml:space="preserve">Categorie werkgever: </t>
  </si>
  <si>
    <t>Aantallen</t>
  </si>
  <si>
    <t>Totaal SV-loon grondslag voor berekening sociale verzekeringen</t>
  </si>
  <si>
    <t>Totaal aantal gevulde cellen</t>
  </si>
  <si>
    <t>Gemiddelde is gekoppeld aan cel D40 tabblad 1.4</t>
  </si>
  <si>
    <t>Plaats</t>
  </si>
  <si>
    <t>M2 glas binnen- en buitenzijde</t>
  </si>
  <si>
    <t>aula, gemeenschappelijke ruimte, bibliotheek</t>
  </si>
  <si>
    <t>Glas bin/buit/sep</t>
  </si>
  <si>
    <t>Kosten per jaar buitenglas</t>
  </si>
  <si>
    <t>Kosten per jaar binnenglas</t>
  </si>
  <si>
    <t>Kosten per jaar separatie-glas</t>
  </si>
  <si>
    <t>Versie</t>
  </si>
  <si>
    <t>Tabblad: Voorblad</t>
  </si>
  <si>
    <t>Tabblad: 1.2-Kengetal</t>
  </si>
  <si>
    <t>Vul de naam van uw organisatie in bij: "NAAM LEVERANCIER"</t>
  </si>
  <si>
    <t xml:space="preserve">STAP 1: Voer in de witte cellen de gevraagde kengetallen in </t>
  </si>
  <si>
    <t>Tabblad: 1.3-Basis ruimtestaat</t>
  </si>
  <si>
    <t xml:space="preserve">STAP 2: De ingevoerde kengetallen worden automatisch geplaatst in de ruimtestaat. Het aantal productie-uren per jaar wordt op ruimteniveau weergegeven. De mogelijkheid is aanwezig om op ruimteniveau een factor toe te passen </t>
  </si>
  <si>
    <t>Tabblad: 1.4-Premies en opslagen</t>
  </si>
  <si>
    <t>STAP 4: Voer in de witte cellen de gevraagde informatie in. Let op: in gekleurde cellen zijn formules of koppelingen aanwezig, deze mogen niet worden verwijderd of aangepast.</t>
  </si>
  <si>
    <t>STAP 3: Voer in de witte cellen de gevraagde informatie in. Let op: in gekleurde cellen zijn formules of koppelingen aanwezig, deze mogen niet worden verwijderd of aangepast.</t>
  </si>
  <si>
    <t>Tabblad: 1.6-Machine-investeringskosten</t>
  </si>
  <si>
    <t>Tabblad: 1.7-Afroep prijzen</t>
  </si>
  <si>
    <t>STAP 5: Voer in de witte cellen de gevraagde informatie in. Let op: in gekleurde cellen zijn formules of koppelingen aanwezig, deze mogen niet worden verwijderd of aangepast.</t>
  </si>
  <si>
    <t>STAP 6: Voer in de witte cellen de gevraagde informatie in.</t>
  </si>
  <si>
    <t>Tabblad: 1.5-Opbouw uurtarieven</t>
  </si>
  <si>
    <t>Tabblad: 1.8-Glasbewassing</t>
  </si>
  <si>
    <t>STAP 7: Voer in de witte cellen de gevraagde informatie in. Let op: in gekleurde cellen zijn formules of koppelingen aanwezig, deze mogen niet worden verwijderd of aangepast.</t>
  </si>
  <si>
    <t>Tabblad: 1.0-Contractblad</t>
  </si>
  <si>
    <t>STAP 8: Selecteer in de linker omlijnde cellen een loongroep medewerker. Het uurtarief wordt automatisch geplaats. Vul het percentage in van het aantal in te zetten uren en het jaarbedrag wordt gecalculeerd.</t>
  </si>
  <si>
    <t>In het contractblad wordt automatisch het aantal m2 glas weergegeven.</t>
  </si>
  <si>
    <t>In het tabblad 1.1a-Jaarprijzen wordt een totaal overzicht per locatie</t>
  </si>
  <si>
    <t>weergegeven. Hier behoeft niets te worden ingevoerd.</t>
  </si>
  <si>
    <t>Het tabblad 1.3a-Mutaties is niet van toepassing</t>
  </si>
  <si>
    <t>Schoonmaak</t>
  </si>
  <si>
    <t>Perceel 1</t>
  </si>
  <si>
    <t>= invoervelden</t>
  </si>
  <si>
    <t>Stichting Altra - Horizon</t>
  </si>
  <si>
    <t>Regio Noord Holland</t>
  </si>
  <si>
    <t>SMO 2017</t>
  </si>
  <si>
    <t>GLAS 2017</t>
  </si>
  <si>
    <t>Kostenplaats -  LocatieAdres</t>
  </si>
  <si>
    <t>Soort locatie</t>
  </si>
  <si>
    <t>B0.07</t>
  </si>
  <si>
    <t>B0.10</t>
  </si>
  <si>
    <t>B0.11</t>
  </si>
  <si>
    <t>B0.12</t>
  </si>
  <si>
    <t>B0.13</t>
  </si>
  <si>
    <t>B0.14</t>
  </si>
  <si>
    <t>B0.15</t>
  </si>
  <si>
    <t>B0.16</t>
  </si>
  <si>
    <t>B0.17</t>
  </si>
  <si>
    <t>B0.18</t>
  </si>
  <si>
    <t>B0.19</t>
  </si>
  <si>
    <t>B0.20</t>
  </si>
  <si>
    <t>B0.21</t>
  </si>
  <si>
    <t>B0.22</t>
  </si>
  <si>
    <t>B1.10</t>
  </si>
  <si>
    <t>B1.11</t>
  </si>
  <si>
    <t>B1.12</t>
  </si>
  <si>
    <t>B1.13</t>
  </si>
  <si>
    <t>B1.14</t>
  </si>
  <si>
    <t>B1.15</t>
  </si>
  <si>
    <t>B1.16</t>
  </si>
  <si>
    <t>C0.10</t>
  </si>
  <si>
    <t>C0.12</t>
  </si>
  <si>
    <t>C0.13</t>
  </si>
  <si>
    <t>C0.14</t>
  </si>
  <si>
    <t>C0.15</t>
  </si>
  <si>
    <t>C0.16</t>
  </si>
  <si>
    <t>C0.17</t>
  </si>
  <si>
    <t>C0.18</t>
  </si>
  <si>
    <t>C0.19</t>
  </si>
  <si>
    <t>C0.20</t>
  </si>
  <si>
    <t>C0.21</t>
  </si>
  <si>
    <t>C0.22</t>
  </si>
  <si>
    <t>C0.23</t>
  </si>
  <si>
    <t>C0.24</t>
  </si>
  <si>
    <t>C0.25</t>
  </si>
  <si>
    <t>C0.26</t>
  </si>
  <si>
    <t>C0.27</t>
  </si>
  <si>
    <t>D0.10</t>
  </si>
  <si>
    <t>D0.12</t>
  </si>
  <si>
    <t>D0.13</t>
  </si>
  <si>
    <t>D0.15</t>
  </si>
  <si>
    <t>D1.10</t>
  </si>
  <si>
    <t>D1.11</t>
  </si>
  <si>
    <t>werkkast</t>
  </si>
  <si>
    <t>1e</t>
  </si>
  <si>
    <t>2e</t>
  </si>
  <si>
    <t>kleedruimten</t>
  </si>
  <si>
    <t>B</t>
  </si>
  <si>
    <t>spreekkamer</t>
  </si>
  <si>
    <t>berging</t>
  </si>
  <si>
    <t>afdelingshoofd</t>
  </si>
  <si>
    <t>gymzaal</t>
  </si>
  <si>
    <t>kast</t>
  </si>
  <si>
    <t>gang</t>
  </si>
  <si>
    <t>toilet</t>
  </si>
  <si>
    <t>douche</t>
  </si>
  <si>
    <t>sportvloer</t>
  </si>
  <si>
    <t>linoleum</t>
  </si>
  <si>
    <t>steen</t>
  </si>
  <si>
    <t>kantoor</t>
  </si>
  <si>
    <t>entree</t>
  </si>
  <si>
    <t>praktijklokaal</t>
  </si>
  <si>
    <t>receptie</t>
  </si>
  <si>
    <t>wachtruimte</t>
  </si>
  <si>
    <t>vergaderruimte</t>
  </si>
  <si>
    <t>tapijt</t>
  </si>
  <si>
    <t>kantine, restaurant</t>
  </si>
  <si>
    <t>voorruimte</t>
  </si>
  <si>
    <t>bgg</t>
  </si>
  <si>
    <t>m2 separatie glas (dubbelz.)</t>
  </si>
  <si>
    <t>-/-</t>
  </si>
  <si>
    <t>A0.001</t>
  </si>
  <si>
    <t>A0.02</t>
  </si>
  <si>
    <t>A0.03</t>
  </si>
  <si>
    <t>A0.04</t>
  </si>
  <si>
    <t>A0.05</t>
  </si>
  <si>
    <t>A0.06</t>
  </si>
  <si>
    <t>A0.07</t>
  </si>
  <si>
    <t>A0.08</t>
  </si>
  <si>
    <t>A0.009</t>
  </si>
  <si>
    <t>A0.010</t>
  </si>
  <si>
    <t>A0.011</t>
  </si>
  <si>
    <t>A0.012</t>
  </si>
  <si>
    <t>A0.013</t>
  </si>
  <si>
    <t>A0.014</t>
  </si>
  <si>
    <t>A0.015</t>
  </si>
  <si>
    <t>A0.016</t>
  </si>
  <si>
    <t>A0.017</t>
  </si>
  <si>
    <t>A0.018</t>
  </si>
  <si>
    <t>A0.019</t>
  </si>
  <si>
    <t>A0.020</t>
  </si>
  <si>
    <t>A0.021</t>
  </si>
  <si>
    <t>A0.022</t>
  </si>
  <si>
    <t>A0.023</t>
  </si>
  <si>
    <t>A0.024</t>
  </si>
  <si>
    <t>A0.025</t>
  </si>
  <si>
    <t>A0.026</t>
  </si>
  <si>
    <t>A0.027</t>
  </si>
  <si>
    <t>A0.028</t>
  </si>
  <si>
    <t>A.0029</t>
  </si>
  <si>
    <t>A0.030</t>
  </si>
  <si>
    <t>A0.031</t>
  </si>
  <si>
    <t>A0.032</t>
  </si>
  <si>
    <t>A0.033</t>
  </si>
  <si>
    <t>A0.034</t>
  </si>
  <si>
    <t>A0.035</t>
  </si>
  <si>
    <t>A0.036</t>
  </si>
  <si>
    <t>A0.037</t>
  </si>
  <si>
    <t>A0.038</t>
  </si>
  <si>
    <t>A0.039</t>
  </si>
  <si>
    <t>A0.040</t>
  </si>
  <si>
    <t>A0.041</t>
  </si>
  <si>
    <t>A0.042</t>
  </si>
  <si>
    <t>A0.043</t>
  </si>
  <si>
    <t>A0.044</t>
  </si>
  <si>
    <t>A0.045</t>
  </si>
  <si>
    <t>A0.046</t>
  </si>
  <si>
    <t>A0.047</t>
  </si>
  <si>
    <t>A0.048</t>
  </si>
  <si>
    <t>A0.049</t>
  </si>
  <si>
    <t>A0.050</t>
  </si>
  <si>
    <t>A0.050b</t>
  </si>
  <si>
    <t>A0.050c</t>
  </si>
  <si>
    <t>A0.051</t>
  </si>
  <si>
    <t>A0.052</t>
  </si>
  <si>
    <t>A0.053</t>
  </si>
  <si>
    <t>A0.054</t>
  </si>
  <si>
    <t>A0.055</t>
  </si>
  <si>
    <t>A0.056</t>
  </si>
  <si>
    <t>A0.058</t>
  </si>
  <si>
    <t>A0.059</t>
  </si>
  <si>
    <t>A0.060</t>
  </si>
  <si>
    <t>A0.061</t>
  </si>
  <si>
    <t>A0.062</t>
  </si>
  <si>
    <t>A0.063</t>
  </si>
  <si>
    <t>A0.064</t>
  </si>
  <si>
    <t>A0.065</t>
  </si>
  <si>
    <t>A0.066</t>
  </si>
  <si>
    <t>A0.067</t>
  </si>
  <si>
    <t>A0.068</t>
  </si>
  <si>
    <t>A0.069</t>
  </si>
  <si>
    <t>A0.070</t>
  </si>
  <si>
    <t>A0.071</t>
  </si>
  <si>
    <t>A0.072</t>
  </si>
  <si>
    <t>A0.073</t>
  </si>
  <si>
    <t>A0.074</t>
  </si>
  <si>
    <t>A0.075</t>
  </si>
  <si>
    <t>A0.077</t>
  </si>
  <si>
    <t>A0.078</t>
  </si>
  <si>
    <t>A0.079</t>
  </si>
  <si>
    <t>A0.080</t>
  </si>
  <si>
    <t>A0.081</t>
  </si>
  <si>
    <t>A0.082</t>
  </si>
  <si>
    <t>A0.083</t>
  </si>
  <si>
    <t>A0.084</t>
  </si>
  <si>
    <t>A0.085</t>
  </si>
  <si>
    <t>A0.086</t>
  </si>
  <si>
    <t>A0.087</t>
  </si>
  <si>
    <t>A0.088</t>
  </si>
  <si>
    <t>A0.089</t>
  </si>
  <si>
    <t>A0.090</t>
  </si>
  <si>
    <t>A0.091</t>
  </si>
  <si>
    <t>A0.092</t>
  </si>
  <si>
    <t>A0.093</t>
  </si>
  <si>
    <t>A0.094</t>
  </si>
  <si>
    <t>A0.095</t>
  </si>
  <si>
    <t>A0.096</t>
  </si>
  <si>
    <t>A0.097</t>
  </si>
  <si>
    <t>A0.101</t>
  </si>
  <si>
    <t>A0.102</t>
  </si>
  <si>
    <t>A0.103</t>
  </si>
  <si>
    <t>A0.104</t>
  </si>
  <si>
    <t>A0.105</t>
  </si>
  <si>
    <t>A0.106</t>
  </si>
  <si>
    <t>A0.107</t>
  </si>
  <si>
    <t>A0.108</t>
  </si>
  <si>
    <t>A0.109</t>
  </si>
  <si>
    <t>A0.110</t>
  </si>
  <si>
    <t>A0.111</t>
  </si>
  <si>
    <t>A0.112</t>
  </si>
  <si>
    <t>A0.113</t>
  </si>
  <si>
    <t>A0.114</t>
  </si>
  <si>
    <t>A0.115</t>
  </si>
  <si>
    <t>A0.116a</t>
  </si>
  <si>
    <t>A0.116</t>
  </si>
  <si>
    <t>A0.117a</t>
  </si>
  <si>
    <t>A0.117b</t>
  </si>
  <si>
    <t>A0.118</t>
  </si>
  <si>
    <t>A0.119</t>
  </si>
  <si>
    <t>A0.120</t>
  </si>
  <si>
    <t>A0.121</t>
  </si>
  <si>
    <t>A0.122</t>
  </si>
  <si>
    <t>A0.123</t>
  </si>
  <si>
    <t>A0.124</t>
  </si>
  <si>
    <t>A0.125</t>
  </si>
  <si>
    <t>A0.126</t>
  </si>
  <si>
    <t>A0.127</t>
  </si>
  <si>
    <t>A0.128</t>
  </si>
  <si>
    <t>A0.201</t>
  </si>
  <si>
    <t>A0.202</t>
  </si>
  <si>
    <t>A0.203</t>
  </si>
  <si>
    <t>A0.204</t>
  </si>
  <si>
    <t>A0.205</t>
  </si>
  <si>
    <t>A0.206</t>
  </si>
  <si>
    <t>A0.207</t>
  </si>
  <si>
    <t>A0.208</t>
  </si>
  <si>
    <t>A0.209</t>
  </si>
  <si>
    <t>A0.210</t>
  </si>
  <si>
    <t>A0.211</t>
  </si>
  <si>
    <t>A0.212</t>
  </si>
  <si>
    <t>A0.213</t>
  </si>
  <si>
    <t>A0.214</t>
  </si>
  <si>
    <t>A0.215a</t>
  </si>
  <si>
    <t>A0.215b</t>
  </si>
  <si>
    <t>A0.215c</t>
  </si>
  <si>
    <t>A0.216</t>
  </si>
  <si>
    <t>A0.217</t>
  </si>
  <si>
    <t>A0.218</t>
  </si>
  <si>
    <t>A0.219</t>
  </si>
  <si>
    <t>A0.220</t>
  </si>
  <si>
    <t>A0.221a</t>
  </si>
  <si>
    <t>A0.221b</t>
  </si>
  <si>
    <t>A0.222</t>
  </si>
  <si>
    <t>A0.223</t>
  </si>
  <si>
    <t>A0.224</t>
  </si>
  <si>
    <t>A0.225</t>
  </si>
  <si>
    <t>A0.226</t>
  </si>
  <si>
    <t>A0.227</t>
  </si>
  <si>
    <t>A0.228</t>
  </si>
  <si>
    <t>A0.229</t>
  </si>
  <si>
    <t>A0.230</t>
  </si>
  <si>
    <t>A0.231</t>
  </si>
  <si>
    <t>A0.232</t>
  </si>
  <si>
    <t>A0.233</t>
  </si>
  <si>
    <t>A0.234</t>
  </si>
  <si>
    <t>A0.301</t>
  </si>
  <si>
    <t>A0.302</t>
  </si>
  <si>
    <t>A0.303</t>
  </si>
  <si>
    <t>A0.304</t>
  </si>
  <si>
    <t>A0.305</t>
  </si>
  <si>
    <t>A0.306</t>
  </si>
  <si>
    <t>A0.307</t>
  </si>
  <si>
    <t>A0.308</t>
  </si>
  <si>
    <t>A0.309</t>
  </si>
  <si>
    <t>A0.310</t>
  </si>
  <si>
    <t>A0.311</t>
  </si>
  <si>
    <t>A0.312</t>
  </si>
  <si>
    <t>A0.313</t>
  </si>
  <si>
    <t>A0.314</t>
  </si>
  <si>
    <t>A0.315a</t>
  </si>
  <si>
    <t>A0.315b</t>
  </si>
  <si>
    <t>A0.315c</t>
  </si>
  <si>
    <t>A0.316</t>
  </si>
  <si>
    <t>A0.317</t>
  </si>
  <si>
    <t>A0.318</t>
  </si>
  <si>
    <t>A0.320</t>
  </si>
  <si>
    <t>A0.321a</t>
  </si>
  <si>
    <t>A0.321b</t>
  </si>
  <si>
    <t>A0.322</t>
  </si>
  <si>
    <t>A0.323</t>
  </si>
  <si>
    <t>A0.324</t>
  </si>
  <si>
    <t>A0.325</t>
  </si>
  <si>
    <t>A0.326</t>
  </si>
  <si>
    <t>A0.327</t>
  </si>
  <si>
    <t>A0.328</t>
  </si>
  <si>
    <t>A0.329</t>
  </si>
  <si>
    <t>A0.330</t>
  </si>
  <si>
    <t>A0.331</t>
  </si>
  <si>
    <t>A0.332</t>
  </si>
  <si>
    <t>A0.333</t>
  </si>
  <si>
    <t>A0.334</t>
  </si>
  <si>
    <t>A0.335</t>
  </si>
  <si>
    <t>A0.336</t>
  </si>
  <si>
    <t>A0.401</t>
  </si>
  <si>
    <t>A0.402</t>
  </si>
  <si>
    <t>A0.403</t>
  </si>
  <si>
    <t>A0.404</t>
  </si>
  <si>
    <t>A0.405</t>
  </si>
  <si>
    <t>A0.406</t>
  </si>
  <si>
    <t>A0.407</t>
  </si>
  <si>
    <t>A0.408</t>
  </si>
  <si>
    <t>A0.409</t>
  </si>
  <si>
    <t>A0.410</t>
  </si>
  <si>
    <t>A0.411</t>
  </si>
  <si>
    <t>A0.412</t>
  </si>
  <si>
    <t>A0.413</t>
  </si>
  <si>
    <t>A0.414</t>
  </si>
  <si>
    <t>A0.415a</t>
  </si>
  <si>
    <t>A0.415b</t>
  </si>
  <si>
    <t>A0.415c</t>
  </si>
  <si>
    <t>A0.416</t>
  </si>
  <si>
    <t>A0.417</t>
  </si>
  <si>
    <t>A0.418</t>
  </si>
  <si>
    <t>A0.419</t>
  </si>
  <si>
    <t>A0.420</t>
  </si>
  <si>
    <t>A0.421a</t>
  </si>
  <si>
    <t>A0.421b</t>
  </si>
  <si>
    <t>A0.422</t>
  </si>
  <si>
    <t>A0.423</t>
  </si>
  <si>
    <t>A0.424</t>
  </si>
  <si>
    <t>A0.425</t>
  </si>
  <si>
    <t>A0.426</t>
  </si>
  <si>
    <t>A0.427</t>
  </si>
  <si>
    <t>A0.428</t>
  </si>
  <si>
    <t>A0.429</t>
  </si>
  <si>
    <t>A0.430</t>
  </si>
  <si>
    <t>A0.431</t>
  </si>
  <si>
    <t>A0.433</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</si>
  <si>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</si>
  <si>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</si>
  <si>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</si>
  <si>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</si>
  <si>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</si>
  <si>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</si>
  <si>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</si>
  <si>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</si>
  <si>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</si>
  <si>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</si>
  <si>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</si>
  <si>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</si>
  <si>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</si>
  <si>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</si>
  <si>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</si>
  <si>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</si>
  <si>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</si>
  <si>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</si>
  <si>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</si>
  <si>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</si>
  <si>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</si>
  <si>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</si>
  <si>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</si>
  <si>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</si>
  <si>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</si>
  <si>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</si>
  <si>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</si>
  <si>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</si>
  <si>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</si>
  <si>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</si>
  <si>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</si>
  <si>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</si>
  <si>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</si>
  <si>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</si>
  <si>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</si>
  <si>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</si>
  <si>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</si>
  <si>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</si>
  <si>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</si>
  <si>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</si>
  <si>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</si>
  <si>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</si>
  <si>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</si>
  <si>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</si>
  <si>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</si>
  <si>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</si>
  <si>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</si>
  <si>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</si>
  <si>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</si>
  <si>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A1.051</t>
  </si>
  <si>
    <t>A1.052</t>
  </si>
  <si>
    <t>A1.053</t>
  </si>
  <si>
    <t>A1.055</t>
  </si>
  <si>
    <t>A1.056</t>
  </si>
  <si>
    <t>A1.057</t>
  </si>
  <si>
    <t>A1.058</t>
  </si>
  <si>
    <t>A1.059</t>
  </si>
  <si>
    <t>A1.060</t>
  </si>
  <si>
    <t>A1.061</t>
  </si>
  <si>
    <t>A1.062</t>
  </si>
  <si>
    <t>A1.063</t>
  </si>
  <si>
    <t>A1.064</t>
  </si>
  <si>
    <t>A1.067</t>
  </si>
  <si>
    <t>A1.101</t>
  </si>
  <si>
    <t>A1.102</t>
  </si>
  <si>
    <t>A1.103</t>
  </si>
  <si>
    <t>A1.104</t>
  </si>
  <si>
    <t>A1.105</t>
  </si>
  <si>
    <t>A1.106</t>
  </si>
  <si>
    <t>A1.107</t>
  </si>
  <si>
    <t>A1.108</t>
  </si>
  <si>
    <t>A1.109</t>
  </si>
  <si>
    <t>A1.110</t>
  </si>
  <si>
    <t>A1.111</t>
  </si>
  <si>
    <t>A1.112</t>
  </si>
  <si>
    <t>A1.113</t>
  </si>
  <si>
    <t>A1.114</t>
  </si>
  <si>
    <t>A1.115</t>
  </si>
  <si>
    <t>A1.116a</t>
  </si>
  <si>
    <t>A1.116b</t>
  </si>
  <si>
    <t>A1.117a</t>
  </si>
  <si>
    <t>A1.117b</t>
  </si>
  <si>
    <t>A1.118</t>
  </si>
  <si>
    <t>A1.119</t>
  </si>
  <si>
    <t>A1.120</t>
  </si>
  <si>
    <t>A1.121</t>
  </si>
  <si>
    <t>A1.122</t>
  </si>
  <si>
    <t>A1.123</t>
  </si>
  <si>
    <t>A1.124</t>
  </si>
  <si>
    <t>A1.125</t>
  </si>
  <si>
    <t>A1.126</t>
  </si>
  <si>
    <t>A1.127</t>
  </si>
  <si>
    <t>A1.128</t>
  </si>
  <si>
    <t>A1.201</t>
  </si>
  <si>
    <t>A1.202</t>
  </si>
  <si>
    <t>A1.203</t>
  </si>
  <si>
    <t>A1.204</t>
  </si>
  <si>
    <t>A1.205</t>
  </si>
  <si>
    <t>A1.206</t>
  </si>
  <si>
    <t>A1.207</t>
  </si>
  <si>
    <t>A1.208</t>
  </si>
  <si>
    <t>A1.209</t>
  </si>
  <si>
    <t>A1.210</t>
  </si>
  <si>
    <t>A1.211</t>
  </si>
  <si>
    <t>A1.212</t>
  </si>
  <si>
    <t>A1.213</t>
  </si>
  <si>
    <t>A1.214</t>
  </si>
  <si>
    <t>A1.215a</t>
  </si>
  <si>
    <t>A1.215b</t>
  </si>
  <si>
    <t>A1.215c</t>
  </si>
  <si>
    <t>A1.216</t>
  </si>
  <si>
    <t>A1.217</t>
  </si>
  <si>
    <t>A1.218</t>
  </si>
  <si>
    <t>A1.220</t>
  </si>
  <si>
    <t>A1.221a</t>
  </si>
  <si>
    <t>A1.221b</t>
  </si>
  <si>
    <t>A1.222</t>
  </si>
  <si>
    <t>A1.223</t>
  </si>
  <si>
    <t>A1.224</t>
  </si>
  <si>
    <t>A1.225</t>
  </si>
  <si>
    <t>A1.226</t>
  </si>
  <si>
    <t>A1.227</t>
  </si>
  <si>
    <t>A1.228</t>
  </si>
  <si>
    <t>A1.229</t>
  </si>
  <si>
    <t>A1.230</t>
  </si>
  <si>
    <t>A1.231</t>
  </si>
  <si>
    <t>A1.233</t>
  </si>
  <si>
    <t>A1.301</t>
  </si>
  <si>
    <t>A1.302</t>
  </si>
  <si>
    <t>A1.303</t>
  </si>
  <si>
    <t>A1.304</t>
  </si>
  <si>
    <t>A1.305</t>
  </si>
  <si>
    <t>A1.306</t>
  </si>
  <si>
    <t>A1.307</t>
  </si>
  <si>
    <t>A1.308</t>
  </si>
  <si>
    <t>A1.309</t>
  </si>
  <si>
    <t>A1.310</t>
  </si>
  <si>
    <t>A1.311</t>
  </si>
  <si>
    <t>A1.312</t>
  </si>
  <si>
    <t>A1.313</t>
  </si>
  <si>
    <t>A1.314</t>
  </si>
  <si>
    <t>A1.315a</t>
  </si>
  <si>
    <t>A1.315b</t>
  </si>
  <si>
    <t>A1.315c</t>
  </si>
  <si>
    <t>A1.316</t>
  </si>
  <si>
    <t>A1.317</t>
  </si>
  <si>
    <t>A1.318</t>
  </si>
  <si>
    <t>A1.319</t>
  </si>
  <si>
    <t>A1.320</t>
  </si>
  <si>
    <t>A1.321a</t>
  </si>
  <si>
    <t>A1.321b</t>
  </si>
  <si>
    <t>A1.322</t>
  </si>
  <si>
    <t>A1.323</t>
  </si>
  <si>
    <t>A1.324</t>
  </si>
  <si>
    <t>A1.325</t>
  </si>
  <si>
    <t>A1.326</t>
  </si>
  <si>
    <t>A1.327</t>
  </si>
  <si>
    <t>A1.328</t>
  </si>
  <si>
    <t>A1.329</t>
  </si>
  <si>
    <t>A1.330</t>
  </si>
  <si>
    <t>A1.331</t>
  </si>
  <si>
    <t>A1.332</t>
  </si>
  <si>
    <t>A1.333</t>
  </si>
  <si>
    <t>A1.401</t>
  </si>
  <si>
    <t>A1.402</t>
  </si>
  <si>
    <t>A1.403</t>
  </si>
  <si>
    <t>A1.415a</t>
  </si>
  <si>
    <t>A1.415b</t>
  </si>
  <si>
    <t>A1.415c</t>
  </si>
  <si>
    <t>A1.416</t>
  </si>
  <si>
    <t>A1.417</t>
  </si>
  <si>
    <t>A1.418</t>
  </si>
  <si>
    <t>A1.419</t>
  </si>
  <si>
    <t>A1.420</t>
  </si>
  <si>
    <t>A1.421a</t>
  </si>
  <si>
    <t>A1.421b</t>
  </si>
  <si>
    <t>A1.422</t>
  </si>
  <si>
    <t>A1.423</t>
  </si>
  <si>
    <t>A1.424</t>
  </si>
  <si>
    <t>A1.425</t>
  </si>
  <si>
    <t>A1.426</t>
  </si>
  <si>
    <t>A1.427</t>
  </si>
  <si>
    <t>A1.428</t>
  </si>
  <si>
    <t>A1.429</t>
  </si>
  <si>
    <t>A1.430</t>
  </si>
  <si>
    <t>A1.431</t>
  </si>
  <si>
    <t>A1.432</t>
  </si>
  <si>
    <t>A1.433</t>
  </si>
  <si>
    <t>C0.001</t>
  </si>
  <si>
    <t>C0.002</t>
  </si>
  <si>
    <t>C0.003</t>
  </si>
  <si>
    <t>C0.004</t>
  </si>
  <si>
    <t>C0.005</t>
  </si>
  <si>
    <t>C0.006</t>
  </si>
  <si>
    <t>C0.007</t>
  </si>
  <si>
    <t>C0.008</t>
  </si>
  <si>
    <t>C0.009</t>
  </si>
  <si>
    <t>C0.010</t>
  </si>
  <si>
    <t>C0.011</t>
  </si>
  <si>
    <t>C0.012</t>
  </si>
  <si>
    <t>C0.014</t>
  </si>
  <si>
    <t>C0.015</t>
  </si>
  <si>
    <t>C0.016</t>
  </si>
  <si>
    <t>C0.101</t>
  </si>
  <si>
    <t>C0.102</t>
  </si>
  <si>
    <t>C0.103</t>
  </si>
  <si>
    <t>C0.105</t>
  </si>
  <si>
    <t>C0.106</t>
  </si>
  <si>
    <t>C0.108</t>
  </si>
  <si>
    <t>C0.110</t>
  </si>
  <si>
    <t>C0.111</t>
  </si>
  <si>
    <t>C0.112</t>
  </si>
  <si>
    <t>C0.113</t>
  </si>
  <si>
    <t>C0.115</t>
  </si>
  <si>
    <t>C0.116</t>
  </si>
  <si>
    <t>C1.001</t>
  </si>
  <si>
    <t>C1.002</t>
  </si>
  <si>
    <t>C1.003</t>
  </si>
  <si>
    <t>C1.004</t>
  </si>
  <si>
    <t>C1.005</t>
  </si>
  <si>
    <t>C1.006</t>
  </si>
  <si>
    <t>C1.007</t>
  </si>
  <si>
    <t>C1.008</t>
  </si>
  <si>
    <t>C1.022</t>
  </si>
  <si>
    <t>C1.101</t>
  </si>
  <si>
    <t>C1.102</t>
  </si>
  <si>
    <t>C1.103</t>
  </si>
  <si>
    <t>C1.105</t>
  </si>
  <si>
    <t>C1.106</t>
  </si>
  <si>
    <t>C1.107</t>
  </si>
  <si>
    <t>C1.108</t>
  </si>
  <si>
    <t>C1.109</t>
  </si>
  <si>
    <t>C1.010</t>
  </si>
  <si>
    <t>C1.011</t>
  </si>
  <si>
    <t>C1.012</t>
  </si>
  <si>
    <t>C1.013</t>
  </si>
  <si>
    <t>C1.014</t>
  </si>
  <si>
    <t>C1.015</t>
  </si>
  <si>
    <t>C1.016</t>
  </si>
  <si>
    <t>C1.017</t>
  </si>
  <si>
    <t>C1.018</t>
  </si>
  <si>
    <t>C1.019</t>
  </si>
  <si>
    <t>C1.020</t>
  </si>
  <si>
    <t>C1.021</t>
  </si>
  <si>
    <t>C1.110</t>
  </si>
  <si>
    <t>C1.111</t>
  </si>
  <si>
    <t>C1.112</t>
  </si>
  <si>
    <t>C1.113</t>
  </si>
  <si>
    <t>C1.114</t>
  </si>
  <si>
    <t>C1.115</t>
  </si>
  <si>
    <t>C1.116</t>
  </si>
  <si>
    <t>C1.117</t>
  </si>
  <si>
    <t>C1.118</t>
  </si>
  <si>
    <t>C1.119</t>
  </si>
  <si>
    <t>C1.120</t>
  </si>
  <si>
    <t>B0.03</t>
  </si>
  <si>
    <t>B1.02</t>
  </si>
  <si>
    <t>B1.04</t>
  </si>
  <si>
    <t>B1.05</t>
  </si>
  <si>
    <t>B1.06</t>
  </si>
  <si>
    <t>B0.01</t>
  </si>
  <si>
    <t>B0.02</t>
  </si>
  <si>
    <t>B0.04</t>
  </si>
  <si>
    <t>B0.06</t>
  </si>
  <si>
    <t>B0.09</t>
  </si>
  <si>
    <t>B0.23</t>
  </si>
  <si>
    <t>B0.24</t>
  </si>
  <si>
    <t>B0.25</t>
  </si>
  <si>
    <t>B0.26</t>
  </si>
  <si>
    <t>B0.27</t>
  </si>
  <si>
    <t>B0.28</t>
  </si>
  <si>
    <t>B0.29</t>
  </si>
  <si>
    <t>B0.30</t>
  </si>
  <si>
    <t>B0.31</t>
  </si>
  <si>
    <t>B0.32/B0.33</t>
  </si>
  <si>
    <t>B0.34</t>
  </si>
  <si>
    <t>B0.35</t>
  </si>
  <si>
    <t>B0.36</t>
  </si>
  <si>
    <t>B0.37</t>
  </si>
  <si>
    <t>B0.38</t>
  </si>
  <si>
    <t>B0.39</t>
  </si>
  <si>
    <t>B0.40</t>
  </si>
  <si>
    <t>B0.41</t>
  </si>
  <si>
    <t>B0.42</t>
  </si>
  <si>
    <t>B0.43</t>
  </si>
  <si>
    <t>B0.44</t>
  </si>
  <si>
    <t>B1.01</t>
  </si>
  <si>
    <t>B1.03</t>
  </si>
  <si>
    <t>B1.07</t>
  </si>
  <si>
    <t>B1.08</t>
  </si>
  <si>
    <t>B1.09</t>
  </si>
  <si>
    <t>B1.17</t>
  </si>
  <si>
    <t>B1.18</t>
  </si>
  <si>
    <t>B1.19</t>
  </si>
  <si>
    <t>B1.20</t>
  </si>
  <si>
    <t>B1.21</t>
  </si>
  <si>
    <t>B1.22</t>
  </si>
  <si>
    <t>B1.23</t>
  </si>
  <si>
    <t>B1.24</t>
  </si>
  <si>
    <t>E0.01</t>
  </si>
  <si>
    <t>E0.02</t>
  </si>
  <si>
    <t>E0.02A</t>
  </si>
  <si>
    <t>E0.03</t>
  </si>
  <si>
    <t>E0.3a</t>
  </si>
  <si>
    <t>E0.3b</t>
  </si>
  <si>
    <t>E0.04</t>
  </si>
  <si>
    <t>E0.05</t>
  </si>
  <si>
    <t>E0.06</t>
  </si>
  <si>
    <t>E0.07</t>
  </si>
  <si>
    <t>E0.08A</t>
  </si>
  <si>
    <t>E0.08B</t>
  </si>
  <si>
    <t>E0.08C</t>
  </si>
  <si>
    <t>E0.08D</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</si>
  <si>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</si>
  <si>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</si>
  <si>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</si>
  <si>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</si>
  <si>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</si>
  <si>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</si>
  <si>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</si>
  <si>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</si>
  <si>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</si>
  <si>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</si>
  <si>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</si>
  <si>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</si>
  <si>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</si>
  <si>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</si>
  <si>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</si>
  <si>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</si>
  <si>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</si>
  <si>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</si>
  <si>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</si>
  <si>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</si>
  <si>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</si>
  <si>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</si>
  <si>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E0.31</t>
  </si>
  <si>
    <t>E0.32</t>
  </si>
  <si>
    <t>E.032a</t>
  </si>
  <si>
    <t>E0.33</t>
  </si>
  <si>
    <t>E0.34</t>
  </si>
  <si>
    <t>E0.35</t>
  </si>
  <si>
    <t>E0.36</t>
  </si>
  <si>
    <t>E0.37</t>
  </si>
  <si>
    <t>E0.38</t>
  </si>
  <si>
    <t>D0.01A</t>
  </si>
  <si>
    <t>D0.01B</t>
  </si>
  <si>
    <t>D0.02A</t>
  </si>
  <si>
    <t>D0.02B</t>
  </si>
  <si>
    <t>D0.03</t>
  </si>
  <si>
    <t>D0.04A</t>
  </si>
  <si>
    <t>D0.04B</t>
  </si>
  <si>
    <t>D0.05</t>
  </si>
  <si>
    <t>D0.06</t>
  </si>
  <si>
    <t>D0.07</t>
  </si>
  <si>
    <t>D0.07a</t>
  </si>
  <si>
    <t>D0.08</t>
  </si>
  <si>
    <t>D0.11</t>
  </si>
  <si>
    <t>D0.14</t>
  </si>
  <si>
    <t>D0.16</t>
  </si>
  <si>
    <t>D0.17</t>
  </si>
  <si>
    <t>D0.18</t>
  </si>
  <si>
    <t>D0.18A</t>
  </si>
  <si>
    <t>D0.18B</t>
  </si>
  <si>
    <t>D0.18C</t>
  </si>
  <si>
    <t>D0.19</t>
  </si>
  <si>
    <t>D0.20</t>
  </si>
  <si>
    <t>D0.21</t>
  </si>
  <si>
    <t>D0.22</t>
  </si>
  <si>
    <t>D0.22A</t>
  </si>
  <si>
    <t>D0.22B</t>
  </si>
  <si>
    <t>D0.22C</t>
  </si>
  <si>
    <t>D0.22D</t>
  </si>
  <si>
    <t>D0.22E</t>
  </si>
  <si>
    <t>D0.23</t>
  </si>
  <si>
    <t>D1.</t>
  </si>
  <si>
    <t>D1.01</t>
  </si>
  <si>
    <t>D1.01A</t>
  </si>
  <si>
    <t>D1.04</t>
  </si>
  <si>
    <t>D1.04A</t>
  </si>
  <si>
    <t>D1.04B</t>
  </si>
  <si>
    <t>D1.05</t>
  </si>
  <si>
    <t>D1.06</t>
  </si>
  <si>
    <t>D1.07</t>
  </si>
  <si>
    <t>D1.08</t>
  </si>
  <si>
    <t>D1.09</t>
  </si>
  <si>
    <t>D1.13</t>
  </si>
  <si>
    <t>D1.15</t>
  </si>
  <si>
    <t>D1.16</t>
  </si>
  <si>
    <t>D1.17</t>
  </si>
  <si>
    <t xml:space="preserve">A0.01 </t>
  </si>
  <si>
    <t>A0.09</t>
  </si>
  <si>
    <t>A0.10</t>
  </si>
  <si>
    <t>A0.11</t>
  </si>
  <si>
    <t>A0.12</t>
  </si>
  <si>
    <t>A0.13</t>
  </si>
  <si>
    <t>A0.14</t>
  </si>
  <si>
    <t>A0.15</t>
  </si>
  <si>
    <t>A0.16</t>
  </si>
  <si>
    <t>A0.17</t>
  </si>
  <si>
    <t>A0.18</t>
  </si>
  <si>
    <t>A0.19</t>
  </si>
  <si>
    <t>A0.20</t>
  </si>
  <si>
    <t>A0.21</t>
  </si>
  <si>
    <t>A0.22</t>
  </si>
  <si>
    <t>A0.23</t>
  </si>
  <si>
    <t>A0.24</t>
  </si>
  <si>
    <t>A0.25</t>
  </si>
  <si>
    <t>A0.26</t>
  </si>
  <si>
    <t>A0.27</t>
  </si>
  <si>
    <t>A0.28</t>
  </si>
  <si>
    <t xml:space="preserve">B0.01 </t>
  </si>
  <si>
    <t>B0.05</t>
  </si>
  <si>
    <t>B0.08</t>
  </si>
  <si>
    <t xml:space="preserve">C0.01 </t>
  </si>
  <si>
    <t>C0.02</t>
  </si>
  <si>
    <t>C0.03</t>
  </si>
  <si>
    <t>C0.04</t>
  </si>
  <si>
    <t>C0.05</t>
  </si>
  <si>
    <t>C0.06</t>
  </si>
  <si>
    <t>C0.07</t>
  </si>
  <si>
    <t>C0.08</t>
  </si>
  <si>
    <t>C0.09</t>
  </si>
  <si>
    <t>C0.11</t>
  </si>
  <si>
    <t>D0.01</t>
  </si>
  <si>
    <t>E1.01</t>
  </si>
  <si>
    <t>E1.02</t>
  </si>
  <si>
    <t>E1.03</t>
  </si>
  <si>
    <t>E1.04</t>
  </si>
  <si>
    <t>E1.05</t>
  </si>
  <si>
    <t>E1.06</t>
  </si>
  <si>
    <t>E1.07</t>
  </si>
  <si>
    <t>E1.08</t>
  </si>
  <si>
    <t>E1.09</t>
  </si>
  <si>
    <t>G0.001</t>
  </si>
  <si>
    <t>G0.002</t>
  </si>
  <si>
    <t>G0.006</t>
  </si>
  <si>
    <t>G0.008</t>
  </si>
  <si>
    <t>G0.015</t>
  </si>
  <si>
    <t>F0.01</t>
  </si>
  <si>
    <t>F0.02</t>
  </si>
  <si>
    <t>F0.03</t>
  </si>
  <si>
    <t>F0.04</t>
  </si>
  <si>
    <t>F0.05</t>
  </si>
  <si>
    <t>F0.06</t>
  </si>
  <si>
    <t>F0.07</t>
  </si>
  <si>
    <t>F0.08</t>
  </si>
  <si>
    <t>F0.09</t>
  </si>
  <si>
    <t>F0.10</t>
  </si>
  <si>
    <t>F0.11</t>
  </si>
  <si>
    <t>F0.14</t>
  </si>
  <si>
    <t>F0.15</t>
  </si>
  <si>
    <t>F0.16</t>
  </si>
  <si>
    <t>F0.17</t>
  </si>
  <si>
    <t>F0.18</t>
  </si>
  <si>
    <t>F0.19</t>
  </si>
  <si>
    <t>F0.20</t>
  </si>
  <si>
    <t>F0.21</t>
  </si>
  <si>
    <t>F0.22</t>
  </si>
  <si>
    <t>F0.23</t>
  </si>
  <si>
    <t>F1.01</t>
  </si>
  <si>
    <t>F1.02</t>
  </si>
  <si>
    <t>F1.03</t>
  </si>
  <si>
    <t>F1.04</t>
  </si>
  <si>
    <t>F1.05</t>
  </si>
  <si>
    <t>F1.05A</t>
  </si>
  <si>
    <t>F1.06</t>
  </si>
  <si>
    <t>F1.07</t>
  </si>
  <si>
    <t>F1.08</t>
  </si>
  <si>
    <t>F1.09</t>
  </si>
  <si>
    <t>Binnenstraat gang</t>
  </si>
  <si>
    <t>Wachten bezoek</t>
  </si>
  <si>
    <t>Portier</t>
  </si>
  <si>
    <t>Calamiteitendesk</t>
  </si>
  <si>
    <t>Techniekportier/cp</t>
  </si>
  <si>
    <t>Toilet</t>
  </si>
  <si>
    <t>Sluis</t>
  </si>
  <si>
    <t>Vergaderruimte</t>
  </si>
  <si>
    <t>Voorruimte Toiletten</t>
  </si>
  <si>
    <t xml:space="preserve">Toilet Invaliden </t>
  </si>
  <si>
    <t>Gang</t>
  </si>
  <si>
    <t>Kantoor/hoofd cp</t>
  </si>
  <si>
    <t>Kantoor</t>
  </si>
  <si>
    <t>Pantry</t>
  </si>
  <si>
    <t xml:space="preserve">Kopieerruimte </t>
  </si>
  <si>
    <t>Wachtruimte</t>
  </si>
  <si>
    <t>Technische ruimte</t>
  </si>
  <si>
    <t>portaal therapie</t>
  </si>
  <si>
    <t>Therapie</t>
  </si>
  <si>
    <t>Kleedruimte</t>
  </si>
  <si>
    <t>douches</t>
  </si>
  <si>
    <t>Gasflessen</t>
  </si>
  <si>
    <t>Sportzaal</t>
  </si>
  <si>
    <t>Toezichtsport</t>
  </si>
  <si>
    <t>Berging</t>
  </si>
  <si>
    <t>Berging sporttoestellen</t>
  </si>
  <si>
    <t>Trap</t>
  </si>
  <si>
    <t>Techniek opslag</t>
  </si>
  <si>
    <t>Afdelingshoofd</t>
  </si>
  <si>
    <t>Portaal fitness</t>
  </si>
  <si>
    <t>fitnesruimte</t>
  </si>
  <si>
    <t>Werkkast</t>
  </si>
  <si>
    <t>Spreekkamer</t>
  </si>
  <si>
    <t>Tochtsluis</t>
  </si>
  <si>
    <t>Portaal</t>
  </si>
  <si>
    <t>Winkel</t>
  </si>
  <si>
    <t>Sparruimte</t>
  </si>
  <si>
    <t>Opslag</t>
  </si>
  <si>
    <t>Lift</t>
  </si>
  <si>
    <t xml:space="preserve">entree( 2m borstelmat) </t>
  </si>
  <si>
    <t>Biometrie</t>
  </si>
  <si>
    <t>Visitatie is incl. wc 1,5 m2 en douche 1,5 m2</t>
  </si>
  <si>
    <t>Containers</t>
  </si>
  <si>
    <t>Kantoor/Vergaderruimte</t>
  </si>
  <si>
    <t>Kantoor/Flexpekken</t>
  </si>
  <si>
    <t xml:space="preserve">Kantoor </t>
  </si>
  <si>
    <t>Patch ruimte</t>
  </si>
  <si>
    <t>Tandarts</t>
  </si>
  <si>
    <t>Verpleegkundige/spreekkamer arts</t>
  </si>
  <si>
    <t>Onderzoekkamer arts</t>
  </si>
  <si>
    <t>Opname/fouilleer</t>
  </si>
  <si>
    <t>PZI sleuteluitgifte</t>
  </si>
  <si>
    <t>MIVA(sanitair)</t>
  </si>
  <si>
    <t>Entree</t>
  </si>
  <si>
    <t>Hal voor detectie</t>
  </si>
  <si>
    <t>Hal na detectie</t>
  </si>
  <si>
    <t>Gang voor de sl.kamers</t>
  </si>
  <si>
    <t>Linnenkamer</t>
  </si>
  <si>
    <t xml:space="preserve">Berging </t>
  </si>
  <si>
    <t>Time-out kamer</t>
  </si>
  <si>
    <t>Zit-Slaapkamer</t>
  </si>
  <si>
    <t>Douches</t>
  </si>
  <si>
    <t>Speelruimte</t>
  </si>
  <si>
    <t>Groepsruimte</t>
  </si>
  <si>
    <t>Teamkamer</t>
  </si>
  <si>
    <t>Bijkeuken</t>
  </si>
  <si>
    <t xml:space="preserve">Badkamer </t>
  </si>
  <si>
    <t>Loggia</t>
  </si>
  <si>
    <t>Afzondering</t>
  </si>
  <si>
    <t>voorruimte WC</t>
  </si>
  <si>
    <t>Keuken</t>
  </si>
  <si>
    <t>Kast</t>
  </si>
  <si>
    <t>MK</t>
  </si>
  <si>
    <t>WDR/Linnen+WK</t>
  </si>
  <si>
    <t>BHV kast</t>
  </si>
  <si>
    <t xml:space="preserve">kast </t>
  </si>
  <si>
    <t>Toilet medewerkers</t>
  </si>
  <si>
    <t>Zit-slaapkamer</t>
  </si>
  <si>
    <t>Mk</t>
  </si>
  <si>
    <t>Binnenstraat Gang</t>
  </si>
  <si>
    <t>hal</t>
  </si>
  <si>
    <t>Kantoor onderwijs schoolhoofd</t>
  </si>
  <si>
    <t>Vaklokaal metaal</t>
  </si>
  <si>
    <t>Portaal metaal</t>
  </si>
  <si>
    <t xml:space="preserve">Theorie Lokaal </t>
  </si>
  <si>
    <t>kast?</t>
  </si>
  <si>
    <t>Leslokaal</t>
  </si>
  <si>
    <t>Trappenhuis</t>
  </si>
  <si>
    <t>Portaal/gang</t>
  </si>
  <si>
    <t>Stiltecentrum</t>
  </si>
  <si>
    <t>Toilet en voorruimte</t>
  </si>
  <si>
    <t>Techniek ruimte</t>
  </si>
  <si>
    <t>CV ruimte</t>
  </si>
  <si>
    <t xml:space="preserve">Muzieklokaal </t>
  </si>
  <si>
    <t xml:space="preserve">Trap </t>
  </si>
  <si>
    <t>Drama</t>
  </si>
  <si>
    <t>Lokaal creatieve expressie</t>
  </si>
  <si>
    <t>Trappenhuis midden</t>
  </si>
  <si>
    <t>kantoor onderwijs</t>
  </si>
  <si>
    <t>kantoor onderwijs coordinator</t>
  </si>
  <si>
    <t>Bibliotheek onderwijs</t>
  </si>
  <si>
    <t>Docentenkamer</t>
  </si>
  <si>
    <t>Noodstroomaggregaat</t>
  </si>
  <si>
    <t>CV Installatie</t>
  </si>
  <si>
    <t>Goederenlift</t>
  </si>
  <si>
    <t>Kantine</t>
  </si>
  <si>
    <t>kantoor onderwijs administratie</t>
  </si>
  <si>
    <t>Douches en toilet</t>
  </si>
  <si>
    <t xml:space="preserve">Loggia </t>
  </si>
  <si>
    <t>Time- out</t>
  </si>
  <si>
    <t>Onderwijs RT ruimte</t>
  </si>
  <si>
    <t>dames wc</t>
  </si>
  <si>
    <t xml:space="preserve">heren wc </t>
  </si>
  <si>
    <t>cv berg</t>
  </si>
  <si>
    <t>receptie supervisie</t>
  </si>
  <si>
    <t>trap</t>
  </si>
  <si>
    <t>washok</t>
  </si>
  <si>
    <t>hobby-fietsenruimte</t>
  </si>
  <si>
    <t>team-kamer</t>
  </si>
  <si>
    <t>woonkamer</t>
  </si>
  <si>
    <t>Cv ruimte</t>
  </si>
  <si>
    <t>bijkeuken</t>
  </si>
  <si>
    <t xml:space="preserve">toilet </t>
  </si>
  <si>
    <t>badkamer</t>
  </si>
  <si>
    <t>isoleer</t>
  </si>
  <si>
    <t xml:space="preserve">badkamer </t>
  </si>
  <si>
    <t>portaal</t>
  </si>
  <si>
    <t>gangzone</t>
  </si>
  <si>
    <t>therapie/spreekkamer</t>
  </si>
  <si>
    <t>techniek</t>
  </si>
  <si>
    <t>zit- slaapkamer</t>
  </si>
  <si>
    <t>wisseldienstkamer</t>
  </si>
  <si>
    <t>zit-/slaapkamer</t>
  </si>
  <si>
    <t>slaapkamer</t>
  </si>
  <si>
    <t>damestoilet</t>
  </si>
  <si>
    <t>voorruimte damestoilet</t>
  </si>
  <si>
    <t>techniek computer</t>
  </si>
  <si>
    <t>systeembeheer</t>
  </si>
  <si>
    <t>Berging/winkeltje</t>
  </si>
  <si>
    <t>Berging/Magazijn</t>
  </si>
  <si>
    <t>Ketelhuis</t>
  </si>
  <si>
    <t>Archief</t>
  </si>
  <si>
    <t>Washok</t>
  </si>
  <si>
    <t>herentoilet</t>
  </si>
  <si>
    <t>voorruimte herentoilet</t>
  </si>
  <si>
    <t>kantoor AHPZ</t>
  </si>
  <si>
    <t>kantoor PZ</t>
  </si>
  <si>
    <t>Hal</t>
  </si>
  <si>
    <t>Woonkamer</t>
  </si>
  <si>
    <t>Berging/bijkeuken</t>
  </si>
  <si>
    <t>voorruimte sanitair</t>
  </si>
  <si>
    <t>Time-out</t>
  </si>
  <si>
    <t xml:space="preserve">voorruimte </t>
  </si>
  <si>
    <t>Hobbyruimte</t>
  </si>
  <si>
    <t>Entrée</t>
  </si>
  <si>
    <t>Groepsverblijf</t>
  </si>
  <si>
    <t>was/droogruimte</t>
  </si>
  <si>
    <t>Slaapkamer</t>
  </si>
  <si>
    <t>therapie</t>
  </si>
  <si>
    <t>Sanitair (voorheen kantoor)</t>
  </si>
  <si>
    <t>Gang/verkeersruimte</t>
  </si>
  <si>
    <t>Telefoon</t>
  </si>
  <si>
    <t>Multifunctioneleruimte</t>
  </si>
  <si>
    <t>Wasruimte</t>
  </si>
  <si>
    <t>Douche</t>
  </si>
  <si>
    <t>Entreehal</t>
  </si>
  <si>
    <t>Voorruimte Toilet</t>
  </si>
  <si>
    <t xml:space="preserve">Techniek </t>
  </si>
  <si>
    <t>Verkeersruimte/Gang</t>
  </si>
  <si>
    <t xml:space="preserve">Kantine </t>
  </si>
  <si>
    <t>Pantry/Doka</t>
  </si>
  <si>
    <t>urinoirs</t>
  </si>
  <si>
    <t>kleedruimte 2</t>
  </si>
  <si>
    <t>kleedruimte 1</t>
  </si>
  <si>
    <t>doucheruimte</t>
  </si>
  <si>
    <t>Sauna</t>
  </si>
  <si>
    <t>squasbaan</t>
  </si>
  <si>
    <t>sportzaal / aula</t>
  </si>
  <si>
    <t>sparruimte</t>
  </si>
  <si>
    <t>Materiaal Berging</t>
  </si>
  <si>
    <t>Schakelkast</t>
  </si>
  <si>
    <t>fitnessruimte</t>
  </si>
  <si>
    <t>CV Techniek</t>
  </si>
  <si>
    <t>muziektherapie</t>
  </si>
  <si>
    <t>sluis</t>
  </si>
  <si>
    <t>dramaruimte</t>
  </si>
  <si>
    <t>Balkon</t>
  </si>
  <si>
    <t>Bolidt</t>
  </si>
  <si>
    <t>hout</t>
  </si>
  <si>
    <t>Mat</t>
  </si>
  <si>
    <t>Borstelmat</t>
  </si>
  <si>
    <t>Steen</t>
  </si>
  <si>
    <t>Hout</t>
  </si>
  <si>
    <t>pvc</t>
  </si>
  <si>
    <t>pcv</t>
  </si>
  <si>
    <t>inloopmat</t>
  </si>
  <si>
    <t>tegel</t>
  </si>
  <si>
    <t>tapijt/schoonloop</t>
  </si>
  <si>
    <t>Tarket</t>
  </si>
  <si>
    <t>Inloopmat/Steen</t>
  </si>
  <si>
    <t>mat</t>
  </si>
  <si>
    <t>entree, gang, hal, repro, kopieer, was/droogruimte</t>
  </si>
  <si>
    <t>Kerkstraat 51</t>
  </si>
  <si>
    <t>Harreveld</t>
  </si>
  <si>
    <t>Horizon Kantoor</t>
  </si>
  <si>
    <t>Opgenomen m2 in Atlantis 1C</t>
  </si>
  <si>
    <t>Waarvan buitenzijde 573m2 met tralies</t>
  </si>
  <si>
    <t>Opgenomen m2 in Anker A</t>
  </si>
  <si>
    <t>Geestelijke verzorging binnenzijde met tralies</t>
  </si>
  <si>
    <t>Waarvan 1e verd. buitenzijde 48 m2 ladder</t>
  </si>
  <si>
    <t>Opgenomen m2 in Omega groep 1 L</t>
  </si>
  <si>
    <t>m2 spiegels enkelzijdig</t>
  </si>
  <si>
    <t>Horizon Sportzaal</t>
  </si>
  <si>
    <t>Kosten per jaar spiegelglas</t>
  </si>
  <si>
    <t>uren per jaar buitenglas</t>
  </si>
  <si>
    <t>uren per jaar binnenglas</t>
  </si>
  <si>
    <t>uren per jaar separatieglas</t>
  </si>
  <si>
    <t>€ per m2 spiegelglas</t>
  </si>
  <si>
    <t>m2 binnenglas</t>
  </si>
  <si>
    <t>2 x per week - 51 weken</t>
  </si>
  <si>
    <t>3 x per week - 51 weken</t>
  </si>
  <si>
    <t>5 x per week - 51 weken</t>
  </si>
  <si>
    <t>Hoge en lage koelkasten</t>
  </si>
  <si>
    <t>Klein model</t>
  </si>
  <si>
    <t>Groot model</t>
  </si>
  <si>
    <t>&lt;5</t>
  </si>
  <si>
    <t>6. - 10</t>
  </si>
  <si>
    <t>11. - 15</t>
  </si>
  <si>
    <t>&gt;15</t>
  </si>
  <si>
    <t>Adres</t>
  </si>
  <si>
    <t>Productienorm</t>
  </si>
  <si>
    <t>m2/p uur buitenglas</t>
  </si>
  <si>
    <t>m2/p uur binnenglas</t>
  </si>
  <si>
    <t>m2/p uur separatieglas</t>
  </si>
  <si>
    <t>m2/p uur spiegelglas</t>
  </si>
  <si>
    <t>Totaal oppervlakte binnen-/ buiten-/ en separatieglas/bebording</t>
  </si>
  <si>
    <t>3 x per week - 40 weken</t>
  </si>
  <si>
    <t>1 x per week - 51 weken</t>
  </si>
  <si>
    <t>1 x per maand</t>
  </si>
  <si>
    <t>op afroep</t>
  </si>
  <si>
    <t>Keuken (keuken)</t>
  </si>
  <si>
    <t>keuken (keuken)</t>
  </si>
  <si>
    <t>F0.12-13</t>
  </si>
  <si>
    <t>n.i.o.</t>
  </si>
  <si>
    <t>Sp</t>
  </si>
  <si>
    <t>gymzaal (berging)</t>
  </si>
  <si>
    <t>fiitness</t>
  </si>
  <si>
    <t>Calculatie code</t>
  </si>
  <si>
    <t>2 x per week - 45 weken</t>
  </si>
  <si>
    <t>5 x per week - 45 weken</t>
  </si>
  <si>
    <t>8 x per jaar</t>
  </si>
  <si>
    <t>Afroep</t>
  </si>
  <si>
    <t>afroep</t>
  </si>
  <si>
    <t>kengetal 12 weken 3 x per week invoeren in kolom kengetal periodiek</t>
  </si>
  <si>
    <t>2+5%</t>
  </si>
  <si>
    <t>Horizon Anker Kompas 1 gebouw A</t>
  </si>
  <si>
    <t>Horizon Anker Lagune 1 gebouw A</t>
  </si>
  <si>
    <t>Horizon Anker Lagune 2 gebouw A</t>
  </si>
  <si>
    <t>Horizon Anker Openbare ruimte gebouw A</t>
  </si>
  <si>
    <t>Horizon Anker Einder 1 gebouw A</t>
  </si>
  <si>
    <t>Horizon Anker Meander 1 gebouw A</t>
  </si>
  <si>
    <t>Horizon Anker School gebouw A</t>
  </si>
  <si>
    <t>Horizon Anker Kompas 2 gebouw A</t>
  </si>
  <si>
    <t>Horizon Anker Einder 2 gebouw A</t>
  </si>
  <si>
    <t>Horizon Anker Meander 2 gebouw A</t>
  </si>
  <si>
    <t>Horizon Anker A gebouw A</t>
  </si>
  <si>
    <t>Horizon Prisma Atlantis 1 gebouw C</t>
  </si>
  <si>
    <t>Horizon Prisma Atlantis 2 gebouw C</t>
  </si>
  <si>
    <t>Horizon Prisma Delta gebouw B</t>
  </si>
  <si>
    <t>Horizon Prisma Lichtboei gebouw E</t>
  </si>
  <si>
    <t>Horizon Prisma Boerderij gebouw D</t>
  </si>
  <si>
    <t>Horizon Prisma Gebouw Onderhoud gebouw G</t>
  </si>
  <si>
    <t>Horizon Prisma Multifunctioneel gebouw F</t>
  </si>
  <si>
    <t>Horizon Onderwijs</t>
  </si>
  <si>
    <t>Horizon Zorg</t>
  </si>
  <si>
    <t>2 x per week - 40 weken</t>
  </si>
  <si>
    <t>Horizon Anker Tuinkantoor gebouw S</t>
  </si>
  <si>
    <t>speellokaal</t>
  </si>
  <si>
    <t>Groep 1</t>
  </si>
  <si>
    <t>Groep 2</t>
  </si>
  <si>
    <t>Groep 3</t>
  </si>
  <si>
    <t>Centrale hal</t>
  </si>
  <si>
    <t>Horizon Prisma Omega gebouw L</t>
  </si>
  <si>
    <t>Centrale hal Waarvan Entree en dakraam binnenzijde (ladderwerk) 47m2 en Entree, dakraam en eerste etage (ladderwerk) 64m2</t>
  </si>
  <si>
    <t xml:space="preserve">5 x per week - 40 weken + 3 x per week 11 weken </t>
  </si>
  <si>
    <t>Totaal vloeroppervlak</t>
  </si>
  <si>
    <t>Oplever-staat code</t>
  </si>
  <si>
    <t>Dieptereiniging keuken</t>
  </si>
  <si>
    <t>Prijs in € per M2 in staffelvorm</t>
  </si>
  <si>
    <t>&lt;25</t>
  </si>
  <si>
    <t>&gt;75</t>
  </si>
  <si>
    <t>46-75</t>
  </si>
  <si>
    <t>26-45</t>
  </si>
  <si>
    <t>FREQ. NOTA-TIE</t>
  </si>
  <si>
    <t>keuken (School2Care)</t>
  </si>
  <si>
    <t>5 x per week - 42 weken</t>
  </si>
  <si>
    <t>Volgens programmacode Op Afroep</t>
  </si>
  <si>
    <t>Zie Bijlage E</t>
  </si>
  <si>
    <t>Buitenterrein</t>
  </si>
  <si>
    <t>Buitenterrein (o.a. fietsenstalling, speelplein, etc.)</t>
  </si>
  <si>
    <t>Verwijderen van zwerfvuil en asbakken legen</t>
  </si>
  <si>
    <t>Vegen</t>
  </si>
  <si>
    <t>&gt;501 m2</t>
  </si>
  <si>
    <t>In- en extern stof- en vlekvrij maken</t>
  </si>
  <si>
    <t>Toetsenbord en muis</t>
  </si>
  <si>
    <t>Uitwendig reinigen</t>
  </si>
  <si>
    <t>Alleen vloeronderhoud</t>
  </si>
  <si>
    <t>Perceel 3</t>
  </si>
  <si>
    <t>180417 V2</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</si>
</sst>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3" formatCode="_(* #,##0.00_);_(* \(#,##0.00\);_(* &quot;-&quot;??_);_(@_)"/>
    <numFmt numFmtId="164" formatCode="_-* #,##0_-;_-* #,##0\-;_-* &quot;-&quot;_-;_-@_-"/>
    <numFmt numFmtId="165" formatCode="_-* #,##0.00_-;_-* #,##0.00\-;_-* &quot;-&quot;??_-;_-@_-"/>
    <numFmt numFmtId="166" formatCode="_(&quot;€&quot;* #,##0.00_);_(&quot;€&quot;* \(#,##0.00\);_(&quot;€&quot;* &quot;-&quot;??_);_(@_)"/>
    <numFmt numFmtId="167" formatCode="_(&quot;ƒ&quot;* #,##0.00_);_(&quot;ƒ&quot;* \(#,##0.00\);_(&quot;ƒ&quot;* &quot;-&quot;??_);_(@_)"/>
    <numFmt numFmtId="168" formatCode="_-* #,##0.00_-;\-* #,##0.00_-;_-* &quot;-&quot;??_-;_-@_-"/>
    <numFmt numFmtId="169" formatCode="&quot;Fl.&quot;#,##0;\-&quot;Fl.&quot;#,##0"/>
    <numFmt numFmtId="170" formatCode="&quot;Fl.&quot;#,##0;[Red]\-&quot;Fl.&quot;#,##0"/>
    <numFmt numFmtId="171" formatCode="_-&quot;ƒ&quot;\ * #,##0.00_-;_-&quot;ƒ&quot;\ * #,##0.00\-;_-&quot;ƒ&quot;\ * &quot;-&quot;??_-;_-@_-"/>
    <numFmt numFmtId="172" formatCode="0_)"/>
    <numFmt numFmtId="173" formatCode="General_)"/>
    <numFmt numFmtId="174" formatCode="0.00_)"/>
    <numFmt numFmtId="175" formatCode="0.000"/>
    <numFmt numFmtId="176" formatCode="_-* #,##0_-;_-* #,##0\-;_-* &quot;-&quot;??_-;_-@_-"/>
    <numFmt numFmtId="177" formatCode="00,000"/>
    <numFmt numFmtId="178" formatCode="0.0%"/>
    <numFmt numFmtId="179" formatCode="0.0"/>
    <numFmt numFmtId="180" formatCode="#,##0.0"/>
    <numFmt numFmtId="181" formatCode="_-* #,##0.000_-;_-* #,##0.000\-;_-* &quot;-&quot;??_-;_-@_-"/>
    <numFmt numFmtId="182" formatCode="0.000%"/>
    <numFmt numFmtId="183" formatCode="_-[$€-2]\ * #,##0.00_ ;_-[$€-2]\ * \-#,##0.00\ ;_-[$€-2]\ * &quot;-&quot;??_ ;_-@_ "/>
    <numFmt numFmtId="184" formatCode="_([$€-2]\ * #,##0.00_);_([$€-2]\ * \(#,##0.00\);_([$€-2]\ * &quot;-&quot;??_);_(@_)"/>
    <numFmt numFmtId="185" formatCode="#,000"/>
    <numFmt numFmtId="186" formatCode="_-[$€-2]\ * #,##0.00_-;_-[$€-2]\ * #,##0.00\-;_-[$€-2]\ * &quot;-&quot;??_-;_-@_-"/>
    <numFmt numFmtId="187" formatCode="mm/dd/yyyy"/>
    <numFmt numFmtId="188" formatCode="[$-413]d\-mmm\-yy;@"/>
    <numFmt numFmtId="189" formatCode="0.0000000%"/>
    <numFmt numFmtId="190" formatCode="0\ &quot;x per jaar&quot;"/>
    <numFmt numFmtId="191" formatCode="_-[$€-413]\ * #,##0.00_-;_-[$€-413]\ * #,##0.00\-;_-[$€-413]\ * &quot;-&quot;??_-;_-@_-"/>
    <numFmt numFmtId="192" formatCode="[$-413]d/mmm/yy;@"/>
    <numFmt numFmtId="193" formatCode="_(* #,##0.00000_);_(* \(#,##0.00000\);_(* &quot;-&quot;??_);_(@_)"/>
    <numFmt numFmtId="194" formatCode="dd/mmmm/yyyy"/>
  </numFmts>
  <fonts count="93" x14ac:knownFonts="1">
    <font>
      <sz val="10"/>
      <name val="MS Sans Serif"/>
    </font>
    <font>
      <sz val="10"/>
      <color theme="1"/>
      <name val="Verdana"/>
      <family val="2"/>
    </font>
    <font>
      <sz val="10"/>
      <color theme="1"/>
      <name val="Verdana"/>
      <family val="2"/>
      <charset val="134"/>
    </font>
    <font>
      <sz val="10"/>
      <color theme="1"/>
      <name val="Verdana"/>
      <family val="2"/>
      <charset val="134"/>
    </font>
    <font>
      <sz val="10"/>
      <color theme="1"/>
      <name val="Verdana"/>
      <family val="2"/>
    </font>
    <font>
      <b/>
      <sz val="10"/>
      <name val="MS Sans Serif"/>
    </font>
    <font>
      <sz val="10"/>
      <name val="MS Sans Serif"/>
    </font>
    <font>
      <sz val="10"/>
      <name val="Helvetica"/>
    </font>
    <font>
      <sz val="10"/>
      <name val="Times"/>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ont>
    <font>
      <sz val="10"/>
      <color indexed="8"/>
      <name val="Verdana"/>
      <family val="2"/>
    </font>
    <font>
      <b/>
      <sz val="10"/>
      <color indexed="18"/>
      <name val="Verdana"/>
      <family val="2"/>
    </font>
    <font>
      <sz val="10"/>
      <color indexed="18"/>
      <name val="Verdana"/>
      <family val="2"/>
    </font>
    <font>
      <sz val="12"/>
      <name val="Verdana"/>
    </font>
    <font>
      <b/>
      <sz val="10"/>
      <color indexed="20"/>
      <name val="Verdana"/>
      <family val="2"/>
    </font>
    <font>
      <b/>
      <sz val="10"/>
      <color indexed="8"/>
      <name val="Verdana"/>
      <family val="2"/>
    </font>
    <font>
      <b/>
      <sz val="12"/>
      <name val="Verdana"/>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amily val="2"/>
    </font>
    <font>
      <b/>
      <sz val="12"/>
      <color indexed="63"/>
      <name val="Verdana"/>
    </font>
    <font>
      <sz val="12"/>
      <color indexed="63"/>
      <name val="Verdana"/>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ont>
    <font>
      <i/>
      <sz val="10"/>
      <name val="Verdana"/>
      <family val="2"/>
    </font>
    <font>
      <sz val="8"/>
      <name val="Verdana"/>
      <family val="2"/>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amily val="2"/>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amily val="2"/>
    </font>
    <font>
      <b/>
      <i/>
      <sz val="10"/>
      <color indexed="63"/>
      <name val="Verdana"/>
    </font>
    <font>
      <b/>
      <sz val="10"/>
      <color indexed="10"/>
      <name val="Verdana"/>
      <family val="2"/>
    </font>
    <font>
      <sz val="9"/>
      <name val="Verdana"/>
    </font>
    <font>
      <b/>
      <sz val="16"/>
      <name val="Verdana"/>
      <family val="2"/>
    </font>
    <font>
      <b/>
      <sz val="9"/>
      <color indexed="63"/>
      <name val="Verdana"/>
      <family val="2"/>
    </font>
    <font>
      <b/>
      <sz val="14"/>
      <name val="Verdana"/>
    </font>
    <font>
      <b/>
      <sz val="12"/>
      <color theme="1" tint="4.9989318521683403E-2"/>
      <name val="Verdana"/>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ont>
    <font>
      <sz val="10"/>
      <color rgb="FF336699"/>
      <name val="Verdana"/>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0" tint="-0.499984740745262"/>
      <name val="Verdana"/>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ont>
    <font>
      <b/>
      <sz val="14"/>
      <color theme="1" tint="4.9989318521683403E-2"/>
      <name val="Verdana"/>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ont>
    <font>
      <u/>
      <sz val="10"/>
      <color theme="11"/>
      <name val="MS Sans Serif"/>
    </font>
    <font>
      <b/>
      <sz val="10"/>
      <color rgb="FFFF0000"/>
      <name val="MS Sans Serif"/>
    </font>
    <font>
      <sz val="10"/>
      <color rgb="FFFF0000"/>
      <name val="Verdana"/>
    </font>
    <font>
      <sz val="10"/>
      <color rgb="FF000000"/>
      <name val="Verdana"/>
      <family val="2"/>
    </font>
    <font>
      <sz val="10"/>
      <color rgb="FF222222"/>
      <name val="Verdana"/>
    </font>
    <font>
      <b/>
      <sz val="10"/>
      <color indexed="81"/>
      <name val="Verdana"/>
    </font>
    <font>
      <sz val="9"/>
      <color indexed="81"/>
      <name val="Verdana"/>
    </font>
    <font>
      <sz val="10"/>
      <color indexed="81"/>
      <name val="Verdana"/>
    </font>
  </fonts>
  <fills count="23">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26"/>
        <bgColor indexed="64"/>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indexed="23"/>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theme="2" tint="-0.249977111117893"/>
        <bgColor indexed="64"/>
      </patternFill>
    </fill>
    <fill>
      <patternFill patternType="solid">
        <fgColor rgb="FFFABF8F"/>
        <bgColor rgb="FF000000"/>
      </patternFill>
    </fill>
    <fill>
      <patternFill patternType="solid">
        <fgColor rgb="FF008000"/>
        <bgColor indexed="64"/>
      </patternFill>
    </fill>
    <fill>
      <patternFill patternType="solid">
        <fgColor rgb="FFEDECE0"/>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right style="thin">
        <color theme="0" tint="-0.249977111117893"/>
      </right>
      <top style="thin">
        <color theme="0" tint="-0.249977111117893"/>
      </top>
      <bottom style="thin">
        <color rgb="FFFF9933"/>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double">
        <color theme="1" tint="0.14999847407452621"/>
      </left>
      <right/>
      <top style="double">
        <color theme="1" tint="0.14999847407452621"/>
      </top>
      <bottom style="double">
        <color theme="1" tint="0.14999847407452621"/>
      </bottom>
      <diagonal/>
    </border>
    <border>
      <left/>
      <right style="double">
        <color theme="1" tint="0.14999847407452621"/>
      </right>
      <top style="double">
        <color theme="1" tint="0.14999847407452621"/>
      </top>
      <bottom style="double">
        <color theme="1" tint="0.1499984740745262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FF9933"/>
      </left>
      <right style="thin">
        <color theme="0" tint="-0.249977111117893"/>
      </right>
      <top style="thin">
        <color theme="0" tint="-0.249977111117893"/>
      </top>
      <bottom style="thin">
        <color theme="0" tint="-0.249977111117893"/>
      </bottom>
      <diagonal/>
    </border>
    <border>
      <left style="thin">
        <color theme="0" tint="-0.249977111117893"/>
      </left>
      <right style="thin">
        <color rgb="FFFF993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55"/>
      </left>
      <right style="thin">
        <color indexed="55"/>
      </right>
      <top style="thin">
        <color indexed="55"/>
      </top>
      <bottom/>
      <diagonal/>
    </border>
    <border>
      <left style="thin">
        <color theme="0" tint="-0.499984740745262"/>
      </left>
      <right style="thin">
        <color theme="0" tint="-0.499984740745262"/>
      </right>
      <top style="thin">
        <color theme="0" tint="-0.499984740745262"/>
      </top>
      <bottom/>
      <diagonal/>
    </border>
    <border>
      <left/>
      <right/>
      <top style="thin">
        <color auto="1"/>
      </top>
      <bottom/>
      <diagonal/>
    </border>
  </borders>
  <cellStyleXfs count="4044">
    <xf numFmtId="0" fontId="0" fillId="0" borderId="0"/>
    <xf numFmtId="0" fontId="41" fillId="3" borderId="1" applyNumberFormat="0" applyAlignment="0" applyProtection="0"/>
    <xf numFmtId="43" fontId="7" fillId="0" borderId="0" applyFont="0" applyFill="0" applyBorder="0" applyAlignment="0" applyProtection="0"/>
    <xf numFmtId="168" fontId="7"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6" fontId="14" fillId="0" borderId="0" applyFont="0" applyFill="0" applyBorder="0" applyAlignment="0" applyProtection="0"/>
    <xf numFmtId="170" fontId="16" fillId="0" borderId="0"/>
    <xf numFmtId="0" fontId="42" fillId="0" borderId="2" applyNumberFormat="0" applyFill="0" applyAlignment="0" applyProtection="0"/>
    <xf numFmtId="0" fontId="43" fillId="2" borderId="0" applyNumberFormat="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44" fillId="6" borderId="0"/>
    <xf numFmtId="165" fontId="45" fillId="0" borderId="0">
      <alignment horizontal="center" vertical="center" textRotation="90" wrapText="1"/>
    </xf>
    <xf numFmtId="0" fontId="46" fillId="5" borderId="4"/>
    <xf numFmtId="169" fontId="16" fillId="0" borderId="0"/>
    <xf numFmtId="0" fontId="47" fillId="4" borderId="0" applyNumberFormat="0" applyBorder="0" applyAlignment="0" applyProtection="0"/>
    <xf numFmtId="0" fontId="7" fillId="0" borderId="0"/>
    <xf numFmtId="0" fontId="19" fillId="0" borderId="0"/>
    <xf numFmtId="0" fontId="13" fillId="0" borderId="0"/>
    <xf numFmtId="0" fontId="8" fillId="0" borderId="0"/>
    <xf numFmtId="0" fontId="7" fillId="0" borderId="0"/>
    <xf numFmtId="0" fontId="6" fillId="0" borderId="0"/>
    <xf numFmtId="0" fontId="16" fillId="0" borderId="0"/>
    <xf numFmtId="0" fontId="14" fillId="0" borderId="0"/>
    <xf numFmtId="0" fontId="6" fillId="0" borderId="0"/>
    <xf numFmtId="0" fontId="9" fillId="0" borderId="0"/>
    <xf numFmtId="0" fontId="16" fillId="0" borderId="0"/>
    <xf numFmtId="0" fontId="7" fillId="0" borderId="0"/>
    <xf numFmtId="0" fontId="7" fillId="0" borderId="0"/>
    <xf numFmtId="0" fontId="10" fillId="0" borderId="0"/>
    <xf numFmtId="9" fontId="6" fillId="0" borderId="0" applyFont="0" applyFill="0" applyBorder="0" applyAlignment="0" applyProtection="0"/>
    <xf numFmtId="0" fontId="46" fillId="7" borderId="5" applyNumberFormat="0" applyFont="0" applyBorder="0">
      <alignment horizontal="center"/>
    </xf>
    <xf numFmtId="0" fontId="7" fillId="0" borderId="0"/>
    <xf numFmtId="0" fontId="48" fillId="0" borderId="0" applyNumberFormat="0" applyFill="0" applyBorder="0" applyAlignment="0" applyProtection="0"/>
    <xf numFmtId="0" fontId="49" fillId="0" borderId="6" applyNumberFormat="0" applyFill="0" applyAlignment="0" applyProtection="0"/>
    <xf numFmtId="171" fontId="6" fillId="0" borderId="0" applyFont="0" applyFill="0" applyBorder="0" applyAlignment="0" applyProtection="0"/>
    <xf numFmtId="0" fontId="50"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cellStyleXfs>
  <cellXfs count="854">
    <xf numFmtId="0" fontId="0" fillId="0" borderId="0" xfId="0"/>
    <xf numFmtId="0" fontId="16" fillId="0" borderId="0" xfId="0" applyFont="1"/>
    <xf numFmtId="0" fontId="16" fillId="0" borderId="0" xfId="28" applyFont="1" applyFill="1" applyProtection="1">
      <protection hidden="1"/>
    </xf>
    <xf numFmtId="182" fontId="16" fillId="0" borderId="0" xfId="20" applyNumberFormat="1" applyFont="1" applyFill="1" applyBorder="1" applyAlignment="1" applyProtection="1">
      <alignment vertical="center"/>
      <protection hidden="1"/>
    </xf>
    <xf numFmtId="182" fontId="16" fillId="0" borderId="0" xfId="31" applyNumberFormat="1" applyFont="1" applyFill="1" applyBorder="1" applyAlignment="1" applyProtection="1">
      <alignment vertical="center"/>
      <protection locked="0"/>
    </xf>
    <xf numFmtId="0" fontId="16" fillId="0" borderId="0" xfId="28" applyFont="1" applyFill="1" applyBorder="1" applyAlignment="1" applyProtection="1">
      <alignment vertical="center"/>
      <protection hidden="1"/>
    </xf>
    <xf numFmtId="0" fontId="19" fillId="0" borderId="0" xfId="28" applyFont="1" applyFill="1" applyBorder="1" applyAlignment="1" applyProtection="1">
      <alignment vertical="center"/>
      <protection hidden="1"/>
    </xf>
    <xf numFmtId="179" fontId="19" fillId="0" borderId="0" xfId="28" applyNumberFormat="1" applyFont="1" applyFill="1" applyBorder="1" applyAlignment="1" applyProtection="1">
      <alignment vertical="center"/>
      <protection hidden="1"/>
    </xf>
    <xf numFmtId="179" fontId="21" fillId="0" borderId="0" xfId="28" applyNumberFormat="1" applyFont="1" applyFill="1" applyBorder="1" applyAlignment="1" applyProtection="1">
      <alignment vertical="center"/>
      <protection hidden="1"/>
    </xf>
    <xf numFmtId="179" fontId="16" fillId="0" borderId="0" xfId="28" applyNumberFormat="1" applyFont="1" applyFill="1" applyBorder="1" applyAlignment="1" applyProtection="1">
      <alignment vertical="center"/>
      <protection hidden="1"/>
    </xf>
    <xf numFmtId="0" fontId="16" fillId="0" borderId="0" xfId="0" applyFont="1" applyFill="1" applyBorder="1" applyAlignment="1">
      <alignment vertical="center"/>
    </xf>
    <xf numFmtId="0" fontId="16" fillId="0" borderId="0" xfId="28" applyFont="1" applyFill="1" applyBorder="1" applyProtection="1">
      <protection hidden="1"/>
    </xf>
    <xf numFmtId="0" fontId="23" fillId="0" borderId="0" xfId="28" applyFont="1" applyFill="1" applyBorder="1" applyAlignment="1" applyProtection="1">
      <alignment horizontal="right" vertical="center"/>
      <protection hidden="1"/>
    </xf>
    <xf numFmtId="0" fontId="23" fillId="0" borderId="0" xfId="28" applyFont="1" applyFill="1" applyBorder="1" applyAlignment="1" applyProtection="1">
      <alignment horizontal="center" vertical="center"/>
      <protection hidden="1"/>
    </xf>
    <xf numFmtId="179" fontId="19" fillId="0" borderId="0" xfId="28" applyNumberFormat="1" applyFont="1" applyFill="1" applyBorder="1" applyAlignment="1" applyProtection="1">
      <alignment vertical="center"/>
      <protection locked="0"/>
    </xf>
    <xf numFmtId="2" fontId="16" fillId="0" borderId="0" xfId="20" applyNumberFormat="1" applyFont="1" applyFill="1" applyBorder="1" applyProtection="1">
      <protection hidden="1"/>
    </xf>
    <xf numFmtId="0" fontId="20" fillId="0" borderId="0" xfId="28" applyFont="1" applyFill="1" applyBorder="1" applyAlignment="1" applyProtection="1">
      <alignment horizontal="left" vertical="center"/>
      <protection hidden="1"/>
    </xf>
    <xf numFmtId="2" fontId="16" fillId="0" borderId="0" xfId="0" applyNumberFormat="1" applyFont="1" applyFill="1" applyBorder="1" applyAlignment="1">
      <alignment vertical="center"/>
    </xf>
    <xf numFmtId="2" fontId="22" fillId="0" borderId="0" xfId="20" applyNumberFormat="1" applyFont="1" applyFill="1" applyBorder="1" applyProtection="1">
      <protection hidden="1"/>
    </xf>
    <xf numFmtId="0" fontId="22" fillId="0" borderId="0" xfId="0" applyFont="1" applyFill="1" applyBorder="1"/>
    <xf numFmtId="9" fontId="17" fillId="0" borderId="0" xfId="20" applyNumberFormat="1" applyFont="1" applyFill="1" applyBorder="1" applyAlignment="1" applyProtection="1">
      <alignment horizontal="center" vertical="center"/>
      <protection hidden="1"/>
    </xf>
    <xf numFmtId="182" fontId="17" fillId="0" borderId="0" xfId="20" applyNumberFormat="1" applyFont="1" applyFill="1" applyBorder="1" applyAlignment="1" applyProtection="1">
      <alignment vertical="center"/>
      <protection hidden="1"/>
    </xf>
    <xf numFmtId="0" fontId="26" fillId="0" borderId="0" xfId="28" applyFont="1" applyFill="1" applyBorder="1" applyAlignment="1" applyProtection="1">
      <alignment horizontal="left" vertical="center"/>
      <protection hidden="1"/>
    </xf>
    <xf numFmtId="2" fontId="19" fillId="0" borderId="0" xfId="28" applyNumberFormat="1" applyFont="1" applyFill="1" applyBorder="1" applyAlignment="1" applyProtection="1">
      <alignment horizontal="right" vertical="center"/>
      <protection hidden="1"/>
    </xf>
    <xf numFmtId="0" fontId="24" fillId="0" borderId="0" xfId="28" applyFont="1" applyFill="1" applyBorder="1" applyAlignment="1" applyProtection="1">
      <alignment vertical="center"/>
      <protection hidden="1"/>
    </xf>
    <xf numFmtId="10" fontId="19" fillId="0" borderId="0" xfId="31" applyNumberFormat="1" applyFont="1" applyFill="1" applyBorder="1" applyAlignment="1" applyProtection="1">
      <alignment vertical="center"/>
      <protection hidden="1"/>
    </xf>
    <xf numFmtId="0" fontId="30" fillId="0" borderId="0" xfId="21" applyFont="1" applyFill="1" applyBorder="1" applyAlignment="1"/>
    <xf numFmtId="0" fontId="31" fillId="0" borderId="0" xfId="21" applyFont="1" applyFill="1" applyAlignment="1"/>
    <xf numFmtId="49" fontId="31" fillId="0" borderId="0" xfId="17" applyNumberFormat="1" applyFont="1" applyFill="1" applyBorder="1" applyAlignment="1" applyProtection="1">
      <alignment horizontal="left" vertical="top"/>
      <protection hidden="1"/>
    </xf>
    <xf numFmtId="49" fontId="32" fillId="0" borderId="0" xfId="21" applyNumberFormat="1" applyFont="1" applyFill="1" applyBorder="1" applyAlignment="1"/>
    <xf numFmtId="2" fontId="33" fillId="0" borderId="0" xfId="21" applyNumberFormat="1" applyFont="1" applyFill="1" applyBorder="1" applyAlignment="1"/>
    <xf numFmtId="2" fontId="33" fillId="0" borderId="0" xfId="21" applyNumberFormat="1" applyFont="1" applyFill="1" applyAlignment="1"/>
    <xf numFmtId="2" fontId="32" fillId="0" borderId="0" xfId="21" applyNumberFormat="1" applyFont="1" applyFill="1" applyAlignment="1"/>
    <xf numFmtId="0" fontId="33" fillId="0" borderId="0" xfId="21" applyFont="1" applyFill="1" applyAlignment="1"/>
    <xf numFmtId="184" fontId="30" fillId="0" borderId="0" xfId="21" applyNumberFormat="1" applyFont="1" applyFill="1" applyBorder="1" applyAlignment="1">
      <alignment horizontal="left"/>
    </xf>
    <xf numFmtId="49" fontId="31" fillId="0" borderId="0" xfId="21" applyNumberFormat="1" applyFont="1" applyFill="1" applyBorder="1" applyAlignment="1"/>
    <xf numFmtId="0" fontId="31" fillId="0" borderId="0" xfId="21" applyFont="1" applyFill="1" applyAlignment="1">
      <alignment horizontal="center"/>
    </xf>
    <xf numFmtId="176" fontId="31" fillId="0" borderId="0" xfId="17" applyNumberFormat="1" applyFont="1" applyFill="1" applyBorder="1" applyAlignment="1" applyProtection="1">
      <alignment horizontal="left" vertical="top"/>
      <protection hidden="1"/>
    </xf>
    <xf numFmtId="49" fontId="31" fillId="0" borderId="0" xfId="17" applyNumberFormat="1" applyFont="1" applyFill="1" applyBorder="1" applyAlignment="1" applyProtection="1">
      <alignment horizontal="left"/>
      <protection hidden="1"/>
    </xf>
    <xf numFmtId="43" fontId="31" fillId="0" borderId="0" xfId="2" applyFont="1" applyFill="1" applyAlignment="1"/>
    <xf numFmtId="1" fontId="31" fillId="0" borderId="0" xfId="2" applyNumberFormat="1" applyFont="1" applyFill="1" applyAlignment="1">
      <alignment horizontal="center"/>
    </xf>
    <xf numFmtId="183" fontId="31" fillId="0" borderId="0" xfId="5" applyNumberFormat="1" applyFont="1" applyFill="1" applyAlignment="1"/>
    <xf numFmtId="183" fontId="31" fillId="0" borderId="0" xfId="5" applyNumberFormat="1" applyFont="1" applyFill="1" applyAlignment="1">
      <alignment horizontal="right"/>
    </xf>
    <xf numFmtId="43" fontId="31" fillId="0" borderId="0" xfId="21" applyNumberFormat="1" applyFont="1" applyFill="1" applyAlignment="1"/>
    <xf numFmtId="43" fontId="31" fillId="0" borderId="7" xfId="2" applyFont="1" applyFill="1" applyBorder="1" applyAlignment="1"/>
    <xf numFmtId="183" fontId="31" fillId="0" borderId="7" xfId="5" applyNumberFormat="1" applyFont="1" applyFill="1" applyBorder="1" applyAlignment="1">
      <alignment horizontal="right"/>
    </xf>
    <xf numFmtId="49" fontId="30" fillId="0" borderId="0" xfId="17" applyNumberFormat="1" applyFont="1" applyFill="1" applyBorder="1" applyAlignment="1" applyProtection="1">
      <alignment horizontal="left"/>
      <protection hidden="1"/>
    </xf>
    <xf numFmtId="178" fontId="30" fillId="0" borderId="0" xfId="17" applyNumberFormat="1" applyFont="1" applyFill="1" applyBorder="1" applyAlignment="1" applyProtection="1">
      <alignment horizontal="center"/>
      <protection hidden="1"/>
    </xf>
    <xf numFmtId="43" fontId="30" fillId="0" borderId="0" xfId="2" applyFont="1" applyFill="1" applyBorder="1" applyAlignment="1" applyProtection="1">
      <alignment horizontal="left"/>
      <protection hidden="1"/>
    </xf>
    <xf numFmtId="0" fontId="30" fillId="0" borderId="0" xfId="17" applyNumberFormat="1" applyFont="1" applyFill="1" applyBorder="1" applyAlignment="1" applyProtection="1">
      <alignment horizontal="left"/>
      <protection hidden="1"/>
    </xf>
    <xf numFmtId="183" fontId="30" fillId="0" borderId="0" xfId="17" applyNumberFormat="1" applyFont="1" applyFill="1" applyBorder="1" applyAlignment="1" applyProtection="1">
      <alignment horizontal="left"/>
      <protection hidden="1"/>
    </xf>
    <xf numFmtId="0" fontId="31" fillId="0" borderId="0" xfId="17" applyFont="1" applyFill="1" applyBorder="1" applyAlignment="1" applyProtection="1">
      <alignment horizontal="left"/>
      <protection hidden="1"/>
    </xf>
    <xf numFmtId="178" fontId="30" fillId="0" borderId="0" xfId="31" applyNumberFormat="1" applyFont="1" applyFill="1" applyBorder="1" applyAlignment="1" applyProtection="1">
      <alignment horizontal="center"/>
      <protection hidden="1"/>
    </xf>
    <xf numFmtId="184" fontId="31" fillId="0" borderId="0" xfId="21" applyNumberFormat="1" applyFont="1" applyFill="1" applyAlignment="1"/>
    <xf numFmtId="43" fontId="31" fillId="0" borderId="0" xfId="2" applyFont="1" applyFill="1" applyAlignment="1">
      <alignment horizontal="center"/>
    </xf>
    <xf numFmtId="0" fontId="31" fillId="0" borderId="0" xfId="17" applyNumberFormat="1" applyFont="1" applyFill="1" applyBorder="1" applyAlignment="1" applyProtection="1">
      <alignment horizontal="center"/>
      <protection hidden="1"/>
    </xf>
    <xf numFmtId="49" fontId="30" fillId="0" borderId="0" xfId="21" applyNumberFormat="1" applyFont="1" applyFill="1" applyBorder="1" applyAlignment="1"/>
    <xf numFmtId="0" fontId="31" fillId="0" borderId="0" xfId="21" applyFont="1" applyFill="1" applyAlignment="1">
      <alignment horizontal="right"/>
    </xf>
    <xf numFmtId="184" fontId="30" fillId="0" borderId="0" xfId="17" applyNumberFormat="1" applyFont="1" applyFill="1" applyBorder="1" applyAlignment="1" applyProtection="1">
      <alignment horizontal="left"/>
      <protection hidden="1"/>
    </xf>
    <xf numFmtId="10" fontId="31" fillId="0" borderId="0" xfId="21" applyNumberFormat="1" applyFont="1" applyFill="1" applyAlignment="1">
      <alignment horizontal="right"/>
    </xf>
    <xf numFmtId="0" fontId="31" fillId="0" borderId="0" xfId="0" applyFont="1"/>
    <xf numFmtId="0" fontId="31" fillId="0" borderId="0" xfId="0" applyFont="1" applyAlignment="1">
      <alignment vertical="center"/>
    </xf>
    <xf numFmtId="0" fontId="31" fillId="0" borderId="0" xfId="21" applyFont="1" applyFill="1" applyAlignment="1">
      <alignment vertical="center"/>
    </xf>
    <xf numFmtId="1" fontId="31" fillId="0" borderId="0" xfId="33" applyNumberFormat="1" applyFont="1" applyAlignment="1">
      <alignment horizontal="center"/>
    </xf>
    <xf numFmtId="165" fontId="31" fillId="0" borderId="0" xfId="10" applyFont="1" applyAlignment="1">
      <alignment horizontal="left"/>
    </xf>
    <xf numFmtId="175" fontId="31" fillId="0" borderId="0" xfId="33" applyNumberFormat="1" applyFont="1" applyAlignment="1">
      <alignment horizontal="center"/>
    </xf>
    <xf numFmtId="3" fontId="31" fillId="0" borderId="0" xfId="33" applyNumberFormat="1" applyFont="1" applyAlignment="1">
      <alignment horizontal="right"/>
    </xf>
    <xf numFmtId="3" fontId="31" fillId="0" borderId="0" xfId="10" applyNumberFormat="1" applyFont="1" applyAlignment="1">
      <alignment horizontal="right"/>
    </xf>
    <xf numFmtId="165" fontId="31" fillId="0" borderId="0" xfId="10" applyFont="1" applyAlignment="1">
      <alignment horizontal="right"/>
    </xf>
    <xf numFmtId="165" fontId="31" fillId="0" borderId="0" xfId="10" applyFont="1" applyAlignment="1">
      <alignment horizontal="center"/>
    </xf>
    <xf numFmtId="0" fontId="31" fillId="0" borderId="0" xfId="33" applyFont="1" applyAlignment="1">
      <alignment horizontal="center"/>
    </xf>
    <xf numFmtId="0" fontId="31" fillId="0" borderId="0" xfId="33" applyFont="1"/>
    <xf numFmtId="2" fontId="32" fillId="0" borderId="0" xfId="21" applyNumberFormat="1" applyFont="1" applyFill="1" applyBorder="1" applyAlignment="1"/>
    <xf numFmtId="175" fontId="33" fillId="0" borderId="0" xfId="21" applyNumberFormat="1" applyFont="1" applyFill="1" applyAlignment="1"/>
    <xf numFmtId="3" fontId="33" fillId="0" borderId="0" xfId="21" applyNumberFormat="1" applyFont="1" applyFill="1" applyAlignment="1">
      <alignment horizontal="right"/>
    </xf>
    <xf numFmtId="0" fontId="33" fillId="0" borderId="0" xfId="21" applyFont="1" applyFill="1" applyAlignment="1">
      <alignment horizontal="right"/>
    </xf>
    <xf numFmtId="2" fontId="33" fillId="0" borderId="0" xfId="21" applyNumberFormat="1" applyFont="1" applyFill="1" applyBorder="1" applyAlignment="1">
      <alignment horizontal="left" vertical="top"/>
    </xf>
    <xf numFmtId="0" fontId="35" fillId="0" borderId="0" xfId="0" applyFont="1" applyAlignment="1">
      <alignment vertical="top"/>
    </xf>
    <xf numFmtId="0" fontId="31" fillId="0" borderId="0" xfId="33" applyFont="1" applyFill="1" applyAlignment="1">
      <alignment horizontal="center"/>
    </xf>
    <xf numFmtId="2" fontId="31" fillId="0" borderId="0" xfId="33" applyNumberFormat="1" applyFont="1" applyAlignment="1">
      <alignment horizontal="center"/>
    </xf>
    <xf numFmtId="2" fontId="31" fillId="0" borderId="0" xfId="10" applyNumberFormat="1" applyFont="1" applyAlignment="1">
      <alignment horizontal="left"/>
    </xf>
    <xf numFmtId="3" fontId="31" fillId="0" borderId="0" xfId="10" applyNumberFormat="1" applyFont="1" applyFill="1" applyAlignment="1">
      <alignment horizontal="right"/>
    </xf>
    <xf numFmtId="165" fontId="31" fillId="0" borderId="0" xfId="10" applyFont="1" applyFill="1" applyAlignment="1">
      <alignment horizontal="right"/>
    </xf>
    <xf numFmtId="1" fontId="31" fillId="0" borderId="0" xfId="33" applyNumberFormat="1" applyFont="1" applyFill="1" applyAlignment="1">
      <alignment horizontal="center"/>
    </xf>
    <xf numFmtId="165" fontId="31" fillId="0" borderId="0" xfId="10" applyFont="1" applyFill="1" applyAlignment="1">
      <alignment horizontal="left"/>
    </xf>
    <xf numFmtId="165" fontId="31" fillId="0" borderId="0" xfId="10" applyFont="1" applyFill="1" applyAlignment="1">
      <alignment horizontal="center"/>
    </xf>
    <xf numFmtId="175" fontId="31" fillId="0" borderId="0" xfId="33" applyNumberFormat="1" applyFont="1" applyFill="1" applyAlignment="1">
      <alignment horizontal="center"/>
    </xf>
    <xf numFmtId="3" fontId="31" fillId="0" borderId="0" xfId="33" applyNumberFormat="1" applyFont="1" applyFill="1" applyAlignment="1">
      <alignment horizontal="right"/>
    </xf>
    <xf numFmtId="0" fontId="31" fillId="0" borderId="0" xfId="33" applyFont="1" applyFill="1"/>
    <xf numFmtId="0" fontId="31" fillId="0" borderId="0" xfId="0" applyFont="1" applyFill="1"/>
    <xf numFmtId="0" fontId="30" fillId="0" borderId="0" xfId="0" applyFont="1" applyFill="1" applyAlignment="1"/>
    <xf numFmtId="0" fontId="31" fillId="0" borderId="0" xfId="0" applyFont="1" applyFill="1" applyAlignment="1"/>
    <xf numFmtId="0" fontId="31" fillId="8" borderId="0" xfId="0" applyFont="1" applyFill="1" applyAlignment="1">
      <alignment horizontal="center"/>
    </xf>
    <xf numFmtId="0" fontId="30" fillId="0" borderId="0" xfId="0" applyFont="1"/>
    <xf numFmtId="0" fontId="31" fillId="0" borderId="0" xfId="0" applyFont="1" applyAlignment="1">
      <alignment horizontal="center"/>
    </xf>
    <xf numFmtId="0" fontId="31" fillId="0" borderId="0" xfId="0" applyNumberFormat="1" applyFont="1" applyAlignment="1">
      <alignment horizontal="center"/>
    </xf>
    <xf numFmtId="0" fontId="31" fillId="0" borderId="0" xfId="0" applyNumberFormat="1" applyFont="1" applyAlignment="1"/>
    <xf numFmtId="180" fontId="31" fillId="0" borderId="0" xfId="0" applyNumberFormat="1" applyFont="1" applyAlignment="1">
      <alignment horizontal="right"/>
    </xf>
    <xf numFmtId="177" fontId="31" fillId="0" borderId="0" xfId="0" applyNumberFormat="1" applyFont="1" applyFill="1" applyAlignment="1">
      <alignment horizontal="center"/>
    </xf>
    <xf numFmtId="165" fontId="31" fillId="0" borderId="0" xfId="10" applyFont="1"/>
    <xf numFmtId="1" fontId="31" fillId="0" borderId="0" xfId="0" applyNumberFormat="1" applyFont="1" applyFill="1"/>
    <xf numFmtId="0" fontId="36" fillId="0" borderId="0" xfId="0" applyFont="1"/>
    <xf numFmtId="2" fontId="30" fillId="0" borderId="0" xfId="0" applyNumberFormat="1" applyFont="1"/>
    <xf numFmtId="2" fontId="30" fillId="0" borderId="0" xfId="0" applyNumberFormat="1" applyFont="1" applyAlignment="1">
      <alignment horizontal="center"/>
    </xf>
    <xf numFmtId="0" fontId="30" fillId="0" borderId="0" xfId="0" applyNumberFormat="1" applyFont="1" applyAlignment="1">
      <alignment horizontal="center"/>
    </xf>
    <xf numFmtId="0" fontId="30" fillId="0" borderId="0" xfId="0" applyNumberFormat="1" applyFont="1" applyAlignment="1"/>
    <xf numFmtId="180" fontId="30" fillId="0" borderId="0" xfId="0" applyNumberFormat="1" applyFont="1" applyAlignment="1">
      <alignment horizontal="right"/>
    </xf>
    <xf numFmtId="177" fontId="30" fillId="0" borderId="0" xfId="0" applyNumberFormat="1" applyFont="1" applyFill="1" applyAlignment="1">
      <alignment horizontal="center"/>
    </xf>
    <xf numFmtId="165" fontId="30" fillId="0" borderId="0" xfId="10" applyFont="1"/>
    <xf numFmtId="2" fontId="30" fillId="0" borderId="0" xfId="0" applyNumberFormat="1" applyFont="1" applyFill="1"/>
    <xf numFmtId="0" fontId="37" fillId="0" borderId="0" xfId="0" applyFont="1"/>
    <xf numFmtId="2" fontId="32" fillId="0" borderId="0" xfId="0" applyNumberFormat="1" applyFont="1" applyAlignment="1">
      <alignment horizontal="center"/>
    </xf>
    <xf numFmtId="2" fontId="32" fillId="0" borderId="0" xfId="0" applyNumberFormat="1" applyFont="1"/>
    <xf numFmtId="2" fontId="32" fillId="0" borderId="0" xfId="21" applyNumberFormat="1" applyFont="1" applyFill="1" applyBorder="1" applyAlignment="1">
      <alignment horizontal="center"/>
    </xf>
    <xf numFmtId="0" fontId="33" fillId="0" borderId="0" xfId="21" applyNumberFormat="1" applyFont="1" applyFill="1" applyBorder="1" applyAlignment="1"/>
    <xf numFmtId="0" fontId="31" fillId="0" borderId="0" xfId="0" applyFont="1" applyAlignment="1">
      <alignment vertical="top"/>
    </xf>
    <xf numFmtId="0" fontId="31" fillId="0" borderId="0" xfId="0" applyFont="1" applyAlignment="1">
      <alignment horizontal="right" vertical="top"/>
    </xf>
    <xf numFmtId="177" fontId="31" fillId="0" borderId="0" xfId="0" applyNumberFormat="1" applyFont="1" applyAlignment="1">
      <alignment horizontal="center"/>
    </xf>
    <xf numFmtId="0" fontId="31" fillId="0" borderId="0" xfId="0" applyFont="1" applyAlignment="1">
      <alignment horizontal="right"/>
    </xf>
    <xf numFmtId="2" fontId="32" fillId="0" borderId="0" xfId="0" applyNumberFormat="1" applyFont="1" applyAlignment="1">
      <alignment horizontal="left"/>
    </xf>
    <xf numFmtId="2" fontId="33" fillId="0" borderId="0" xfId="0" applyNumberFormat="1" applyFont="1" applyAlignment="1">
      <alignment horizontal="left"/>
    </xf>
    <xf numFmtId="2" fontId="31" fillId="0" borderId="0" xfId="17" applyNumberFormat="1" applyFont="1" applyFill="1" applyAlignment="1" applyProtection="1">
      <alignment horizontal="center"/>
      <protection hidden="1"/>
    </xf>
    <xf numFmtId="2" fontId="31" fillId="0" borderId="0" xfId="17" applyNumberFormat="1" applyFont="1" applyFill="1" applyProtection="1">
      <protection hidden="1"/>
    </xf>
    <xf numFmtId="0" fontId="31" fillId="0" borderId="0" xfId="17" applyFont="1" applyFill="1" applyProtection="1">
      <protection hidden="1"/>
    </xf>
    <xf numFmtId="0" fontId="31" fillId="0" borderId="0" xfId="17" applyNumberFormat="1" applyFont="1" applyFill="1" applyBorder="1" applyAlignment="1" applyProtection="1">
      <alignment horizontal="left"/>
      <protection hidden="1"/>
    </xf>
    <xf numFmtId="4" fontId="31" fillId="0" borderId="0" xfId="17" applyNumberFormat="1" applyFont="1" applyFill="1" applyBorder="1" applyAlignment="1" applyProtection="1">
      <alignment horizontal="center"/>
      <protection hidden="1"/>
    </xf>
    <xf numFmtId="0" fontId="31" fillId="0" borderId="0" xfId="17" applyFont="1" applyFill="1" applyBorder="1" applyAlignment="1" applyProtection="1">
      <alignment horizontal="center"/>
      <protection hidden="1"/>
    </xf>
    <xf numFmtId="184" fontId="31" fillId="0" borderId="0" xfId="17" applyNumberFormat="1" applyFont="1" applyFill="1" applyBorder="1" applyAlignment="1" applyProtection="1">
      <alignment horizontal="center"/>
      <protection hidden="1"/>
    </xf>
    <xf numFmtId="2" fontId="32" fillId="0" borderId="0" xfId="19" applyNumberFormat="1" applyFont="1" applyFill="1" applyBorder="1" applyAlignment="1">
      <alignment vertical="center"/>
    </xf>
    <xf numFmtId="2" fontId="33" fillId="0" borderId="0" xfId="19" applyNumberFormat="1" applyFont="1" applyFill="1" applyBorder="1" applyAlignment="1">
      <alignment vertical="center"/>
    </xf>
    <xf numFmtId="0" fontId="32" fillId="0" borderId="0" xfId="17" applyNumberFormat="1" applyFont="1" applyFill="1" applyBorder="1" applyAlignment="1" applyProtection="1">
      <alignment horizontal="left" vertical="center"/>
      <protection hidden="1"/>
    </xf>
    <xf numFmtId="0" fontId="31" fillId="0" borderId="0" xfId="0" applyFont="1" applyFill="1" applyAlignment="1">
      <alignment vertical="center"/>
    </xf>
    <xf numFmtId="0" fontId="31" fillId="0" borderId="0" xfId="0" applyFont="1" applyFill="1" applyAlignment="1">
      <alignment horizontal="center" vertical="center"/>
    </xf>
    <xf numFmtId="2" fontId="32" fillId="0" borderId="0" xfId="19" applyNumberFormat="1" applyFont="1" applyFill="1" applyBorder="1" applyAlignment="1">
      <alignment horizontal="center" vertical="center"/>
    </xf>
    <xf numFmtId="0" fontId="31" fillId="0" borderId="0" xfId="0" applyFont="1" applyFill="1" applyAlignment="1">
      <alignment horizontal="left" vertical="center" wrapText="1"/>
    </xf>
    <xf numFmtId="0" fontId="31" fillId="0" borderId="0" xfId="0" applyFont="1" applyFill="1" applyAlignment="1">
      <alignment vertical="center" wrapText="1"/>
    </xf>
    <xf numFmtId="0" fontId="31" fillId="0" borderId="0" xfId="0" applyFont="1" applyFill="1" applyAlignment="1">
      <alignment horizontal="left" vertical="center"/>
    </xf>
    <xf numFmtId="0" fontId="34" fillId="0" borderId="0" xfId="19" applyFont="1" applyAlignment="1">
      <alignment vertical="center"/>
    </xf>
    <xf numFmtId="0" fontId="34" fillId="0" borderId="0" xfId="19" applyFont="1" applyAlignment="1">
      <alignment horizontal="center" vertical="center"/>
    </xf>
    <xf numFmtId="0" fontId="31" fillId="0" borderId="0" xfId="0" applyFont="1" applyAlignment="1">
      <alignment horizontal="center" vertical="center"/>
    </xf>
    <xf numFmtId="2" fontId="32" fillId="0" borderId="0" xfId="21" applyNumberFormat="1" applyFont="1" applyFill="1" applyBorder="1" applyAlignment="1">
      <alignment vertical="center"/>
    </xf>
    <xf numFmtId="2" fontId="33" fillId="0" borderId="0" xfId="21" applyNumberFormat="1" applyFont="1" applyFill="1" applyBorder="1" applyAlignment="1">
      <alignment vertical="center"/>
    </xf>
    <xf numFmtId="2" fontId="34" fillId="0" borderId="0" xfId="19" applyNumberFormat="1" applyFont="1" applyFill="1" applyAlignment="1">
      <alignment vertical="center"/>
    </xf>
    <xf numFmtId="2" fontId="33" fillId="0" borderId="0" xfId="21" applyNumberFormat="1" applyFont="1" applyFill="1" applyBorder="1" applyAlignment="1">
      <alignment horizontal="left" vertical="center"/>
    </xf>
    <xf numFmtId="0" fontId="31" fillId="0" borderId="0" xfId="29" applyFont="1" applyFill="1" applyBorder="1" applyAlignment="1">
      <alignment vertical="center"/>
    </xf>
    <xf numFmtId="2" fontId="31" fillId="0" borderId="0" xfId="29" applyNumberFormat="1" applyFont="1" applyFill="1" applyBorder="1" applyAlignment="1">
      <alignment vertical="center"/>
    </xf>
    <xf numFmtId="2" fontId="31" fillId="0" borderId="0" xfId="29" applyNumberFormat="1" applyFont="1" applyFill="1" applyBorder="1" applyAlignment="1">
      <alignment horizontal="center" vertical="center"/>
    </xf>
    <xf numFmtId="0" fontId="34" fillId="0" borderId="0" xfId="19" applyFont="1" applyBorder="1" applyAlignment="1">
      <alignment vertical="center"/>
    </xf>
    <xf numFmtId="0" fontId="31" fillId="0" borderId="0" xfId="19" applyFont="1" applyFill="1" applyAlignment="1">
      <alignment horizontal="center" vertical="center"/>
    </xf>
    <xf numFmtId="0" fontId="30" fillId="0" borderId="0" xfId="0" applyFont="1" applyFill="1" applyAlignment="1">
      <alignment vertical="center"/>
    </xf>
    <xf numFmtId="0" fontId="34" fillId="0" borderId="0" xfId="19" applyFont="1" applyFill="1" applyBorder="1" applyAlignment="1">
      <alignment vertical="center"/>
    </xf>
    <xf numFmtId="0" fontId="31" fillId="0" borderId="0" xfId="19" applyFont="1" applyFill="1" applyBorder="1" applyAlignment="1">
      <alignment horizontal="center" vertical="center"/>
    </xf>
    <xf numFmtId="0" fontId="31" fillId="0" borderId="0" xfId="19" applyFont="1" applyFill="1" applyBorder="1" applyAlignment="1">
      <alignment vertical="center"/>
    </xf>
    <xf numFmtId="0" fontId="31" fillId="0" borderId="0" xfId="2" applyNumberFormat="1" applyFont="1" applyFill="1" applyAlignment="1"/>
    <xf numFmtId="178" fontId="31" fillId="0" borderId="0" xfId="31" applyNumberFormat="1" applyFont="1" applyFill="1" applyBorder="1" applyAlignment="1" applyProtection="1">
      <alignment horizontal="center"/>
      <protection hidden="1"/>
    </xf>
    <xf numFmtId="182" fontId="39" fillId="0" borderId="0" xfId="31" applyNumberFormat="1" applyFont="1" applyFill="1" applyBorder="1" applyAlignment="1" applyProtection="1">
      <alignment vertical="center"/>
      <protection locked="0"/>
    </xf>
    <xf numFmtId="0" fontId="25" fillId="0" borderId="0" xfId="0" applyFont="1" applyFill="1" applyBorder="1"/>
    <xf numFmtId="0" fontId="25" fillId="0" borderId="0" xfId="0" applyFont="1"/>
    <xf numFmtId="0" fontId="39" fillId="0" borderId="0" xfId="0" applyFont="1"/>
    <xf numFmtId="0" fontId="32" fillId="0" borderId="0" xfId="0" applyFont="1"/>
    <xf numFmtId="0" fontId="31" fillId="0" borderId="0" xfId="28" applyFont="1" applyFill="1" applyProtection="1">
      <protection hidden="1"/>
    </xf>
    <xf numFmtId="0" fontId="31" fillId="0" borderId="0" xfId="28" applyFont="1" applyFill="1" applyBorder="1" applyProtection="1">
      <protection hidden="1"/>
    </xf>
    <xf numFmtId="0" fontId="35" fillId="0" borderId="0" xfId="22" applyFont="1"/>
    <xf numFmtId="0" fontId="30" fillId="0" borderId="0" xfId="22" applyFont="1" applyAlignment="1">
      <alignment horizontal="center"/>
    </xf>
    <xf numFmtId="0" fontId="31" fillId="0" borderId="0" xfId="22" applyFont="1" applyFill="1" applyAlignment="1">
      <alignment vertical="center"/>
    </xf>
    <xf numFmtId="0" fontId="31" fillId="0" borderId="0" xfId="28" applyFont="1" applyFill="1" applyAlignment="1" applyProtection="1">
      <alignment vertical="center"/>
      <protection hidden="1"/>
    </xf>
    <xf numFmtId="0" fontId="31" fillId="0" borderId="0" xfId="28" applyFont="1" applyFill="1" applyBorder="1" applyAlignment="1" applyProtection="1">
      <alignment vertical="center"/>
      <protection hidden="1"/>
    </xf>
    <xf numFmtId="2" fontId="31" fillId="0" borderId="0" xfId="22" applyNumberFormat="1" applyFont="1" applyFill="1" applyAlignment="1">
      <alignment vertical="center"/>
    </xf>
    <xf numFmtId="2" fontId="31" fillId="0" borderId="0" xfId="28" applyNumberFormat="1" applyFont="1" applyFill="1" applyAlignment="1" applyProtection="1">
      <alignment vertical="center"/>
      <protection hidden="1"/>
    </xf>
    <xf numFmtId="0" fontId="30" fillId="0" borderId="0" xfId="28" applyFont="1" applyFill="1" applyBorder="1" applyAlignment="1" applyProtection="1">
      <alignment horizontal="center" vertical="center"/>
      <protection hidden="1"/>
    </xf>
    <xf numFmtId="0" fontId="30" fillId="0" borderId="0" xfId="28" applyFont="1" applyFill="1" applyBorder="1" applyAlignment="1" applyProtection="1">
      <alignment horizontal="right" vertical="center"/>
      <protection hidden="1"/>
    </xf>
    <xf numFmtId="2" fontId="30" fillId="0" borderId="0" xfId="22" applyNumberFormat="1" applyFont="1" applyAlignment="1">
      <alignment horizontal="center"/>
    </xf>
    <xf numFmtId="2" fontId="31" fillId="0" borderId="0" xfId="28" applyNumberFormat="1" applyFont="1" applyFill="1" applyBorder="1" applyAlignment="1" applyProtection="1">
      <alignment vertical="center"/>
      <protection hidden="1"/>
    </xf>
    <xf numFmtId="0" fontId="35" fillId="0" borderId="0" xfId="22" applyFont="1" applyFill="1" applyBorder="1"/>
    <xf numFmtId="2" fontId="32" fillId="0" borderId="0" xfId="28" applyNumberFormat="1" applyFont="1" applyFill="1" applyBorder="1" applyAlignment="1" applyProtection="1">
      <alignment vertical="center"/>
      <protection locked="0"/>
    </xf>
    <xf numFmtId="2" fontId="31" fillId="0" borderId="8" xfId="20" applyNumberFormat="1" applyFont="1" applyFill="1" applyBorder="1" applyProtection="1">
      <protection hidden="1"/>
    </xf>
    <xf numFmtId="2" fontId="31" fillId="0" borderId="0" xfId="20" applyNumberFormat="1" applyFont="1" applyFill="1" applyBorder="1" applyProtection="1">
      <protection hidden="1"/>
    </xf>
    <xf numFmtId="0" fontId="35" fillId="0" borderId="0" xfId="22" applyFont="1" applyFill="1"/>
    <xf numFmtId="0" fontId="30" fillId="0" borderId="0" xfId="28" applyFont="1" applyFill="1" applyBorder="1" applyAlignment="1" applyProtection="1">
      <alignment vertical="center"/>
      <protection hidden="1"/>
    </xf>
    <xf numFmtId="0" fontId="35" fillId="0" borderId="0" xfId="22" applyFont="1" applyBorder="1"/>
    <xf numFmtId="182" fontId="30" fillId="0" borderId="0" xfId="22" applyNumberFormat="1" applyFont="1" applyFill="1" applyBorder="1" applyAlignment="1"/>
    <xf numFmtId="0" fontId="30" fillId="0" borderId="8" xfId="28" applyFont="1" applyFill="1" applyBorder="1" applyAlignment="1" applyProtection="1">
      <alignment horizontal="left" vertical="center"/>
      <protection hidden="1"/>
    </xf>
    <xf numFmtId="0" fontId="30" fillId="0" borderId="0" xfId="28" applyFont="1" applyFill="1" applyBorder="1" applyAlignment="1" applyProtection="1">
      <alignment horizontal="left" vertical="center"/>
      <protection hidden="1"/>
    </xf>
    <xf numFmtId="10" fontId="30" fillId="0" borderId="0" xfId="31" applyNumberFormat="1" applyFont="1" applyFill="1" applyBorder="1" applyAlignment="1"/>
    <xf numFmtId="184" fontId="31" fillId="0" borderId="0" xfId="28" applyNumberFormat="1" applyFont="1" applyFill="1" applyBorder="1" applyAlignment="1" applyProtection="1">
      <alignment vertical="center"/>
      <protection hidden="1"/>
    </xf>
    <xf numFmtId="179" fontId="31" fillId="0" borderId="0" xfId="28" applyNumberFormat="1" applyFont="1" applyFill="1" applyBorder="1" applyAlignment="1" applyProtection="1">
      <alignment vertical="center"/>
      <protection hidden="1"/>
    </xf>
    <xf numFmtId="182" fontId="31" fillId="0" borderId="0" xfId="28" applyNumberFormat="1" applyFont="1" applyFill="1" applyBorder="1" applyAlignment="1" applyProtection="1">
      <alignment vertical="center"/>
      <protection hidden="1"/>
    </xf>
    <xf numFmtId="182" fontId="31" fillId="0" borderId="0" xfId="28" applyNumberFormat="1" applyFont="1" applyFill="1" applyBorder="1" applyAlignment="1" applyProtection="1">
      <alignment horizontal="right" vertical="center"/>
      <protection hidden="1"/>
    </xf>
    <xf numFmtId="0" fontId="31" fillId="0" borderId="0" xfId="28" applyFont="1" applyFill="1" applyBorder="1" applyAlignment="1" applyProtection="1">
      <alignment horizontal="right" vertical="center"/>
      <protection hidden="1"/>
    </xf>
    <xf numFmtId="0" fontId="30" fillId="0" borderId="0" xfId="28" applyFont="1" applyFill="1" applyBorder="1" applyAlignment="1" applyProtection="1">
      <protection hidden="1"/>
    </xf>
    <xf numFmtId="0" fontId="31" fillId="0" borderId="0" xfId="28" applyFont="1" applyFill="1" applyAlignment="1" applyProtection="1">
      <protection hidden="1"/>
    </xf>
    <xf numFmtId="0" fontId="31" fillId="0" borderId="0" xfId="22" applyFont="1" applyAlignment="1"/>
    <xf numFmtId="0" fontId="31" fillId="0" borderId="0" xfId="22" applyFont="1" applyFill="1" applyAlignment="1"/>
    <xf numFmtId="178" fontId="31" fillId="0" borderId="7" xfId="31" applyNumberFormat="1" applyFont="1" applyFill="1" applyBorder="1" applyAlignment="1" applyProtection="1">
      <alignment horizontal="center"/>
      <protection hidden="1"/>
    </xf>
    <xf numFmtId="184" fontId="30" fillId="0" borderId="0" xfId="2" applyNumberFormat="1" applyFont="1" applyFill="1" applyBorder="1" applyAlignment="1" applyProtection="1">
      <alignment horizontal="left"/>
      <protection hidden="1"/>
    </xf>
    <xf numFmtId="43" fontId="30" fillId="0" borderId="0" xfId="17" applyNumberFormat="1" applyFont="1" applyFill="1" applyBorder="1" applyAlignment="1" applyProtection="1">
      <alignment horizontal="left"/>
      <protection hidden="1"/>
    </xf>
    <xf numFmtId="182" fontId="30" fillId="8" borderId="1" xfId="20" applyNumberFormat="1" applyFont="1" applyFill="1" applyBorder="1" applyAlignment="1" applyProtection="1">
      <alignment horizontal="center" vertical="center"/>
      <protection hidden="1"/>
    </xf>
    <xf numFmtId="2" fontId="51" fillId="0" borderId="0" xfId="0" applyNumberFormat="1" applyFont="1"/>
    <xf numFmtId="43" fontId="31" fillId="0" borderId="0" xfId="2" applyFont="1" applyFill="1" applyBorder="1" applyAlignment="1"/>
    <xf numFmtId="43" fontId="16" fillId="0" borderId="0" xfId="0" applyNumberFormat="1" applyFont="1"/>
    <xf numFmtId="4" fontId="16" fillId="0" borderId="0" xfId="0" applyNumberFormat="1" applyFont="1"/>
    <xf numFmtId="183" fontId="31" fillId="0" borderId="0" xfId="21" applyNumberFormat="1" applyFont="1" applyFill="1" applyAlignment="1"/>
    <xf numFmtId="49" fontId="16" fillId="0" borderId="0" xfId="0" applyNumberFormat="1" applyFont="1"/>
    <xf numFmtId="184" fontId="16" fillId="0" borderId="0" xfId="0" applyNumberFormat="1" applyFont="1"/>
    <xf numFmtId="0" fontId="17" fillId="0" borderId="0" xfId="0" applyFont="1"/>
    <xf numFmtId="4" fontId="17" fillId="0" borderId="0" xfId="0" applyNumberFormat="1" applyFont="1"/>
    <xf numFmtId="2" fontId="17" fillId="0" borderId="0" xfId="0" applyNumberFormat="1" applyFont="1"/>
    <xf numFmtId="2" fontId="25" fillId="0" borderId="0" xfId="21" applyNumberFormat="1" applyFont="1" applyFill="1" applyBorder="1" applyAlignment="1"/>
    <xf numFmtId="2" fontId="33" fillId="0" borderId="0" xfId="21" applyNumberFormat="1" applyFont="1" applyFill="1" applyBorder="1" applyAlignment="1">
      <alignment horizontal="left"/>
    </xf>
    <xf numFmtId="0" fontId="30" fillId="0" borderId="0" xfId="17" applyNumberFormat="1" applyFont="1" applyFill="1" applyBorder="1" applyAlignment="1" applyProtection="1">
      <alignment horizontal="center"/>
      <protection hidden="1"/>
    </xf>
    <xf numFmtId="180" fontId="17" fillId="12" borderId="3" xfId="33" applyNumberFormat="1" applyFont="1" applyFill="1" applyBorder="1" applyAlignment="1">
      <alignment horizontal="center"/>
    </xf>
    <xf numFmtId="0" fontId="55" fillId="0" borderId="0" xfId="33" applyFont="1" applyFill="1"/>
    <xf numFmtId="186" fontId="17" fillId="12" borderId="0" xfId="21" applyNumberFormat="1" applyFont="1" applyFill="1" applyAlignment="1">
      <alignment horizontal="center"/>
    </xf>
    <xf numFmtId="0" fontId="16" fillId="0" borderId="0" xfId="0" applyFont="1" applyFill="1" applyBorder="1"/>
    <xf numFmtId="0" fontId="16" fillId="0" borderId="0" xfId="0" applyFont="1" applyBorder="1"/>
    <xf numFmtId="4" fontId="16" fillId="0" borderId="0" xfId="0" applyNumberFormat="1" applyFont="1" applyBorder="1"/>
    <xf numFmtId="0" fontId="16" fillId="0" borderId="0" xfId="0" applyFont="1" applyBorder="1" applyAlignment="1">
      <alignment horizontal="center"/>
    </xf>
    <xf numFmtId="43" fontId="31" fillId="0" borderId="0" xfId="0" applyNumberFormat="1" applyFont="1" applyBorder="1"/>
    <xf numFmtId="0" fontId="61" fillId="0" borderId="0" xfId="21" applyNumberFormat="1" applyFont="1" applyFill="1" applyBorder="1" applyAlignment="1"/>
    <xf numFmtId="0" fontId="62" fillId="0" borderId="0" xfId="21" applyNumberFormat="1" applyFont="1" applyFill="1" applyBorder="1" applyAlignment="1"/>
    <xf numFmtId="0" fontId="31" fillId="0" borderId="0" xfId="21" applyFont="1" applyFill="1" applyBorder="1" applyAlignment="1"/>
    <xf numFmtId="0" fontId="30" fillId="0" borderId="0" xfId="21" applyFont="1" applyFill="1" applyAlignment="1">
      <alignment vertical="top" wrapText="1"/>
    </xf>
    <xf numFmtId="49" fontId="30" fillId="0" borderId="0" xfId="17" applyNumberFormat="1" applyFont="1" applyFill="1" applyBorder="1" applyAlignment="1" applyProtection="1">
      <alignment horizontal="left" vertical="top" wrapText="1"/>
      <protection hidden="1"/>
    </xf>
    <xf numFmtId="0" fontId="30" fillId="0" borderId="0" xfId="21" applyFont="1" applyFill="1" applyAlignment="1">
      <alignment horizontal="center" vertical="top" wrapText="1"/>
    </xf>
    <xf numFmtId="0" fontId="30" fillId="0" borderId="0" xfId="17" applyFont="1" applyFill="1" applyBorder="1" applyAlignment="1" applyProtection="1">
      <alignment horizontal="center" vertical="top" wrapText="1"/>
      <protection hidden="1"/>
    </xf>
    <xf numFmtId="49" fontId="63" fillId="0" borderId="0" xfId="21" applyNumberFormat="1" applyFont="1" applyFill="1" applyBorder="1" applyAlignment="1"/>
    <xf numFmtId="2" fontId="64" fillId="0" borderId="0" xfId="21" applyNumberFormat="1" applyFont="1" applyFill="1" applyBorder="1" applyAlignment="1"/>
    <xf numFmtId="15" fontId="64" fillId="0" borderId="0" xfId="21" applyNumberFormat="1" applyFont="1" applyFill="1" applyBorder="1" applyAlignment="1">
      <alignment horizontal="left"/>
    </xf>
    <xf numFmtId="49" fontId="65" fillId="0" borderId="0" xfId="17" applyNumberFormat="1" applyFont="1" applyFill="1" applyBorder="1" applyAlignment="1" applyProtection="1">
      <alignment horizontal="left"/>
      <protection hidden="1"/>
    </xf>
    <xf numFmtId="49" fontId="66" fillId="0" borderId="0" xfId="17" applyNumberFormat="1" applyFont="1" applyFill="1" applyBorder="1" applyAlignment="1" applyProtection="1">
      <alignment horizontal="left"/>
      <protection hidden="1"/>
    </xf>
    <xf numFmtId="49" fontId="65" fillId="0" borderId="0" xfId="17" applyNumberFormat="1" applyFont="1" applyFill="1" applyBorder="1" applyAlignment="1" applyProtection="1">
      <alignment horizontal="left" vertical="center"/>
      <protection hidden="1"/>
    </xf>
    <xf numFmtId="0" fontId="30" fillId="0" borderId="0" xfId="17" applyNumberFormat="1" applyFont="1" applyFill="1" applyBorder="1" applyAlignment="1" applyProtection="1">
      <alignment horizontal="left" vertical="center"/>
      <protection hidden="1"/>
    </xf>
    <xf numFmtId="176" fontId="31" fillId="0" borderId="0" xfId="17" applyNumberFormat="1" applyFont="1" applyFill="1" applyBorder="1" applyAlignment="1" applyProtection="1">
      <alignment horizontal="left" vertical="center"/>
      <protection hidden="1"/>
    </xf>
    <xf numFmtId="183" fontId="31" fillId="0" borderId="0" xfId="21" applyNumberFormat="1" applyFont="1" applyFill="1" applyAlignment="1">
      <alignment vertical="center"/>
    </xf>
    <xf numFmtId="165" fontId="31" fillId="0" borderId="0" xfId="21" applyNumberFormat="1" applyFont="1" applyFill="1" applyAlignment="1">
      <alignment vertical="center"/>
    </xf>
    <xf numFmtId="178" fontId="30" fillId="0" borderId="0" xfId="17" applyNumberFormat="1" applyFont="1" applyFill="1" applyBorder="1" applyAlignment="1" applyProtection="1">
      <alignment horizontal="center" vertical="center"/>
      <protection hidden="1"/>
    </xf>
    <xf numFmtId="43" fontId="30" fillId="0" borderId="0" xfId="2" applyFont="1" applyFill="1" applyBorder="1" applyAlignment="1" applyProtection="1">
      <alignment horizontal="left" vertical="center"/>
      <protection hidden="1"/>
    </xf>
    <xf numFmtId="183" fontId="30" fillId="0" borderId="0" xfId="17" applyNumberFormat="1" applyFont="1" applyFill="1" applyBorder="1" applyAlignment="1" applyProtection="1">
      <alignment horizontal="left" vertical="center"/>
      <protection hidden="1"/>
    </xf>
    <xf numFmtId="184" fontId="31" fillId="0" borderId="0" xfId="22" applyNumberFormat="1" applyFont="1" applyAlignment="1">
      <alignment horizontal="center" vertical="center"/>
    </xf>
    <xf numFmtId="4" fontId="31" fillId="0" borderId="17" xfId="31" applyNumberFormat="1" applyFont="1" applyFill="1" applyBorder="1" applyAlignment="1" applyProtection="1">
      <alignment horizontal="center" vertical="center"/>
      <protection hidden="1"/>
    </xf>
    <xf numFmtId="10" fontId="31" fillId="0" borderId="17" xfId="31" applyNumberFormat="1" applyFont="1" applyFill="1" applyBorder="1" applyAlignment="1" applyProtection="1">
      <alignment horizontal="center" vertical="center"/>
      <protection hidden="1"/>
    </xf>
    <xf numFmtId="0" fontId="16" fillId="0" borderId="0" xfId="0" applyFont="1" applyAlignment="1">
      <alignment horizontal="center" vertical="center" textRotation="90"/>
    </xf>
    <xf numFmtId="0" fontId="16" fillId="0" borderId="0" xfId="0" applyFont="1" applyAlignment="1">
      <alignment horizontal="center" vertical="center"/>
    </xf>
    <xf numFmtId="0" fontId="67" fillId="0" borderId="0" xfId="0" applyFont="1" applyAlignment="1">
      <alignment horizontal="left" vertical="center"/>
    </xf>
    <xf numFmtId="0" fontId="57" fillId="0" borderId="0" xfId="0" applyFont="1" applyAlignment="1">
      <alignment horizontal="center" vertical="center" textRotation="90"/>
    </xf>
    <xf numFmtId="0" fontId="57" fillId="0" borderId="0" xfId="0" applyFont="1" applyAlignment="1">
      <alignment vertical="center"/>
    </xf>
    <xf numFmtId="0" fontId="57" fillId="0" borderId="0" xfId="0" applyFont="1" applyAlignment="1">
      <alignment horizontal="left" vertical="center"/>
    </xf>
    <xf numFmtId="2" fontId="30" fillId="0" borderId="0" xfId="21" applyNumberFormat="1" applyFont="1" applyFill="1" applyAlignment="1">
      <alignment vertical="center" wrapText="1"/>
    </xf>
    <xf numFmtId="183" fontId="31" fillId="0" borderId="0" xfId="21" applyNumberFormat="1" applyFont="1" applyFill="1" applyAlignment="1">
      <alignment horizontal="right" vertical="center"/>
    </xf>
    <xf numFmtId="43" fontId="31" fillId="0" borderId="0" xfId="21" applyNumberFormat="1" applyFont="1" applyFill="1" applyAlignment="1">
      <alignment vertical="center"/>
    </xf>
    <xf numFmtId="43" fontId="31" fillId="0" borderId="0" xfId="2" applyFont="1" applyFill="1" applyAlignment="1">
      <alignment vertical="center"/>
    </xf>
    <xf numFmtId="183" fontId="31" fillId="0" borderId="0" xfId="5" applyNumberFormat="1" applyFont="1" applyFill="1" applyAlignment="1">
      <alignment horizontal="right" vertical="center"/>
    </xf>
    <xf numFmtId="0" fontId="68" fillId="0" borderId="0" xfId="21" applyFont="1" applyFill="1" applyBorder="1" applyAlignment="1"/>
    <xf numFmtId="0" fontId="69" fillId="0" borderId="0" xfId="21" applyFont="1" applyFill="1" applyBorder="1" applyAlignment="1"/>
    <xf numFmtId="0" fontId="70" fillId="0" borderId="0" xfId="21" applyFont="1" applyFill="1" applyBorder="1" applyAlignment="1">
      <alignment vertical="top" wrapText="1"/>
    </xf>
    <xf numFmtId="0" fontId="68" fillId="0" borderId="0" xfId="21" applyFont="1" applyFill="1" applyBorder="1" applyAlignment="1">
      <alignment vertical="center"/>
    </xf>
    <xf numFmtId="0" fontId="33" fillId="0" borderId="0" xfId="21" applyFont="1" applyFill="1" applyBorder="1" applyAlignment="1"/>
    <xf numFmtId="0" fontId="30" fillId="0" borderId="0" xfId="21" applyFont="1" applyFill="1" applyBorder="1" applyAlignment="1">
      <alignment vertical="top" wrapText="1"/>
    </xf>
    <xf numFmtId="0" fontId="31" fillId="0" borderId="0" xfId="21" applyFont="1" applyFill="1" applyBorder="1" applyAlignment="1">
      <alignment vertical="center"/>
    </xf>
    <xf numFmtId="0" fontId="68" fillId="0" borderId="18" xfId="21" applyFont="1" applyFill="1" applyBorder="1" applyAlignment="1"/>
    <xf numFmtId="0" fontId="68" fillId="0" borderId="19" xfId="21" applyFont="1" applyFill="1" applyBorder="1" applyAlignment="1">
      <alignment vertical="center" wrapText="1"/>
    </xf>
    <xf numFmtId="0" fontId="18" fillId="0" borderId="0" xfId="21" applyFont="1" applyFill="1" applyBorder="1" applyAlignment="1"/>
    <xf numFmtId="0" fontId="28" fillId="0" borderId="0" xfId="21" applyFont="1" applyFill="1" applyBorder="1" applyAlignment="1"/>
    <xf numFmtId="0" fontId="56" fillId="0" borderId="0" xfId="21" applyFont="1" applyFill="1" applyBorder="1" applyAlignment="1">
      <alignment vertical="top" wrapText="1"/>
    </xf>
    <xf numFmtId="0" fontId="18" fillId="0" borderId="0" xfId="21" applyFont="1" applyFill="1" applyBorder="1" applyAlignment="1">
      <alignment vertical="center"/>
    </xf>
    <xf numFmtId="49" fontId="18" fillId="0" borderId="0" xfId="17" applyNumberFormat="1" applyFont="1" applyFill="1" applyBorder="1" applyAlignment="1" applyProtection="1">
      <alignment horizontal="left"/>
      <protection hidden="1"/>
    </xf>
    <xf numFmtId="43" fontId="18" fillId="0" borderId="0" xfId="2" applyFont="1" applyFill="1" applyBorder="1" applyAlignment="1"/>
    <xf numFmtId="2" fontId="65" fillId="14" borderId="0" xfId="0" applyNumberFormat="1" applyFont="1" applyFill="1" applyBorder="1" applyAlignment="1">
      <alignment vertical="center" wrapText="1"/>
    </xf>
    <xf numFmtId="49" fontId="65" fillId="14" borderId="0" xfId="17" applyNumberFormat="1" applyFont="1" applyFill="1" applyBorder="1" applyAlignment="1" applyProtection="1">
      <alignment horizontal="center" vertical="center" wrapText="1"/>
      <protection hidden="1"/>
    </xf>
    <xf numFmtId="0" fontId="17" fillId="0" borderId="0" xfId="0" applyFont="1" applyAlignment="1">
      <alignment vertical="center"/>
    </xf>
    <xf numFmtId="0" fontId="5" fillId="0" borderId="0" xfId="0" applyFont="1" applyAlignment="1">
      <alignment vertical="center"/>
    </xf>
    <xf numFmtId="2" fontId="65" fillId="14" borderId="0" xfId="0" applyNumberFormat="1" applyFont="1" applyFill="1" applyBorder="1" applyAlignment="1">
      <alignment horizontal="center" vertical="center" wrapText="1"/>
    </xf>
    <xf numFmtId="0" fontId="16" fillId="0" borderId="0" xfId="0" applyFont="1" applyAlignment="1">
      <alignment vertical="center"/>
    </xf>
    <xf numFmtId="0" fontId="0" fillId="0" borderId="0" xfId="0" applyAlignment="1">
      <alignment vertical="center"/>
    </xf>
    <xf numFmtId="4" fontId="16" fillId="0" borderId="0" xfId="0" applyNumberFormat="1" applyFont="1" applyAlignment="1">
      <alignment vertical="center"/>
    </xf>
    <xf numFmtId="184" fontId="61" fillId="14" borderId="0" xfId="0" applyNumberFormat="1" applyFont="1" applyFill="1" applyAlignment="1">
      <alignment vertical="center"/>
    </xf>
    <xf numFmtId="184" fontId="65" fillId="14" borderId="0" xfId="0" applyNumberFormat="1" applyFont="1" applyFill="1" applyAlignment="1">
      <alignment vertical="center"/>
    </xf>
    <xf numFmtId="186" fontId="16" fillId="0" borderId="0" xfId="0" applyNumberFormat="1" applyFont="1" applyAlignment="1">
      <alignment vertical="center"/>
    </xf>
    <xf numFmtId="0" fontId="16" fillId="14" borderId="0" xfId="0" applyFont="1" applyFill="1"/>
    <xf numFmtId="0" fontId="71" fillId="14" borderId="0" xfId="0" applyFont="1" applyFill="1"/>
    <xf numFmtId="0" fontId="72" fillId="14" borderId="0" xfId="26" applyFont="1" applyFill="1" applyBorder="1"/>
    <xf numFmtId="0" fontId="66" fillId="14" borderId="0" xfId="0" applyFont="1" applyFill="1"/>
    <xf numFmtId="0" fontId="73" fillId="14" borderId="0" xfId="0" applyFont="1" applyFill="1"/>
    <xf numFmtId="0" fontId="66" fillId="14" borderId="0" xfId="26" applyFont="1" applyFill="1" applyBorder="1"/>
    <xf numFmtId="0" fontId="74" fillId="14" borderId="0" xfId="26" applyFont="1" applyFill="1" applyBorder="1" applyAlignment="1">
      <alignment horizontal="right"/>
    </xf>
    <xf numFmtId="9" fontId="68" fillId="14" borderId="0" xfId="26" applyNumberFormat="1" applyFont="1" applyFill="1" applyBorder="1"/>
    <xf numFmtId="189" fontId="75" fillId="14" borderId="0" xfId="26" applyNumberFormat="1" applyFont="1" applyFill="1" applyBorder="1"/>
    <xf numFmtId="0" fontId="68" fillId="14" borderId="0" xfId="0" applyFont="1" applyFill="1"/>
    <xf numFmtId="10" fontId="76" fillId="14" borderId="0" xfId="26" applyNumberFormat="1" applyFont="1" applyFill="1" applyBorder="1" applyAlignment="1" applyProtection="1">
      <alignment horizontal="center"/>
      <protection locked="0" hidden="1"/>
    </xf>
    <xf numFmtId="4" fontId="16" fillId="14" borderId="0" xfId="0" applyNumberFormat="1" applyFont="1" applyFill="1"/>
    <xf numFmtId="0" fontId="54" fillId="13" borderId="19" xfId="26" applyFont="1" applyFill="1" applyBorder="1" applyAlignment="1">
      <alignment horizontal="center"/>
    </xf>
    <xf numFmtId="10" fontId="66" fillId="13" borderId="19" xfId="26" applyNumberFormat="1" applyFont="1" applyFill="1" applyBorder="1" applyAlignment="1" applyProtection="1">
      <alignment horizontal="center" vertical="center"/>
      <protection locked="0" hidden="1"/>
    </xf>
    <xf numFmtId="0" fontId="74" fillId="14" borderId="0" xfId="26" applyFont="1" applyFill="1" applyBorder="1" applyAlignment="1">
      <alignment horizontal="right" vertical="center"/>
    </xf>
    <xf numFmtId="188" fontId="54" fillId="10" borderId="19" xfId="26" applyNumberFormat="1" applyFont="1" applyFill="1" applyBorder="1" applyAlignment="1">
      <alignment horizontal="center" vertical="center"/>
    </xf>
    <xf numFmtId="0" fontId="54" fillId="10" borderId="19" xfId="26" applyFont="1" applyFill="1" applyBorder="1" applyAlignment="1">
      <alignment horizontal="center" vertical="center"/>
    </xf>
    <xf numFmtId="0" fontId="72" fillId="14" borderId="0" xfId="26" applyFont="1" applyFill="1" applyBorder="1" applyAlignment="1">
      <alignment vertical="center"/>
    </xf>
    <xf numFmtId="0" fontId="16" fillId="14" borderId="0" xfId="0" applyFont="1" applyFill="1" applyAlignment="1">
      <alignment vertical="center"/>
    </xf>
    <xf numFmtId="182" fontId="65" fillId="14" borderId="19" xfId="26" applyNumberFormat="1" applyFont="1" applyFill="1" applyBorder="1" applyAlignment="1" applyProtection="1">
      <alignment horizontal="center" vertical="center"/>
      <protection locked="0" hidden="1"/>
    </xf>
    <xf numFmtId="0" fontId="16" fillId="0" borderId="20" xfId="0" applyFont="1" applyFill="1" applyBorder="1"/>
    <xf numFmtId="0" fontId="16" fillId="0" borderId="20" xfId="0" applyFont="1" applyBorder="1"/>
    <xf numFmtId="0" fontId="16" fillId="0" borderId="21" xfId="0" applyFont="1" applyFill="1" applyBorder="1"/>
    <xf numFmtId="184" fontId="31" fillId="0" borderId="20" xfId="0" applyNumberFormat="1" applyFont="1" applyBorder="1"/>
    <xf numFmtId="184" fontId="31" fillId="0" borderId="21" xfId="0" applyNumberFormat="1" applyFont="1" applyBorder="1"/>
    <xf numFmtId="0" fontId="17" fillId="0" borderId="0" xfId="0" applyFont="1" applyAlignment="1">
      <alignment horizontal="right" vertical="center"/>
    </xf>
    <xf numFmtId="0" fontId="68" fillId="0" borderId="0" xfId="0" applyFont="1" applyAlignment="1">
      <alignment horizontal="center" vertical="center" textRotation="90"/>
    </xf>
    <xf numFmtId="0" fontId="68" fillId="0" borderId="0" xfId="0" applyFont="1" applyAlignment="1">
      <alignment horizontal="center" vertical="center"/>
    </xf>
    <xf numFmtId="173" fontId="27" fillId="9" borderId="10" xfId="0" applyNumberFormat="1" applyFont="1" applyFill="1" applyBorder="1" applyAlignment="1" applyProtection="1">
      <alignment horizontal="center"/>
    </xf>
    <xf numFmtId="172" fontId="65" fillId="14" borderId="0" xfId="0" applyNumberFormat="1" applyFont="1" applyFill="1" applyBorder="1" applyAlignment="1" applyProtection="1">
      <alignment horizontal="left" vertical="center" wrapText="1"/>
    </xf>
    <xf numFmtId="2" fontId="65" fillId="14" borderId="0" xfId="10" applyNumberFormat="1" applyFont="1" applyFill="1" applyBorder="1" applyAlignment="1" applyProtection="1">
      <alignment horizontal="left" vertical="center" wrapText="1"/>
    </xf>
    <xf numFmtId="2" fontId="65" fillId="14" borderId="0" xfId="0" applyNumberFormat="1" applyFont="1" applyFill="1" applyBorder="1" applyAlignment="1" applyProtection="1">
      <alignment horizontal="left" vertical="center" wrapText="1"/>
    </xf>
    <xf numFmtId="175" fontId="65" fillId="14" borderId="0" xfId="0" applyNumberFormat="1" applyFont="1" applyFill="1" applyBorder="1" applyAlignment="1" applyProtection="1">
      <alignment horizontal="center" vertical="center" wrapText="1"/>
    </xf>
    <xf numFmtId="3" fontId="65" fillId="14" borderId="0" xfId="0" applyNumberFormat="1" applyFont="1" applyFill="1" applyBorder="1" applyAlignment="1" applyProtection="1">
      <alignment horizontal="right" vertical="center" wrapText="1"/>
    </xf>
    <xf numFmtId="180" fontId="65" fillId="14" borderId="0" xfId="0" applyNumberFormat="1" applyFont="1" applyFill="1" applyBorder="1" applyAlignment="1">
      <alignment horizontal="center" vertical="center" wrapText="1"/>
    </xf>
    <xf numFmtId="174" fontId="65" fillId="14" borderId="0" xfId="0" applyNumberFormat="1" applyFont="1" applyFill="1" applyBorder="1" applyAlignment="1" applyProtection="1">
      <alignment horizontal="right" vertical="center" wrapText="1"/>
    </xf>
    <xf numFmtId="174" fontId="65" fillId="14" borderId="0" xfId="0" applyNumberFormat="1" applyFont="1" applyFill="1" applyBorder="1" applyAlignment="1" applyProtection="1">
      <alignment horizontal="center" vertical="center" wrapText="1"/>
    </xf>
    <xf numFmtId="0" fontId="31" fillId="13" borderId="10" xfId="0" applyNumberFormat="1" applyFont="1" applyFill="1" applyBorder="1" applyAlignment="1">
      <alignment horizontal="center"/>
    </xf>
    <xf numFmtId="0" fontId="31" fillId="13" borderId="10" xfId="11" quotePrefix="1" applyNumberFormat="1" applyFont="1" applyFill="1" applyBorder="1" applyAlignment="1">
      <alignment horizontal="center"/>
    </xf>
    <xf numFmtId="0" fontId="31" fillId="13" borderId="10" xfId="0" applyNumberFormat="1" applyFont="1" applyFill="1" applyBorder="1" applyAlignment="1">
      <alignment horizontal="left"/>
    </xf>
    <xf numFmtId="3" fontId="31" fillId="13" borderId="10" xfId="0" applyNumberFormat="1" applyFont="1" applyFill="1" applyBorder="1" applyAlignment="1">
      <alignment horizontal="right"/>
    </xf>
    <xf numFmtId="3" fontId="31" fillId="13" borderId="10" xfId="0" applyNumberFormat="1" applyFont="1" applyFill="1" applyBorder="1" applyAlignment="1" applyProtection="1">
      <alignment horizontal="right"/>
    </xf>
    <xf numFmtId="174" fontId="31" fillId="13" borderId="10" xfId="0" applyNumberFormat="1" applyFont="1" applyFill="1" applyBorder="1" applyAlignment="1" applyProtection="1">
      <alignment horizontal="right"/>
    </xf>
    <xf numFmtId="174" fontId="31" fillId="13" borderId="10" xfId="0" applyNumberFormat="1" applyFont="1" applyFill="1" applyBorder="1" applyAlignment="1" applyProtection="1">
      <alignment horizontal="left" indent="1"/>
    </xf>
    <xf numFmtId="0" fontId="30" fillId="14" borderId="19" xfId="33" applyFont="1" applyFill="1" applyBorder="1" applyAlignment="1">
      <alignment horizontal="center" vertical="center"/>
    </xf>
    <xf numFmtId="0" fontId="31" fillId="14" borderId="0" xfId="0" applyFont="1" applyFill="1" applyAlignment="1">
      <alignment horizontal="center"/>
    </xf>
    <xf numFmtId="165" fontId="31" fillId="15" borderId="19" xfId="10" applyFont="1" applyFill="1" applyBorder="1" applyAlignment="1">
      <alignment horizontal="center"/>
    </xf>
    <xf numFmtId="175" fontId="31" fillId="0" borderId="19" xfId="0" applyNumberFormat="1" applyFont="1" applyBorder="1"/>
    <xf numFmtId="0" fontId="65" fillId="14" borderId="0" xfId="0" applyFont="1" applyFill="1" applyBorder="1" applyAlignment="1">
      <alignment horizontal="center" vertical="center"/>
    </xf>
    <xf numFmtId="0" fontId="65" fillId="14" borderId="0" xfId="0" applyNumberFormat="1" applyFont="1" applyFill="1" applyBorder="1" applyAlignment="1">
      <alignment horizontal="center" vertical="center" wrapText="1"/>
    </xf>
    <xf numFmtId="0" fontId="65" fillId="14" borderId="0" xfId="0" applyNumberFormat="1" applyFont="1" applyFill="1" applyBorder="1" applyAlignment="1">
      <alignment vertical="center" wrapText="1"/>
    </xf>
    <xf numFmtId="0" fontId="65" fillId="14" borderId="0" xfId="0" applyFont="1" applyFill="1" applyBorder="1" applyAlignment="1">
      <alignment vertical="center" wrapText="1"/>
    </xf>
    <xf numFmtId="177" fontId="65" fillId="14" borderId="0" xfId="0" applyNumberFormat="1" applyFont="1" applyFill="1" applyBorder="1" applyAlignment="1">
      <alignment horizontal="center" vertical="center" wrapText="1"/>
    </xf>
    <xf numFmtId="165" fontId="65" fillId="14" borderId="0" xfId="10" applyFont="1" applyFill="1" applyBorder="1" applyAlignment="1">
      <alignment horizontal="center" vertical="center" wrapText="1"/>
    </xf>
    <xf numFmtId="181" fontId="65" fillId="14" borderId="0" xfId="10" applyNumberFormat="1" applyFont="1" applyFill="1" applyBorder="1" applyAlignment="1">
      <alignment horizontal="center" vertical="center" wrapText="1"/>
    </xf>
    <xf numFmtId="0" fontId="65" fillId="14" borderId="0" xfId="0" applyFont="1" applyFill="1" applyBorder="1" applyAlignment="1">
      <alignment vertical="center"/>
    </xf>
    <xf numFmtId="182" fontId="31" fillId="0" borderId="25" xfId="20" applyNumberFormat="1" applyFont="1" applyFill="1" applyBorder="1" applyAlignment="1" applyProtection="1">
      <alignment vertical="center"/>
      <protection hidden="1"/>
    </xf>
    <xf numFmtId="0" fontId="35" fillId="0" borderId="26" xfId="22" applyFont="1" applyFill="1" applyBorder="1"/>
    <xf numFmtId="0" fontId="31" fillId="0" borderId="27" xfId="20" applyFont="1" applyFill="1" applyBorder="1" applyAlignment="1" applyProtection="1">
      <alignment vertical="center"/>
      <protection hidden="1"/>
    </xf>
    <xf numFmtId="0" fontId="30" fillId="0" borderId="27" xfId="28" applyFont="1" applyFill="1" applyBorder="1" applyAlignment="1" applyProtection="1">
      <alignment horizontal="right" vertical="center"/>
      <protection hidden="1"/>
    </xf>
    <xf numFmtId="2" fontId="78" fillId="0" borderId="0" xfId="28" applyNumberFormat="1" applyFont="1" applyFill="1" applyBorder="1" applyAlignment="1" applyProtection="1">
      <alignment horizontal="left" vertical="center"/>
      <protection hidden="1"/>
    </xf>
    <xf numFmtId="2" fontId="66" fillId="0" borderId="0" xfId="20" applyNumberFormat="1" applyFont="1" applyFill="1" applyBorder="1" applyProtection="1">
      <protection hidden="1"/>
    </xf>
    <xf numFmtId="0" fontId="78" fillId="0" borderId="0" xfId="28" applyFont="1" applyFill="1" applyBorder="1" applyAlignment="1" applyProtection="1">
      <alignment horizontal="left" vertical="center"/>
      <protection hidden="1"/>
    </xf>
    <xf numFmtId="0" fontId="61" fillId="0" borderId="0" xfId="28" applyFont="1" applyFill="1" applyBorder="1" applyAlignment="1" applyProtection="1">
      <alignment horizontal="left" vertical="center"/>
      <protection hidden="1"/>
    </xf>
    <xf numFmtId="9" fontId="66" fillId="0" borderId="0" xfId="28" applyNumberFormat="1" applyFont="1" applyFill="1" applyBorder="1" applyAlignment="1" applyProtection="1">
      <alignment vertical="center"/>
      <protection hidden="1"/>
    </xf>
    <xf numFmtId="2" fontId="30" fillId="0" borderId="11" xfId="20" applyNumberFormat="1" applyFont="1" applyFill="1" applyBorder="1" applyAlignment="1" applyProtection="1">
      <alignment horizontal="center"/>
      <protection hidden="1"/>
    </xf>
    <xf numFmtId="2" fontId="31" fillId="0" borderId="19" xfId="20" applyNumberFormat="1" applyFont="1" applyFill="1" applyBorder="1" applyProtection="1">
      <protection hidden="1"/>
    </xf>
    <xf numFmtId="184" fontId="31" fillId="13" borderId="25" xfId="28" applyNumberFormat="1" applyFont="1" applyFill="1" applyBorder="1" applyAlignment="1" applyProtection="1">
      <alignment horizontal="left" vertical="center"/>
      <protection hidden="1"/>
    </xf>
    <xf numFmtId="182" fontId="30" fillId="16" borderId="25" xfId="31" applyNumberFormat="1" applyFont="1" applyFill="1" applyBorder="1" applyAlignment="1"/>
    <xf numFmtId="0" fontId="31" fillId="0" borderId="28" xfId="22" applyFont="1" applyFill="1" applyBorder="1"/>
    <xf numFmtId="0" fontId="35" fillId="0" borderId="29" xfId="22" applyFont="1" applyBorder="1"/>
    <xf numFmtId="0" fontId="31" fillId="0" borderId="28" xfId="28" applyFont="1" applyFill="1" applyBorder="1" applyAlignment="1" applyProtection="1">
      <alignment vertical="center"/>
      <protection hidden="1"/>
    </xf>
    <xf numFmtId="0" fontId="30" fillId="0" borderId="28" xfId="28" applyFont="1" applyFill="1" applyBorder="1" applyAlignment="1" applyProtection="1">
      <alignment horizontal="right" vertical="center"/>
      <protection hidden="1"/>
    </xf>
    <xf numFmtId="0" fontId="30" fillId="0" borderId="29" xfId="28" applyFont="1" applyFill="1" applyBorder="1" applyAlignment="1" applyProtection="1">
      <alignment horizontal="right" vertical="center"/>
      <protection hidden="1"/>
    </xf>
    <xf numFmtId="0" fontId="31" fillId="0" borderId="28" xfId="20" applyFont="1" applyFill="1" applyBorder="1" applyAlignment="1" applyProtection="1">
      <alignment vertical="center"/>
      <protection hidden="1"/>
    </xf>
    <xf numFmtId="182" fontId="31" fillId="14" borderId="25" xfId="20" applyNumberFormat="1" applyFont="1" applyFill="1" applyBorder="1" applyAlignment="1" applyProtection="1">
      <alignment vertical="center"/>
      <protection hidden="1"/>
    </xf>
    <xf numFmtId="184" fontId="31" fillId="14" borderId="25" xfId="28" applyNumberFormat="1" applyFont="1" applyFill="1" applyBorder="1" applyAlignment="1" applyProtection="1">
      <alignment horizontal="left" vertical="center"/>
      <protection hidden="1"/>
    </xf>
    <xf numFmtId="0" fontId="30" fillId="0" borderId="11" xfId="28" applyFont="1" applyFill="1" applyBorder="1" applyAlignment="1" applyProtection="1">
      <alignment horizontal="center" vertical="center"/>
      <protection hidden="1"/>
    </xf>
    <xf numFmtId="0" fontId="31" fillId="0" borderId="28" xfId="28" applyFont="1" applyFill="1" applyBorder="1" applyAlignment="1" applyProtection="1">
      <alignment horizontal="left" vertical="center"/>
      <protection hidden="1"/>
    </xf>
    <xf numFmtId="0" fontId="30" fillId="0" borderId="28" xfId="28" applyFont="1" applyFill="1" applyBorder="1" applyAlignment="1" applyProtection="1">
      <alignment vertical="center"/>
      <protection hidden="1"/>
    </xf>
    <xf numFmtId="2" fontId="31" fillId="0" borderId="29" xfId="22" applyNumberFormat="1" applyFont="1" applyFill="1" applyBorder="1" applyAlignment="1">
      <alignment vertical="center"/>
    </xf>
    <xf numFmtId="0" fontId="31" fillId="0" borderId="29" xfId="22" applyFont="1" applyFill="1" applyBorder="1" applyAlignment="1">
      <alignment vertical="center"/>
    </xf>
    <xf numFmtId="10" fontId="31" fillId="0" borderId="30" xfId="31" applyNumberFormat="1" applyFont="1" applyFill="1" applyBorder="1" applyAlignment="1" applyProtection="1">
      <alignment vertical="center"/>
      <protection hidden="1"/>
    </xf>
    <xf numFmtId="0" fontId="30" fillId="0" borderId="29" xfId="28" applyFont="1" applyFill="1" applyBorder="1" applyAlignment="1" applyProtection="1">
      <alignment vertical="center"/>
      <protection hidden="1"/>
    </xf>
    <xf numFmtId="2" fontId="31" fillId="14" borderId="19" xfId="28" applyNumberFormat="1" applyFont="1" applyFill="1" applyBorder="1" applyAlignment="1" applyProtection="1">
      <alignment horizontal="right" vertical="center"/>
      <protection hidden="1"/>
    </xf>
    <xf numFmtId="2" fontId="31" fillId="13" borderId="31" xfId="22" applyNumberFormat="1" applyFont="1" applyFill="1" applyBorder="1" applyAlignment="1">
      <alignment vertical="center"/>
    </xf>
    <xf numFmtId="0" fontId="31" fillId="13" borderId="32" xfId="22" applyFont="1" applyFill="1" applyBorder="1" applyAlignment="1">
      <alignment vertical="center"/>
    </xf>
    <xf numFmtId="0" fontId="31" fillId="13" borderId="31" xfId="22" applyFont="1" applyFill="1" applyBorder="1" applyAlignment="1">
      <alignment vertical="center"/>
    </xf>
    <xf numFmtId="0" fontId="31" fillId="13" borderId="30" xfId="22" applyFont="1" applyFill="1" applyBorder="1" applyAlignment="1">
      <alignment vertical="center"/>
    </xf>
    <xf numFmtId="10" fontId="31" fillId="13" borderId="30" xfId="31" applyNumberFormat="1" applyFont="1" applyFill="1" applyBorder="1" applyAlignment="1" applyProtection="1">
      <alignment vertical="center"/>
      <protection hidden="1"/>
    </xf>
    <xf numFmtId="2" fontId="30" fillId="16" borderId="29" xfId="28" applyNumberFormat="1" applyFont="1" applyFill="1" applyBorder="1" applyAlignment="1" applyProtection="1">
      <alignment vertical="center"/>
      <protection hidden="1"/>
    </xf>
    <xf numFmtId="0" fontId="31" fillId="14" borderId="19" xfId="28" applyFont="1" applyFill="1" applyBorder="1" applyAlignment="1" applyProtection="1">
      <protection hidden="1"/>
    </xf>
    <xf numFmtId="0" fontId="30" fillId="0" borderId="0" xfId="17" applyNumberFormat="1" applyFont="1" applyFill="1" applyBorder="1" applyAlignment="1" applyProtection="1">
      <alignment horizontal="left" vertical="top"/>
      <protection hidden="1"/>
    </xf>
    <xf numFmtId="0" fontId="31" fillId="0" borderId="0" xfId="17" applyFont="1" applyFill="1" applyBorder="1" applyAlignment="1" applyProtection="1">
      <alignment horizontal="right"/>
      <protection hidden="1"/>
    </xf>
    <xf numFmtId="0" fontId="33" fillId="0" borderId="0" xfId="24" applyFont="1" applyFill="1" applyBorder="1" applyProtection="1">
      <protection hidden="1"/>
    </xf>
    <xf numFmtId="166" fontId="30" fillId="0" borderId="0" xfId="6" applyFont="1" applyFill="1" applyBorder="1" applyAlignment="1" applyProtection="1">
      <alignment horizontal="right"/>
      <protection hidden="1"/>
    </xf>
    <xf numFmtId="184" fontId="31" fillId="14" borderId="19" xfId="17" applyNumberFormat="1" applyFont="1" applyFill="1" applyBorder="1" applyAlignment="1" applyProtection="1">
      <alignment horizontal="right"/>
      <protection hidden="1"/>
    </xf>
    <xf numFmtId="10" fontId="31" fillId="14" borderId="19" xfId="31" applyNumberFormat="1" applyFont="1" applyFill="1" applyBorder="1" applyAlignment="1" applyProtection="1">
      <alignment horizontal="center"/>
      <protection locked="0"/>
    </xf>
    <xf numFmtId="0" fontId="31" fillId="0" borderId="33" xfId="17" applyFont="1" applyFill="1" applyBorder="1" applyAlignment="1" applyProtection="1">
      <alignment horizontal="right"/>
      <protection hidden="1"/>
    </xf>
    <xf numFmtId="4" fontId="31" fillId="0" borderId="0" xfId="17" applyNumberFormat="1" applyFont="1" applyFill="1" applyBorder="1" applyAlignment="1" applyProtection="1">
      <alignment horizontal="right"/>
      <protection hidden="1"/>
    </xf>
    <xf numFmtId="184" fontId="31" fillId="13" borderId="33" xfId="17" applyNumberFormat="1" applyFont="1" applyFill="1" applyBorder="1" applyAlignment="1" applyProtection="1">
      <alignment horizontal="right"/>
      <protection hidden="1"/>
    </xf>
    <xf numFmtId="184" fontId="31" fillId="13" borderId="34" xfId="17" applyNumberFormat="1" applyFont="1" applyFill="1" applyBorder="1" applyAlignment="1" applyProtection="1">
      <alignment horizontal="right"/>
      <protection hidden="1"/>
    </xf>
    <xf numFmtId="184" fontId="31" fillId="13" borderId="35" xfId="17" applyNumberFormat="1" applyFont="1" applyFill="1" applyBorder="1" applyAlignment="1" applyProtection="1">
      <alignment horizontal="right"/>
      <protection hidden="1"/>
    </xf>
    <xf numFmtId="184" fontId="31" fillId="13" borderId="18" xfId="17" applyNumberFormat="1" applyFont="1" applyFill="1" applyBorder="1" applyAlignment="1" applyProtection="1">
      <alignment horizontal="right"/>
      <protection hidden="1"/>
    </xf>
    <xf numFmtId="184" fontId="30" fillId="13" borderId="0" xfId="17" applyNumberFormat="1" applyFont="1" applyFill="1" applyBorder="1" applyAlignment="1" applyProtection="1">
      <alignment horizontal="right"/>
      <protection hidden="1"/>
    </xf>
    <xf numFmtId="0" fontId="31" fillId="14" borderId="36" xfId="17" applyFont="1" applyFill="1" applyBorder="1" applyAlignment="1" applyProtection="1">
      <alignment horizontal="center"/>
      <protection hidden="1"/>
    </xf>
    <xf numFmtId="2" fontId="61" fillId="14" borderId="0" xfId="17" applyNumberFormat="1" applyFont="1" applyFill="1" applyBorder="1" applyAlignment="1" applyProtection="1">
      <alignment horizontal="left"/>
      <protection hidden="1"/>
    </xf>
    <xf numFmtId="0" fontId="31" fillId="0" borderId="0" xfId="0" applyFont="1" applyBorder="1"/>
    <xf numFmtId="0" fontId="31" fillId="0" borderId="33" xfId="17" applyFont="1" applyFill="1" applyBorder="1" applyAlignment="1" applyProtection="1">
      <alignment horizontal="center"/>
      <protection hidden="1"/>
    </xf>
    <xf numFmtId="0" fontId="30" fillId="14" borderId="19" xfId="19" applyFont="1" applyFill="1" applyBorder="1" applyAlignment="1">
      <alignment horizontal="center" vertical="center"/>
    </xf>
    <xf numFmtId="184" fontId="30" fillId="13" borderId="17" xfId="0" applyNumberFormat="1" applyFont="1" applyFill="1" applyBorder="1"/>
    <xf numFmtId="184" fontId="30" fillId="16" borderId="0" xfId="0" applyNumberFormat="1" applyFont="1" applyFill="1" applyBorder="1"/>
    <xf numFmtId="184" fontId="31" fillId="14" borderId="19" xfId="0" applyNumberFormat="1" applyFont="1" applyFill="1" applyBorder="1" applyAlignment="1">
      <alignment horizontal="center" vertical="center"/>
    </xf>
    <xf numFmtId="0" fontId="66" fillId="13" borderId="0" xfId="0" applyFont="1" applyFill="1" applyAlignment="1">
      <alignment vertical="center"/>
    </xf>
    <xf numFmtId="0" fontId="65" fillId="13" borderId="0" xfId="0" applyFont="1" applyFill="1" applyAlignment="1">
      <alignment vertical="center"/>
    </xf>
    <xf numFmtId="0" fontId="79" fillId="13" borderId="0" xfId="0" applyFont="1" applyFill="1" applyAlignment="1">
      <alignment vertical="center"/>
    </xf>
    <xf numFmtId="0" fontId="65" fillId="13" borderId="0" xfId="0" applyFont="1" applyFill="1" applyAlignment="1">
      <alignment horizontal="center" vertical="center"/>
    </xf>
    <xf numFmtId="0" fontId="65" fillId="13" borderId="0" xfId="0" applyFont="1" applyFill="1" applyAlignment="1">
      <alignment horizontal="right" vertical="center"/>
    </xf>
    <xf numFmtId="0" fontId="31" fillId="0" borderId="0" xfId="0" applyFont="1" applyFill="1" applyBorder="1" applyAlignment="1">
      <alignment vertical="center"/>
    </xf>
    <xf numFmtId="0" fontId="34" fillId="0" borderId="0" xfId="0" applyFont="1" applyFill="1" applyBorder="1" applyAlignment="1">
      <alignment vertical="center"/>
    </xf>
    <xf numFmtId="184" fontId="31" fillId="0" borderId="0" xfId="0" applyNumberFormat="1" applyFont="1" applyFill="1" applyBorder="1" applyAlignment="1">
      <alignment horizontal="right" vertical="center"/>
    </xf>
    <xf numFmtId="0" fontId="30" fillId="14" borderId="0" xfId="19" applyFont="1" applyFill="1" applyBorder="1" applyAlignment="1">
      <alignment horizontal="center" vertical="center"/>
    </xf>
    <xf numFmtId="3" fontId="30" fillId="0" borderId="0" xfId="33" applyNumberFormat="1" applyFont="1" applyAlignment="1">
      <alignment horizontal="right" vertical="center"/>
    </xf>
    <xf numFmtId="180" fontId="65" fillId="14" borderId="0" xfId="0" applyNumberFormat="1" applyFont="1" applyFill="1" applyBorder="1" applyAlignment="1" applyProtection="1">
      <alignment horizontal="right" vertical="center"/>
    </xf>
    <xf numFmtId="9" fontId="65" fillId="14" borderId="0" xfId="31" applyFont="1" applyFill="1" applyBorder="1" applyAlignment="1" applyProtection="1">
      <alignment horizontal="right" vertical="center"/>
    </xf>
    <xf numFmtId="186" fontId="16" fillId="14" borderId="0" xfId="0" applyNumberFormat="1" applyFont="1" applyFill="1"/>
    <xf numFmtId="186" fontId="30" fillId="0" borderId="0" xfId="21" applyNumberFormat="1" applyFont="1" applyFill="1" applyAlignment="1"/>
    <xf numFmtId="184" fontId="66" fillId="14" borderId="0" xfId="0" applyNumberFormat="1" applyFont="1" applyFill="1" applyAlignment="1">
      <alignment vertical="center"/>
    </xf>
    <xf numFmtId="186" fontId="16" fillId="0" borderId="20" xfId="0" applyNumberFormat="1" applyFont="1" applyBorder="1"/>
    <xf numFmtId="49" fontId="38" fillId="0" borderId="0" xfId="21" applyNumberFormat="1" applyFont="1" applyFill="1" applyBorder="1" applyAlignment="1"/>
    <xf numFmtId="4" fontId="31" fillId="0" borderId="0" xfId="5" applyNumberFormat="1" applyFont="1" applyFill="1" applyAlignment="1">
      <alignment horizontal="center"/>
    </xf>
    <xf numFmtId="0" fontId="31" fillId="0" borderId="0" xfId="33" applyFont="1" applyAlignment="1">
      <alignment vertical="center"/>
    </xf>
    <xf numFmtId="0" fontId="58" fillId="0" borderId="0" xfId="0" applyFont="1" applyAlignment="1">
      <alignment horizontal="center"/>
    </xf>
    <xf numFmtId="2" fontId="25" fillId="0" borderId="0" xfId="0" applyNumberFormat="1" applyFont="1"/>
    <xf numFmtId="2" fontId="16" fillId="0" borderId="0" xfId="0" applyNumberFormat="1" applyFont="1"/>
    <xf numFmtId="0" fontId="30" fillId="0" borderId="0" xfId="0" applyFont="1" applyAlignment="1">
      <alignment horizontal="left" vertical="center" wrapText="1"/>
    </xf>
    <xf numFmtId="0" fontId="17" fillId="16" borderId="0" xfId="0" applyFont="1" applyFill="1" applyAlignment="1">
      <alignment horizontal="center" vertical="center" wrapText="1"/>
    </xf>
    <xf numFmtId="182" fontId="31" fillId="13" borderId="19" xfId="20" applyNumberFormat="1" applyFont="1" applyFill="1" applyBorder="1" applyAlignment="1" applyProtection="1">
      <alignment vertical="center"/>
      <protection hidden="1"/>
    </xf>
    <xf numFmtId="182" fontId="39" fillId="0" borderId="0" xfId="31" applyNumberFormat="1" applyFont="1" applyFill="1" applyBorder="1" applyAlignment="1" applyProtection="1">
      <alignment horizontal="left" vertical="top" wrapText="1"/>
      <protection locked="0"/>
    </xf>
    <xf numFmtId="4" fontId="31" fillId="15" borderId="17" xfId="31" applyNumberFormat="1" applyFont="1" applyFill="1" applyBorder="1" applyAlignment="1" applyProtection="1">
      <alignment horizontal="center" vertical="center"/>
      <protection hidden="1"/>
    </xf>
    <xf numFmtId="182" fontId="16" fillId="0" borderId="0" xfId="31" applyNumberFormat="1" applyFont="1" applyFill="1" applyBorder="1" applyAlignment="1" applyProtection="1">
      <alignment horizontal="left" vertical="top" wrapText="1"/>
      <protection locked="0"/>
    </xf>
    <xf numFmtId="0" fontId="68" fillId="14" borderId="19" xfId="21" applyFont="1" applyFill="1" applyBorder="1" applyAlignment="1">
      <alignment horizontal="right" vertical="center"/>
    </xf>
    <xf numFmtId="182" fontId="80" fillId="0" borderId="0" xfId="31" applyNumberFormat="1" applyFont="1" applyFill="1" applyBorder="1" applyAlignment="1" applyProtection="1">
      <alignment horizontal="left" vertical="top"/>
      <protection locked="0"/>
    </xf>
    <xf numFmtId="182" fontId="39" fillId="0" borderId="0" xfId="31" applyNumberFormat="1" applyFont="1" applyFill="1" applyBorder="1" applyAlignment="1" applyProtection="1">
      <alignment vertical="top"/>
      <protection locked="0"/>
    </xf>
    <xf numFmtId="182" fontId="16" fillId="0" borderId="0" xfId="31" applyNumberFormat="1" applyFont="1" applyFill="1" applyBorder="1" applyAlignment="1" applyProtection="1">
      <alignment vertical="top"/>
      <protection locked="0"/>
    </xf>
    <xf numFmtId="0" fontId="31" fillId="14" borderId="0" xfId="28" applyFont="1" applyFill="1" applyBorder="1" applyAlignment="1" applyProtection="1">
      <protection hidden="1"/>
    </xf>
    <xf numFmtId="178" fontId="30" fillId="13" borderId="0" xfId="17" applyNumberFormat="1" applyFont="1" applyFill="1" applyBorder="1" applyAlignment="1" applyProtection="1">
      <alignment horizontal="center"/>
      <protection hidden="1"/>
    </xf>
    <xf numFmtId="186" fontId="16" fillId="0" borderId="0" xfId="0" applyNumberFormat="1" applyFont="1"/>
    <xf numFmtId="0" fontId="34" fillId="0" borderId="0" xfId="19" applyFont="1" applyFill="1" applyBorder="1" applyAlignment="1">
      <alignment horizontal="center" vertical="center"/>
    </xf>
    <xf numFmtId="0" fontId="16" fillId="0" borderId="21" xfId="0" applyFont="1" applyFill="1" applyBorder="1" applyAlignment="1">
      <alignment horizontal="center"/>
    </xf>
    <xf numFmtId="0" fontId="59" fillId="0" borderId="0" xfId="19" applyFont="1" applyAlignment="1">
      <alignment horizontal="center" vertical="center"/>
    </xf>
    <xf numFmtId="0" fontId="59" fillId="0" borderId="0" xfId="19" applyFont="1" applyAlignment="1">
      <alignment vertical="center"/>
    </xf>
    <xf numFmtId="2" fontId="33" fillId="0" borderId="0" xfId="21" applyNumberFormat="1" applyFont="1" applyFill="1" applyBorder="1" applyAlignment="1">
      <alignment horizontal="center" vertical="center"/>
    </xf>
    <xf numFmtId="2" fontId="34" fillId="0" borderId="0" xfId="19" applyNumberFormat="1" applyFont="1" applyFill="1" applyAlignment="1">
      <alignment horizontal="center" vertical="center"/>
    </xf>
    <xf numFmtId="0" fontId="16" fillId="0" borderId="37" xfId="0" applyFont="1" applyFill="1" applyBorder="1"/>
    <xf numFmtId="0" fontId="31" fillId="0" borderId="37" xfId="0" applyFont="1" applyBorder="1" applyAlignment="1">
      <alignment horizontal="center"/>
    </xf>
    <xf numFmtId="0" fontId="31" fillId="0" borderId="37" xfId="0" applyNumberFormat="1" applyFont="1" applyBorder="1" applyAlignment="1">
      <alignment horizontal="center"/>
    </xf>
    <xf numFmtId="0" fontId="31" fillId="0" borderId="37" xfId="0" applyFont="1" applyBorder="1"/>
    <xf numFmtId="0" fontId="31" fillId="0" borderId="37" xfId="10" applyNumberFormat="1" applyFont="1" applyFill="1" applyBorder="1" applyAlignment="1"/>
    <xf numFmtId="180" fontId="16" fillId="0" borderId="37" xfId="0" applyNumberFormat="1" applyFont="1" applyBorder="1" applyAlignment="1">
      <alignment horizontal="right"/>
    </xf>
    <xf numFmtId="177" fontId="31" fillId="0" borderId="37" xfId="0" applyNumberFormat="1" applyFont="1" applyBorder="1" applyAlignment="1">
      <alignment horizontal="center"/>
    </xf>
    <xf numFmtId="1" fontId="31" fillId="0" borderId="37" xfId="0" applyNumberFormat="1" applyFont="1" applyFill="1" applyBorder="1" applyAlignment="1">
      <alignment horizontal="center"/>
    </xf>
    <xf numFmtId="2" fontId="31" fillId="0" borderId="15" xfId="0" applyNumberFormat="1" applyFont="1" applyBorder="1" applyAlignment="1">
      <alignment horizontal="center"/>
    </xf>
    <xf numFmtId="175" fontId="31" fillId="0" borderId="36" xfId="0" applyNumberFormat="1" applyFont="1" applyBorder="1"/>
    <xf numFmtId="2" fontId="31" fillId="0" borderId="37" xfId="10" applyNumberFormat="1" applyFont="1" applyFill="1" applyBorder="1" applyAlignment="1">
      <alignment horizontal="center"/>
    </xf>
    <xf numFmtId="165" fontId="31" fillId="0" borderId="37" xfId="10" applyFont="1" applyBorder="1"/>
    <xf numFmtId="184" fontId="31" fillId="0" borderId="37" xfId="0" applyNumberFormat="1" applyFont="1" applyFill="1" applyBorder="1"/>
    <xf numFmtId="0" fontId="31" fillId="0" borderId="0" xfId="0" applyFont="1" applyFill="1" applyAlignment="1">
      <alignment horizontal="center"/>
    </xf>
    <xf numFmtId="0" fontId="30" fillId="0" borderId="0" xfId="0" applyFont="1" applyFill="1" applyAlignment="1">
      <alignment horizontal="center"/>
    </xf>
    <xf numFmtId="43" fontId="31" fillId="0" borderId="0" xfId="2" applyNumberFormat="1" applyFont="1" applyFill="1" applyBorder="1" applyAlignment="1">
      <alignment horizontal="left" indent="1"/>
    </xf>
    <xf numFmtId="0" fontId="59" fillId="0" borderId="0" xfId="19" applyFont="1" applyBorder="1" applyAlignment="1">
      <alignment vertical="center"/>
    </xf>
    <xf numFmtId="0" fontId="59" fillId="0" borderId="0" xfId="19" applyFont="1" applyAlignment="1">
      <alignment horizontal="center" vertical="center" wrapText="1"/>
    </xf>
    <xf numFmtId="0" fontId="66" fillId="14" borderId="0" xfId="0" applyFont="1" applyFill="1" applyAlignment="1">
      <alignment horizontal="center"/>
    </xf>
    <xf numFmtId="3" fontId="16" fillId="0" borderId="0" xfId="0" applyNumberFormat="1" applyFont="1" applyAlignment="1">
      <alignment horizontal="center"/>
    </xf>
    <xf numFmtId="177" fontId="65" fillId="0" borderId="0" xfId="0" applyNumberFormat="1" applyFont="1" applyFill="1" applyBorder="1" applyAlignment="1">
      <alignment horizontal="center" vertical="center" wrapText="1"/>
    </xf>
    <xf numFmtId="177" fontId="81" fillId="0" borderId="37" xfId="0" applyNumberFormat="1" applyFont="1" applyFill="1" applyBorder="1" applyAlignment="1">
      <alignment horizontal="center"/>
    </xf>
    <xf numFmtId="177" fontId="31" fillId="0" borderId="37" xfId="0" applyNumberFormat="1" applyFont="1" applyFill="1" applyBorder="1" applyAlignment="1">
      <alignment horizontal="center"/>
    </xf>
    <xf numFmtId="180" fontId="31" fillId="0" borderId="0" xfId="21" applyNumberFormat="1" applyFont="1" applyFill="1" applyAlignment="1">
      <alignment horizontal="right"/>
    </xf>
    <xf numFmtId="3" fontId="16" fillId="0" borderId="0" xfId="0" applyNumberFormat="1" applyFont="1"/>
    <xf numFmtId="0" fontId="30" fillId="14" borderId="0" xfId="33" applyFont="1" applyFill="1" applyBorder="1" applyAlignment="1">
      <alignment horizontal="center" vertical="center"/>
    </xf>
    <xf numFmtId="0" fontId="16" fillId="0" borderId="20" xfId="0" applyFont="1" applyFill="1" applyBorder="1" applyAlignment="1">
      <alignment vertical="center"/>
    </xf>
    <xf numFmtId="0" fontId="54" fillId="13" borderId="19" xfId="26" applyFont="1" applyFill="1" applyBorder="1" applyAlignment="1">
      <alignment horizontal="center"/>
    </xf>
    <xf numFmtId="0" fontId="16" fillId="14" borderId="20" xfId="0" applyFont="1" applyFill="1" applyBorder="1" applyAlignment="1">
      <alignment horizontal="center" vertical="center"/>
    </xf>
    <xf numFmtId="184" fontId="31" fillId="13" borderId="33" xfId="17" applyNumberFormat="1" applyFont="1" applyFill="1" applyBorder="1" applyAlignment="1" applyProtection="1">
      <alignment horizontal="right"/>
      <protection hidden="1"/>
    </xf>
    <xf numFmtId="184" fontId="31" fillId="13" borderId="34" xfId="17" applyNumberFormat="1" applyFont="1" applyFill="1" applyBorder="1" applyAlignment="1" applyProtection="1">
      <alignment horizontal="right"/>
      <protection hidden="1"/>
    </xf>
    <xf numFmtId="184" fontId="31" fillId="13" borderId="35" xfId="17" applyNumberFormat="1" applyFont="1" applyFill="1" applyBorder="1" applyAlignment="1" applyProtection="1">
      <alignment horizontal="right"/>
      <protection hidden="1"/>
    </xf>
    <xf numFmtId="184" fontId="31" fillId="13" borderId="18" xfId="17" applyNumberFormat="1" applyFont="1" applyFill="1" applyBorder="1" applyAlignment="1" applyProtection="1">
      <alignment horizontal="right"/>
      <protection hidden="1"/>
    </xf>
    <xf numFmtId="184" fontId="30" fillId="13" borderId="0" xfId="17" applyNumberFormat="1" applyFont="1" applyFill="1" applyBorder="1" applyAlignment="1" applyProtection="1">
      <alignment horizontal="right"/>
      <protection hidden="1"/>
    </xf>
    <xf numFmtId="4" fontId="31" fillId="0" borderId="20" xfId="0" applyNumberFormat="1" applyFont="1" applyBorder="1"/>
    <xf numFmtId="4" fontId="31" fillId="0" borderId="20" xfId="0" applyNumberFormat="1" applyFont="1" applyBorder="1" applyAlignment="1">
      <alignment horizontal="center"/>
    </xf>
    <xf numFmtId="0" fontId="31" fillId="14" borderId="19" xfId="17" applyNumberFormat="1" applyFont="1" applyFill="1" applyBorder="1" applyAlignment="1" applyProtection="1">
      <alignment horizontal="right"/>
      <protection hidden="1"/>
    </xf>
    <xf numFmtId="190" fontId="16" fillId="0" borderId="9" xfId="23" applyNumberFormat="1" applyFont="1" applyFill="1" applyBorder="1" applyAlignment="1">
      <alignment horizontal="center" vertical="center"/>
    </xf>
    <xf numFmtId="3" fontId="31" fillId="0" borderId="19" xfId="0" applyNumberFormat="1" applyFont="1" applyFill="1" applyBorder="1" applyAlignment="1">
      <alignment horizontal="center" vertical="center"/>
    </xf>
    <xf numFmtId="0" fontId="59" fillId="0" borderId="0" xfId="0" applyFont="1" applyAlignment="1">
      <alignment horizontal="center" vertical="center" wrapText="1"/>
    </xf>
    <xf numFmtId="0" fontId="59" fillId="0" borderId="0" xfId="0" applyFont="1" applyAlignment="1">
      <alignment vertical="center" wrapText="1"/>
    </xf>
    <xf numFmtId="4" fontId="31" fillId="0" borderId="9" xfId="23" applyNumberFormat="1" applyFont="1" applyFill="1" applyBorder="1" applyAlignment="1">
      <alignment horizontal="center" vertical="center"/>
    </xf>
    <xf numFmtId="184" fontId="31" fillId="0" borderId="12" xfId="23" applyNumberFormat="1" applyFont="1" applyFill="1" applyBorder="1" applyAlignment="1">
      <alignment horizontal="center" vertical="center"/>
    </xf>
    <xf numFmtId="184" fontId="31" fillId="8" borderId="9" xfId="23" applyNumberFormat="1" applyFont="1" applyFill="1" applyBorder="1" applyAlignment="1">
      <alignment horizontal="center" vertical="center"/>
    </xf>
    <xf numFmtId="184" fontId="31" fillId="8" borderId="12" xfId="23" applyNumberFormat="1" applyFont="1" applyFill="1" applyBorder="1" applyAlignment="1">
      <alignment horizontal="center" vertical="center"/>
    </xf>
    <xf numFmtId="49" fontId="55" fillId="0" borderId="0" xfId="2" applyNumberFormat="1" applyFont="1" applyFill="1" applyBorder="1" applyAlignment="1" applyProtection="1">
      <protection hidden="1"/>
    </xf>
    <xf numFmtId="0" fontId="16" fillId="0" borderId="0" xfId="23"/>
    <xf numFmtId="184" fontId="16" fillId="0" borderId="0" xfId="23" applyNumberFormat="1"/>
    <xf numFmtId="0" fontId="35" fillId="0" borderId="0" xfId="23" applyFont="1"/>
    <xf numFmtId="49" fontId="55" fillId="0" borderId="0" xfId="2" applyNumberFormat="1" applyFont="1" applyFill="1" applyBorder="1" applyAlignment="1" applyProtection="1">
      <alignment horizontal="center" wrapText="1"/>
      <protection hidden="1"/>
    </xf>
    <xf numFmtId="0" fontId="66" fillId="13" borderId="0" xfId="0" applyFont="1" applyFill="1" applyAlignment="1">
      <alignment vertical="center"/>
    </xf>
    <xf numFmtId="0" fontId="65" fillId="13" borderId="0" xfId="0" applyFont="1" applyFill="1" applyAlignment="1">
      <alignment vertical="center"/>
    </xf>
    <xf numFmtId="0" fontId="79" fillId="13" borderId="0" xfId="0" applyFont="1" applyFill="1" applyAlignment="1">
      <alignment vertical="center"/>
    </xf>
    <xf numFmtId="0" fontId="65" fillId="13" borderId="0" xfId="0" applyFont="1" applyFill="1" applyAlignment="1">
      <alignment horizontal="center" vertical="center"/>
    </xf>
    <xf numFmtId="0" fontId="30" fillId="0" borderId="0" xfId="0" applyFont="1" applyFill="1" applyAlignment="1">
      <alignment horizontal="right" vertical="center"/>
    </xf>
    <xf numFmtId="190" fontId="16" fillId="0" borderId="0" xfId="23"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3" fontId="31" fillId="0" borderId="0" xfId="0" applyNumberFormat="1" applyFont="1" applyFill="1" applyBorder="1" applyAlignment="1">
      <alignment horizontal="left" vertical="top" wrapText="1"/>
    </xf>
    <xf numFmtId="191" fontId="31" fillId="0" borderId="19" xfId="36" applyNumberFormat="1" applyFont="1" applyFill="1" applyBorder="1" applyAlignment="1">
      <alignment horizontal="center" vertical="center"/>
    </xf>
    <xf numFmtId="0" fontId="29" fillId="11" borderId="0" xfId="0" applyFont="1" applyFill="1" applyAlignment="1">
      <alignment horizontal="center" vertical="center"/>
    </xf>
    <xf numFmtId="184" fontId="31" fillId="8" borderId="14" xfId="0" applyNumberFormat="1" applyFont="1" applyFill="1" applyBorder="1" applyAlignment="1">
      <alignment horizontal="center" vertical="center"/>
    </xf>
    <xf numFmtId="0" fontId="29" fillId="11" borderId="0" xfId="0" applyFont="1" applyFill="1" applyAlignment="1">
      <alignment horizontal="right" vertical="center"/>
    </xf>
    <xf numFmtId="184" fontId="31" fillId="0" borderId="13" xfId="0" applyNumberFormat="1" applyFont="1" applyFill="1" applyBorder="1" applyAlignment="1">
      <alignment horizontal="right" vertical="center"/>
    </xf>
    <xf numFmtId="184" fontId="31" fillId="0" borderId="14" xfId="0" applyNumberFormat="1" applyFont="1" applyFill="1" applyBorder="1" applyAlignment="1">
      <alignment horizontal="right" vertical="center"/>
    </xf>
    <xf numFmtId="184" fontId="31" fillId="8" borderId="0" xfId="0" applyNumberFormat="1" applyFont="1" applyFill="1" applyAlignment="1">
      <alignment vertical="center" wrapText="1"/>
    </xf>
    <xf numFmtId="0" fontId="30" fillId="18" borderId="17" xfId="28" applyFont="1" applyFill="1" applyBorder="1" applyAlignment="1" applyProtection="1">
      <alignment horizontal="center" vertical="center" textRotation="90"/>
      <protection hidden="1"/>
    </xf>
    <xf numFmtId="186" fontId="17" fillId="12" borderId="0" xfId="21" applyNumberFormat="1" applyFont="1" applyFill="1" applyAlignment="1">
      <alignment horizontal="center"/>
    </xf>
    <xf numFmtId="0" fontId="31" fillId="10" borderId="16" xfId="0" applyFont="1" applyFill="1" applyBorder="1" applyAlignment="1">
      <alignment horizontal="center"/>
    </xf>
    <xf numFmtId="0" fontId="19" fillId="0" borderId="19" xfId="18" applyBorder="1"/>
    <xf numFmtId="187" fontId="31" fillId="0" borderId="19" xfId="0" applyNumberFormat="1" applyFont="1" applyBorder="1"/>
    <xf numFmtId="192" fontId="31" fillId="0" borderId="19" xfId="0" applyNumberFormat="1" applyFont="1" applyBorder="1" applyAlignment="1">
      <alignment horizontal="center"/>
    </xf>
    <xf numFmtId="0" fontId="32" fillId="0" borderId="0" xfId="21" applyNumberFormat="1" applyFont="1" applyFill="1" applyBorder="1" applyAlignment="1">
      <alignment horizontal="left"/>
    </xf>
    <xf numFmtId="2" fontId="63" fillId="0" borderId="0" xfId="21" applyNumberFormat="1" applyFont="1" applyFill="1" applyBorder="1" applyAlignment="1"/>
    <xf numFmtId="0" fontId="0" fillId="13" borderId="0" xfId="0" applyFill="1" applyAlignment="1">
      <alignment vertical="center"/>
    </xf>
    <xf numFmtId="2" fontId="60" fillId="13" borderId="0" xfId="0" applyNumberFormat="1" applyFont="1" applyFill="1" applyAlignment="1">
      <alignment horizontal="center" vertical="center"/>
    </xf>
    <xf numFmtId="2" fontId="31" fillId="0" borderId="37" xfId="20" applyNumberFormat="1" applyFont="1" applyFill="1" applyBorder="1" applyProtection="1">
      <protection hidden="1"/>
    </xf>
    <xf numFmtId="0" fontId="31" fillId="0" borderId="37" xfId="22" applyFont="1" applyBorder="1"/>
    <xf numFmtId="2" fontId="30" fillId="13" borderId="39" xfId="20" applyNumberFormat="1" applyFont="1" applyFill="1" applyBorder="1" applyAlignment="1" applyProtection="1">
      <alignment horizontal="center"/>
      <protection hidden="1"/>
    </xf>
    <xf numFmtId="0" fontId="16" fillId="0" borderId="37" xfId="0" applyFont="1" applyBorder="1"/>
    <xf numFmtId="0" fontId="31" fillId="0" borderId="37" xfId="22" applyFont="1" applyFill="1" applyBorder="1"/>
    <xf numFmtId="0" fontId="31" fillId="0" borderId="37" xfId="20" applyFont="1" applyFill="1" applyBorder="1" applyAlignment="1" applyProtection="1">
      <alignment vertical="center"/>
      <protection hidden="1"/>
    </xf>
    <xf numFmtId="182" fontId="30" fillId="16" borderId="29" xfId="31" applyNumberFormat="1" applyFont="1" applyFill="1" applyBorder="1" applyAlignment="1" applyProtection="1">
      <alignment vertical="center"/>
      <protection hidden="1"/>
    </xf>
    <xf numFmtId="182" fontId="30" fillId="16" borderId="25" xfId="22" applyNumberFormat="1" applyFont="1" applyFill="1" applyBorder="1" applyAlignment="1"/>
    <xf numFmtId="0" fontId="68" fillId="14" borderId="0" xfId="0" applyFont="1" applyFill="1" applyBorder="1" applyAlignment="1">
      <alignment horizontal="center" vertical="center"/>
    </xf>
    <xf numFmtId="0" fontId="77" fillId="14" borderId="0" xfId="0" applyFont="1" applyFill="1" applyBorder="1"/>
    <xf numFmtId="0" fontId="82" fillId="14" borderId="0" xfId="0" applyFont="1" applyFill="1" applyBorder="1" applyAlignment="1">
      <alignment vertical="center"/>
    </xf>
    <xf numFmtId="0" fontId="16" fillId="14" borderId="17" xfId="0" applyFont="1" applyFill="1" applyBorder="1" applyAlignment="1">
      <alignment horizontal="center"/>
    </xf>
    <xf numFmtId="4" fontId="31" fillId="0" borderId="19" xfId="0" applyNumberFormat="1" applyFont="1" applyFill="1" applyBorder="1" applyAlignment="1">
      <alignment horizontal="center" vertical="center"/>
    </xf>
    <xf numFmtId="10" fontId="0" fillId="0" borderId="0" xfId="0" applyNumberFormat="1"/>
    <xf numFmtId="191" fontId="31" fillId="0" borderId="0" xfId="0" applyNumberFormat="1" applyFont="1"/>
    <xf numFmtId="184" fontId="31" fillId="0" borderId="37" xfId="0" applyNumberFormat="1" applyFont="1" applyFill="1" applyBorder="1"/>
    <xf numFmtId="0" fontId="31" fillId="0" borderId="37" xfId="22" applyFont="1" applyFill="1" applyBorder="1"/>
    <xf numFmtId="10" fontId="17" fillId="13" borderId="25" xfId="27" applyNumberFormat="1" applyFont="1" applyFill="1" applyBorder="1"/>
    <xf numFmtId="0" fontId="57" fillId="0" borderId="0" xfId="0" applyFont="1" applyFill="1" applyAlignment="1">
      <alignment vertical="center"/>
    </xf>
    <xf numFmtId="10" fontId="17" fillId="13" borderId="25" xfId="27" applyNumberFormat="1" applyFont="1" applyFill="1" applyBorder="1"/>
    <xf numFmtId="10" fontId="17" fillId="0" borderId="25" xfId="27" applyNumberFormat="1" applyFont="1" applyFill="1" applyBorder="1"/>
    <xf numFmtId="182" fontId="31" fillId="13" borderId="25" xfId="20" applyNumberFormat="1" applyFont="1" applyFill="1" applyBorder="1" applyAlignment="1" applyProtection="1">
      <alignment vertical="center"/>
      <protection hidden="1"/>
    </xf>
    <xf numFmtId="0" fontId="16" fillId="19" borderId="37" xfId="0" applyFont="1" applyFill="1" applyBorder="1"/>
    <xf numFmtId="0" fontId="31" fillId="19" borderId="37" xfId="22" applyFont="1" applyFill="1" applyBorder="1"/>
    <xf numFmtId="182" fontId="31" fillId="19" borderId="25" xfId="20" applyNumberFormat="1" applyFont="1" applyFill="1" applyBorder="1" applyAlignment="1" applyProtection="1">
      <alignment vertical="center"/>
      <protection hidden="1"/>
    </xf>
    <xf numFmtId="4" fontId="30" fillId="13" borderId="17" xfId="3" applyNumberFormat="1" applyFont="1" applyFill="1" applyBorder="1" applyAlignment="1" applyProtection="1">
      <alignment horizontal="center" vertical="center"/>
      <protection hidden="1"/>
    </xf>
    <xf numFmtId="193" fontId="16" fillId="0" borderId="0" xfId="0" applyNumberFormat="1" applyFont="1"/>
    <xf numFmtId="2" fontId="31" fillId="18" borderId="17" xfId="28" applyNumberFormat="1" applyFont="1" applyFill="1" applyBorder="1" applyAlignment="1" applyProtection="1">
      <alignment horizontal="center" vertical="center" textRotation="90"/>
      <protection hidden="1"/>
    </xf>
    <xf numFmtId="2" fontId="31" fillId="13" borderId="17" xfId="28" applyNumberFormat="1" applyFont="1" applyFill="1" applyBorder="1" applyAlignment="1" applyProtection="1">
      <alignment horizontal="center" vertical="center" textRotation="90"/>
      <protection hidden="1"/>
    </xf>
    <xf numFmtId="0" fontId="31" fillId="18" borderId="17" xfId="28" applyFont="1" applyFill="1" applyBorder="1" applyAlignment="1" applyProtection="1">
      <alignment horizontal="center" vertical="center" textRotation="90"/>
      <protection hidden="1"/>
    </xf>
    <xf numFmtId="0" fontId="38" fillId="18" borderId="17" xfId="28" applyNumberFormat="1" applyFont="1" applyFill="1" applyBorder="1" applyAlignment="1" applyProtection="1">
      <alignment horizontal="center" vertical="center" textRotation="90"/>
      <protection hidden="1"/>
    </xf>
    <xf numFmtId="182" fontId="38" fillId="13" borderId="17" xfId="31" applyNumberFormat="1" applyFont="1" applyFill="1" applyBorder="1" applyAlignment="1" applyProtection="1">
      <alignment horizontal="center" vertical="center"/>
      <protection hidden="1"/>
    </xf>
    <xf numFmtId="0" fontId="55" fillId="18" borderId="17" xfId="28" applyFont="1" applyFill="1" applyBorder="1" applyAlignment="1" applyProtection="1">
      <alignment horizontal="center" vertical="center" textRotation="90"/>
      <protection hidden="1"/>
    </xf>
    <xf numFmtId="4" fontId="31" fillId="13" borderId="17" xfId="3" applyNumberFormat="1" applyFont="1" applyFill="1" applyBorder="1" applyAlignment="1" applyProtection="1">
      <alignment horizontal="center" vertical="center"/>
      <protection locked="0"/>
    </xf>
    <xf numFmtId="4" fontId="31" fillId="17" borderId="17" xfId="3" applyNumberFormat="1" applyFont="1" applyFill="1" applyBorder="1" applyAlignment="1" applyProtection="1">
      <alignment horizontal="center" vertical="center"/>
      <protection locked="0"/>
    </xf>
    <xf numFmtId="4" fontId="38" fillId="13" borderId="17" xfId="3" applyNumberFormat="1" applyFont="1" applyFill="1" applyBorder="1" applyAlignment="1" applyProtection="1">
      <alignment horizontal="center" vertical="center"/>
      <protection locked="0"/>
    </xf>
    <xf numFmtId="4" fontId="30" fillId="13" borderId="17" xfId="4" applyNumberFormat="1" applyFont="1" applyFill="1" applyBorder="1" applyAlignment="1" applyProtection="1">
      <alignment horizontal="center" vertical="center"/>
      <protection hidden="1"/>
    </xf>
    <xf numFmtId="194" fontId="38" fillId="0" borderId="0" xfId="21" applyNumberFormat="1" applyFont="1" applyFill="1" applyAlignment="1"/>
    <xf numFmtId="186" fontId="31" fillId="0" borderId="0" xfId="21" applyNumberFormat="1" applyFont="1" applyFill="1" applyAlignment="1"/>
    <xf numFmtId="16" fontId="31" fillId="0" borderId="19" xfId="0" applyNumberFormat="1" applyFont="1" applyBorder="1" applyAlignment="1">
      <alignment horizontal="center"/>
    </xf>
    <xf numFmtId="0" fontId="0" fillId="0" borderId="0" xfId="0" applyAlignment="1">
      <alignment horizontal="center"/>
    </xf>
    <xf numFmtId="192" fontId="31" fillId="0" borderId="19" xfId="0" applyNumberFormat="1" applyFont="1" applyBorder="1" applyAlignment="1">
      <alignment horizontal="center"/>
    </xf>
    <xf numFmtId="0" fontId="16" fillId="0" borderId="37" xfId="0" applyFont="1" applyFill="1" applyBorder="1"/>
    <xf numFmtId="0" fontId="31" fillId="0" borderId="37" xfId="0" applyFont="1" applyBorder="1" applyAlignment="1">
      <alignment horizontal="center"/>
    </xf>
    <xf numFmtId="0" fontId="31" fillId="0" borderId="37" xfId="0" applyNumberFormat="1" applyFont="1" applyBorder="1" applyAlignment="1">
      <alignment horizontal="center"/>
    </xf>
    <xf numFmtId="165" fontId="31" fillId="15" borderId="19" xfId="10" applyFont="1" applyFill="1" applyBorder="1" applyAlignment="1">
      <alignment horizontal="center"/>
    </xf>
    <xf numFmtId="175" fontId="31" fillId="0" borderId="36" xfId="0" applyNumberFormat="1" applyFont="1" applyBorder="1"/>
    <xf numFmtId="2" fontId="31" fillId="0" borderId="37" xfId="10" applyNumberFormat="1" applyFont="1" applyFill="1" applyBorder="1" applyAlignment="1">
      <alignment horizontal="center"/>
    </xf>
    <xf numFmtId="165" fontId="31" fillId="0" borderId="37" xfId="10" applyFont="1" applyBorder="1"/>
    <xf numFmtId="177" fontId="31" fillId="0" borderId="37" xfId="0" applyNumberFormat="1" applyFont="1" applyBorder="1" applyAlignment="1">
      <alignment horizontal="center"/>
    </xf>
    <xf numFmtId="1" fontId="31" fillId="0" borderId="37" xfId="0" applyNumberFormat="1" applyFont="1" applyFill="1" applyBorder="1" applyAlignment="1">
      <alignment horizontal="center"/>
    </xf>
    <xf numFmtId="187" fontId="31" fillId="0" borderId="19" xfId="0" applyNumberFormat="1" applyFont="1" applyBorder="1"/>
    <xf numFmtId="177" fontId="4" fillId="0" borderId="37" xfId="0" applyNumberFormat="1" applyFont="1" applyBorder="1" applyAlignment="1">
      <alignment horizontal="center"/>
    </xf>
    <xf numFmtId="4" fontId="31" fillId="16" borderId="19" xfId="23" applyNumberFormat="1" applyFont="1" applyFill="1" applyBorder="1" applyAlignment="1">
      <alignment horizontal="center" vertical="center"/>
    </xf>
    <xf numFmtId="184" fontId="31" fillId="16" borderId="19" xfId="23" applyNumberFormat="1" applyFont="1" applyFill="1" applyBorder="1" applyAlignment="1">
      <alignment horizontal="center" vertical="center"/>
    </xf>
    <xf numFmtId="4" fontId="31" fillId="0" borderId="0" xfId="0" applyNumberFormat="1" applyFont="1"/>
    <xf numFmtId="9" fontId="30" fillId="13" borderId="17" xfId="0" applyNumberFormat="1" applyFont="1" applyFill="1" applyBorder="1" applyAlignment="1">
      <alignment horizontal="center"/>
    </xf>
    <xf numFmtId="0" fontId="30"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right" vertical="center"/>
    </xf>
    <xf numFmtId="0" fontId="30" fillId="0" borderId="50" xfId="0" applyFont="1" applyBorder="1" applyAlignment="1">
      <alignment horizontal="center" vertical="center"/>
    </xf>
    <xf numFmtId="4" fontId="30" fillId="0" borderId="23" xfId="0" applyNumberFormat="1" applyFont="1" applyBorder="1" applyAlignment="1">
      <alignment horizontal="center" vertical="center"/>
    </xf>
    <xf numFmtId="4" fontId="31" fillId="13" borderId="17" xfId="0" applyNumberFormat="1" applyFont="1" applyFill="1" applyBorder="1" applyAlignment="1">
      <alignment horizontal="center"/>
    </xf>
    <xf numFmtId="0" fontId="38" fillId="0" borderId="0" xfId="0" applyFont="1" applyBorder="1" applyAlignment="1">
      <alignment horizontal="left" indent="4"/>
    </xf>
    <xf numFmtId="0" fontId="16" fillId="0" borderId="37" xfId="0" applyFont="1" applyBorder="1" applyAlignment="1">
      <alignment wrapText="1"/>
    </xf>
    <xf numFmtId="10" fontId="17" fillId="0" borderId="25" xfId="27" applyNumberFormat="1" applyFont="1" applyFill="1" applyBorder="1" applyAlignment="1">
      <alignment horizontal="right"/>
    </xf>
    <xf numFmtId="182" fontId="30" fillId="13" borderId="25" xfId="20" applyNumberFormat="1" applyFont="1" applyFill="1" applyBorder="1" applyAlignment="1" applyProtection="1">
      <alignment vertical="center"/>
      <protection hidden="1"/>
    </xf>
    <xf numFmtId="0" fontId="57" fillId="0" borderId="0" xfId="0" applyFont="1" applyAlignment="1">
      <alignment horizontal="center" vertical="center"/>
    </xf>
    <xf numFmtId="4" fontId="17" fillId="13" borderId="54" xfId="0" applyNumberFormat="1" applyFont="1" applyFill="1" applyBorder="1" applyAlignment="1">
      <alignment horizontal="center" vertical="center"/>
    </xf>
    <xf numFmtId="0" fontId="17" fillId="13" borderId="55" xfId="0" applyFont="1" applyFill="1" applyBorder="1" applyAlignment="1">
      <alignment vertical="center"/>
    </xf>
    <xf numFmtId="0" fontId="17" fillId="13" borderId="55" xfId="0" applyFont="1" applyFill="1" applyBorder="1" applyAlignment="1">
      <alignment horizontal="center" vertical="center"/>
    </xf>
    <xf numFmtId="0" fontId="16" fillId="13" borderId="55" xfId="0" applyFont="1" applyFill="1" applyBorder="1" applyAlignment="1">
      <alignment horizontal="center" vertical="center"/>
    </xf>
    <xf numFmtId="0" fontId="16" fillId="13" borderId="56" xfId="0" applyFont="1" applyFill="1" applyBorder="1" applyAlignment="1">
      <alignment horizontal="center" vertical="center"/>
    </xf>
    <xf numFmtId="0" fontId="17" fillId="13" borderId="57" xfId="0" applyFont="1" applyFill="1" applyBorder="1" applyAlignment="1">
      <alignment horizontal="center" vertical="center"/>
    </xf>
    <xf numFmtId="0" fontId="17" fillId="13" borderId="0" xfId="0" applyFont="1" applyFill="1" applyBorder="1" applyAlignment="1">
      <alignment vertical="center"/>
    </xf>
    <xf numFmtId="0" fontId="17" fillId="13" borderId="0" xfId="0" applyFont="1" applyFill="1" applyBorder="1" applyAlignment="1">
      <alignment horizontal="center" vertical="center"/>
    </xf>
    <xf numFmtId="0" fontId="16" fillId="13" borderId="0" xfId="0" applyFont="1" applyFill="1" applyBorder="1" applyAlignment="1">
      <alignment horizontal="center" vertical="center"/>
    </xf>
    <xf numFmtId="0" fontId="16" fillId="13" borderId="58" xfId="0" applyFont="1" applyFill="1" applyBorder="1" applyAlignment="1">
      <alignment horizontal="center" vertical="center"/>
    </xf>
    <xf numFmtId="0" fontId="17" fillId="13" borderId="60" xfId="0" applyFont="1" applyFill="1" applyBorder="1" applyAlignment="1">
      <alignment vertical="center"/>
    </xf>
    <xf numFmtId="0" fontId="17" fillId="13" borderId="60" xfId="0" applyFont="1" applyFill="1" applyBorder="1" applyAlignment="1">
      <alignment horizontal="center" vertical="center"/>
    </xf>
    <xf numFmtId="0" fontId="16" fillId="13" borderId="60" xfId="0" applyFont="1" applyFill="1" applyBorder="1" applyAlignment="1">
      <alignment horizontal="center" vertical="center"/>
    </xf>
    <xf numFmtId="0" fontId="16" fillId="13" borderId="61" xfId="0" applyFont="1" applyFill="1" applyBorder="1" applyAlignment="1">
      <alignment horizontal="center" vertical="center"/>
    </xf>
    <xf numFmtId="0" fontId="77" fillId="0" borderId="0" xfId="0" applyFont="1" applyAlignment="1">
      <alignment vertical="center"/>
    </xf>
    <xf numFmtId="0" fontId="68" fillId="0" borderId="0" xfId="0" applyFont="1" applyAlignment="1">
      <alignment vertical="center"/>
    </xf>
    <xf numFmtId="0" fontId="33" fillId="0" borderId="0" xfId="21" applyFont="1" applyFill="1" applyAlignment="1">
      <alignment vertical="center"/>
    </xf>
    <xf numFmtId="0" fontId="68" fillId="0" borderId="0" xfId="0" applyFont="1" applyAlignment="1">
      <alignment horizontal="center" vertical="center" textRotation="90" wrapText="1"/>
    </xf>
    <xf numFmtId="0" fontId="65" fillId="0" borderId="0" xfId="0" applyFont="1" applyAlignment="1">
      <alignment vertical="center" wrapText="1"/>
    </xf>
    <xf numFmtId="0" fontId="65" fillId="0" borderId="0" xfId="0" applyFont="1" applyAlignment="1">
      <alignment horizontal="center" vertical="center" wrapText="1"/>
    </xf>
    <xf numFmtId="0" fontId="17" fillId="0" borderId="0" xfId="0" applyFont="1" applyAlignment="1">
      <alignment horizontal="center" vertical="center" wrapText="1"/>
    </xf>
    <xf numFmtId="2" fontId="31" fillId="0" borderId="22" xfId="28" applyNumberFormat="1" applyFont="1" applyFill="1" applyBorder="1" applyAlignment="1" applyProtection="1">
      <alignment horizontal="center" vertical="center" textRotation="90" wrapText="1"/>
      <protection hidden="1"/>
    </xf>
    <xf numFmtId="2" fontId="31" fillId="0" borderId="23" xfId="28" applyNumberFormat="1" applyFont="1" applyFill="1" applyBorder="1" applyAlignment="1" applyProtection="1">
      <alignment horizontal="center" vertical="center" textRotation="90" wrapText="1"/>
      <protection hidden="1"/>
    </xf>
    <xf numFmtId="2" fontId="16" fillId="0" borderId="23" xfId="28" applyNumberFormat="1" applyFont="1" applyFill="1" applyBorder="1" applyAlignment="1" applyProtection="1">
      <alignment horizontal="center" vertical="center" textRotation="90" wrapText="1"/>
      <protection hidden="1"/>
    </xf>
    <xf numFmtId="0" fontId="31" fillId="0" borderId="23" xfId="28" applyFont="1" applyFill="1" applyBorder="1" applyAlignment="1" applyProtection="1">
      <alignment horizontal="center" vertical="center" textRotation="90" wrapText="1"/>
      <protection hidden="1"/>
    </xf>
    <xf numFmtId="0" fontId="30" fillId="0" borderId="23" xfId="28" applyFont="1" applyFill="1" applyBorder="1" applyAlignment="1" applyProtection="1">
      <alignment horizontal="center" vertical="center" textRotation="90" wrapText="1"/>
      <protection hidden="1"/>
    </xf>
    <xf numFmtId="0" fontId="16" fillId="0" borderId="0" xfId="0" applyFont="1" applyBorder="1" applyAlignment="1">
      <alignment horizontal="center" vertical="center" wrapText="1"/>
    </xf>
    <xf numFmtId="0" fontId="31" fillId="0" borderId="23" xfId="28" applyNumberFormat="1" applyFont="1" applyFill="1" applyBorder="1" applyAlignment="1" applyProtection="1">
      <alignment horizontal="center" vertical="center" textRotation="90" wrapText="1"/>
      <protection hidden="1"/>
    </xf>
    <xf numFmtId="0" fontId="38" fillId="0" borderId="23" xfId="28" applyNumberFormat="1" applyFont="1" applyFill="1" applyBorder="1" applyAlignment="1" applyProtection="1">
      <alignment horizontal="center" vertical="center" textRotation="90" wrapText="1"/>
      <protection hidden="1"/>
    </xf>
    <xf numFmtId="0" fontId="30" fillId="0" borderId="24" xfId="28" applyFont="1" applyFill="1" applyBorder="1" applyAlignment="1" applyProtection="1">
      <alignment horizontal="center" vertical="center" textRotation="90" wrapText="1"/>
      <protection hidden="1"/>
    </xf>
    <xf numFmtId="0" fontId="16" fillId="0" borderId="0" xfId="0" applyFont="1" applyAlignment="1">
      <alignment horizontal="center" vertical="center" wrapText="1"/>
    </xf>
    <xf numFmtId="0" fontId="16" fillId="0" borderId="0" xfId="0" applyFont="1" applyAlignment="1">
      <alignment horizontal="center" vertical="center" textRotation="90" wrapText="1"/>
    </xf>
    <xf numFmtId="0" fontId="67" fillId="0" borderId="0" xfId="0" applyFont="1" applyAlignment="1">
      <alignment vertical="center"/>
    </xf>
    <xf numFmtId="10" fontId="16" fillId="0" borderId="0" xfId="0" applyNumberFormat="1" applyFont="1" applyAlignment="1">
      <alignment horizontal="center" vertical="center"/>
    </xf>
    <xf numFmtId="179" fontId="16" fillId="0" borderId="21" xfId="0" applyNumberFormat="1" applyFont="1" applyFill="1" applyBorder="1" applyAlignment="1">
      <alignment horizontal="center"/>
    </xf>
    <xf numFmtId="2" fontId="31" fillId="0" borderId="20" xfId="2" applyNumberFormat="1" applyFont="1" applyFill="1" applyBorder="1" applyAlignment="1">
      <alignment horizontal="center"/>
    </xf>
    <xf numFmtId="2" fontId="31" fillId="0" borderId="20" xfId="0" applyNumberFormat="1" applyFont="1" applyBorder="1" applyAlignment="1">
      <alignment horizontal="center"/>
    </xf>
    <xf numFmtId="180" fontId="16" fillId="0" borderId="20" xfId="0" applyNumberFormat="1" applyFont="1" applyBorder="1" applyAlignment="1">
      <alignment horizontal="center"/>
    </xf>
    <xf numFmtId="180" fontId="16" fillId="0" borderId="26" xfId="0" applyNumberFormat="1" applyFont="1" applyBorder="1" applyAlignment="1">
      <alignment horizontal="center" vertical="center"/>
    </xf>
    <xf numFmtId="180" fontId="16" fillId="0" borderId="0" xfId="0" applyNumberFormat="1" applyFont="1"/>
    <xf numFmtId="180" fontId="16" fillId="0" borderId="38" xfId="0" applyNumberFormat="1" applyFont="1" applyBorder="1" applyAlignment="1">
      <alignment horizontal="center"/>
    </xf>
    <xf numFmtId="4" fontId="16" fillId="0" borderId="37" xfId="0" applyNumberFormat="1" applyFont="1" applyBorder="1" applyAlignment="1">
      <alignment horizontal="center" vertical="center"/>
    </xf>
    <xf numFmtId="4" fontId="16" fillId="0" borderId="38" xfId="0" applyNumberFormat="1" applyFont="1" applyBorder="1" applyAlignment="1">
      <alignment horizontal="center"/>
    </xf>
    <xf numFmtId="4" fontId="31" fillId="0" borderId="19" xfId="0" applyNumberFormat="1" applyFont="1" applyFill="1" applyBorder="1" applyAlignment="1">
      <alignment horizontal="center" vertical="top"/>
    </xf>
    <xf numFmtId="180" fontId="30" fillId="0" borderId="0" xfId="0" applyNumberFormat="1" applyFont="1" applyFill="1" applyAlignment="1">
      <alignment horizontal="center"/>
    </xf>
    <xf numFmtId="180" fontId="31" fillId="0" borderId="0" xfId="0" applyNumberFormat="1" applyFont="1" applyAlignment="1">
      <alignment horizontal="center"/>
    </xf>
    <xf numFmtId="180" fontId="30" fillId="0" borderId="0" xfId="0" applyNumberFormat="1" applyFont="1" applyAlignment="1">
      <alignment horizontal="center"/>
    </xf>
    <xf numFmtId="180" fontId="31" fillId="0" borderId="0" xfId="0" applyNumberFormat="1" applyFont="1" applyAlignment="1">
      <alignment horizontal="center" vertical="top"/>
    </xf>
    <xf numFmtId="180" fontId="16" fillId="0" borderId="37" xfId="0" applyNumberFormat="1" applyFont="1" applyBorder="1" applyAlignment="1">
      <alignment horizontal="center"/>
    </xf>
    <xf numFmtId="186" fontId="30" fillId="0" borderId="0" xfId="21" applyNumberFormat="1" applyFont="1" applyFill="1" applyAlignment="1">
      <alignment vertical="center"/>
    </xf>
    <xf numFmtId="165" fontId="30" fillId="0" borderId="0" xfId="10" applyFont="1" applyAlignment="1">
      <alignment horizontal="center"/>
    </xf>
    <xf numFmtId="175" fontId="31" fillId="0" borderId="19" xfId="0" applyNumberFormat="1" applyFont="1" applyBorder="1" applyAlignment="1">
      <alignment horizontal="center"/>
    </xf>
    <xf numFmtId="0" fontId="36" fillId="0" borderId="0" xfId="0" applyFont="1" applyAlignment="1">
      <alignment horizontal="center"/>
    </xf>
    <xf numFmtId="0" fontId="37" fillId="0" borderId="0" xfId="0" applyFont="1" applyAlignment="1">
      <alignment horizontal="center"/>
    </xf>
    <xf numFmtId="0" fontId="30" fillId="0" borderId="0" xfId="0" applyFont="1" applyAlignment="1">
      <alignment horizontal="center"/>
    </xf>
    <xf numFmtId="0" fontId="65" fillId="14" borderId="0" xfId="0" applyFont="1" applyFill="1" applyBorder="1" applyAlignment="1">
      <alignment horizontal="center" vertical="center" wrapText="1"/>
    </xf>
    <xf numFmtId="184" fontId="31" fillId="0" borderId="37" xfId="0" applyNumberFormat="1" applyFont="1" applyFill="1" applyBorder="1" applyAlignment="1">
      <alignment horizontal="center"/>
    </xf>
    <xf numFmtId="191" fontId="31" fillId="0" borderId="37" xfId="0" applyNumberFormat="1" applyFont="1" applyBorder="1" applyAlignment="1">
      <alignment horizontal="center"/>
    </xf>
    <xf numFmtId="2" fontId="31" fillId="0" borderId="63" xfId="0" applyNumberFormat="1" applyFont="1" applyBorder="1" applyAlignment="1">
      <alignment horizontal="center"/>
    </xf>
    <xf numFmtId="4" fontId="81" fillId="20" borderId="19" xfId="0" applyNumberFormat="1" applyFont="1" applyFill="1" applyBorder="1" applyAlignment="1" applyProtection="1">
      <alignment horizontal="center" vertical="center"/>
      <protection hidden="1"/>
    </xf>
    <xf numFmtId="0" fontId="17" fillId="0" borderId="0" xfId="0" applyFont="1" applyAlignment="1">
      <alignment horizontal="left" indent="4"/>
    </xf>
    <xf numFmtId="0" fontId="16" fillId="0" borderId="0" xfId="0" applyFont="1" applyAlignment="1">
      <alignment horizontal="left" indent="4"/>
    </xf>
    <xf numFmtId="0" fontId="31" fillId="0" borderId="26" xfId="22" applyFont="1" applyFill="1" applyBorder="1"/>
    <xf numFmtId="0" fontId="38" fillId="0" borderId="27" xfId="20" applyFont="1" applyFill="1" applyBorder="1" applyAlignment="1" applyProtection="1">
      <alignment horizontal="left" vertical="center" indent="2"/>
      <protection hidden="1"/>
    </xf>
    <xf numFmtId="0" fontId="30" fillId="0" borderId="27" xfId="22" applyFont="1" applyFill="1" applyBorder="1"/>
    <xf numFmtId="10" fontId="81" fillId="20" borderId="19" xfId="0" applyNumberFormat="1" applyFont="1" applyFill="1" applyBorder="1" applyAlignment="1" applyProtection="1">
      <alignment horizontal="center" vertical="center"/>
      <protection hidden="1"/>
    </xf>
    <xf numFmtId="2" fontId="30" fillId="0" borderId="0" xfId="28" applyNumberFormat="1" applyFont="1" applyFill="1" applyAlignment="1" applyProtection="1">
      <alignment vertical="center"/>
      <protection hidden="1"/>
    </xf>
    <xf numFmtId="194" fontId="33" fillId="0" borderId="0" xfId="21" applyNumberFormat="1" applyFont="1" applyFill="1" applyAlignment="1">
      <alignment horizontal="left"/>
    </xf>
    <xf numFmtId="0" fontId="16" fillId="0" borderId="0" xfId="0" quotePrefix="1" applyFont="1" applyAlignment="1">
      <alignment vertical="center"/>
    </xf>
    <xf numFmtId="49" fontId="55" fillId="0" borderId="0" xfId="2" applyNumberFormat="1" applyFont="1" applyFill="1" applyBorder="1" applyAlignment="1" applyProtection="1">
      <alignment horizontal="left" indent="4"/>
      <protection hidden="1"/>
    </xf>
    <xf numFmtId="0" fontId="0" fillId="0" borderId="0" xfId="0" applyAlignment="1">
      <alignment horizontal="right"/>
    </xf>
    <xf numFmtId="15" fontId="0" fillId="0" borderId="0" xfId="0" applyNumberFormat="1" applyAlignment="1">
      <alignment horizontal="left"/>
    </xf>
    <xf numFmtId="2" fontId="31" fillId="0" borderId="37" xfId="10" applyNumberFormat="1" applyFont="1" applyFill="1" applyBorder="1" applyAlignment="1">
      <alignment horizontal="left"/>
    </xf>
    <xf numFmtId="0" fontId="31" fillId="0" borderId="37" xfId="0" applyNumberFormat="1" applyFont="1" applyFill="1" applyBorder="1" applyAlignment="1">
      <alignment horizontal="center"/>
    </xf>
    <xf numFmtId="0" fontId="31" fillId="0" borderId="37" xfId="0" applyFont="1" applyFill="1" applyBorder="1"/>
    <xf numFmtId="180" fontId="16" fillId="0" borderId="37" xfId="0" applyNumberFormat="1" applyFont="1" applyFill="1" applyBorder="1" applyAlignment="1">
      <alignment horizontal="center"/>
    </xf>
    <xf numFmtId="177" fontId="4" fillId="0" borderId="37" xfId="0" applyNumberFormat="1" applyFont="1" applyFill="1" applyBorder="1" applyAlignment="1">
      <alignment horizontal="center"/>
    </xf>
    <xf numFmtId="177" fontId="88" fillId="0" borderId="70" xfId="0" applyNumberFormat="1" applyFont="1" applyFill="1" applyBorder="1" applyAlignment="1">
      <alignment horizontal="center"/>
    </xf>
    <xf numFmtId="177" fontId="3" fillId="0" borderId="37" xfId="0" applyNumberFormat="1" applyFont="1" applyBorder="1" applyAlignment="1">
      <alignment horizontal="center"/>
    </xf>
    <xf numFmtId="177" fontId="2" fillId="0" borderId="37" xfId="0" applyNumberFormat="1" applyFont="1" applyBorder="1" applyAlignment="1">
      <alignment horizontal="center"/>
    </xf>
    <xf numFmtId="186" fontId="16" fillId="0" borderId="0" xfId="0" applyNumberFormat="1" applyFont="1" applyBorder="1"/>
    <xf numFmtId="184" fontId="31" fillId="0" borderId="0" xfId="0" applyNumberFormat="1" applyFont="1" applyBorder="1"/>
    <xf numFmtId="4" fontId="31" fillId="0" borderId="0" xfId="0" applyNumberFormat="1" applyFont="1" applyBorder="1"/>
    <xf numFmtId="4" fontId="31" fillId="0" borderId="0" xfId="0" applyNumberFormat="1" applyFont="1" applyBorder="1" applyAlignment="1">
      <alignment horizontal="center"/>
    </xf>
    <xf numFmtId="0" fontId="31" fillId="0" borderId="62" xfId="0" applyFont="1" applyFill="1" applyBorder="1" applyAlignment="1">
      <alignment horizontal="center"/>
    </xf>
    <xf numFmtId="0" fontId="31" fillId="0" borderId="37" xfId="0" applyFont="1" applyFill="1" applyBorder="1" applyAlignment="1">
      <alignment horizontal="center"/>
    </xf>
    <xf numFmtId="180" fontId="68" fillId="0" borderId="37" xfId="0" applyNumberFormat="1" applyFont="1" applyFill="1" applyBorder="1" applyAlignment="1">
      <alignment horizontal="center"/>
    </xf>
    <xf numFmtId="0" fontId="16" fillId="0" borderId="21" xfId="0" applyFont="1" applyFill="1" applyBorder="1" applyAlignment="1">
      <alignment horizontal="left"/>
    </xf>
    <xf numFmtId="0" fontId="86" fillId="0" borderId="29" xfId="22" quotePrefix="1" applyFont="1" applyBorder="1" applyAlignment="1">
      <alignment horizontal="right"/>
    </xf>
    <xf numFmtId="2" fontId="87" fillId="0" borderId="0" xfId="28" quotePrefix="1" applyNumberFormat="1" applyFont="1" applyFill="1" applyAlignment="1" applyProtection="1">
      <alignment horizontal="left" vertical="center"/>
      <protection hidden="1"/>
    </xf>
    <xf numFmtId="0" fontId="61" fillId="14" borderId="0" xfId="17" applyNumberFormat="1" applyFont="1" applyFill="1" applyBorder="1" applyAlignment="1" applyProtection="1">
      <alignment horizontal="left" vertical="center"/>
      <protection hidden="1"/>
    </xf>
    <xf numFmtId="0" fontId="65" fillId="13" borderId="0" xfId="0" applyFont="1" applyFill="1" applyAlignment="1">
      <alignment horizontal="center" vertical="center"/>
    </xf>
    <xf numFmtId="0" fontId="59" fillId="0" borderId="0" xfId="19" applyFont="1" applyAlignment="1">
      <alignment horizontal="center" vertical="center"/>
    </xf>
    <xf numFmtId="177" fontId="1" fillId="0" borderId="37" xfId="0" applyNumberFormat="1" applyFont="1" applyBorder="1" applyAlignment="1">
      <alignment horizontal="center"/>
    </xf>
    <xf numFmtId="0" fontId="16" fillId="0" borderId="21" xfId="0" applyFont="1" applyFill="1" applyBorder="1" applyAlignment="1">
      <alignment wrapText="1"/>
    </xf>
    <xf numFmtId="0" fontId="16" fillId="0" borderId="21" xfId="0" applyFont="1" applyFill="1" applyBorder="1" applyAlignment="1">
      <alignment horizontal="center" wrapText="1"/>
    </xf>
    <xf numFmtId="4" fontId="31" fillId="0" borderId="12" xfId="23" applyNumberFormat="1" applyFont="1" applyFill="1" applyBorder="1" applyAlignment="1">
      <alignment horizontal="center" vertical="center"/>
    </xf>
    <xf numFmtId="0" fontId="16" fillId="0" borderId="21" xfId="0" applyFont="1" applyFill="1" applyBorder="1" applyAlignment="1">
      <alignment vertical="center"/>
    </xf>
    <xf numFmtId="0" fontId="16" fillId="0" borderId="21" xfId="0" applyFont="1" applyFill="1" applyBorder="1" applyAlignment="1">
      <alignment horizontal="left" vertical="center"/>
    </xf>
    <xf numFmtId="0" fontId="16" fillId="0" borderId="21" xfId="0" applyFont="1" applyFill="1" applyBorder="1" applyAlignment="1">
      <alignment vertical="center" wrapText="1"/>
    </xf>
    <xf numFmtId="179" fontId="16" fillId="0" borderId="21" xfId="0" applyNumberFormat="1" applyFont="1" applyFill="1" applyBorder="1" applyAlignment="1">
      <alignment horizontal="center" vertical="center"/>
    </xf>
    <xf numFmtId="194" fontId="31" fillId="0" borderId="0" xfId="21" applyNumberFormat="1" applyFont="1" applyFill="1" applyAlignment="1">
      <alignment horizontal="left"/>
    </xf>
    <xf numFmtId="0" fontId="65" fillId="13" borderId="0" xfId="0" applyFont="1" applyFill="1" applyAlignment="1">
      <alignment horizontal="center" vertical="center"/>
    </xf>
    <xf numFmtId="16" fontId="65" fillId="13" borderId="0" xfId="0" applyNumberFormat="1" applyFont="1" applyFill="1" applyAlignment="1">
      <alignment horizontal="center" vertical="center"/>
    </xf>
    <xf numFmtId="4" fontId="31" fillId="18" borderId="9" xfId="23" applyNumberFormat="1" applyFont="1" applyFill="1" applyBorder="1" applyAlignment="1">
      <alignment horizontal="center" vertical="center"/>
    </xf>
    <xf numFmtId="4" fontId="31" fillId="18" borderId="12" xfId="23" applyNumberFormat="1" applyFont="1" applyFill="1" applyBorder="1" applyAlignment="1">
      <alignment horizontal="center" vertical="center"/>
    </xf>
    <xf numFmtId="4" fontId="31" fillId="18" borderId="19" xfId="23" applyNumberFormat="1" applyFont="1" applyFill="1" applyBorder="1" applyAlignment="1">
      <alignment horizontal="center" vertical="center"/>
    </xf>
    <xf numFmtId="3" fontId="31" fillId="18" borderId="19" xfId="0" applyNumberFormat="1" applyFont="1" applyFill="1" applyBorder="1" applyAlignment="1">
      <alignment horizontal="center" vertical="center"/>
    </xf>
    <xf numFmtId="190" fontId="16" fillId="18" borderId="9" xfId="23" applyNumberFormat="1" applyFont="1" applyFill="1" applyBorder="1" applyAlignment="1">
      <alignment horizontal="center" vertical="center"/>
    </xf>
    <xf numFmtId="0" fontId="16" fillId="18" borderId="21" xfId="0" applyFont="1" applyFill="1" applyBorder="1" applyAlignment="1">
      <alignment horizontal="center"/>
    </xf>
    <xf numFmtId="0" fontId="16" fillId="18" borderId="21" xfId="0" applyFont="1" applyFill="1" applyBorder="1" applyAlignment="1">
      <alignment horizontal="center" vertical="center"/>
    </xf>
    <xf numFmtId="179" fontId="16" fillId="18" borderId="21" xfId="0" applyNumberFormat="1" applyFont="1" applyFill="1" applyBorder="1" applyAlignment="1">
      <alignment horizontal="center"/>
    </xf>
    <xf numFmtId="0" fontId="59" fillId="0" borderId="0" xfId="0" applyFont="1" applyAlignment="1">
      <alignment vertical="center"/>
    </xf>
    <xf numFmtId="0" fontId="30" fillId="0" borderId="0" xfId="0" applyFont="1" applyAlignment="1">
      <alignment vertical="center"/>
    </xf>
    <xf numFmtId="0" fontId="16" fillId="0" borderId="0" xfId="0" applyFont="1" applyFill="1" applyBorder="1" applyAlignment="1">
      <alignment horizontal="center" wrapText="1"/>
    </xf>
    <xf numFmtId="0" fontId="16" fillId="0" borderId="0" xfId="0" applyFont="1" applyFill="1" applyBorder="1" applyAlignment="1">
      <alignment horizontal="center"/>
    </xf>
    <xf numFmtId="0" fontId="16" fillId="0" borderId="0" xfId="0" applyFont="1" applyBorder="1" applyAlignment="1">
      <alignment horizontal="center" vertical="center"/>
    </xf>
    <xf numFmtId="179" fontId="16" fillId="0" borderId="0" xfId="0" applyNumberFormat="1" applyFont="1" applyFill="1" applyBorder="1" applyAlignment="1">
      <alignment horizontal="center"/>
    </xf>
    <xf numFmtId="4" fontId="31" fillId="0" borderId="0" xfId="23" applyNumberFormat="1" applyFont="1" applyFill="1" applyBorder="1" applyAlignment="1">
      <alignment horizontal="center" vertical="center"/>
    </xf>
    <xf numFmtId="184" fontId="31" fillId="0" borderId="0" xfId="23" applyNumberFormat="1" applyFont="1" applyFill="1" applyBorder="1" applyAlignment="1">
      <alignment horizontal="center" vertical="center"/>
    </xf>
    <xf numFmtId="4" fontId="31" fillId="16" borderId="0" xfId="23" applyNumberFormat="1" applyFont="1" applyFill="1" applyBorder="1" applyAlignment="1">
      <alignment horizontal="center" vertical="center"/>
    </xf>
    <xf numFmtId="184" fontId="31" fillId="8" borderId="0" xfId="23" applyNumberFormat="1" applyFont="1" applyFill="1" applyBorder="1" applyAlignment="1">
      <alignment horizontal="center" vertical="center"/>
    </xf>
    <xf numFmtId="184" fontId="31" fillId="16" borderId="0" xfId="23" applyNumberFormat="1" applyFont="1" applyFill="1" applyBorder="1" applyAlignment="1">
      <alignment horizontal="center" vertical="center"/>
    </xf>
    <xf numFmtId="177" fontId="1" fillId="0" borderId="37" xfId="0" applyNumberFormat="1" applyFont="1" applyFill="1" applyBorder="1" applyAlignment="1">
      <alignment horizontal="center"/>
    </xf>
    <xf numFmtId="177" fontId="88" fillId="0" borderId="70" xfId="0" applyNumberFormat="1" applyFont="1" applyBorder="1" applyAlignment="1">
      <alignment horizontal="center"/>
    </xf>
    <xf numFmtId="4" fontId="31" fillId="0" borderId="0" xfId="0" applyNumberFormat="1" applyFont="1" applyAlignment="1">
      <alignment vertical="center"/>
    </xf>
    <xf numFmtId="192" fontId="31" fillId="0" borderId="19" xfId="0" applyNumberFormat="1" applyFont="1" applyFill="1" applyBorder="1" applyAlignment="1">
      <alignment horizontal="center"/>
    </xf>
    <xf numFmtId="165" fontId="31" fillId="0" borderId="0" xfId="10" applyFont="1" applyAlignment="1">
      <alignment horizontal="left" wrapText="1"/>
    </xf>
    <xf numFmtId="0" fontId="33" fillId="0" borderId="0" xfId="21" applyFont="1" applyFill="1" applyAlignment="1">
      <alignment wrapText="1"/>
    </xf>
    <xf numFmtId="2" fontId="33" fillId="0" borderId="0" xfId="21" applyNumberFormat="1" applyFont="1" applyFill="1" applyAlignment="1">
      <alignment wrapText="1"/>
    </xf>
    <xf numFmtId="0" fontId="35" fillId="0" borderId="0" xfId="0" applyFont="1" applyAlignment="1">
      <alignment vertical="top" wrapText="1"/>
    </xf>
    <xf numFmtId="194" fontId="38" fillId="0" borderId="0" xfId="21" applyNumberFormat="1" applyFont="1" applyFill="1" applyAlignment="1">
      <alignment wrapText="1"/>
    </xf>
    <xf numFmtId="2" fontId="31" fillId="0" borderId="0" xfId="10" applyNumberFormat="1" applyFont="1" applyAlignment="1">
      <alignment horizontal="left" wrapText="1"/>
    </xf>
    <xf numFmtId="0" fontId="31" fillId="13" borderId="10" xfId="0" applyNumberFormat="1" applyFont="1" applyFill="1" applyBorder="1" applyAlignment="1">
      <alignment horizontal="left" wrapText="1"/>
    </xf>
    <xf numFmtId="165" fontId="31" fillId="0" borderId="0" xfId="10" applyFont="1" applyAlignment="1">
      <alignment horizontal="center" wrapText="1"/>
    </xf>
    <xf numFmtId="165" fontId="31" fillId="0" borderId="0" xfId="10" applyFont="1" applyFill="1" applyAlignment="1">
      <alignment horizontal="center" wrapText="1"/>
    </xf>
    <xf numFmtId="165" fontId="31" fillId="0" borderId="0" xfId="10" applyFont="1" applyFill="1" applyAlignment="1">
      <alignment horizontal="left" wrapText="1"/>
    </xf>
    <xf numFmtId="0" fontId="0" fillId="0" borderId="0" xfId="0" applyAlignment="1">
      <alignment wrapText="1"/>
    </xf>
    <xf numFmtId="177" fontId="2" fillId="0" borderId="37" xfId="0" applyNumberFormat="1" applyFont="1" applyFill="1" applyBorder="1" applyAlignment="1">
      <alignment horizontal="center"/>
    </xf>
    <xf numFmtId="0" fontId="31" fillId="0" borderId="0" xfId="0" applyFont="1" applyAlignment="1">
      <alignment horizontal="left"/>
    </xf>
    <xf numFmtId="0" fontId="30" fillId="0" borderId="0" xfId="0" applyFont="1" applyAlignment="1">
      <alignment horizontal="left"/>
    </xf>
    <xf numFmtId="0" fontId="31" fillId="0" borderId="0" xfId="0" applyFont="1" applyAlignment="1">
      <alignment horizontal="left" vertical="top"/>
    </xf>
    <xf numFmtId="0" fontId="65" fillId="14" borderId="0" xfId="0" applyFont="1" applyFill="1" applyBorder="1" applyAlignment="1">
      <alignment horizontal="left" vertical="center" wrapText="1"/>
    </xf>
    <xf numFmtId="0" fontId="31" fillId="0" borderId="37" xfId="0" applyFont="1" applyFill="1" applyBorder="1" applyAlignment="1">
      <alignment horizontal="left"/>
    </xf>
    <xf numFmtId="0" fontId="31" fillId="0" borderId="37" xfId="0" applyFont="1" applyBorder="1" applyAlignment="1">
      <alignment horizontal="left"/>
    </xf>
    <xf numFmtId="190" fontId="16" fillId="14" borderId="9" xfId="23" applyNumberFormat="1" applyFont="1" applyFill="1" applyBorder="1" applyAlignment="1">
      <alignment horizontal="center" vertical="center"/>
    </xf>
    <xf numFmtId="179" fontId="16" fillId="14" borderId="21" xfId="0" applyNumberFormat="1" applyFont="1" applyFill="1" applyBorder="1" applyAlignment="1">
      <alignment horizontal="center" vertical="center"/>
    </xf>
    <xf numFmtId="0" fontId="16" fillId="14" borderId="21" xfId="0" applyFont="1" applyFill="1" applyBorder="1" applyAlignment="1">
      <alignment wrapText="1"/>
    </xf>
    <xf numFmtId="179" fontId="16" fillId="14" borderId="21" xfId="0" applyNumberFormat="1" applyFont="1" applyFill="1" applyBorder="1" applyAlignment="1">
      <alignment horizontal="center"/>
    </xf>
    <xf numFmtId="190" fontId="16" fillId="14" borderId="74" xfId="23" applyNumberFormat="1" applyFont="1" applyFill="1" applyBorder="1" applyAlignment="1">
      <alignment horizontal="center" vertical="center"/>
    </xf>
    <xf numFmtId="179" fontId="16" fillId="14" borderId="75" xfId="0" applyNumberFormat="1" applyFont="1" applyFill="1" applyBorder="1" applyAlignment="1">
      <alignment horizontal="center"/>
    </xf>
    <xf numFmtId="179" fontId="16" fillId="0" borderId="20" xfId="0" applyNumberFormat="1" applyFont="1" applyFill="1" applyBorder="1" applyAlignment="1">
      <alignment horizontal="center"/>
    </xf>
    <xf numFmtId="2" fontId="17" fillId="13" borderId="59" xfId="0" applyNumberFormat="1" applyFont="1" applyFill="1" applyBorder="1" applyAlignment="1">
      <alignment horizontal="center" vertical="center"/>
    </xf>
    <xf numFmtId="191" fontId="16" fillId="0" borderId="0" xfId="0" applyNumberFormat="1" applyFont="1" applyAlignment="1">
      <alignment vertical="center"/>
    </xf>
    <xf numFmtId="177" fontId="31" fillId="13" borderId="1" xfId="0" applyNumberFormat="1" applyFont="1" applyFill="1" applyBorder="1" applyAlignment="1">
      <alignment horizontal="center" vertical="center"/>
    </xf>
    <xf numFmtId="1" fontId="31" fillId="13" borderId="1" xfId="0" applyNumberFormat="1" applyFont="1" applyFill="1" applyBorder="1" applyAlignment="1">
      <alignment horizontal="center" vertical="center"/>
    </xf>
    <xf numFmtId="2" fontId="31" fillId="13" borderId="1" xfId="0" applyNumberFormat="1" applyFont="1" applyFill="1" applyBorder="1" applyAlignment="1">
      <alignment vertical="center"/>
    </xf>
    <xf numFmtId="0" fontId="31" fillId="13" borderId="1" xfId="0" applyNumberFormat="1" applyFont="1" applyFill="1" applyBorder="1" applyAlignment="1">
      <alignment horizontal="left" vertical="center" wrapText="1"/>
    </xf>
    <xf numFmtId="175" fontId="31" fillId="15" borderId="1" xfId="0" applyNumberFormat="1" applyFont="1" applyFill="1" applyBorder="1" applyAlignment="1">
      <alignment horizontal="center" vertical="center"/>
    </xf>
    <xf numFmtId="3" fontId="31" fillId="13" borderId="1" xfId="25" applyNumberFormat="1" applyFont="1" applyFill="1" applyBorder="1" applyAlignment="1">
      <alignment horizontal="right" vertical="center"/>
    </xf>
    <xf numFmtId="3" fontId="31" fillId="13" borderId="1" xfId="0" applyNumberFormat="1" applyFont="1" applyFill="1" applyBorder="1" applyAlignment="1">
      <alignment horizontal="right" vertical="center"/>
    </xf>
    <xf numFmtId="180" fontId="31" fillId="13" borderId="1" xfId="10" applyNumberFormat="1" applyFont="1" applyFill="1" applyBorder="1" applyAlignment="1">
      <alignment horizontal="right" vertical="center"/>
    </xf>
    <xf numFmtId="10" fontId="31" fillId="13" borderId="1" xfId="0" applyNumberFormat="1" applyFont="1" applyFill="1" applyBorder="1" applyAlignment="1" applyProtection="1">
      <alignment horizontal="right" vertical="center"/>
    </xf>
    <xf numFmtId="174" fontId="31" fillId="13" borderId="1" xfId="0" applyNumberFormat="1" applyFont="1" applyFill="1" applyBorder="1" applyAlignment="1" applyProtection="1">
      <alignment horizontal="left" vertical="center" indent="1"/>
    </xf>
    <xf numFmtId="173" fontId="27" fillId="9" borderId="1" xfId="0" applyNumberFormat="1" applyFont="1" applyFill="1" applyBorder="1" applyAlignment="1" applyProtection="1">
      <alignment horizontal="center" vertical="center"/>
    </xf>
    <xf numFmtId="174" fontId="31" fillId="13" borderId="1" xfId="0" applyNumberFormat="1" applyFont="1" applyFill="1" applyBorder="1" applyAlignment="1" applyProtection="1">
      <alignment vertical="center"/>
    </xf>
    <xf numFmtId="174" fontId="31" fillId="13" borderId="1" xfId="0" applyNumberFormat="1" applyFont="1" applyFill="1" applyBorder="1" applyAlignment="1" applyProtection="1">
      <alignment vertical="center" wrapText="1"/>
    </xf>
    <xf numFmtId="0" fontId="31" fillId="13" borderId="1" xfId="0" applyNumberFormat="1" applyFont="1" applyFill="1" applyBorder="1" applyAlignment="1">
      <alignment horizontal="left" vertical="center"/>
    </xf>
    <xf numFmtId="175" fontId="31" fillId="13" borderId="1" xfId="0" applyNumberFormat="1" applyFont="1" applyFill="1" applyBorder="1" applyAlignment="1">
      <alignment horizontal="center" vertical="center"/>
    </xf>
    <xf numFmtId="0" fontId="31" fillId="0" borderId="0" xfId="33" applyFont="1" applyFill="1" applyAlignment="1">
      <alignment vertical="center"/>
    </xf>
    <xf numFmtId="185" fontId="31" fillId="13" borderId="1" xfId="0" applyNumberFormat="1" applyFont="1" applyFill="1" applyBorder="1" applyAlignment="1">
      <alignment horizontal="center" vertical="center"/>
    </xf>
    <xf numFmtId="1" fontId="31" fillId="13" borderId="1" xfId="33" applyNumberFormat="1" applyFont="1" applyFill="1" applyBorder="1" applyAlignment="1">
      <alignment horizontal="center" vertical="center"/>
    </xf>
    <xf numFmtId="0" fontId="31" fillId="13" borderId="1" xfId="10" applyNumberFormat="1" applyFont="1" applyFill="1" applyBorder="1" applyAlignment="1">
      <alignment horizontal="left" vertical="center"/>
    </xf>
    <xf numFmtId="0" fontId="31" fillId="13" borderId="1" xfId="10" applyNumberFormat="1" applyFont="1" applyFill="1" applyBorder="1" applyAlignment="1">
      <alignment vertical="center" wrapText="1"/>
    </xf>
    <xf numFmtId="175" fontId="31" fillId="13" borderId="1" xfId="0" applyNumberFormat="1" applyFont="1" applyFill="1" applyBorder="1" applyAlignment="1">
      <alignment horizontal="left" vertical="center"/>
    </xf>
    <xf numFmtId="178" fontId="31" fillId="13" borderId="1" xfId="0" applyNumberFormat="1" applyFont="1" applyFill="1" applyBorder="1" applyAlignment="1" applyProtection="1">
      <alignment horizontal="right" vertical="center"/>
    </xf>
    <xf numFmtId="0" fontId="17" fillId="12" borderId="3" xfId="33" applyFont="1" applyFill="1" applyBorder="1" applyAlignment="1">
      <alignment horizontal="center" vertical="center"/>
    </xf>
    <xf numFmtId="191" fontId="16" fillId="0" borderId="0" xfId="0" applyNumberFormat="1" applyFont="1" applyBorder="1"/>
    <xf numFmtId="191" fontId="16" fillId="0" borderId="0" xfId="0" applyNumberFormat="1" applyFont="1" applyAlignment="1">
      <alignment horizontal="center" vertical="center"/>
    </xf>
    <xf numFmtId="0" fontId="68" fillId="21" borderId="0" xfId="0" applyFont="1" applyFill="1" applyBorder="1" applyAlignment="1">
      <alignment horizontal="center" vertical="center"/>
    </xf>
    <xf numFmtId="0" fontId="16" fillId="0" borderId="23" xfId="0" applyFont="1" applyFill="1" applyBorder="1"/>
    <xf numFmtId="0" fontId="16" fillId="0" borderId="23" xfId="0" applyFont="1" applyBorder="1"/>
    <xf numFmtId="180" fontId="16" fillId="0" borderId="23" xfId="0" applyNumberFormat="1" applyFont="1" applyBorder="1" applyAlignment="1">
      <alignment horizontal="center"/>
    </xf>
    <xf numFmtId="0" fontId="16" fillId="14" borderId="23" xfId="0" applyFont="1" applyFill="1" applyBorder="1" applyAlignment="1">
      <alignment horizontal="center" vertical="center"/>
    </xf>
    <xf numFmtId="2" fontId="31" fillId="0" borderId="23" xfId="2" applyNumberFormat="1" applyFont="1" applyFill="1" applyBorder="1" applyAlignment="1">
      <alignment horizontal="center"/>
    </xf>
    <xf numFmtId="2" fontId="31" fillId="0" borderId="23" xfId="0" applyNumberFormat="1" applyFont="1" applyBorder="1" applyAlignment="1">
      <alignment horizontal="center"/>
    </xf>
    <xf numFmtId="179" fontId="16" fillId="0" borderId="23" xfId="0" applyNumberFormat="1" applyFont="1" applyBorder="1" applyAlignment="1">
      <alignment horizontal="center"/>
    </xf>
    <xf numFmtId="0" fontId="16" fillId="0" borderId="17" xfId="0" applyFont="1" applyFill="1" applyBorder="1"/>
    <xf numFmtId="0" fontId="16" fillId="0" borderId="17" xfId="0" applyFont="1" applyBorder="1"/>
    <xf numFmtId="0" fontId="16" fillId="14" borderId="17" xfId="0" applyFont="1" applyFill="1" applyBorder="1" applyAlignment="1">
      <alignment horizontal="center" vertical="center"/>
    </xf>
    <xf numFmtId="2" fontId="31" fillId="0" borderId="17" xfId="2" applyNumberFormat="1" applyFont="1" applyFill="1" applyBorder="1" applyAlignment="1">
      <alignment horizontal="center"/>
    </xf>
    <xf numFmtId="2" fontId="31" fillId="0" borderId="17" xfId="0" applyNumberFormat="1" applyFont="1" applyBorder="1" applyAlignment="1">
      <alignment horizontal="center"/>
    </xf>
    <xf numFmtId="0" fontId="89" fillId="0" borderId="17" xfId="0" applyFont="1" applyBorder="1"/>
    <xf numFmtId="2" fontId="66" fillId="14" borderId="0" xfId="17" applyNumberFormat="1" applyFont="1" applyFill="1" applyBorder="1" applyAlignment="1" applyProtection="1">
      <alignment horizontal="center" vertical="center" wrapText="1"/>
      <protection hidden="1"/>
    </xf>
    <xf numFmtId="0" fontId="16" fillId="14" borderId="17" xfId="0" applyFont="1" applyFill="1" applyBorder="1" applyAlignment="1">
      <alignment vertical="center"/>
    </xf>
    <xf numFmtId="0" fontId="16" fillId="14" borderId="23" xfId="0" applyFont="1" applyFill="1" applyBorder="1"/>
    <xf numFmtId="0" fontId="16" fillId="14" borderId="17" xfId="0" applyFont="1" applyFill="1" applyBorder="1"/>
    <xf numFmtId="0" fontId="65" fillId="13" borderId="0" xfId="0" applyFont="1" applyFill="1" applyAlignment="1">
      <alignment horizontal="center" vertical="center"/>
    </xf>
    <xf numFmtId="2" fontId="31" fillId="0" borderId="0" xfId="10" applyNumberFormat="1" applyFont="1" applyAlignment="1">
      <alignment horizontal="center"/>
    </xf>
    <xf numFmtId="2" fontId="30" fillId="0" borderId="0" xfId="10" applyNumberFormat="1" applyFont="1" applyAlignment="1">
      <alignment horizontal="center"/>
    </xf>
    <xf numFmtId="2" fontId="65" fillId="14" borderId="0" xfId="10" applyNumberFormat="1" applyFont="1" applyFill="1" applyBorder="1" applyAlignment="1">
      <alignment horizontal="center" vertical="center" wrapText="1"/>
    </xf>
    <xf numFmtId="2" fontId="31" fillId="15" borderId="19" xfId="10" applyNumberFormat="1" applyFont="1" applyFill="1" applyBorder="1" applyAlignment="1">
      <alignment horizontal="center"/>
    </xf>
    <xf numFmtId="2" fontId="31" fillId="0" borderId="0" xfId="0" applyNumberFormat="1" applyFont="1" applyAlignment="1">
      <alignment horizontal="center"/>
    </xf>
    <xf numFmtId="1" fontId="31" fillId="0" borderId="0" xfId="0" applyNumberFormat="1" applyFont="1" applyFill="1" applyAlignment="1">
      <alignment horizontal="center"/>
    </xf>
    <xf numFmtId="2" fontId="30" fillId="0" borderId="0" xfId="0" applyNumberFormat="1" applyFont="1" applyFill="1" applyAlignment="1">
      <alignment horizontal="center"/>
    </xf>
    <xf numFmtId="179" fontId="16" fillId="0" borderId="23" xfId="0" applyNumberFormat="1" applyFont="1" applyFill="1" applyBorder="1" applyAlignment="1">
      <alignment horizontal="center"/>
    </xf>
    <xf numFmtId="0" fontId="16" fillId="0" borderId="0" xfId="0" applyFont="1" applyFill="1" applyAlignment="1">
      <alignment horizontal="center" vertical="center"/>
    </xf>
    <xf numFmtId="0" fontId="16" fillId="14" borderId="21" xfId="0" applyFont="1" applyFill="1" applyBorder="1" applyAlignment="1">
      <alignment vertical="center"/>
    </xf>
    <xf numFmtId="0" fontId="65" fillId="13" borderId="0" xfId="0" applyFont="1" applyFill="1" applyAlignment="1">
      <alignment horizontal="center" vertical="center"/>
    </xf>
    <xf numFmtId="0" fontId="0" fillId="0" borderId="0" xfId="0" applyAlignment="1">
      <alignment horizontal="center" vertical="center"/>
    </xf>
    <xf numFmtId="184" fontId="31" fillId="22" borderId="20" xfId="0" applyNumberFormat="1" applyFont="1" applyFill="1" applyBorder="1"/>
    <xf numFmtId="184" fontId="31" fillId="0" borderId="20" xfId="0" applyNumberFormat="1" applyFont="1" applyBorder="1" applyAlignment="1">
      <alignment horizontal="center"/>
    </xf>
    <xf numFmtId="3" fontId="31" fillId="13" borderId="19" xfId="0" applyNumberFormat="1" applyFont="1" applyFill="1" applyBorder="1" applyAlignment="1">
      <alignment horizontal="center" vertical="center"/>
    </xf>
    <xf numFmtId="0" fontId="0" fillId="0" borderId="0" xfId="0" applyFill="1" applyAlignment="1">
      <alignment vertical="center"/>
    </xf>
    <xf numFmtId="0" fontId="68" fillId="0" borderId="0" xfId="0" applyFont="1" applyFill="1" applyBorder="1" applyAlignment="1">
      <alignment horizontal="center" vertical="center"/>
    </xf>
    <xf numFmtId="0" fontId="82" fillId="0" borderId="0" xfId="0" applyFont="1" applyFill="1" applyBorder="1" applyAlignment="1">
      <alignment vertical="center"/>
    </xf>
    <xf numFmtId="186" fontId="16" fillId="0" borderId="20" xfId="0" applyNumberFormat="1" applyFont="1" applyFill="1" applyBorder="1"/>
    <xf numFmtId="184" fontId="31" fillId="0" borderId="20" xfId="0" applyNumberFormat="1" applyFont="1" applyFill="1" applyBorder="1"/>
    <xf numFmtId="4" fontId="31" fillId="0" borderId="20" xfId="0" applyNumberFormat="1" applyFont="1" applyFill="1" applyBorder="1"/>
    <xf numFmtId="4" fontId="31" fillId="0" borderId="20" xfId="0" applyNumberFormat="1" applyFont="1" applyFill="1" applyBorder="1" applyAlignment="1">
      <alignment horizontal="center"/>
    </xf>
    <xf numFmtId="184" fontId="31" fillId="0" borderId="21" xfId="0" applyNumberFormat="1" applyFont="1" applyFill="1" applyBorder="1"/>
    <xf numFmtId="191" fontId="16" fillId="0" borderId="0" xfId="0" applyNumberFormat="1" applyFont="1" applyFill="1" applyBorder="1"/>
    <xf numFmtId="191" fontId="16" fillId="0" borderId="0" xfId="0" applyNumberFormat="1" applyFont="1" applyFill="1" applyAlignment="1">
      <alignment vertical="center"/>
    </xf>
    <xf numFmtId="184" fontId="16" fillId="0" borderId="0" xfId="0" applyNumberFormat="1" applyFont="1" applyFill="1"/>
    <xf numFmtId="0" fontId="16" fillId="0" borderId="0" xfId="0" applyFont="1" applyFill="1"/>
    <xf numFmtId="186" fontId="16" fillId="0" borderId="0" xfId="0" applyNumberFormat="1" applyFont="1" applyFill="1"/>
    <xf numFmtId="0" fontId="0" fillId="0" borderId="0" xfId="0" applyFill="1"/>
    <xf numFmtId="184" fontId="31" fillId="0" borderId="20" xfId="0" applyNumberFormat="1" applyFont="1" applyFill="1" applyBorder="1" applyAlignment="1">
      <alignment horizontal="center"/>
    </xf>
    <xf numFmtId="43" fontId="30" fillId="0" borderId="76" xfId="2" applyFont="1" applyFill="1" applyBorder="1" applyAlignment="1" applyProtection="1">
      <alignment horizontal="left" vertical="center"/>
      <protection hidden="1"/>
    </xf>
    <xf numFmtId="43" fontId="30" fillId="0" borderId="76" xfId="2" applyFont="1" applyFill="1" applyBorder="1" applyAlignment="1" applyProtection="1">
      <alignment horizontal="left"/>
      <protection hidden="1"/>
    </xf>
    <xf numFmtId="182" fontId="39" fillId="0" borderId="0" xfId="31" applyNumberFormat="1" applyFont="1" applyFill="1" applyBorder="1" applyAlignment="1" applyProtection="1">
      <alignment vertical="center" wrapText="1"/>
      <protection locked="0"/>
    </xf>
    <xf numFmtId="182" fontId="52" fillId="0" borderId="0" xfId="31" applyNumberFormat="1" applyFont="1" applyFill="1" applyBorder="1" applyAlignment="1" applyProtection="1">
      <alignment vertical="top" wrapText="1"/>
      <protection locked="0"/>
    </xf>
    <xf numFmtId="0" fontId="53" fillId="0" borderId="0" xfId="0" applyFont="1" applyAlignment="1">
      <alignment vertical="top"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182" fontId="39" fillId="0" borderId="0" xfId="31" applyNumberFormat="1" applyFont="1" applyFill="1" applyBorder="1" applyAlignment="1" applyProtection="1">
      <alignment horizontal="left" vertical="center" wrapText="1"/>
      <protection locked="0"/>
    </xf>
    <xf numFmtId="0" fontId="30" fillId="16" borderId="40" xfId="0" applyFont="1" applyFill="1" applyBorder="1" applyAlignment="1">
      <alignment horizontal="left" vertical="center" wrapText="1"/>
    </xf>
    <xf numFmtId="0" fontId="30" fillId="16" borderId="41" xfId="0" applyFont="1" applyFill="1" applyBorder="1" applyAlignment="1">
      <alignment horizontal="left" vertical="center" wrapText="1"/>
    </xf>
    <xf numFmtId="0" fontId="30" fillId="16" borderId="42" xfId="0" applyFont="1" applyFill="1" applyBorder="1" applyAlignment="1">
      <alignment horizontal="left" vertical="center" wrapText="1"/>
    </xf>
    <xf numFmtId="0" fontId="30" fillId="16" borderId="43" xfId="0" applyFont="1" applyFill="1" applyBorder="1" applyAlignment="1">
      <alignment horizontal="left" vertical="center" wrapText="1"/>
    </xf>
    <xf numFmtId="0" fontId="30" fillId="16" borderId="0" xfId="0" applyFont="1" applyFill="1" applyBorder="1" applyAlignment="1">
      <alignment horizontal="left" vertical="center" wrapText="1"/>
    </xf>
    <xf numFmtId="0" fontId="30" fillId="16" borderId="44" xfId="0" applyFont="1" applyFill="1" applyBorder="1" applyAlignment="1">
      <alignment horizontal="left" vertical="center" wrapText="1"/>
    </xf>
    <xf numFmtId="0" fontId="30" fillId="16" borderId="45" xfId="0" applyFont="1" applyFill="1" applyBorder="1" applyAlignment="1">
      <alignment horizontal="left" vertical="center" wrapText="1"/>
    </xf>
    <xf numFmtId="0" fontId="30" fillId="16" borderId="46" xfId="0" applyFont="1" applyFill="1" applyBorder="1" applyAlignment="1">
      <alignment horizontal="left" vertical="center" wrapText="1"/>
    </xf>
    <xf numFmtId="0" fontId="30" fillId="16" borderId="47" xfId="0" applyFont="1" applyFill="1" applyBorder="1" applyAlignment="1">
      <alignment horizontal="left" vertical="center" wrapText="1"/>
    </xf>
    <xf numFmtId="182" fontId="39" fillId="0" borderId="0" xfId="31" applyNumberFormat="1" applyFont="1" applyFill="1" applyBorder="1" applyAlignment="1" applyProtection="1">
      <alignment horizontal="left" vertical="top" wrapText="1"/>
      <protection locked="0"/>
    </xf>
    <xf numFmtId="182" fontId="39" fillId="0" borderId="48" xfId="31" applyNumberFormat="1" applyFont="1" applyFill="1" applyBorder="1" applyAlignment="1" applyProtection="1">
      <alignment horizontal="left" vertical="top" wrapText="1"/>
      <protection locked="0"/>
    </xf>
    <xf numFmtId="0" fontId="25" fillId="0" borderId="0" xfId="0" applyFont="1" applyFill="1" applyBorder="1" applyAlignment="1">
      <alignment horizontal="left" wrapText="1"/>
    </xf>
    <xf numFmtId="0" fontId="83" fillId="0" borderId="0" xfId="17" applyFont="1" applyFill="1" applyBorder="1" applyAlignment="1" applyProtection="1">
      <alignment horizontal="right" vertical="center" wrapText="1"/>
      <protection hidden="1"/>
    </xf>
    <xf numFmtId="0" fontId="83" fillId="0" borderId="34" xfId="17" applyFont="1" applyFill="1" applyBorder="1" applyAlignment="1" applyProtection="1">
      <alignment horizontal="right" vertical="center" wrapText="1"/>
      <protection hidden="1"/>
    </xf>
    <xf numFmtId="49" fontId="31" fillId="0" borderId="0" xfId="21" applyNumberFormat="1" applyFont="1" applyFill="1" applyBorder="1" applyAlignment="1">
      <alignment horizontal="left" wrapText="1"/>
    </xf>
    <xf numFmtId="4" fontId="16" fillId="0" borderId="52" xfId="0" applyNumberFormat="1" applyFont="1" applyBorder="1" applyAlignment="1">
      <alignment horizontal="center"/>
    </xf>
    <xf numFmtId="4" fontId="16" fillId="0" borderId="53" xfId="0" applyNumberFormat="1" applyFont="1" applyBorder="1" applyAlignment="1">
      <alignment horizontal="center"/>
    </xf>
    <xf numFmtId="49" fontId="78" fillId="14" borderId="0" xfId="17" applyNumberFormat="1" applyFont="1" applyFill="1" applyBorder="1" applyAlignment="1" applyProtection="1">
      <alignment horizontal="center" wrapText="1"/>
      <protection hidden="1"/>
    </xf>
    <xf numFmtId="194" fontId="33" fillId="0" borderId="0" xfId="21" applyNumberFormat="1" applyFont="1" applyFill="1" applyAlignment="1">
      <alignment horizontal="center"/>
    </xf>
    <xf numFmtId="0" fontId="30" fillId="0" borderId="50" xfId="0" applyFont="1" applyBorder="1" applyAlignment="1">
      <alignment horizontal="center" vertical="center" wrapText="1"/>
    </xf>
    <xf numFmtId="0" fontId="30" fillId="0" borderId="51" xfId="0" applyFont="1" applyBorder="1" applyAlignment="1">
      <alignment horizontal="center" vertical="center" wrapText="1"/>
    </xf>
    <xf numFmtId="2" fontId="61" fillId="14" borderId="0" xfId="17" applyNumberFormat="1" applyFont="1" applyFill="1" applyBorder="1" applyAlignment="1" applyProtection="1">
      <alignment horizontal="center"/>
      <protection hidden="1"/>
    </xf>
    <xf numFmtId="3" fontId="30" fillId="14" borderId="36" xfId="17" applyNumberFormat="1" applyFont="1" applyFill="1" applyBorder="1" applyAlignment="1" applyProtection="1">
      <alignment horizontal="left" vertical="top" wrapText="1"/>
      <protection hidden="1"/>
    </xf>
    <xf numFmtId="3" fontId="30" fillId="14" borderId="49" xfId="17" applyNumberFormat="1" applyFont="1" applyFill="1" applyBorder="1" applyAlignment="1" applyProtection="1">
      <alignment horizontal="left" vertical="top" wrapText="1"/>
      <protection hidden="1"/>
    </xf>
    <xf numFmtId="3" fontId="30" fillId="14" borderId="25" xfId="17" applyNumberFormat="1" applyFont="1" applyFill="1" applyBorder="1" applyAlignment="1" applyProtection="1">
      <alignment horizontal="left" vertical="top" wrapText="1"/>
      <protection hidden="1"/>
    </xf>
    <xf numFmtId="0" fontId="29" fillId="11" borderId="0" xfId="0" applyFont="1" applyFill="1" applyAlignment="1">
      <alignment horizontal="center" vertical="center"/>
    </xf>
    <xf numFmtId="0" fontId="61" fillId="14" borderId="0" xfId="17" applyNumberFormat="1" applyFont="1" applyFill="1" applyBorder="1" applyAlignment="1" applyProtection="1">
      <alignment horizontal="left" vertical="center"/>
      <protection hidden="1"/>
    </xf>
    <xf numFmtId="0" fontId="31" fillId="0" borderId="0" xfId="0" applyFont="1" applyFill="1" applyAlignment="1">
      <alignment horizontal="left" vertical="center" wrapText="1"/>
    </xf>
    <xf numFmtId="0" fontId="65" fillId="13" borderId="0" xfId="0" applyFont="1" applyFill="1" applyAlignment="1">
      <alignment horizontal="center" vertical="center"/>
    </xf>
    <xf numFmtId="0" fontId="61" fillId="14" borderId="0" xfId="0" applyFont="1" applyFill="1" applyBorder="1" applyAlignment="1">
      <alignment horizontal="left" vertical="center" wrapText="1"/>
    </xf>
    <xf numFmtId="3" fontId="31" fillId="0" borderId="36" xfId="0" applyNumberFormat="1" applyFont="1" applyFill="1" applyBorder="1" applyAlignment="1">
      <alignment horizontal="left" vertical="top" wrapText="1"/>
    </xf>
    <xf numFmtId="3" fontId="31" fillId="0" borderId="49" xfId="0" applyNumberFormat="1" applyFont="1" applyFill="1" applyBorder="1" applyAlignment="1">
      <alignment horizontal="left" vertical="top" wrapText="1"/>
    </xf>
    <xf numFmtId="3" fontId="31" fillId="0" borderId="25" xfId="0" applyNumberFormat="1" applyFont="1" applyFill="1" applyBorder="1" applyAlignment="1">
      <alignment horizontal="left" vertical="top" wrapText="1"/>
    </xf>
    <xf numFmtId="0" fontId="59" fillId="0" borderId="71" xfId="19" applyFont="1" applyBorder="1" applyAlignment="1">
      <alignment horizontal="center" vertical="center"/>
    </xf>
    <xf numFmtId="0" fontId="59" fillId="0" borderId="72" xfId="19" applyFont="1" applyBorder="1" applyAlignment="1">
      <alignment horizontal="center" vertical="center"/>
    </xf>
    <xf numFmtId="0" fontId="59" fillId="0" borderId="73" xfId="19"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cellXfs>
  <cellStyles count="4044">
    <cellStyle name="Berekening" xfId="1"/>
    <cellStyle name="Comma_CALCULATIEBLAD.XLS" xfId="2"/>
    <cellStyle name="Comma_Uurtarieven 2000 LEVERANCIER" xfId="3"/>
    <cellStyle name="Currency_ATIR-Calc-Uurtarief 2001" xfId="4"/>
    <cellStyle name="Currency_CALCULATIEBLAD.XLS" xfId="5"/>
    <cellStyle name="Currency_MACHINEKST.xls" xfId="6"/>
    <cellStyle name="euro" xfId="7"/>
    <cellStyle name="Gekoppelde cel" xfId="8"/>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7"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7" builtinId="9" hidden="1"/>
    <cellStyle name="Gevolgde hyperlink" xfId="2069" builtinId="9" hidden="1"/>
    <cellStyle name="Gevolgde hyperlink" xfId="2071" builtinId="9" hidden="1"/>
    <cellStyle name="Gevolgde hyperlink" xfId="2073" builtinId="9" hidden="1"/>
    <cellStyle name="Gevolgde hyperlink" xfId="2075" builtinId="9" hidden="1"/>
    <cellStyle name="Gevolgde hyperlink" xfId="2077" builtinId="9" hidden="1"/>
    <cellStyle name="Gevolgde hyperlink" xfId="2079" builtinId="9" hidden="1"/>
    <cellStyle name="Gevolgde hyperlink" xfId="2081" builtinId="9" hidden="1"/>
    <cellStyle name="Gevolgde hyperlink" xfId="2083" builtinId="9" hidden="1"/>
    <cellStyle name="Gevolgde hyperlink" xfId="2085" builtinId="9" hidden="1"/>
    <cellStyle name="Gevolgde hyperlink" xfId="2087" builtinId="9" hidden="1"/>
    <cellStyle name="Gevolgde hyperlink" xfId="2089" builtinId="9" hidden="1"/>
    <cellStyle name="Gevolgde hyperlink" xfId="2091" builtinId="9" hidden="1"/>
    <cellStyle name="Gevolgde hyperlink" xfId="2093" builtinId="9" hidden="1"/>
    <cellStyle name="Gevolgde hyperlink" xfId="2095" builtinId="9" hidden="1"/>
    <cellStyle name="Gevolgde hyperlink" xfId="2097" builtinId="9" hidden="1"/>
    <cellStyle name="Gevolgde hyperlink" xfId="2099" builtinId="9" hidden="1"/>
    <cellStyle name="Gevolgde hyperlink" xfId="2101" builtinId="9" hidden="1"/>
    <cellStyle name="Gevolgde hyperlink" xfId="2103" builtinId="9" hidden="1"/>
    <cellStyle name="Gevolgde hyperlink" xfId="2105" builtinId="9" hidden="1"/>
    <cellStyle name="Gevolgde hyperlink" xfId="2107" builtinId="9" hidden="1"/>
    <cellStyle name="Gevolgde hyperlink" xfId="2109" builtinId="9" hidden="1"/>
    <cellStyle name="Gevolgde hyperlink" xfId="2111" builtinId="9" hidden="1"/>
    <cellStyle name="Gevolgde hyperlink" xfId="2113" builtinId="9" hidden="1"/>
    <cellStyle name="Gevolgde hyperlink" xfId="2115" builtinId="9" hidden="1"/>
    <cellStyle name="Gevolgde hyperlink" xfId="2117" builtinId="9" hidden="1"/>
    <cellStyle name="Gevolgde hyperlink" xfId="2119" builtinId="9" hidden="1"/>
    <cellStyle name="Gevolgde hyperlink" xfId="2121" builtinId="9" hidden="1"/>
    <cellStyle name="Gevolgde hyperlink" xfId="2123" builtinId="9" hidden="1"/>
    <cellStyle name="Gevolgde hyperlink" xfId="2125" builtinId="9" hidden="1"/>
    <cellStyle name="Gevolgde hyperlink" xfId="2127" builtinId="9" hidden="1"/>
    <cellStyle name="Gevolgde hyperlink" xfId="2129" builtinId="9" hidden="1"/>
    <cellStyle name="Gevolgde hyperlink" xfId="2131" builtinId="9" hidden="1"/>
    <cellStyle name="Gevolgde hyperlink" xfId="2133" builtinId="9" hidden="1"/>
    <cellStyle name="Gevolgde hyperlink" xfId="2135" builtinId="9" hidden="1"/>
    <cellStyle name="Gevolgde hyperlink" xfId="2137" builtinId="9" hidden="1"/>
    <cellStyle name="Gevolgde hyperlink" xfId="2139" builtinId="9" hidden="1"/>
    <cellStyle name="Gevolgde hyperlink" xfId="2141" builtinId="9" hidden="1"/>
    <cellStyle name="Gevolgde hyperlink" xfId="2143" builtinId="9" hidden="1"/>
    <cellStyle name="Gevolgde hyperlink" xfId="2145" builtinId="9" hidden="1"/>
    <cellStyle name="Gevolgde hyperlink" xfId="2147" builtinId="9" hidden="1"/>
    <cellStyle name="Gevolgde hyperlink" xfId="2149" builtinId="9" hidden="1"/>
    <cellStyle name="Gevolgde hyperlink" xfId="2151" builtinId="9" hidden="1"/>
    <cellStyle name="Gevolgde hyperlink" xfId="2153" builtinId="9" hidden="1"/>
    <cellStyle name="Gevolgde hyperlink" xfId="2155" builtinId="9" hidden="1"/>
    <cellStyle name="Gevolgde hyperlink" xfId="2157" builtinId="9" hidden="1"/>
    <cellStyle name="Gevolgde hyperlink" xfId="2159" builtinId="9" hidden="1"/>
    <cellStyle name="Gevolgde hyperlink" xfId="2161" builtinId="9" hidden="1"/>
    <cellStyle name="Gevolgde hyperlink" xfId="2163" builtinId="9" hidden="1"/>
    <cellStyle name="Gevolgde hyperlink" xfId="2165" builtinId="9" hidden="1"/>
    <cellStyle name="Gevolgde hyperlink" xfId="2167" builtinId="9" hidden="1"/>
    <cellStyle name="Gevolgde hyperlink" xfId="2169" builtinId="9" hidden="1"/>
    <cellStyle name="Gevolgde hyperlink" xfId="2171" builtinId="9" hidden="1"/>
    <cellStyle name="Gevolgde hyperlink" xfId="2173" builtinId="9" hidden="1"/>
    <cellStyle name="Gevolgde hyperlink" xfId="2175" builtinId="9" hidden="1"/>
    <cellStyle name="Gevolgde hyperlink" xfId="2177" builtinId="9" hidden="1"/>
    <cellStyle name="Gevolgde hyperlink" xfId="2179" builtinId="9" hidden="1"/>
    <cellStyle name="Gevolgde hyperlink" xfId="2181" builtinId="9" hidden="1"/>
    <cellStyle name="Gevolgde hyperlink" xfId="2183" builtinId="9" hidden="1"/>
    <cellStyle name="Gevolgde hyperlink" xfId="2185" builtinId="9" hidden="1"/>
    <cellStyle name="Gevolgde hyperlink" xfId="2187" builtinId="9" hidden="1"/>
    <cellStyle name="Gevolgde hyperlink" xfId="2189" builtinId="9" hidden="1"/>
    <cellStyle name="Gevolgde hyperlink" xfId="2191" builtinId="9" hidden="1"/>
    <cellStyle name="Gevolgde hyperlink" xfId="2193" builtinId="9" hidden="1"/>
    <cellStyle name="Gevolgde hyperlink" xfId="2195" builtinId="9" hidden="1"/>
    <cellStyle name="Gevolgde hyperlink" xfId="2197" builtinId="9" hidden="1"/>
    <cellStyle name="Gevolgde hyperlink" xfId="2199" builtinId="9" hidden="1"/>
    <cellStyle name="Gevolgde hyperlink" xfId="2201" builtinId="9" hidden="1"/>
    <cellStyle name="Gevolgde hyperlink" xfId="2203" builtinId="9" hidden="1"/>
    <cellStyle name="Gevolgde hyperlink" xfId="2205" builtinId="9" hidden="1"/>
    <cellStyle name="Gevolgde hyperlink" xfId="2207" builtinId="9" hidden="1"/>
    <cellStyle name="Gevolgde hyperlink" xfId="2209" builtinId="9" hidden="1"/>
    <cellStyle name="Gevolgde hyperlink" xfId="2211" builtinId="9" hidden="1"/>
    <cellStyle name="Gevolgde hyperlink" xfId="2213" builtinId="9" hidden="1"/>
    <cellStyle name="Gevolgde hyperlink" xfId="2215" builtinId="9" hidden="1"/>
    <cellStyle name="Gevolgde hyperlink" xfId="2217" builtinId="9" hidden="1"/>
    <cellStyle name="Gevolgde hyperlink" xfId="2219" builtinId="9" hidden="1"/>
    <cellStyle name="Gevolgde hyperlink" xfId="2221" builtinId="9" hidden="1"/>
    <cellStyle name="Gevolgde hyperlink" xfId="2223" builtinId="9" hidden="1"/>
    <cellStyle name="Gevolgde hyperlink" xfId="2225" builtinId="9" hidden="1"/>
    <cellStyle name="Gevolgde hyperlink" xfId="2227" builtinId="9" hidden="1"/>
    <cellStyle name="Gevolgde hyperlink" xfId="2229" builtinId="9" hidden="1"/>
    <cellStyle name="Gevolgde hyperlink" xfId="2231" builtinId="9" hidden="1"/>
    <cellStyle name="Gevolgde hyperlink" xfId="2233" builtinId="9" hidden="1"/>
    <cellStyle name="Gevolgde hyperlink" xfId="2235" builtinId="9" hidden="1"/>
    <cellStyle name="Gevolgde hyperlink" xfId="2237" builtinId="9" hidden="1"/>
    <cellStyle name="Gevolgde hyperlink" xfId="2239" builtinId="9" hidden="1"/>
    <cellStyle name="Gevolgde hyperlink" xfId="2241" builtinId="9" hidden="1"/>
    <cellStyle name="Gevolgde hyperlink" xfId="2243" builtinId="9" hidden="1"/>
    <cellStyle name="Gevolgde hyperlink" xfId="2245" builtinId="9" hidden="1"/>
    <cellStyle name="Gevolgde hyperlink" xfId="2247" builtinId="9" hidden="1"/>
    <cellStyle name="Gevolgde hyperlink" xfId="2249" builtinId="9" hidden="1"/>
    <cellStyle name="Gevolgde hyperlink" xfId="2251" builtinId="9" hidden="1"/>
    <cellStyle name="Gevolgde hyperlink" xfId="2253" builtinId="9" hidden="1"/>
    <cellStyle name="Gevolgde hyperlink" xfId="2255" builtinId="9" hidden="1"/>
    <cellStyle name="Gevolgde hyperlink" xfId="2257" builtinId="9" hidden="1"/>
    <cellStyle name="Gevolgde hyperlink" xfId="2259" builtinId="9" hidden="1"/>
    <cellStyle name="Gevolgde hyperlink" xfId="2261" builtinId="9" hidden="1"/>
    <cellStyle name="Gevolgde hyperlink" xfId="2263" builtinId="9" hidden="1"/>
    <cellStyle name="Gevolgde hyperlink" xfId="2265" builtinId="9" hidden="1"/>
    <cellStyle name="Gevolgde hyperlink" xfId="2267"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17" builtinId="9" hidden="1"/>
    <cellStyle name="Gevolgde hyperlink" xfId="2619"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7"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3" builtinId="9" hidden="1"/>
    <cellStyle name="Gevolgde hyperlink" xfId="3315" builtinId="9" hidden="1"/>
    <cellStyle name="Gevolgde hyperlink" xfId="3317" builtinId="9" hidden="1"/>
    <cellStyle name="Gevolgde hyperlink" xfId="3319" builtinId="9" hidden="1"/>
    <cellStyle name="Gevolgde hyperlink" xfId="3321" builtinId="9" hidden="1"/>
    <cellStyle name="Gevolgde hyperlink" xfId="3323" builtinId="9" hidden="1"/>
    <cellStyle name="Gevolgde hyperlink" xfId="3325" builtinId="9" hidden="1"/>
    <cellStyle name="Gevolgde hyperlink" xfId="3327" builtinId="9" hidden="1"/>
    <cellStyle name="Gevolgde hyperlink" xfId="3329" builtinId="9" hidden="1"/>
    <cellStyle name="Gevolgde hyperlink" xfId="3331" builtinId="9" hidden="1"/>
    <cellStyle name="Gevolgde hyperlink" xfId="3333" builtinId="9" hidden="1"/>
    <cellStyle name="Gevolgde hyperlink" xfId="3335" builtinId="9" hidden="1"/>
    <cellStyle name="Gevolgde hyperlink" xfId="3337" builtinId="9" hidden="1"/>
    <cellStyle name="Gevolgde hyperlink" xfId="3339" builtinId="9" hidden="1"/>
    <cellStyle name="Gevolgde hyperlink" xfId="3341" builtinId="9" hidden="1"/>
    <cellStyle name="Gevolgde hyperlink" xfId="3343" builtinId="9" hidden="1"/>
    <cellStyle name="Gevolgde hyperlink" xfId="3345" builtinId="9" hidden="1"/>
    <cellStyle name="Gevolgde hyperlink" xfId="3347" builtinId="9" hidden="1"/>
    <cellStyle name="Gevolgde hyperlink" xfId="3349" builtinId="9" hidden="1"/>
    <cellStyle name="Gevolgde hyperlink" xfId="3351" builtinId="9" hidden="1"/>
    <cellStyle name="Gevolgde hyperlink" xfId="3353" builtinId="9" hidden="1"/>
    <cellStyle name="Gevolgde hyperlink" xfId="3355" builtinId="9" hidden="1"/>
    <cellStyle name="Gevolgde hyperlink" xfId="3357" builtinId="9" hidden="1"/>
    <cellStyle name="Gevolgde hyperlink" xfId="3359" builtinId="9" hidden="1"/>
    <cellStyle name="Gevolgde hyperlink" xfId="3361" builtinId="9" hidden="1"/>
    <cellStyle name="Gevolgde hyperlink" xfId="3363" builtinId="9" hidden="1"/>
    <cellStyle name="Gevolgde hyperlink" xfId="3365" builtinId="9" hidden="1"/>
    <cellStyle name="Gevolgde hyperlink" xfId="3367" builtinId="9" hidden="1"/>
    <cellStyle name="Gevolgde hyperlink" xfId="3369" builtinId="9" hidden="1"/>
    <cellStyle name="Gevolgde hyperlink" xfId="3371" builtinId="9" hidden="1"/>
    <cellStyle name="Gevolgde hyperlink" xfId="3373" builtinId="9" hidden="1"/>
    <cellStyle name="Gevolgde hyperlink" xfId="3375" builtinId="9" hidden="1"/>
    <cellStyle name="Gevolgde hyperlink" xfId="3377" builtinId="9" hidden="1"/>
    <cellStyle name="Gevolgde hyperlink" xfId="3379" builtinId="9" hidden="1"/>
    <cellStyle name="Gevolgde hyperlink" xfId="3381" builtinId="9" hidden="1"/>
    <cellStyle name="Gevolgde hyperlink" xfId="3383" builtinId="9" hidden="1"/>
    <cellStyle name="Gevolgde hyperlink" xfId="3385" builtinId="9" hidden="1"/>
    <cellStyle name="Gevolgde hyperlink" xfId="3387" builtinId="9" hidden="1"/>
    <cellStyle name="Gevolgde hyperlink" xfId="3389" builtinId="9" hidden="1"/>
    <cellStyle name="Gevolgde hyperlink" xfId="3391" builtinId="9" hidden="1"/>
    <cellStyle name="Gevolgde hyperlink" xfId="3393" builtinId="9" hidden="1"/>
    <cellStyle name="Gevolgde hyperlink" xfId="3395" builtinId="9" hidden="1"/>
    <cellStyle name="Gevolgde hyperlink" xfId="3397" builtinId="9" hidden="1"/>
    <cellStyle name="Gevolgde hyperlink" xfId="3399" builtinId="9" hidden="1"/>
    <cellStyle name="Gevolgde hyperlink" xfId="3401" builtinId="9" hidden="1"/>
    <cellStyle name="Gevolgde hyperlink" xfId="3403" builtinId="9" hidden="1"/>
    <cellStyle name="Gevolgde hyperlink" xfId="3405" builtinId="9" hidden="1"/>
    <cellStyle name="Gevolgde hyperlink" xfId="3407" builtinId="9" hidden="1"/>
    <cellStyle name="Gevolgde hyperlink" xfId="3409" builtinId="9" hidden="1"/>
    <cellStyle name="Gevolgde hyperlink" xfId="3411" builtinId="9" hidden="1"/>
    <cellStyle name="Gevolgde hyperlink" xfId="3413" builtinId="9" hidden="1"/>
    <cellStyle name="Gevolgde hyperlink" xfId="3415" builtinId="9" hidden="1"/>
    <cellStyle name="Gevolgde hyperlink" xfId="3417" builtinId="9" hidden="1"/>
    <cellStyle name="Gevolgde hyperlink" xfId="3419" builtinId="9" hidden="1"/>
    <cellStyle name="Gevolgde hyperlink" xfId="3421" builtinId="9" hidden="1"/>
    <cellStyle name="Gevolgde hyperlink" xfId="3423" builtinId="9" hidden="1"/>
    <cellStyle name="Gevolgde hyperlink" xfId="3425" builtinId="9" hidden="1"/>
    <cellStyle name="Gevolgde hyperlink" xfId="3427" builtinId="9" hidden="1"/>
    <cellStyle name="Gevolgde hyperlink" xfId="3429" builtinId="9" hidden="1"/>
    <cellStyle name="Gevolgde hyperlink" xfId="3431" builtinId="9" hidden="1"/>
    <cellStyle name="Gevolgde hyperlink" xfId="3433" builtinId="9" hidden="1"/>
    <cellStyle name="Gevolgde hyperlink" xfId="3435" builtinId="9" hidden="1"/>
    <cellStyle name="Gevolgde hyperlink" xfId="3437" builtinId="9" hidden="1"/>
    <cellStyle name="Gevolgde hyperlink" xfId="3439" builtinId="9" hidden="1"/>
    <cellStyle name="Gevolgde hyperlink" xfId="3441" builtinId="9" hidden="1"/>
    <cellStyle name="Gevolgde hyperlink" xfId="3443" builtinId="9" hidden="1"/>
    <cellStyle name="Gevolgde hyperlink" xfId="3445" builtinId="9" hidden="1"/>
    <cellStyle name="Gevolgde hyperlink" xfId="3447" builtinId="9" hidden="1"/>
    <cellStyle name="Gevolgde hyperlink" xfId="3449" builtinId="9" hidden="1"/>
    <cellStyle name="Gevolgde hyperlink" xfId="3451" builtinId="9" hidden="1"/>
    <cellStyle name="Gevolgde hyperlink" xfId="3453" builtinId="9" hidden="1"/>
    <cellStyle name="Gevolgde hyperlink" xfId="3455" builtinId="9" hidden="1"/>
    <cellStyle name="Gevolgde hyperlink" xfId="3457" builtinId="9" hidden="1"/>
    <cellStyle name="Gevolgde hyperlink" xfId="3459" builtinId="9" hidden="1"/>
    <cellStyle name="Gevolgde hyperlink" xfId="3461" builtinId="9" hidden="1"/>
    <cellStyle name="Gevolgde hyperlink" xfId="3463" builtinId="9" hidden="1"/>
    <cellStyle name="Gevolgde hyperlink" xfId="3465" builtinId="9" hidden="1"/>
    <cellStyle name="Gevolgde hyperlink" xfId="3467" builtinId="9" hidden="1"/>
    <cellStyle name="Gevolgde hyperlink" xfId="3469" builtinId="9" hidden="1"/>
    <cellStyle name="Gevolgde hyperlink" xfId="3471" builtinId="9" hidden="1"/>
    <cellStyle name="Gevolgde hyperlink" xfId="3473" builtinId="9" hidden="1"/>
    <cellStyle name="Gevolgde hyperlink" xfId="3475" builtinId="9" hidden="1"/>
    <cellStyle name="Gevolgde hyperlink" xfId="3477" builtinId="9" hidden="1"/>
    <cellStyle name="Gevolgde hyperlink" xfId="3479" builtinId="9" hidden="1"/>
    <cellStyle name="Gevolgde hyperlink" xfId="3481" builtinId="9" hidden="1"/>
    <cellStyle name="Gevolgde hyperlink" xfId="3483" builtinId="9" hidden="1"/>
    <cellStyle name="Gevolgde hyperlink" xfId="3485" builtinId="9" hidden="1"/>
    <cellStyle name="Gevolgde hyperlink" xfId="3487" builtinId="9" hidden="1"/>
    <cellStyle name="Gevolgde hyperlink" xfId="3489" builtinId="9" hidden="1"/>
    <cellStyle name="Gevolgde hyperlink" xfId="3491" builtinId="9" hidden="1"/>
    <cellStyle name="Gevolgde hyperlink" xfId="3493" builtinId="9" hidden="1"/>
    <cellStyle name="Gevolgde hyperlink" xfId="3495" builtinId="9" hidden="1"/>
    <cellStyle name="Gevolgde hyperlink" xfId="3497" builtinId="9" hidden="1"/>
    <cellStyle name="Gevolgde hyperlink" xfId="3499" builtinId="9" hidden="1"/>
    <cellStyle name="Gevolgde hyperlink" xfId="3501" builtinId="9" hidden="1"/>
    <cellStyle name="Gevolgde hyperlink" xfId="3503" builtinId="9" hidden="1"/>
    <cellStyle name="Gevolgde hyperlink" xfId="3505" builtinId="9" hidden="1"/>
    <cellStyle name="Gevolgde hyperlink" xfId="3507" builtinId="9" hidden="1"/>
    <cellStyle name="Gevolgde hyperlink" xfId="3509" builtinId="9" hidden="1"/>
    <cellStyle name="Gevolgde hyperlink" xfId="3511" builtinId="9" hidden="1"/>
    <cellStyle name="Gevolgde hyperlink" xfId="3513" builtinId="9" hidden="1"/>
    <cellStyle name="Gevolgde hyperlink" xfId="3515" builtinId="9" hidden="1"/>
    <cellStyle name="Gevolgde hyperlink" xfId="3517" builtinId="9" hidden="1"/>
    <cellStyle name="Gevolgde hyperlink" xfId="3519" builtinId="9" hidden="1"/>
    <cellStyle name="Gevolgde hyperlink" xfId="3521" builtinId="9" hidden="1"/>
    <cellStyle name="Gevolgde hyperlink" xfId="3523" builtinId="9" hidden="1"/>
    <cellStyle name="Gevolgde hyperlink" xfId="3525" builtinId="9" hidden="1"/>
    <cellStyle name="Gevolgde hyperlink" xfId="3527" builtinId="9" hidden="1"/>
    <cellStyle name="Gevolgde hyperlink" xfId="3529" builtinId="9" hidden="1"/>
    <cellStyle name="Gevolgde hyperlink" xfId="3531" builtinId="9" hidden="1"/>
    <cellStyle name="Gevolgde hyperlink" xfId="3533" builtinId="9" hidden="1"/>
    <cellStyle name="Gevolgde hyperlink" xfId="3535" builtinId="9" hidden="1"/>
    <cellStyle name="Gevolgde hyperlink" xfId="3537" builtinId="9" hidden="1"/>
    <cellStyle name="Gevolgde hyperlink" xfId="3539" builtinId="9" hidden="1"/>
    <cellStyle name="Gevolgde hyperlink" xfId="3541" builtinId="9" hidden="1"/>
    <cellStyle name="Gevolgde hyperlink" xfId="3543" builtinId="9" hidden="1"/>
    <cellStyle name="Gevolgde hyperlink" xfId="3545" builtinId="9" hidden="1"/>
    <cellStyle name="Gevolgde hyperlink" xfId="3547" builtinId="9" hidden="1"/>
    <cellStyle name="Gevolgde hyperlink" xfId="3549" builtinId="9" hidden="1"/>
    <cellStyle name="Gevolgde hyperlink" xfId="3551" builtinId="9" hidden="1"/>
    <cellStyle name="Gevolgde hyperlink" xfId="3553" builtinId="9" hidden="1"/>
    <cellStyle name="Gevolgde hyperlink" xfId="3555" builtinId="9" hidden="1"/>
    <cellStyle name="Gevolgde hyperlink" xfId="3557" builtinId="9" hidden="1"/>
    <cellStyle name="Gevolgde hyperlink" xfId="3559" builtinId="9" hidden="1"/>
    <cellStyle name="Gevolgde hyperlink" xfId="3561" builtinId="9" hidden="1"/>
    <cellStyle name="Gevolgde hyperlink" xfId="3563" builtinId="9" hidden="1"/>
    <cellStyle name="Gevolgde hyperlink" xfId="3565" builtinId="9" hidden="1"/>
    <cellStyle name="Gevolgde hyperlink" xfId="3567" builtinId="9" hidden="1"/>
    <cellStyle name="Gevolgde hyperlink" xfId="3569" builtinId="9" hidden="1"/>
    <cellStyle name="Gevolgde hyperlink" xfId="3571" builtinId="9" hidden="1"/>
    <cellStyle name="Gevolgde hyperlink" xfId="3573" builtinId="9" hidden="1"/>
    <cellStyle name="Gevolgde hyperlink" xfId="3575" builtinId="9" hidden="1"/>
    <cellStyle name="Gevolgde hyperlink" xfId="3577" builtinId="9" hidden="1"/>
    <cellStyle name="Gevolgde hyperlink" xfId="3579" builtinId="9" hidden="1"/>
    <cellStyle name="Gevolgde hyperlink" xfId="3581" builtinId="9" hidden="1"/>
    <cellStyle name="Gevolgde hyperlink" xfId="3583" builtinId="9" hidden="1"/>
    <cellStyle name="Gevolgde hyperlink" xfId="3585" builtinId="9" hidden="1"/>
    <cellStyle name="Gevolgde hyperlink" xfId="3587" builtinId="9" hidden="1"/>
    <cellStyle name="Gevolgde hyperlink" xfId="3589" builtinId="9" hidden="1"/>
    <cellStyle name="Gevolgde hyperlink" xfId="3591" builtinId="9" hidden="1"/>
    <cellStyle name="Gevolgde hyperlink" xfId="3593" builtinId="9" hidden="1"/>
    <cellStyle name="Gevolgde hyperlink" xfId="3595" builtinId="9" hidden="1"/>
    <cellStyle name="Gevolgde hyperlink" xfId="3597" builtinId="9" hidden="1"/>
    <cellStyle name="Gevolgde hyperlink" xfId="3599" builtinId="9" hidden="1"/>
    <cellStyle name="Gevolgde hyperlink" xfId="3601" builtinId="9" hidden="1"/>
    <cellStyle name="Gevolgde hyperlink" xfId="3603" builtinId="9" hidden="1"/>
    <cellStyle name="Gevolgde hyperlink" xfId="3605" builtinId="9" hidden="1"/>
    <cellStyle name="Gevolgde hyperlink" xfId="3607" builtinId="9" hidden="1"/>
    <cellStyle name="Gevolgde hyperlink" xfId="3609" builtinId="9" hidden="1"/>
    <cellStyle name="Gevolgde hyperlink" xfId="3611" builtinId="9" hidden="1"/>
    <cellStyle name="Gevolgde hyperlink" xfId="3613" builtinId="9" hidden="1"/>
    <cellStyle name="Gevolgde hyperlink" xfId="3615" builtinId="9" hidden="1"/>
    <cellStyle name="Gevolgde hyperlink" xfId="3617" builtinId="9" hidden="1"/>
    <cellStyle name="Gevolgde hyperlink" xfId="3619" builtinId="9" hidden="1"/>
    <cellStyle name="Gevolgde hyperlink" xfId="3621" builtinId="9" hidden="1"/>
    <cellStyle name="Gevolgde hyperlink" xfId="3623" builtinId="9" hidden="1"/>
    <cellStyle name="Gevolgde hyperlink" xfId="3625" builtinId="9" hidden="1"/>
    <cellStyle name="Gevolgde hyperlink" xfId="3627" builtinId="9" hidden="1"/>
    <cellStyle name="Gevolgde hyperlink" xfId="3629" builtinId="9" hidden="1"/>
    <cellStyle name="Gevolgde hyperlink" xfId="3631" builtinId="9" hidden="1"/>
    <cellStyle name="Gevolgde hyperlink" xfId="3633" builtinId="9" hidden="1"/>
    <cellStyle name="Gevolgde hyperlink" xfId="3635" builtinId="9" hidden="1"/>
    <cellStyle name="Gevolgde hyperlink" xfId="3637" builtinId="9" hidden="1"/>
    <cellStyle name="Gevolgde hyperlink" xfId="3639" builtinId="9" hidden="1"/>
    <cellStyle name="Gevolgde hyperlink" xfId="3641" builtinId="9" hidden="1"/>
    <cellStyle name="Gevolgde hyperlink" xfId="3643" builtinId="9" hidden="1"/>
    <cellStyle name="Gevolgde hyperlink" xfId="3645" builtinId="9" hidden="1"/>
    <cellStyle name="Gevolgde hyperlink" xfId="3647" builtinId="9" hidden="1"/>
    <cellStyle name="Gevolgde hyperlink" xfId="3649" builtinId="9" hidden="1"/>
    <cellStyle name="Gevolgde hyperlink" xfId="3651" builtinId="9" hidden="1"/>
    <cellStyle name="Gevolgde hyperlink" xfId="3653" builtinId="9" hidden="1"/>
    <cellStyle name="Gevolgde hyperlink" xfId="3655" builtinId="9" hidden="1"/>
    <cellStyle name="Gevolgde hyperlink" xfId="3657" builtinId="9" hidden="1"/>
    <cellStyle name="Gevolgde hyperlink" xfId="3659" builtinId="9" hidden="1"/>
    <cellStyle name="Gevolgde hyperlink" xfId="3661" builtinId="9" hidden="1"/>
    <cellStyle name="Gevolgde hyperlink" xfId="3663" builtinId="9" hidden="1"/>
    <cellStyle name="Gevolgde hyperlink" xfId="3665" builtinId="9" hidden="1"/>
    <cellStyle name="Gevolgde hyperlink" xfId="3667" builtinId="9" hidden="1"/>
    <cellStyle name="Gevolgde hyperlink" xfId="3669" builtinId="9" hidden="1"/>
    <cellStyle name="Gevolgde hyperlink" xfId="3671" builtinId="9" hidden="1"/>
    <cellStyle name="Gevolgde hyperlink" xfId="3673" builtinId="9" hidden="1"/>
    <cellStyle name="Gevolgde hyperlink" xfId="3675" builtinId="9" hidden="1"/>
    <cellStyle name="Gevolgde hyperlink" xfId="3677" builtinId="9" hidden="1"/>
    <cellStyle name="Gevolgde hyperlink" xfId="3679" builtinId="9" hidden="1"/>
    <cellStyle name="Gevolgde hyperlink" xfId="3681" builtinId="9" hidden="1"/>
    <cellStyle name="Gevolgde hyperlink" xfId="3683" builtinId="9" hidden="1"/>
    <cellStyle name="Gevolgde hyperlink" xfId="3685" builtinId="9" hidden="1"/>
    <cellStyle name="Gevolgde hyperlink" xfId="3687" builtinId="9" hidden="1"/>
    <cellStyle name="Gevolgde hyperlink" xfId="3689" builtinId="9" hidden="1"/>
    <cellStyle name="Gevolgde hyperlink" xfId="3691" builtinId="9" hidden="1"/>
    <cellStyle name="Gevolgde hyperlink" xfId="3693" builtinId="9" hidden="1"/>
    <cellStyle name="Gevolgde hyperlink" xfId="3695" builtinId="9" hidden="1"/>
    <cellStyle name="Gevolgde hyperlink" xfId="3697" builtinId="9" hidden="1"/>
    <cellStyle name="Gevolgde hyperlink" xfId="3699" builtinId="9" hidden="1"/>
    <cellStyle name="Gevolgde hyperlink" xfId="3701" builtinId="9" hidden="1"/>
    <cellStyle name="Gevolgde hyperlink" xfId="3703" builtinId="9" hidden="1"/>
    <cellStyle name="Gevolgde hyperlink" xfId="3705" builtinId="9" hidden="1"/>
    <cellStyle name="Gevolgde hyperlink" xfId="3707" builtinId="9" hidden="1"/>
    <cellStyle name="Gevolgde hyperlink" xfId="3709" builtinId="9" hidden="1"/>
    <cellStyle name="Gevolgde hyperlink" xfId="3711" builtinId="9" hidden="1"/>
    <cellStyle name="Gevolgde hyperlink" xfId="3713" builtinId="9" hidden="1"/>
    <cellStyle name="Gevolgde hyperlink" xfId="3715" builtinId="9" hidden="1"/>
    <cellStyle name="Gevolgde hyperlink" xfId="3717" builtinId="9" hidden="1"/>
    <cellStyle name="Gevolgde hyperlink" xfId="3719" builtinId="9" hidden="1"/>
    <cellStyle name="Gevolgde hyperlink" xfId="3721" builtinId="9" hidden="1"/>
    <cellStyle name="Gevolgde hyperlink" xfId="3723" builtinId="9" hidden="1"/>
    <cellStyle name="Gevolgde hyperlink" xfId="3725" builtinId="9" hidden="1"/>
    <cellStyle name="Gevolgde hyperlink" xfId="3727" builtinId="9" hidden="1"/>
    <cellStyle name="Gevolgde hyperlink" xfId="3729" builtinId="9" hidden="1"/>
    <cellStyle name="Gevolgde hyperlink" xfId="3731" builtinId="9" hidden="1"/>
    <cellStyle name="Gevolgde hyperlink" xfId="3733" builtinId="9" hidden="1"/>
    <cellStyle name="Gevolgde hyperlink" xfId="3735" builtinId="9" hidden="1"/>
    <cellStyle name="Gevolgde hyperlink" xfId="3737" builtinId="9" hidden="1"/>
    <cellStyle name="Gevolgde hyperlink" xfId="3739" builtinId="9" hidden="1"/>
    <cellStyle name="Gevolgde hyperlink" xfId="3741" builtinId="9" hidden="1"/>
    <cellStyle name="Gevolgde hyperlink" xfId="3743" builtinId="9" hidden="1"/>
    <cellStyle name="Gevolgde hyperlink" xfId="3745" builtinId="9" hidden="1"/>
    <cellStyle name="Gevolgde hyperlink" xfId="3747" builtinId="9" hidden="1"/>
    <cellStyle name="Gevolgde hyperlink" xfId="3749" builtinId="9" hidden="1"/>
    <cellStyle name="Gevolgde hyperlink" xfId="3751" builtinId="9" hidden="1"/>
    <cellStyle name="Gevolgde hyperlink" xfId="3753" builtinId="9" hidden="1"/>
    <cellStyle name="Gevolgde hyperlink" xfId="3755" builtinId="9" hidden="1"/>
    <cellStyle name="Gevolgde hyperlink" xfId="3757" builtinId="9" hidden="1"/>
    <cellStyle name="Gevolgde hyperlink" xfId="3759" builtinId="9" hidden="1"/>
    <cellStyle name="Gevolgde hyperlink" xfId="3761" builtinId="9" hidden="1"/>
    <cellStyle name="Gevolgde hyperlink" xfId="3763" builtinId="9" hidden="1"/>
    <cellStyle name="Gevolgde hyperlink" xfId="3765" builtinId="9" hidden="1"/>
    <cellStyle name="Gevolgde hyperlink" xfId="3767" builtinId="9" hidden="1"/>
    <cellStyle name="Gevolgde hyperlink" xfId="3769" builtinId="9" hidden="1"/>
    <cellStyle name="Gevolgde hyperlink" xfId="3771" builtinId="9" hidden="1"/>
    <cellStyle name="Gevolgde hyperlink" xfId="3773" builtinId="9" hidden="1"/>
    <cellStyle name="Gevolgde hyperlink" xfId="3775" builtinId="9" hidden="1"/>
    <cellStyle name="Gevolgde hyperlink" xfId="3777" builtinId="9" hidden="1"/>
    <cellStyle name="Gevolgde hyperlink" xfId="3779" builtinId="9" hidden="1"/>
    <cellStyle name="Gevolgde hyperlink" xfId="3781" builtinId="9" hidden="1"/>
    <cellStyle name="Gevolgde hyperlink" xfId="3783" builtinId="9" hidden="1"/>
    <cellStyle name="Gevolgde hyperlink" xfId="3785" builtinId="9" hidden="1"/>
    <cellStyle name="Gevolgde hyperlink" xfId="3787" builtinId="9" hidden="1"/>
    <cellStyle name="Gevolgde hyperlink" xfId="3789" builtinId="9" hidden="1"/>
    <cellStyle name="Gevolgde hyperlink" xfId="3791" builtinId="9" hidden="1"/>
    <cellStyle name="Gevolgde hyperlink" xfId="3793" builtinId="9" hidden="1"/>
    <cellStyle name="Gevolgde hyperlink" xfId="3795" builtinId="9" hidden="1"/>
    <cellStyle name="Gevolgde hyperlink" xfId="3797" builtinId="9" hidden="1"/>
    <cellStyle name="Gevolgde hyperlink" xfId="3799" builtinId="9" hidden="1"/>
    <cellStyle name="Gevolgde hyperlink" xfId="3801" builtinId="9" hidden="1"/>
    <cellStyle name="Gevolgde hyperlink" xfId="3803" builtinId="9" hidden="1"/>
    <cellStyle name="Gevolgde hyperlink" xfId="3805" builtinId="9" hidden="1"/>
    <cellStyle name="Gevolgde hyperlink" xfId="3807" builtinId="9" hidden="1"/>
    <cellStyle name="Gevolgde hyperlink" xfId="3809" builtinId="9" hidden="1"/>
    <cellStyle name="Gevolgde hyperlink" xfId="3811" builtinId="9" hidden="1"/>
    <cellStyle name="Gevolgde hyperlink" xfId="3813" builtinId="9" hidden="1"/>
    <cellStyle name="Gevolgde hyperlink" xfId="3815" builtinId="9" hidden="1"/>
    <cellStyle name="Gevolgde hyperlink" xfId="3817" builtinId="9" hidden="1"/>
    <cellStyle name="Gevolgde hyperlink" xfId="3819" builtinId="9" hidden="1"/>
    <cellStyle name="Gevolgde hyperlink" xfId="3821" builtinId="9" hidden="1"/>
    <cellStyle name="Gevolgde hyperlink" xfId="3823" builtinId="9" hidden="1"/>
    <cellStyle name="Gevolgde hyperlink" xfId="3825" builtinId="9" hidden="1"/>
    <cellStyle name="Gevolgde hyperlink" xfId="3827" builtinId="9" hidden="1"/>
    <cellStyle name="Gevolgde hyperlink" xfId="3829" builtinId="9" hidden="1"/>
    <cellStyle name="Gevolgde hyperlink" xfId="3831" builtinId="9" hidden="1"/>
    <cellStyle name="Gevolgde hyperlink" xfId="3833" builtinId="9" hidden="1"/>
    <cellStyle name="Gevolgde hyperlink" xfId="3835" builtinId="9" hidden="1"/>
    <cellStyle name="Gevolgde hyperlink" xfId="3837" builtinId="9" hidden="1"/>
    <cellStyle name="Gevolgde hyperlink" xfId="3839" builtinId="9" hidden="1"/>
    <cellStyle name="Gevolgde hyperlink" xfId="3841" builtinId="9" hidden="1"/>
    <cellStyle name="Gevolgde hyperlink" xfId="3843" builtinId="9" hidden="1"/>
    <cellStyle name="Gevolgde hyperlink" xfId="3845" builtinId="9" hidden="1"/>
    <cellStyle name="Gevolgde hyperlink" xfId="3847" builtinId="9" hidden="1"/>
    <cellStyle name="Gevolgde hyperlink" xfId="3849" builtinId="9" hidden="1"/>
    <cellStyle name="Gevolgde hyperlink" xfId="3851" builtinId="9" hidden="1"/>
    <cellStyle name="Gevolgde hyperlink" xfId="3853" builtinId="9" hidden="1"/>
    <cellStyle name="Gevolgde hyperlink" xfId="3855" builtinId="9" hidden="1"/>
    <cellStyle name="Gevolgde hyperlink" xfId="3857" builtinId="9" hidden="1"/>
    <cellStyle name="Gevolgde hyperlink" xfId="3859" builtinId="9" hidden="1"/>
    <cellStyle name="Gevolgde hyperlink" xfId="3861" builtinId="9" hidden="1"/>
    <cellStyle name="Gevolgde hyperlink" xfId="3863" builtinId="9" hidden="1"/>
    <cellStyle name="Gevolgde hyperlink" xfId="3865" builtinId="9" hidden="1"/>
    <cellStyle name="Gevolgde hyperlink" xfId="3867" builtinId="9" hidden="1"/>
    <cellStyle name="Gevolgde hyperlink" xfId="3869" builtinId="9" hidden="1"/>
    <cellStyle name="Gevolgde hyperlink" xfId="3871" builtinId="9" hidden="1"/>
    <cellStyle name="Gevolgde hyperlink" xfId="3873" builtinId="9" hidden="1"/>
    <cellStyle name="Gevolgde hyperlink" xfId="3875" builtinId="9" hidden="1"/>
    <cellStyle name="Gevolgde hyperlink" xfId="3877" builtinId="9" hidden="1"/>
    <cellStyle name="Gevolgde hyperlink" xfId="3879" builtinId="9" hidden="1"/>
    <cellStyle name="Gevolgde hyperlink" xfId="3881" builtinId="9" hidden="1"/>
    <cellStyle name="Gevolgde hyperlink" xfId="3883" builtinId="9" hidden="1"/>
    <cellStyle name="Gevolgde hyperlink" xfId="3885" builtinId="9" hidden="1"/>
    <cellStyle name="Gevolgde hyperlink" xfId="3887" builtinId="9" hidden="1"/>
    <cellStyle name="Gevolgde hyperlink" xfId="3889" builtinId="9" hidden="1"/>
    <cellStyle name="Gevolgde hyperlink" xfId="3891" builtinId="9" hidden="1"/>
    <cellStyle name="Gevolgde hyperlink" xfId="3893" builtinId="9" hidden="1"/>
    <cellStyle name="Gevolgde hyperlink" xfId="3895" builtinId="9" hidden="1"/>
    <cellStyle name="Gevolgde hyperlink" xfId="3897" builtinId="9" hidden="1"/>
    <cellStyle name="Gevolgde hyperlink" xfId="3899" builtinId="9" hidden="1"/>
    <cellStyle name="Gevolgde hyperlink" xfId="3901" builtinId="9" hidden="1"/>
    <cellStyle name="Gevolgde hyperlink" xfId="3903" builtinId="9" hidden="1"/>
    <cellStyle name="Gevolgde hyperlink" xfId="3905" builtinId="9" hidden="1"/>
    <cellStyle name="Gevolgde hyperlink" xfId="3907" builtinId="9" hidden="1"/>
    <cellStyle name="Gevolgde hyperlink" xfId="3909" builtinId="9" hidden="1"/>
    <cellStyle name="Gevolgde hyperlink" xfId="3911" builtinId="9" hidden="1"/>
    <cellStyle name="Gevolgde hyperlink" xfId="3913" builtinId="9" hidden="1"/>
    <cellStyle name="Gevolgde hyperlink" xfId="3915" builtinId="9" hidden="1"/>
    <cellStyle name="Gevolgde hyperlink" xfId="3917" builtinId="9" hidden="1"/>
    <cellStyle name="Gevolgde hyperlink" xfId="3919" builtinId="9" hidden="1"/>
    <cellStyle name="Gevolgde hyperlink" xfId="3921" builtinId="9" hidden="1"/>
    <cellStyle name="Gevolgde hyperlink" xfId="3923" builtinId="9" hidden="1"/>
    <cellStyle name="Gevolgde hyperlink" xfId="3925" builtinId="9" hidden="1"/>
    <cellStyle name="Gevolgde hyperlink" xfId="3927" builtinId="9" hidden="1"/>
    <cellStyle name="Gevolgde hyperlink" xfId="3929" builtinId="9" hidden="1"/>
    <cellStyle name="Gevolgde hyperlink" xfId="3931" builtinId="9" hidden="1"/>
    <cellStyle name="Gevolgde hyperlink" xfId="3933" builtinId="9" hidden="1"/>
    <cellStyle name="Gevolgde hyperlink" xfId="3935" builtinId="9" hidden="1"/>
    <cellStyle name="Gevolgde hyperlink" xfId="3937" builtinId="9" hidden="1"/>
    <cellStyle name="Gevolgde hyperlink" xfId="3939" builtinId="9" hidden="1"/>
    <cellStyle name="Gevolgde hyperlink" xfId="3941" builtinId="9" hidden="1"/>
    <cellStyle name="Gevolgde hyperlink" xfId="3943" builtinId="9" hidden="1"/>
    <cellStyle name="Gevolgde hyperlink" xfId="3945" builtinId="9" hidden="1"/>
    <cellStyle name="Gevolgde hyperlink" xfId="3947" builtinId="9" hidden="1"/>
    <cellStyle name="Gevolgde hyperlink" xfId="3949" builtinId="9" hidden="1"/>
    <cellStyle name="Gevolgde hyperlink" xfId="3951" builtinId="9" hidden="1"/>
    <cellStyle name="Gevolgde hyperlink" xfId="3953" builtinId="9" hidden="1"/>
    <cellStyle name="Gevolgde hyperlink" xfId="3955" builtinId="9" hidden="1"/>
    <cellStyle name="Gevolgde hyperlink" xfId="3957" builtinId="9" hidden="1"/>
    <cellStyle name="Gevolgde hyperlink" xfId="3959" builtinId="9" hidden="1"/>
    <cellStyle name="Gevolgde hyperlink" xfId="3961" builtinId="9" hidden="1"/>
    <cellStyle name="Gevolgde hyperlink" xfId="3963" builtinId="9" hidden="1"/>
    <cellStyle name="Gevolgde hyperlink" xfId="3965" builtinId="9" hidden="1"/>
    <cellStyle name="Gevolgde hyperlink" xfId="3967" builtinId="9" hidden="1"/>
    <cellStyle name="Gevolgde hyperlink" xfId="3969" builtinId="9" hidden="1"/>
    <cellStyle name="Gevolgde hyperlink" xfId="3971" builtinId="9" hidden="1"/>
    <cellStyle name="Gevolgde hyperlink" xfId="3973" builtinId="9" hidden="1"/>
    <cellStyle name="Gevolgde hyperlink" xfId="3975" builtinId="9" hidden="1"/>
    <cellStyle name="Gevolgde hyperlink" xfId="3977" builtinId="9" hidden="1"/>
    <cellStyle name="Gevolgde hyperlink" xfId="3979" builtinId="9" hidden="1"/>
    <cellStyle name="Gevolgde hyperlink" xfId="3981" builtinId="9" hidden="1"/>
    <cellStyle name="Gevolgde hyperlink" xfId="3983" builtinId="9" hidden="1"/>
    <cellStyle name="Gevolgde hyperlink" xfId="3985" builtinId="9" hidden="1"/>
    <cellStyle name="Gevolgde hyperlink" xfId="3987" builtinId="9" hidden="1"/>
    <cellStyle name="Gevolgde hyperlink" xfId="3989" builtinId="9" hidden="1"/>
    <cellStyle name="Gevolgde hyperlink" xfId="3991" builtinId="9" hidden="1"/>
    <cellStyle name="Gevolgde hyperlink" xfId="3993" builtinId="9" hidden="1"/>
    <cellStyle name="Gevolgde hyperlink" xfId="3995" builtinId="9" hidden="1"/>
    <cellStyle name="Gevolgde hyperlink" xfId="3997" builtinId="9" hidden="1"/>
    <cellStyle name="Gevolgde hyperlink" xfId="3999" builtinId="9" hidden="1"/>
    <cellStyle name="Gevolgde hyperlink" xfId="4001" builtinId="9" hidden="1"/>
    <cellStyle name="Gevolgde hyperlink" xfId="4003" builtinId="9" hidden="1"/>
    <cellStyle name="Gevolgde hyperlink" xfId="4005" builtinId="9" hidden="1"/>
    <cellStyle name="Gevolgde hyperlink" xfId="4007" builtinId="9" hidden="1"/>
    <cellStyle name="Gevolgde hyperlink" xfId="4009" builtinId="9" hidden="1"/>
    <cellStyle name="Gevolgde hyperlink" xfId="4011" builtinId="9" hidden="1"/>
    <cellStyle name="Gevolgde hyperlink" xfId="4013" builtinId="9" hidden="1"/>
    <cellStyle name="Gevolgde hyperlink" xfId="4015" builtinId="9" hidden="1"/>
    <cellStyle name="Gevolgde hyperlink" xfId="4017" builtinId="9" hidden="1"/>
    <cellStyle name="Gevolgde hyperlink" xfId="4019" builtinId="9" hidden="1"/>
    <cellStyle name="Gevolgde hyperlink" xfId="4021" builtinId="9" hidden="1"/>
    <cellStyle name="Gevolgde hyperlink" xfId="4023" builtinId="9" hidden="1"/>
    <cellStyle name="Gevolgde hyperlink" xfId="4025" builtinId="9" hidden="1"/>
    <cellStyle name="Gevolgde hyperlink" xfId="4027" builtinId="9" hidden="1"/>
    <cellStyle name="Gevolgde hyperlink" xfId="4029" builtinId="9" hidden="1"/>
    <cellStyle name="Gevolgde hyperlink" xfId="4031" builtinId="9" hidden="1"/>
    <cellStyle name="Gevolgde hyperlink" xfId="4033" builtinId="9" hidden="1"/>
    <cellStyle name="Gevolgde hyperlink" xfId="4035" builtinId="9" hidden="1"/>
    <cellStyle name="Gevolgde hyperlink" xfId="4037" builtinId="9" hidden="1"/>
    <cellStyle name="Gevolgde hyperlink" xfId="4039" builtinId="9" hidden="1"/>
    <cellStyle name="Gevolgde hyperlink" xfId="4041" builtinId="9" hidden="1"/>
    <cellStyle name="Gevolgde hyperlink" xfId="4043" builtinId="9" hidden="1"/>
    <cellStyle name="Goed" xfId="9"/>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3312" builtinId="8" hidden="1"/>
    <cellStyle name="Hyperlink" xfId="3314" builtinId="8" hidden="1"/>
    <cellStyle name="Hyperlink" xfId="3316" builtinId="8" hidden="1"/>
    <cellStyle name="Hyperlink" xfId="3318"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88"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Komma" xfId="10" builtinId="3"/>
    <cellStyle name="Komma [0]" xfId="11" builtinId="6"/>
    <cellStyle name="kop" xfId="12"/>
    <cellStyle name="Koppen_rekenblad" xfId="13"/>
    <cellStyle name="koppenrekenblad2" xfId="14"/>
    <cellStyle name="m2" xfId="15"/>
    <cellStyle name="Neutraal" xfId="16"/>
    <cellStyle name="Normaal" xfId="0" builtinId="0"/>
    <cellStyle name="Normal_ KLM-CTR(STA)-Recap.xls" xfId="17"/>
    <cellStyle name="Normal_1.3-Basis ruimtestaat" xfId="18"/>
    <cellStyle name="Normal_AFRPPRIJS.xls" xfId="19"/>
    <cellStyle name="Normal_ATIR-Calc-Uurtarief 2001" xfId="20"/>
    <cellStyle name="Normal_CALCULATIEBLAD.XLS" xfId="21"/>
    <cellStyle name="Normal_GH-Calc_perceel_1_en_2.xls" xfId="22"/>
    <cellStyle name="Normal_glas locaties.xls" xfId="23"/>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Ruimtestaat_Koppen" xfId="32"/>
    <cellStyle name="Standaard_Blad1" xfId="33"/>
    <cellStyle name="Titel" xfId="34"/>
    <cellStyle name="Totaal" xfId="35"/>
    <cellStyle name="Valuta" xfId="36" builtinId="4"/>
    <cellStyle name="Waarschuwingstekst" xfId="37"/>
  </cellStyles>
  <dxfs count="137">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ont>
        <b/>
        <i val="0"/>
        <strike val="0"/>
        <color theme="0"/>
      </font>
      <fill>
        <patternFill patternType="solid">
          <fgColor indexed="64"/>
          <bgColor rgb="FFFF000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7B0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330200</xdr:colOff>
      <xdr:row>3</xdr:row>
      <xdr:rowOff>101600</xdr:rowOff>
    </xdr:from>
    <xdr:to>
      <xdr:col>0</xdr:col>
      <xdr:colOff>3200400</xdr:colOff>
      <xdr:row>14</xdr:row>
      <xdr:rowOff>87719</xdr:rowOff>
    </xdr:to>
    <xdr:pic>
      <xdr:nvPicPr>
        <xdr:cNvPr id="2" name="Afbeelding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30200" y="596900"/>
          <a:ext cx="2870200" cy="1802219"/>
        </a:xfrm>
        <a:prstGeom prst="rect">
          <a:avLst/>
        </a:prstGeom>
        <a:ln>
          <a:solidFill>
            <a:schemeClr val="bg1">
              <a:lumMod val="50000"/>
            </a:schemeClr>
          </a:solidFill>
        </a:ln>
      </xdr:spPr>
    </xdr:pic>
    <xdr:clientData/>
  </xdr:twoCellAnchor>
  <xdr:twoCellAnchor editAs="oneCell">
    <xdr:from>
      <xdr:col>0</xdr:col>
      <xdr:colOff>647700</xdr:colOff>
      <xdr:row>77</xdr:row>
      <xdr:rowOff>12700</xdr:rowOff>
    </xdr:from>
    <xdr:to>
      <xdr:col>0</xdr:col>
      <xdr:colOff>2930266</xdr:colOff>
      <xdr:row>92</xdr:row>
      <xdr:rowOff>63500</xdr:rowOff>
    </xdr:to>
    <xdr:pic>
      <xdr:nvPicPr>
        <xdr:cNvPr id="11" name="Afbeelding 10"/>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47700" y="12725400"/>
          <a:ext cx="2282566" cy="252730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406400</xdr:colOff>
      <xdr:row>97</xdr:row>
      <xdr:rowOff>38100</xdr:rowOff>
    </xdr:from>
    <xdr:to>
      <xdr:col>0</xdr:col>
      <xdr:colOff>2819400</xdr:colOff>
      <xdr:row>108</xdr:row>
      <xdr:rowOff>141899</xdr:rowOff>
    </xdr:to>
    <xdr:pic>
      <xdr:nvPicPr>
        <xdr:cNvPr id="12" name="Afbeelding 11"/>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06400" y="16052800"/>
          <a:ext cx="2413000" cy="191989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190500</xdr:colOff>
      <xdr:row>112</xdr:row>
      <xdr:rowOff>76200</xdr:rowOff>
    </xdr:from>
    <xdr:to>
      <xdr:col>0</xdr:col>
      <xdr:colOff>3263900</xdr:colOff>
      <xdr:row>120</xdr:row>
      <xdr:rowOff>47362</xdr:rowOff>
    </xdr:to>
    <xdr:pic>
      <xdr:nvPicPr>
        <xdr:cNvPr id="14" name="Afbeelding 13"/>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90500" y="18567400"/>
          <a:ext cx="3073400" cy="129196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139700</xdr:colOff>
      <xdr:row>19</xdr:row>
      <xdr:rowOff>63501</xdr:rowOff>
    </xdr:from>
    <xdr:to>
      <xdr:col>0</xdr:col>
      <xdr:colOff>3568700</xdr:colOff>
      <xdr:row>29</xdr:row>
      <xdr:rowOff>35279</xdr:rowOff>
    </xdr:to>
    <xdr:pic>
      <xdr:nvPicPr>
        <xdr:cNvPr id="15" name="Afbeelding 14"/>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9700" y="3200401"/>
          <a:ext cx="3429000" cy="162277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241300</xdr:colOff>
      <xdr:row>33</xdr:row>
      <xdr:rowOff>114300</xdr:rowOff>
    </xdr:from>
    <xdr:to>
      <xdr:col>0</xdr:col>
      <xdr:colOff>3251200</xdr:colOff>
      <xdr:row>41</xdr:row>
      <xdr:rowOff>130849</xdr:rowOff>
    </xdr:to>
    <xdr:pic>
      <xdr:nvPicPr>
        <xdr:cNvPr id="16" name="Afbeelding 15"/>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41300" y="5562600"/>
          <a:ext cx="3009900" cy="1337349"/>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965200</xdr:colOff>
      <xdr:row>48</xdr:row>
      <xdr:rowOff>12700</xdr:rowOff>
    </xdr:from>
    <xdr:to>
      <xdr:col>0</xdr:col>
      <xdr:colOff>2501900</xdr:colOff>
      <xdr:row>58</xdr:row>
      <xdr:rowOff>57425</xdr:rowOff>
    </xdr:to>
    <xdr:pic>
      <xdr:nvPicPr>
        <xdr:cNvPr id="17" name="Afbeelding 16"/>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65200" y="7937500"/>
          <a:ext cx="1536700" cy="1695725"/>
        </a:xfrm>
        <a:prstGeom prst="round2DiagRect">
          <a:avLst>
            <a:gd name="adj1" fmla="val 16667"/>
            <a:gd name="adj2" fmla="val 8645"/>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457200</xdr:colOff>
      <xdr:row>63</xdr:row>
      <xdr:rowOff>39809</xdr:rowOff>
    </xdr:from>
    <xdr:to>
      <xdr:col>0</xdr:col>
      <xdr:colOff>3314700</xdr:colOff>
      <xdr:row>71</xdr:row>
      <xdr:rowOff>42375</xdr:rowOff>
    </xdr:to>
    <xdr:pic>
      <xdr:nvPicPr>
        <xdr:cNvPr id="18" name="Afbeelding 17"/>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57200" y="10441109"/>
          <a:ext cx="2857500" cy="1323366"/>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editAs="oneCell">
    <xdr:from>
      <xdr:col>0</xdr:col>
      <xdr:colOff>431801</xdr:colOff>
      <xdr:row>127</xdr:row>
      <xdr:rowOff>63500</xdr:rowOff>
    </xdr:from>
    <xdr:to>
      <xdr:col>0</xdr:col>
      <xdr:colOff>2476500</xdr:colOff>
      <xdr:row>138</xdr:row>
      <xdr:rowOff>38682</xdr:rowOff>
    </xdr:to>
    <xdr:pic>
      <xdr:nvPicPr>
        <xdr:cNvPr id="19" name="Afbeelding 18"/>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431801" y="21031200"/>
          <a:ext cx="2044699" cy="1791282"/>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329" name="Rectangle 2"/>
        <xdr:cNvSpPr>
          <a:spLocks noChangeArrowheads="1"/>
        </xdr:cNvSpPr>
      </xdr:nvSpPr>
      <xdr:spPr bwMode="auto">
        <a:xfrm>
          <a:off x="8991600" y="1841500"/>
          <a:ext cx="194691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330" name="Rounded Rectangle 3"/>
        <xdr:cNvSpPr>
          <a:spLocks noChangeArrowheads="1"/>
        </xdr:cNvSpPr>
      </xdr:nvSpPr>
      <xdr:spPr bwMode="auto">
        <a:xfrm flipV="1">
          <a:off x="2032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331" name="Rounded Rectangle 3"/>
        <xdr:cNvSpPr>
          <a:spLocks noChangeArrowheads="1"/>
        </xdr:cNvSpPr>
      </xdr:nvSpPr>
      <xdr:spPr bwMode="auto">
        <a:xfrm>
          <a:off x="203200" y="114300"/>
          <a:ext cx="130683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1007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1007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91</xdr:row>
      <xdr:rowOff>152400</xdr:rowOff>
    </xdr:from>
    <xdr:to>
      <xdr:col>1</xdr:col>
      <xdr:colOff>3596640</xdr:colOff>
      <xdr:row>93</xdr:row>
      <xdr:rowOff>50800</xdr:rowOff>
    </xdr:to>
    <xdr:sp macro="" textlink="">
      <xdr:nvSpPr>
        <xdr:cNvPr id="10078" name="Rounded Rectangle 3"/>
        <xdr:cNvSpPr>
          <a:spLocks noChangeArrowheads="1"/>
        </xdr:cNvSpPr>
      </xdr:nvSpPr>
      <xdr:spPr bwMode="auto">
        <a:xfrm flipV="1">
          <a:off x="548640" y="15697200"/>
          <a:ext cx="3596640" cy="22352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917"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918"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419100</xdr:colOff>
      <xdr:row>57</xdr:row>
      <xdr:rowOff>88900</xdr:rowOff>
    </xdr:from>
    <xdr:to>
      <xdr:col>8</xdr:col>
      <xdr:colOff>0</xdr:colOff>
      <xdr:row>57</xdr:row>
      <xdr:rowOff>342900</xdr:rowOff>
    </xdr:to>
    <xdr:sp macro="" textlink="">
      <xdr:nvSpPr>
        <xdr:cNvPr id="25919"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6</xdr:col>
      <xdr:colOff>1308100</xdr:colOff>
      <xdr:row>8</xdr:row>
      <xdr:rowOff>127000</xdr:rowOff>
    </xdr:to>
    <xdr:sp macro="" textlink="">
      <xdr:nvSpPr>
        <xdr:cNvPr id="21350" name="Rounded Rectangle 3"/>
        <xdr:cNvSpPr>
          <a:spLocks noChangeArrowheads="1"/>
        </xdr:cNvSpPr>
      </xdr:nvSpPr>
      <xdr:spPr bwMode="auto">
        <a:xfrm>
          <a:off x="444500" y="812800"/>
          <a:ext cx="104394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27</xdr:col>
      <xdr:colOff>711200</xdr:colOff>
      <xdr:row>102</xdr:row>
      <xdr:rowOff>25400</xdr:rowOff>
    </xdr:from>
    <xdr:to>
      <xdr:col>31</xdr:col>
      <xdr:colOff>126555</xdr:colOff>
      <xdr:row>106</xdr:row>
      <xdr:rowOff>25400</xdr:rowOff>
    </xdr:to>
    <xdr:sp macro="" textlink="">
      <xdr:nvSpPr>
        <xdr:cNvPr id="4" name="Rounded Rectangle 3"/>
        <xdr:cNvSpPr>
          <a:spLocks noChangeArrowheads="1"/>
        </xdr:cNvSpPr>
      </xdr:nvSpPr>
      <xdr:spPr bwMode="auto">
        <a:xfrm>
          <a:off x="27355800" y="6972300"/>
          <a:ext cx="2387155" cy="609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lnSpc>
              <a:spcPts val="1000"/>
            </a:lnSpc>
          </a:pPr>
          <a:r>
            <a:rPr lang="en-US" sz="1000">
              <a:latin typeface="Verdana"/>
              <a:cs typeface="Verdana"/>
            </a:rPr>
            <a:t>Automatische koppeling naar tab 1.1a-Jaarprijzen</a:t>
          </a:r>
        </a:p>
      </xdr:txBody>
    </xdr:sp>
    <xdr:clientData/>
  </xdr:twoCellAnchor>
  <xdr:twoCellAnchor>
    <xdr:from>
      <xdr:col>30</xdr:col>
      <xdr:colOff>508000</xdr:colOff>
      <xdr:row>93</xdr:row>
      <xdr:rowOff>0</xdr:rowOff>
    </xdr:from>
    <xdr:to>
      <xdr:col>30</xdr:col>
      <xdr:colOff>508000</xdr:colOff>
      <xdr:row>102</xdr:row>
      <xdr:rowOff>76200</xdr:rowOff>
    </xdr:to>
    <xdr:cxnSp macro="">
      <xdr:nvCxnSpPr>
        <xdr:cNvPr id="21198" name="Straight Arrow Connector 4"/>
        <xdr:cNvCxnSpPr>
          <a:cxnSpLocks noChangeShapeType="1"/>
        </xdr:cNvCxnSpPr>
      </xdr:nvCxnSpPr>
      <xdr:spPr bwMode="auto">
        <a:xfrm flipV="1">
          <a:off x="27368500" y="16827500"/>
          <a:ext cx="0" cy="1536700"/>
        </a:xfrm>
        <a:prstGeom prst="straightConnector1">
          <a:avLst/>
        </a:prstGeom>
        <a:noFill/>
        <a:ln w="9525">
          <a:solidFill>
            <a:srgbClr val="FF9933"/>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twoCellAnchor>
    <xdr:from>
      <xdr:col>0</xdr:col>
      <xdr:colOff>279400</xdr:colOff>
      <xdr:row>110</xdr:row>
      <xdr:rowOff>50800</xdr:rowOff>
    </xdr:from>
    <xdr:to>
      <xdr:col>10</xdr:col>
      <xdr:colOff>0</xdr:colOff>
      <xdr:row>112</xdr:row>
      <xdr:rowOff>0</xdr:rowOff>
    </xdr:to>
    <xdr:sp macro="" textlink="">
      <xdr:nvSpPr>
        <xdr:cNvPr id="21354" name="Rounded Rectangle 3"/>
        <xdr:cNvSpPr>
          <a:spLocks noChangeArrowheads="1"/>
        </xdr:cNvSpPr>
      </xdr:nvSpPr>
      <xdr:spPr bwMode="auto">
        <a:xfrm flipV="1">
          <a:off x="279400" y="6616700"/>
          <a:ext cx="13220700" cy="444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15</xdr:row>
      <xdr:rowOff>114300</xdr:rowOff>
    </xdr:from>
    <xdr:to>
      <xdr:col>8</xdr:col>
      <xdr:colOff>254000</xdr:colOff>
      <xdr:row>31</xdr:row>
      <xdr:rowOff>139700</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698500" y="3276600"/>
          <a:ext cx="7175500"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2014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2014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2015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30530"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30531"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30532"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30533"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30534"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30535"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30536"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30537"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30538"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30539"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12700</xdr:colOff>
      <xdr:row>106</xdr:row>
      <xdr:rowOff>127000</xdr:rowOff>
    </xdr:from>
    <xdr:to>
      <xdr:col>10</xdr:col>
      <xdr:colOff>0</xdr:colOff>
      <xdr:row>108</xdr:row>
      <xdr:rowOff>50800</xdr:rowOff>
    </xdr:to>
    <xdr:sp macro="" textlink="">
      <xdr:nvSpPr>
        <xdr:cNvPr id="30540" name="Rounded Rectangle 2"/>
        <xdr:cNvSpPr>
          <a:spLocks noChangeArrowheads="1"/>
        </xdr:cNvSpPr>
      </xdr:nvSpPr>
      <xdr:spPr bwMode="auto">
        <a:xfrm>
          <a:off x="1663700" y="14033500"/>
          <a:ext cx="105029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111</xdr:row>
      <xdr:rowOff>25400</xdr:rowOff>
    </xdr:from>
    <xdr:to>
      <xdr:col>3</xdr:col>
      <xdr:colOff>3492500</xdr:colOff>
      <xdr:row>111</xdr:row>
      <xdr:rowOff>241300</xdr:rowOff>
    </xdr:to>
    <xdr:sp macro="" textlink="">
      <xdr:nvSpPr>
        <xdr:cNvPr id="30541" name="Rounded Rectangle 3"/>
        <xdr:cNvSpPr>
          <a:spLocks noChangeArrowheads="1"/>
        </xdr:cNvSpPr>
      </xdr:nvSpPr>
      <xdr:spPr bwMode="auto">
        <a:xfrm>
          <a:off x="1676400" y="151257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127</xdr:row>
      <xdr:rowOff>25400</xdr:rowOff>
    </xdr:from>
    <xdr:to>
      <xdr:col>4</xdr:col>
      <xdr:colOff>25400</xdr:colOff>
      <xdr:row>127</xdr:row>
      <xdr:rowOff>241300</xdr:rowOff>
    </xdr:to>
    <xdr:sp macro="" textlink="">
      <xdr:nvSpPr>
        <xdr:cNvPr id="30542" name="Rounded Rectangle 5"/>
        <xdr:cNvSpPr>
          <a:spLocks noChangeArrowheads="1"/>
        </xdr:cNvSpPr>
      </xdr:nvSpPr>
      <xdr:spPr bwMode="auto">
        <a:xfrm>
          <a:off x="1676400" y="195834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2</xdr:col>
      <xdr:colOff>25400</xdr:colOff>
      <xdr:row>140</xdr:row>
      <xdr:rowOff>0</xdr:rowOff>
    </xdr:from>
    <xdr:to>
      <xdr:col>4</xdr:col>
      <xdr:colOff>0</xdr:colOff>
      <xdr:row>141</xdr:row>
      <xdr:rowOff>50800</xdr:rowOff>
    </xdr:to>
    <xdr:sp macro="" textlink="">
      <xdr:nvSpPr>
        <xdr:cNvPr id="30543" name="Rounded Rectangle 3"/>
        <xdr:cNvSpPr>
          <a:spLocks noChangeArrowheads="1"/>
        </xdr:cNvSpPr>
      </xdr:nvSpPr>
      <xdr:spPr bwMode="auto">
        <a:xfrm>
          <a:off x="1676400" y="22796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31036" name="Rounded Rectangle 1"/>
        <xdr:cNvSpPr>
          <a:spLocks noChangeArrowheads="1"/>
        </xdr:cNvSpPr>
      </xdr:nvSpPr>
      <xdr:spPr bwMode="auto">
        <a:xfrm>
          <a:off x="304800" y="88900"/>
          <a:ext cx="180848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292100</xdr:colOff>
      <xdr:row>7</xdr:row>
      <xdr:rowOff>21174</xdr:rowOff>
    </xdr:from>
    <xdr:to>
      <xdr:col>13</xdr:col>
      <xdr:colOff>0</xdr:colOff>
      <xdr:row>9</xdr:row>
      <xdr:rowOff>224374</xdr:rowOff>
    </xdr:to>
    <xdr:sp macro="" textlink="">
      <xdr:nvSpPr>
        <xdr:cNvPr id="31037" name="Rounded Rectangle 2"/>
        <xdr:cNvSpPr>
          <a:spLocks noChangeArrowheads="1"/>
        </xdr:cNvSpPr>
      </xdr:nvSpPr>
      <xdr:spPr bwMode="auto">
        <a:xfrm>
          <a:off x="292100" y="1367374"/>
          <a:ext cx="191389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266700</xdr:colOff>
      <xdr:row>67</xdr:row>
      <xdr:rowOff>101600</xdr:rowOff>
    </xdr:from>
    <xdr:to>
      <xdr:col>13</xdr:col>
      <xdr:colOff>12700</xdr:colOff>
      <xdr:row>69</xdr:row>
      <xdr:rowOff>0</xdr:rowOff>
    </xdr:to>
    <xdr:sp macro="" textlink="">
      <xdr:nvSpPr>
        <xdr:cNvPr id="31038" name="Rounded Rectangle 3"/>
        <xdr:cNvSpPr>
          <a:spLocks noChangeArrowheads="1"/>
        </xdr:cNvSpPr>
      </xdr:nvSpPr>
      <xdr:spPr bwMode="auto">
        <a:xfrm>
          <a:off x="266700" y="13195300"/>
          <a:ext cx="195707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124</xdr:row>
      <xdr:rowOff>127000</xdr:rowOff>
    </xdr:from>
    <xdr:to>
      <xdr:col>13</xdr:col>
      <xdr:colOff>0</xdr:colOff>
      <xdr:row>126</xdr:row>
      <xdr:rowOff>38100</xdr:rowOff>
    </xdr:to>
    <xdr:sp macro="" textlink="">
      <xdr:nvSpPr>
        <xdr:cNvPr id="31041" name="Rounded Rectangle 3"/>
        <xdr:cNvSpPr>
          <a:spLocks noChangeArrowheads="1"/>
        </xdr:cNvSpPr>
      </xdr:nvSpPr>
      <xdr:spPr bwMode="auto">
        <a:xfrm>
          <a:off x="304800" y="6832600"/>
          <a:ext cx="180848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8</xdr:col>
      <xdr:colOff>12700</xdr:colOff>
      <xdr:row>132</xdr:row>
      <xdr:rowOff>0</xdr:rowOff>
    </xdr:from>
    <xdr:to>
      <xdr:col>10</xdr:col>
      <xdr:colOff>0</xdr:colOff>
      <xdr:row>133</xdr:row>
      <xdr:rowOff>0</xdr:rowOff>
    </xdr:to>
    <xdr:sp macro="" textlink="">
      <xdr:nvSpPr>
        <xdr:cNvPr id="31042" name="Rounded Rectangle 4"/>
        <xdr:cNvSpPr>
          <a:spLocks noChangeArrowheads="1"/>
        </xdr:cNvSpPr>
      </xdr:nvSpPr>
      <xdr:spPr bwMode="auto">
        <a:xfrm>
          <a:off x="10833100" y="81915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11</xdr:col>
      <xdr:colOff>0</xdr:colOff>
      <xdr:row>132</xdr:row>
      <xdr:rowOff>0</xdr:rowOff>
    </xdr:from>
    <xdr:to>
      <xdr:col>12</xdr:col>
      <xdr:colOff>1871134</xdr:colOff>
      <xdr:row>133</xdr:row>
      <xdr:rowOff>25400</xdr:rowOff>
    </xdr:to>
    <xdr:sp macro="" textlink="">
      <xdr:nvSpPr>
        <xdr:cNvPr id="31043" name="Rounded Rectangle 5"/>
        <xdr:cNvSpPr>
          <a:spLocks noChangeArrowheads="1"/>
        </xdr:cNvSpPr>
      </xdr:nvSpPr>
      <xdr:spPr bwMode="auto">
        <a:xfrm>
          <a:off x="15443200" y="11565467"/>
          <a:ext cx="3513667" cy="321733"/>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132</xdr:row>
      <xdr:rowOff>127000</xdr:rowOff>
    </xdr:from>
    <xdr:to>
      <xdr:col>7</xdr:col>
      <xdr:colOff>165100</xdr:colOff>
      <xdr:row>134</xdr:row>
      <xdr:rowOff>38100</xdr:rowOff>
    </xdr:to>
    <xdr:sp macro="" textlink="">
      <xdr:nvSpPr>
        <xdr:cNvPr id="31044" name="Rounded Rectangle 3"/>
        <xdr:cNvSpPr>
          <a:spLocks noChangeArrowheads="1"/>
        </xdr:cNvSpPr>
      </xdr:nvSpPr>
      <xdr:spPr bwMode="auto">
        <a:xfrm>
          <a:off x="304800" y="8318500"/>
          <a:ext cx="94361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1041400</xdr:colOff>
      <xdr:row>102</xdr:row>
      <xdr:rowOff>0</xdr:rowOff>
    </xdr:from>
    <xdr:to>
      <xdr:col>14</xdr:col>
      <xdr:colOff>76200</xdr:colOff>
      <xdr:row>103</xdr:row>
      <xdr:rowOff>0</xdr:rowOff>
    </xdr:to>
    <xdr:sp macro="" textlink="">
      <xdr:nvSpPr>
        <xdr:cNvPr id="6794" name="Rounded Rectangle 5"/>
        <xdr:cNvSpPr>
          <a:spLocks noChangeArrowheads="1"/>
        </xdr:cNvSpPr>
      </xdr:nvSpPr>
      <xdr:spPr bwMode="auto">
        <a:xfrm>
          <a:off x="12331700" y="6426200"/>
          <a:ext cx="2984500" cy="165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795" name="Rounded Rectangle 1"/>
        <xdr:cNvSpPr>
          <a:spLocks noChangeArrowheads="1"/>
        </xdr:cNvSpPr>
      </xdr:nvSpPr>
      <xdr:spPr bwMode="auto">
        <a:xfrm>
          <a:off x="139700" y="1498600"/>
          <a:ext cx="169926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508000</xdr:colOff>
      <xdr:row>3</xdr:row>
      <xdr:rowOff>0</xdr:rowOff>
    </xdr:from>
    <xdr:to>
      <xdr:col>9</xdr:col>
      <xdr:colOff>698500</xdr:colOff>
      <xdr:row>8</xdr:row>
      <xdr:rowOff>25400</xdr:rowOff>
    </xdr:to>
    <xdr:sp macro="" textlink="">
      <xdr:nvSpPr>
        <xdr:cNvPr id="1730"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8</xdr:row>
      <xdr:rowOff>25402</xdr:rowOff>
    </xdr:from>
    <xdr:to>
      <xdr:col>25</xdr:col>
      <xdr:colOff>949739</xdr:colOff>
      <xdr:row>9</xdr:row>
      <xdr:rowOff>406402</xdr:rowOff>
    </xdr:to>
    <xdr:sp macro="" textlink="">
      <xdr:nvSpPr>
        <xdr:cNvPr id="1731" name="Rounded Rectangle 2"/>
        <xdr:cNvSpPr>
          <a:spLocks noChangeArrowheads="1"/>
        </xdr:cNvSpPr>
      </xdr:nvSpPr>
      <xdr:spPr bwMode="auto">
        <a:xfrm>
          <a:off x="0" y="1748185"/>
          <a:ext cx="25919043" cy="546652"/>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83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84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9069"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9070"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nl-NL"/>
        </a:p>
      </xdr:txBody>
    </xdr:sp>
    <xdr:clientData/>
  </xdr:twoCellAnchor>
  <xdr:twoCellAnchor>
    <xdr:from>
      <xdr:col>1</xdr:col>
      <xdr:colOff>0</xdr:colOff>
      <xdr:row>35</xdr:row>
      <xdr:rowOff>127000</xdr:rowOff>
    </xdr:from>
    <xdr:to>
      <xdr:col>4</xdr:col>
      <xdr:colOff>12700</xdr:colOff>
      <xdr:row>37</xdr:row>
      <xdr:rowOff>63500</xdr:rowOff>
    </xdr:to>
    <xdr:sp macro="" textlink="">
      <xdr:nvSpPr>
        <xdr:cNvPr id="29071" name="Rounded Rectangle 2"/>
        <xdr:cNvSpPr>
          <a:spLocks noChangeArrowheads="1"/>
        </xdr:cNvSpPr>
      </xdr:nvSpPr>
      <xdr:spPr bwMode="auto">
        <a:xfrm>
          <a:off x="1282700" y="62357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0</xdr:col>
      <xdr:colOff>1257300</xdr:colOff>
      <xdr:row>47</xdr:row>
      <xdr:rowOff>127000</xdr:rowOff>
    </xdr:from>
    <xdr:to>
      <xdr:col>7</xdr:col>
      <xdr:colOff>50800</xdr:colOff>
      <xdr:row>49</xdr:row>
      <xdr:rowOff>63500</xdr:rowOff>
    </xdr:to>
    <xdr:sp macro="" textlink="">
      <xdr:nvSpPr>
        <xdr:cNvPr id="29072" name="Rounded Rectangle 2"/>
        <xdr:cNvSpPr>
          <a:spLocks noChangeArrowheads="1"/>
        </xdr:cNvSpPr>
      </xdr:nvSpPr>
      <xdr:spPr bwMode="auto">
        <a:xfrm>
          <a:off x="1257300" y="8280400"/>
          <a:ext cx="111633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nl-NL"/>
        </a:p>
      </xdr:txBody>
    </xdr:sp>
    <xdr:clientData/>
  </xdr:twoCellAnchor>
  <xdr:twoCellAnchor>
    <xdr:from>
      <xdr:col>1</xdr:col>
      <xdr:colOff>0</xdr:colOff>
      <xdr:row>13</xdr:row>
      <xdr:rowOff>25400</xdr:rowOff>
    </xdr:from>
    <xdr:to>
      <xdr:col>1</xdr:col>
      <xdr:colOff>3733800</xdr:colOff>
      <xdr:row>15</xdr:row>
      <xdr:rowOff>152400</xdr:rowOff>
    </xdr:to>
    <xdr:sp macro="" textlink="">
      <xdr:nvSpPr>
        <xdr:cNvPr id="2" name="Rechthoek 1"/>
        <xdr:cNvSpPr/>
      </xdr:nvSpPr>
      <xdr:spPr bwMode="auto">
        <a:xfrm>
          <a:off x="1282700" y="2501900"/>
          <a:ext cx="3733800" cy="457200"/>
        </a:xfrm>
        <a:prstGeom prst="rect">
          <a:avLst/>
        </a:prstGeom>
        <a:solidFill>
          <a:srgbClr val="B7B085"/>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lang="nl-NL" sz="1100">
              <a:solidFill>
                <a:schemeClr val="tx1"/>
              </a:solidFill>
              <a:latin typeface="Verdana"/>
              <a:cs typeface="Verdana"/>
            </a:rPr>
            <a:t>(selecteer uw categorie dmv plaatsen van een x voor uw keuze in de rechter kolom)</a:t>
          </a:r>
        </a:p>
      </xdr:txBody>
    </xdr:sp>
    <xdr:clientData/>
  </xdr:twoCellAnchor>
  <xdr:twoCellAnchor>
    <xdr:from>
      <xdr:col>4</xdr:col>
      <xdr:colOff>25400</xdr:colOff>
      <xdr:row>26</xdr:row>
      <xdr:rowOff>88900</xdr:rowOff>
    </xdr:from>
    <xdr:to>
      <xdr:col>4</xdr:col>
      <xdr:colOff>393700</xdr:colOff>
      <xdr:row>44</xdr:row>
      <xdr:rowOff>88900</xdr:rowOff>
    </xdr:to>
    <xdr:sp macro="" textlink="">
      <xdr:nvSpPr>
        <xdr:cNvPr id="3" name="Vierkante haak rechts 2"/>
        <xdr:cNvSpPr/>
      </xdr:nvSpPr>
      <xdr:spPr bwMode="auto">
        <a:xfrm>
          <a:off x="8991600" y="4711700"/>
          <a:ext cx="368300" cy="3035300"/>
        </a:xfrm>
        <a:prstGeom prst="rightBracket">
          <a:avLst/>
        </a:prstGeom>
        <a:ln>
          <a:headEnd type="none" w="med" len="med"/>
          <a:tailEnd type="none" w="med" len="med"/>
        </a:ln>
        <a:extLst/>
      </xdr:spPr>
      <xdr:style>
        <a:lnRef idx="2">
          <a:schemeClr val="accent6"/>
        </a:lnRef>
        <a:fillRef idx="0">
          <a:schemeClr val="accent6"/>
        </a:fillRef>
        <a:effectRef idx="1">
          <a:schemeClr val="accent6"/>
        </a:effectRef>
        <a:fontRef idx="minor">
          <a:schemeClr val="tx1"/>
        </a:fontRef>
      </xdr:style>
      <xdr:txBody>
        <a:bodyPr vertOverflow="clip" horzOverflow="clip" wrap="square" lIns="18288" tIns="0" rIns="0" bIns="0" rtlCol="0" anchor="t" upright="1"/>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izinga/Downloads/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izinga/Download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uizinga/Downloads/Calculatie%200602-34.20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atir.xls"/>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2-Kengetal"/>
      <sheetName val="1.3-Basis ruimtestaa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59"/>
      <c r="C2" s="112" t="str">
        <f>'1.0-Contractblad'!E2</f>
        <v>Stichting Altra - Horizon</v>
      </c>
    </row>
    <row r="3" spans="1:9" ht="16">
      <c r="A3" s="29" t="s">
        <v>162</v>
      </c>
      <c r="B3" s="159"/>
      <c r="C3" s="112" t="s">
        <v>161</v>
      </c>
    </row>
    <row r="4" spans="1:9" ht="16">
      <c r="A4" s="29" t="s">
        <v>52</v>
      </c>
      <c r="B4" s="159"/>
      <c r="C4" s="112" t="str">
        <f>'1.0-Contractblad'!E4</f>
        <v>Regio Noord Holland</v>
      </c>
    </row>
    <row r="5" spans="1:9" ht="16">
      <c r="A5" s="29" t="s">
        <v>217</v>
      </c>
      <c r="B5" s="159"/>
      <c r="C5" s="112" t="str">
        <f>'1.0-Contractblad'!E5</f>
        <v>180417 V2</v>
      </c>
    </row>
    <row r="6" spans="1:9"/>
    <row r="7" spans="1:9"/>
    <row r="8" spans="1:9" ht="18">
      <c r="A8" s="197" t="s">
        <v>33</v>
      </c>
      <c r="B8" s="160"/>
      <c r="C8" s="2"/>
      <c r="D8" s="2"/>
      <c r="E8" s="2"/>
      <c r="F8" s="11"/>
      <c r="G8" s="11"/>
      <c r="H8" s="11"/>
    </row>
    <row r="9" spans="1:9" ht="26" customHeight="1">
      <c r="A9" s="197" t="s">
        <v>224</v>
      </c>
      <c r="B9" s="176"/>
      <c r="C9" s="15"/>
      <c r="D9" s="15"/>
      <c r="E9" s="15"/>
      <c r="F9" s="5"/>
      <c r="G9" s="5"/>
      <c r="H9" s="5"/>
    </row>
    <row r="10" spans="1:9" ht="16">
      <c r="A10" s="18"/>
      <c r="B10" s="15"/>
      <c r="C10" s="15"/>
      <c r="D10" s="15"/>
      <c r="E10" s="15"/>
      <c r="F10" s="13"/>
      <c r="G10" s="12"/>
      <c r="H10" s="5"/>
    </row>
    <row r="11" spans="1:9" ht="16">
      <c r="A11" s="19" t="s">
        <v>20</v>
      </c>
      <c r="B11" s="3"/>
      <c r="C11" s="3"/>
      <c r="G11" s="12"/>
      <c r="I11" s="196" t="s">
        <v>221</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805" t="s">
        <v>82</v>
      </c>
      <c r="C14" s="805"/>
      <c r="D14" s="805"/>
      <c r="E14" s="805"/>
      <c r="F14" s="805"/>
      <c r="G14" s="805"/>
      <c r="H14" s="805"/>
    </row>
    <row r="15" spans="1:9" ht="16">
      <c r="A15" s="156"/>
      <c r="B15" s="155" t="s">
        <v>165</v>
      </c>
      <c r="C15" s="4"/>
      <c r="D15" s="4"/>
      <c r="E15" s="4"/>
      <c r="F15" s="13"/>
      <c r="G15" s="12"/>
      <c r="H15" s="5"/>
    </row>
    <row r="16" spans="1:9" ht="16">
      <c r="A16" s="19"/>
      <c r="C16" s="4"/>
      <c r="D16" s="4"/>
      <c r="E16" s="4"/>
      <c r="F16" s="13"/>
      <c r="G16" s="12"/>
      <c r="H16" s="5"/>
    </row>
    <row r="17" spans="1:8" ht="16">
      <c r="A17" s="156" t="s">
        <v>218</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60</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56</v>
      </c>
      <c r="C26" s="3"/>
      <c r="D26" s="3"/>
      <c r="E26" s="3"/>
      <c r="F26" s="13"/>
      <c r="G26" s="12"/>
      <c r="H26" s="5"/>
    </row>
    <row r="27" spans="1:8">
      <c r="B27" s="806" t="s">
        <v>231</v>
      </c>
      <c r="C27" s="807"/>
      <c r="D27" s="807"/>
      <c r="E27" s="807"/>
      <c r="F27" s="807"/>
      <c r="G27" s="807"/>
      <c r="H27" s="5"/>
    </row>
    <row r="28" spans="1:8">
      <c r="B28" s="807"/>
      <c r="C28" s="807"/>
      <c r="D28" s="807"/>
      <c r="E28" s="807"/>
      <c r="F28" s="807"/>
      <c r="G28" s="807"/>
      <c r="H28" s="5"/>
    </row>
    <row r="29" spans="1:8">
      <c r="B29" s="3"/>
      <c r="C29" s="3"/>
      <c r="D29" s="3"/>
      <c r="E29" s="3"/>
      <c r="F29" s="13"/>
      <c r="G29" s="12"/>
      <c r="H29" s="5"/>
    </row>
    <row r="30" spans="1:8" ht="16">
      <c r="A30" s="156" t="s">
        <v>79</v>
      </c>
      <c r="B30" s="16"/>
      <c r="C30" s="16"/>
      <c r="D30" s="16"/>
      <c r="E30" s="16"/>
      <c r="F30" s="6"/>
      <c r="G30" s="12"/>
      <c r="H30" s="5"/>
    </row>
    <row r="31" spans="1:8">
      <c r="B31" s="155" t="s">
        <v>179</v>
      </c>
      <c r="C31" s="3"/>
      <c r="D31" s="20"/>
      <c r="E31" s="21"/>
      <c r="F31" s="13"/>
      <c r="G31" s="7"/>
      <c r="H31" s="5"/>
    </row>
    <row r="32" spans="1:8" ht="16">
      <c r="A32" s="22"/>
      <c r="B32" s="23"/>
      <c r="C32" s="17"/>
      <c r="D32" s="23"/>
      <c r="E32" s="17"/>
      <c r="F32" s="14"/>
      <c r="G32" s="12"/>
      <c r="H32" s="5"/>
    </row>
    <row r="33" spans="1:8" ht="16">
      <c r="A33" s="156" t="s">
        <v>153</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7"/>
    </row>
    <row r="38" spans="1:8">
      <c r="B38" s="158"/>
    </row>
    <row r="39" spans="1:8"/>
    <row r="40" spans="1:8" ht="16">
      <c r="A40" s="157"/>
    </row>
    <row r="41" spans="1:8">
      <c r="B41" s="158"/>
    </row>
    <row r="42" spans="1:8"/>
    <row r="43" spans="1:8" ht="16">
      <c r="A43" s="157"/>
    </row>
    <row r="44" spans="1:8"/>
    <row r="45" spans="1:8"/>
    <row r="46" spans="1:8"/>
    <row r="47" spans="1:8"/>
    <row r="48" spans="1:8"/>
    <row r="49"/>
  </sheetData>
  <dataConsolidate/>
  <mergeCells count="2">
    <mergeCell ref="B14:H14"/>
    <mergeCell ref="B27:G28"/>
  </mergeCells>
  <phoneticPr fontId="12"/>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enableFormatConditionsCalculation="0">
    <pageSetUpPr fitToPage="1"/>
  </sheetPr>
  <dimension ref="B1:K83"/>
  <sheetViews>
    <sheetView showGridLines="0" showZeros="0" showOutlineSymbols="0" zoomScaleSheetLayoutView="75" workbookViewId="0"/>
  </sheetViews>
  <sheetFormatPr baseColWidth="10" defaultColWidth="10.7109375" defaultRowHeight="13" zeroHeight="1" x14ac:dyDescent="0"/>
  <cols>
    <col min="1" max="1" width="14.42578125" style="162" customWidth="1"/>
    <col min="2" max="2" width="45.5703125" style="162" customWidth="1"/>
    <col min="3" max="3" width="21.5703125" style="162" customWidth="1"/>
    <col min="4" max="4" width="19.28515625" style="162" customWidth="1"/>
    <col min="5" max="5" width="5" style="162" customWidth="1"/>
    <col min="6" max="6" width="14.7109375" style="162" customWidth="1"/>
    <col min="7" max="7" width="15.28515625" style="162" customWidth="1"/>
    <col min="8" max="8" width="12.140625" style="162" customWidth="1"/>
    <col min="9" max="9" width="7.85546875" style="162" customWidth="1"/>
    <col min="10" max="10" width="27" style="162" customWidth="1"/>
    <col min="11" max="16384" width="10.7109375" style="162"/>
  </cols>
  <sheetData>
    <row r="1" spans="2:11"/>
    <row r="2" spans="2:11" ht="16">
      <c r="B2" s="72" t="s">
        <v>160</v>
      </c>
      <c r="C2" s="30" t="str">
        <f>'1.3-Basis ruimtestaat'!F4</f>
        <v>Stichting Altra - Horizon</v>
      </c>
      <c r="E2" s="160"/>
      <c r="F2" s="160"/>
      <c r="G2" s="161"/>
      <c r="H2" s="161"/>
      <c r="I2" s="161"/>
    </row>
    <row r="3" spans="2:11" ht="16">
      <c r="B3" s="72" t="s">
        <v>112</v>
      </c>
      <c r="C3" s="72" t="s">
        <v>368</v>
      </c>
      <c r="D3" s="163"/>
      <c r="E3" s="164"/>
      <c r="F3" s="165"/>
      <c r="G3" s="166"/>
      <c r="H3" s="166"/>
      <c r="I3" s="166"/>
    </row>
    <row r="4" spans="2:11" ht="16">
      <c r="B4" s="72" t="s">
        <v>144</v>
      </c>
      <c r="C4" s="30" t="str">
        <f>'1.3-Basis ruimtestaat'!F6</f>
        <v>Regio Noord Holland</v>
      </c>
      <c r="D4" s="72"/>
      <c r="E4" s="167"/>
      <c r="F4" s="168"/>
      <c r="G4" s="169"/>
      <c r="H4" s="170"/>
      <c r="I4" s="166"/>
    </row>
    <row r="5" spans="2:11" ht="16">
      <c r="B5" s="72" t="s">
        <v>217</v>
      </c>
      <c r="C5" s="30" t="str">
        <f>'1.3-Basis ruimtestaat'!F7</f>
        <v>180417 V2</v>
      </c>
      <c r="D5" s="171"/>
      <c r="E5" s="167"/>
      <c r="F5" s="168"/>
      <c r="G5" s="169"/>
      <c r="H5" s="170"/>
      <c r="I5" s="166"/>
    </row>
    <row r="6" spans="2:11" ht="16">
      <c r="B6" s="72" t="s">
        <v>158</v>
      </c>
      <c r="C6" s="30" t="str">
        <f>'1.3-Basis ruimtestaat'!F8</f>
        <v>[NAAM LEVERANCIER]</v>
      </c>
      <c r="D6" s="171"/>
      <c r="E6" s="171"/>
      <c r="F6" s="172"/>
      <c r="G6" s="169"/>
      <c r="H6" s="170"/>
      <c r="I6" s="166"/>
      <c r="J6" s="173"/>
      <c r="K6" s="173"/>
    </row>
    <row r="7" spans="2:11" ht="16">
      <c r="B7" s="72" t="s">
        <v>8</v>
      </c>
      <c r="C7" s="642">
        <f>Voorblad!$E$15</f>
        <v>42917</v>
      </c>
      <c r="D7" s="168"/>
      <c r="E7" s="168"/>
      <c r="F7" s="168"/>
      <c r="G7" s="169"/>
      <c r="H7" s="170"/>
      <c r="I7" s="166"/>
    </row>
    <row r="8" spans="2:11" ht="16">
      <c r="B8" s="174"/>
      <c r="C8" s="168"/>
      <c r="D8" s="168"/>
      <c r="E8" s="168"/>
      <c r="F8" s="168"/>
      <c r="G8" s="169"/>
      <c r="H8" s="170"/>
      <c r="I8" s="166"/>
    </row>
    <row r="9" spans="2:11" ht="18">
      <c r="B9" s="338" t="s">
        <v>184</v>
      </c>
      <c r="C9" s="339"/>
      <c r="D9" s="339"/>
      <c r="E9" s="339"/>
      <c r="F9" s="339"/>
      <c r="G9" s="169"/>
      <c r="H9" s="170"/>
      <c r="I9" s="166"/>
    </row>
    <row r="10" spans="2:11">
      <c r="B10" s="175"/>
      <c r="C10" s="176"/>
      <c r="D10" s="176"/>
      <c r="E10" s="176"/>
      <c r="F10" s="176"/>
      <c r="G10" s="166"/>
      <c r="H10" s="166"/>
      <c r="I10" s="166"/>
    </row>
    <row r="11" spans="2:11">
      <c r="B11" s="507"/>
      <c r="C11" s="508"/>
      <c r="D11" s="509" t="s">
        <v>228</v>
      </c>
      <c r="E11" s="176"/>
      <c r="F11" s="176"/>
      <c r="G11" s="169"/>
      <c r="H11" s="170"/>
      <c r="I11" s="166"/>
    </row>
    <row r="12" spans="2:11">
      <c r="B12" s="510" t="s">
        <v>372</v>
      </c>
      <c r="C12" s="511"/>
      <c r="D12" s="334"/>
      <c r="E12" s="176"/>
      <c r="F12" s="169"/>
      <c r="G12" s="170"/>
      <c r="H12" s="166"/>
    </row>
    <row r="13" spans="2:11">
      <c r="B13" s="571" t="s">
        <v>389</v>
      </c>
      <c r="C13" s="523"/>
      <c r="D13" s="531"/>
      <c r="E13" s="176"/>
      <c r="F13" s="169"/>
      <c r="G13" s="170"/>
      <c r="H13" s="166"/>
    </row>
    <row r="14" spans="2:11">
      <c r="B14" s="572"/>
      <c r="C14" s="523" t="s">
        <v>379</v>
      </c>
      <c r="D14" s="528">
        <f>IF(B14="x",C14,0)</f>
        <v>0</v>
      </c>
      <c r="E14" s="176"/>
      <c r="F14" s="169"/>
      <c r="G14" s="170"/>
      <c r="H14" s="166"/>
    </row>
    <row r="15" spans="2:11">
      <c r="B15" s="572"/>
      <c r="C15" s="523" t="s">
        <v>380</v>
      </c>
      <c r="D15" s="528">
        <f>IF(B15="x",C15,0)</f>
        <v>0</v>
      </c>
      <c r="E15" s="176"/>
      <c r="F15" s="169"/>
      <c r="G15" s="170"/>
      <c r="H15" s="166"/>
    </row>
    <row r="16" spans="2:11">
      <c r="B16" s="572"/>
      <c r="C16" s="523" t="s">
        <v>381</v>
      </c>
      <c r="D16" s="528">
        <f>IF(B16="x",C16,0)</f>
        <v>0</v>
      </c>
      <c r="E16" s="176"/>
      <c r="F16" s="169"/>
      <c r="G16" s="170"/>
      <c r="H16" s="166"/>
    </row>
    <row r="17" spans="2:9">
      <c r="B17" s="529"/>
      <c r="C17" s="530"/>
      <c r="D17" s="531"/>
      <c r="E17" s="176"/>
      <c r="F17" s="169"/>
      <c r="G17" s="170"/>
      <c r="H17" s="166"/>
    </row>
    <row r="18" spans="2:9">
      <c r="B18" s="336" t="s">
        <v>163</v>
      </c>
      <c r="C18" s="637"/>
      <c r="D18" s="526"/>
      <c r="E18" s="176"/>
      <c r="F18" s="169"/>
      <c r="G18" s="170"/>
      <c r="H18" s="166"/>
    </row>
    <row r="19" spans="2:9">
      <c r="B19" s="638" t="s">
        <v>375</v>
      </c>
      <c r="C19" s="637"/>
      <c r="D19" s="527"/>
      <c r="E19" s="176"/>
      <c r="F19" s="169"/>
      <c r="G19" s="170"/>
      <c r="H19" s="166"/>
    </row>
    <row r="20" spans="2:9">
      <c r="B20" s="638" t="s">
        <v>376</v>
      </c>
      <c r="C20" s="637"/>
      <c r="D20" s="527"/>
      <c r="E20" s="176"/>
      <c r="F20" s="169"/>
      <c r="G20" s="170"/>
      <c r="H20" s="166"/>
      <c r="I20" s="177"/>
    </row>
    <row r="21" spans="2:9">
      <c r="B21" s="638" t="s">
        <v>377</v>
      </c>
      <c r="C21" s="637"/>
      <c r="D21" s="527"/>
      <c r="E21" s="176"/>
      <c r="F21" s="169"/>
      <c r="G21" s="170"/>
      <c r="H21" s="166"/>
    </row>
    <row r="22" spans="2:9">
      <c r="B22" s="639" t="s">
        <v>378</v>
      </c>
      <c r="C22" s="637"/>
      <c r="D22" s="524">
        <f>SUM(D12:D21)</f>
        <v>0</v>
      </c>
      <c r="E22" s="176"/>
      <c r="F22" s="169"/>
      <c r="G22" s="170"/>
      <c r="H22" s="166"/>
    </row>
    <row r="23" spans="2:9">
      <c r="B23" s="529"/>
      <c r="C23" s="530"/>
      <c r="D23" s="531"/>
      <c r="E23" s="176"/>
      <c r="F23" s="169"/>
      <c r="G23" s="170"/>
      <c r="H23" s="166"/>
    </row>
    <row r="24" spans="2:9">
      <c r="B24" s="510" t="s">
        <v>373</v>
      </c>
      <c r="C24" s="511"/>
      <c r="D24" s="334"/>
      <c r="E24" s="176"/>
      <c r="F24" s="169"/>
      <c r="G24" s="170"/>
      <c r="H24" s="166"/>
    </row>
    <row r="25" spans="2:9">
      <c r="B25" s="512" t="s">
        <v>18</v>
      </c>
      <c r="C25" s="511"/>
      <c r="D25" s="334"/>
      <c r="E25" s="176"/>
      <c r="F25" s="169"/>
      <c r="G25" s="170"/>
      <c r="H25" s="166"/>
    </row>
    <row r="26" spans="2:9">
      <c r="B26" s="510" t="s">
        <v>19</v>
      </c>
      <c r="C26" s="511"/>
      <c r="D26" s="334"/>
      <c r="E26" s="176"/>
      <c r="F26" s="169"/>
      <c r="G26" s="170"/>
      <c r="H26" s="166"/>
    </row>
    <row r="27" spans="2:9">
      <c r="B27" s="512" t="s">
        <v>374</v>
      </c>
      <c r="C27" s="511"/>
      <c r="D27" s="573">
        <f>D45</f>
        <v>0</v>
      </c>
      <c r="E27" s="176"/>
      <c r="F27" s="169"/>
      <c r="G27" s="170"/>
      <c r="H27" s="166"/>
    </row>
    <row r="28" spans="2:9">
      <c r="B28" s="512" t="s">
        <v>130</v>
      </c>
      <c r="C28" s="511"/>
      <c r="D28" s="334"/>
      <c r="E28" s="176"/>
      <c r="F28" s="169"/>
      <c r="G28" s="170"/>
      <c r="H28" s="166"/>
    </row>
    <row r="29" spans="2:9">
      <c r="B29" s="512" t="s">
        <v>131</v>
      </c>
      <c r="C29" s="511"/>
      <c r="D29" s="334"/>
      <c r="E29" s="176"/>
      <c r="F29" s="169"/>
      <c r="G29" s="170"/>
      <c r="H29" s="166"/>
    </row>
    <row r="30" spans="2:9">
      <c r="B30" s="512" t="s">
        <v>132</v>
      </c>
      <c r="C30" s="511"/>
      <c r="D30" s="334"/>
      <c r="E30" s="176"/>
      <c r="F30" s="169"/>
      <c r="G30" s="170"/>
      <c r="H30" s="166"/>
    </row>
    <row r="31" spans="2:9">
      <c r="B31" s="512" t="s">
        <v>164</v>
      </c>
      <c r="C31" s="511"/>
      <c r="D31" s="334"/>
      <c r="E31" s="176"/>
      <c r="F31" s="169"/>
      <c r="G31" s="170"/>
      <c r="H31" s="166"/>
    </row>
    <row r="32" spans="2:9">
      <c r="B32" s="336"/>
      <c r="C32" s="335"/>
      <c r="D32" s="334"/>
      <c r="E32" s="176"/>
      <c r="F32" s="169"/>
      <c r="G32" s="170"/>
      <c r="H32" s="166"/>
    </row>
    <row r="33" spans="2:11">
      <c r="B33" s="337"/>
      <c r="C33" s="337" t="s">
        <v>11</v>
      </c>
      <c r="D33" s="514">
        <f>SUM(D22:D32)</f>
        <v>0</v>
      </c>
      <c r="E33" s="176"/>
      <c r="F33" s="169"/>
      <c r="G33" s="170"/>
      <c r="H33" s="166"/>
    </row>
    <row r="34" spans="2:11">
      <c r="B34" s="178"/>
      <c r="C34" s="179"/>
      <c r="D34" s="180"/>
      <c r="E34" s="168"/>
      <c r="F34" s="166"/>
      <c r="G34" s="170"/>
      <c r="H34" s="166"/>
    </row>
    <row r="35" spans="2:11">
      <c r="E35" s="168"/>
      <c r="F35" s="168"/>
      <c r="G35" s="166"/>
      <c r="H35" s="170"/>
      <c r="I35" s="166"/>
    </row>
    <row r="36" spans="2:11">
      <c r="B36" s="175"/>
      <c r="C36" s="176"/>
      <c r="D36" s="176"/>
      <c r="E36" s="168"/>
      <c r="F36" s="168"/>
      <c r="G36" s="166"/>
      <c r="H36" s="166"/>
      <c r="I36" s="166"/>
    </row>
    <row r="37" spans="2:11" ht="18">
      <c r="B37" s="338" t="s">
        <v>139</v>
      </c>
      <c r="C37" s="339"/>
      <c r="D37" s="339"/>
      <c r="E37" s="168"/>
      <c r="F37" s="168"/>
      <c r="G37" s="169"/>
      <c r="H37" s="170"/>
      <c r="I37" s="166"/>
    </row>
    <row r="38" spans="2:11">
      <c r="B38" s="175"/>
      <c r="C38" s="176"/>
      <c r="D38" s="176"/>
      <c r="E38" s="168"/>
      <c r="F38" s="168"/>
      <c r="G38" s="166"/>
      <c r="H38" s="166"/>
      <c r="I38" s="166"/>
      <c r="J38" s="177"/>
    </row>
    <row r="39" spans="2:11">
      <c r="B39" s="176"/>
      <c r="C39" s="176"/>
      <c r="D39" s="343" t="s">
        <v>133</v>
      </c>
      <c r="E39" s="168"/>
      <c r="F39" s="168"/>
      <c r="G39" s="166"/>
      <c r="H39" s="166"/>
      <c r="I39" s="166"/>
      <c r="J39" s="177"/>
    </row>
    <row r="40" spans="2:11">
      <c r="B40" s="347" t="s">
        <v>134</v>
      </c>
      <c r="C40" s="348"/>
      <c r="D40" s="345">
        <f>IF('1.5 Opbouw uurtarieven'!Q40=0,0,'1.5 Opbouw uurtarieven'!Q40)</f>
        <v>0</v>
      </c>
      <c r="E40" s="168"/>
      <c r="F40" s="168"/>
      <c r="G40" s="182"/>
      <c r="H40" s="177"/>
      <c r="I40" s="166"/>
      <c r="J40" s="177"/>
      <c r="K40" s="177"/>
    </row>
    <row r="41" spans="2:11">
      <c r="B41" s="347" t="s">
        <v>118</v>
      </c>
      <c r="C41" s="663"/>
      <c r="D41" s="354"/>
      <c r="E41" s="664" t="s">
        <v>504</v>
      </c>
      <c r="F41" s="168"/>
      <c r="G41" s="169"/>
      <c r="H41" s="170"/>
      <c r="I41" s="166"/>
      <c r="J41" s="177"/>
      <c r="K41" s="177"/>
    </row>
    <row r="42" spans="2:11">
      <c r="B42" s="347" t="s">
        <v>30</v>
      </c>
      <c r="C42" s="348"/>
      <c r="D42" s="345">
        <f>D40-D41</f>
        <v>0</v>
      </c>
      <c r="E42" s="168"/>
      <c r="F42" s="168"/>
      <c r="G42" s="170"/>
      <c r="I42" s="166"/>
      <c r="J42" s="177"/>
      <c r="K42" s="177"/>
    </row>
    <row r="43" spans="2:11">
      <c r="B43" s="352" t="s">
        <v>31</v>
      </c>
      <c r="C43" s="348"/>
      <c r="D43" s="353"/>
      <c r="E43" s="168"/>
      <c r="F43" s="168"/>
      <c r="G43" s="169"/>
      <c r="H43" s="170"/>
      <c r="I43" s="166"/>
      <c r="J43" s="177"/>
    </row>
    <row r="44" spans="2:11">
      <c r="B44" s="175"/>
      <c r="C44" s="179"/>
      <c r="D44" s="344"/>
      <c r="E44" s="168"/>
      <c r="F44" s="168"/>
      <c r="G44" s="166"/>
      <c r="H44" s="166"/>
      <c r="I44" s="166"/>
      <c r="J44" s="177"/>
    </row>
    <row r="45" spans="2:11">
      <c r="B45" s="350"/>
      <c r="C45" s="351" t="s">
        <v>119</v>
      </c>
      <c r="D45" s="346">
        <f>IF(D42=0,0,(D42/D40)*D43)</f>
        <v>0</v>
      </c>
      <c r="E45" s="168"/>
      <c r="F45" s="168"/>
      <c r="G45" s="166"/>
      <c r="H45" s="170"/>
      <c r="I45" s="184"/>
      <c r="J45" s="177"/>
    </row>
    <row r="46" spans="2:11">
      <c r="B46" s="178"/>
      <c r="C46" s="179"/>
      <c r="D46" s="183"/>
      <c r="E46" s="168"/>
      <c r="F46" s="168"/>
      <c r="G46" s="166"/>
      <c r="H46" s="170"/>
      <c r="I46" s="166"/>
      <c r="J46" s="177"/>
    </row>
    <row r="47" spans="2:11">
      <c r="B47" s="175"/>
      <c r="C47" s="176"/>
      <c r="D47" s="176"/>
      <c r="E47" s="168"/>
      <c r="F47" s="168"/>
      <c r="G47" s="166"/>
      <c r="H47" s="170"/>
      <c r="I47" s="166"/>
    </row>
    <row r="48" spans="2:11">
      <c r="B48" s="175"/>
      <c r="C48" s="176"/>
      <c r="D48" s="176"/>
      <c r="E48" s="168"/>
      <c r="F48" s="168"/>
      <c r="G48" s="166"/>
      <c r="H48" s="166"/>
      <c r="I48" s="166"/>
    </row>
    <row r="49" spans="2:9" ht="18">
      <c r="B49" s="340" t="s">
        <v>12</v>
      </c>
      <c r="C49" s="341" t="s">
        <v>424</v>
      </c>
      <c r="D49" s="342"/>
      <c r="E49" s="168"/>
      <c r="F49" s="641" t="s">
        <v>66</v>
      </c>
      <c r="G49" s="166"/>
      <c r="H49" s="166"/>
      <c r="I49" s="166"/>
    </row>
    <row r="50" spans="2:9">
      <c r="B50" s="181"/>
      <c r="C50" s="164"/>
      <c r="D50" s="182"/>
      <c r="E50" s="168"/>
      <c r="F50" s="168"/>
      <c r="G50" s="166"/>
      <c r="H50" s="166"/>
      <c r="I50" s="166"/>
    </row>
    <row r="51" spans="2:9">
      <c r="B51" s="181"/>
      <c r="C51" s="355" t="s">
        <v>390</v>
      </c>
      <c r="D51" s="182"/>
      <c r="E51" s="168"/>
      <c r="F51" s="355" t="s">
        <v>390</v>
      </c>
      <c r="G51" s="182"/>
      <c r="H51" s="185"/>
      <c r="I51" s="166"/>
    </row>
    <row r="52" spans="2:9">
      <c r="B52" s="356" t="s">
        <v>13</v>
      </c>
      <c r="C52" s="362"/>
      <c r="D52" s="182"/>
      <c r="E52" s="168"/>
      <c r="F52" s="362"/>
      <c r="G52" s="182"/>
      <c r="H52" s="185"/>
      <c r="I52" s="185"/>
    </row>
    <row r="53" spans="2:9">
      <c r="B53" s="356" t="s">
        <v>14</v>
      </c>
      <c r="C53" s="362"/>
      <c r="D53" s="358"/>
      <c r="E53" s="168"/>
      <c r="F53" s="362"/>
      <c r="G53" s="358"/>
      <c r="H53" s="185"/>
      <c r="I53" s="185"/>
    </row>
    <row r="54" spans="2:9">
      <c r="B54" s="357" t="s">
        <v>15</v>
      </c>
      <c r="C54" s="363"/>
      <c r="D54" s="368">
        <f>C52-C53</f>
        <v>0</v>
      </c>
      <c r="E54" s="168"/>
      <c r="F54" s="363"/>
      <c r="G54" s="368">
        <f>F52-F53</f>
        <v>0</v>
      </c>
      <c r="H54" s="185"/>
      <c r="I54" s="185"/>
    </row>
    <row r="55" spans="2:9">
      <c r="B55" s="357"/>
      <c r="C55" s="364"/>
      <c r="D55" s="361"/>
      <c r="E55" s="168"/>
      <c r="F55" s="364"/>
      <c r="G55" s="361"/>
      <c r="H55" s="185"/>
      <c r="I55" s="185"/>
    </row>
    <row r="56" spans="2:9">
      <c r="B56" s="356" t="s">
        <v>103</v>
      </c>
      <c r="C56" s="362"/>
      <c r="D56" s="359"/>
      <c r="E56" s="168"/>
      <c r="F56" s="362"/>
      <c r="G56" s="359"/>
      <c r="H56" s="185"/>
      <c r="I56" s="185"/>
    </row>
    <row r="57" spans="2:9">
      <c r="B57" s="356" t="s">
        <v>48</v>
      </c>
      <c r="C57" s="362"/>
      <c r="D57" s="359"/>
      <c r="E57" s="168"/>
      <c r="F57" s="362"/>
      <c r="G57" s="359"/>
      <c r="H57" s="185"/>
      <c r="I57" s="185"/>
    </row>
    <row r="58" spans="2:9">
      <c r="B58" s="356" t="s">
        <v>104</v>
      </c>
      <c r="C58" s="362"/>
      <c r="D58" s="359"/>
      <c r="E58" s="168"/>
      <c r="F58" s="362"/>
      <c r="G58" s="359"/>
      <c r="H58" s="185"/>
      <c r="I58" s="185"/>
    </row>
    <row r="59" spans="2:9">
      <c r="B59" s="356" t="s">
        <v>105</v>
      </c>
      <c r="C59" s="362"/>
      <c r="D59" s="359"/>
      <c r="E59" s="168"/>
      <c r="F59" s="362">
        <v>0</v>
      </c>
      <c r="G59" s="359"/>
      <c r="H59" s="185"/>
      <c r="I59" s="185"/>
    </row>
    <row r="60" spans="2:9">
      <c r="B60" s="357" t="s">
        <v>55</v>
      </c>
      <c r="C60" s="365"/>
      <c r="D60" s="368">
        <f>D54-SUM(C56:C59)</f>
        <v>0</v>
      </c>
      <c r="E60" s="168"/>
      <c r="F60" s="365"/>
      <c r="G60" s="368">
        <f>G54-SUM(F56:F59)</f>
        <v>0</v>
      </c>
      <c r="H60" s="185"/>
      <c r="I60" s="185"/>
    </row>
    <row r="61" spans="2:9">
      <c r="B61" s="357"/>
      <c r="C61" s="366"/>
      <c r="D61" s="361"/>
      <c r="E61" s="168"/>
      <c r="F61" s="366"/>
      <c r="G61" s="361"/>
      <c r="H61" s="185"/>
      <c r="I61" s="185"/>
    </row>
    <row r="62" spans="2:9">
      <c r="B62" s="349" t="s">
        <v>125</v>
      </c>
      <c r="C62" s="367">
        <f>IF(C56=0,0,C56/$D$60)</f>
        <v>0</v>
      </c>
      <c r="D62" s="359"/>
      <c r="E62" s="168"/>
      <c r="F62" s="367">
        <f>IF(F56=0,0,F56/$G$60)</f>
        <v>0</v>
      </c>
      <c r="G62" s="359"/>
      <c r="H62" s="185"/>
      <c r="I62" s="185"/>
    </row>
    <row r="63" spans="2:9">
      <c r="B63" s="349" t="s">
        <v>48</v>
      </c>
      <c r="C63" s="367">
        <f>IF(C57=0,0,C57/$D$60)</f>
        <v>0</v>
      </c>
      <c r="D63" s="359"/>
      <c r="E63" s="168"/>
      <c r="F63" s="367">
        <f>IF(F57=0,0,F57/$G$60)</f>
        <v>0</v>
      </c>
      <c r="G63" s="359"/>
      <c r="H63" s="185"/>
      <c r="I63" s="185"/>
    </row>
    <row r="64" spans="2:9">
      <c r="B64" s="349" t="s">
        <v>215</v>
      </c>
      <c r="C64" s="367">
        <f>IF(C58=0,0,C58/$D$60)</f>
        <v>0</v>
      </c>
      <c r="D64" s="359"/>
      <c r="E64" s="168"/>
      <c r="F64" s="367">
        <f>IF(F58=0,0,F58/$G$60)</f>
        <v>0</v>
      </c>
      <c r="G64" s="359"/>
      <c r="H64" s="185"/>
      <c r="I64" s="185"/>
    </row>
    <row r="65" spans="2:10">
      <c r="B65" s="349" t="s">
        <v>105</v>
      </c>
      <c r="C65" s="360">
        <f>IF(C59=0,0,C59/$D$60)</f>
        <v>0</v>
      </c>
      <c r="D65" s="359"/>
      <c r="E65" s="168"/>
      <c r="F65" s="367">
        <f>IF(F59=0,0,F59/$G$60)</f>
        <v>0</v>
      </c>
      <c r="G65" s="359"/>
      <c r="H65" s="186"/>
      <c r="I65" s="187"/>
    </row>
    <row r="66" spans="2:10">
      <c r="B66" s="350"/>
      <c r="C66" s="350" t="s">
        <v>1</v>
      </c>
      <c r="D66" s="513">
        <f>SUM(C62:C65)</f>
        <v>0</v>
      </c>
      <c r="E66" s="168"/>
      <c r="F66" s="350"/>
      <c r="G66" s="513">
        <f>SUM(F62:F65)</f>
        <v>0</v>
      </c>
      <c r="H66" s="186"/>
      <c r="I66" s="188"/>
    </row>
    <row r="67" spans="2:10">
      <c r="B67" s="189"/>
      <c r="C67" s="189"/>
      <c r="D67" s="189"/>
      <c r="E67" s="168"/>
      <c r="F67" s="168"/>
      <c r="G67" s="166"/>
      <c r="H67" s="161"/>
      <c r="I67" s="161"/>
    </row>
    <row r="68" spans="2:10">
      <c r="B68" s="369" t="s">
        <v>32</v>
      </c>
      <c r="C68" s="190"/>
      <c r="D68" s="190"/>
      <c r="E68" s="168"/>
      <c r="F68" s="168"/>
      <c r="G68" s="161"/>
      <c r="H68" s="161"/>
      <c r="I68" s="161"/>
      <c r="J68" s="177"/>
    </row>
    <row r="69" spans="2:10">
      <c r="B69" s="191"/>
      <c r="C69" s="192"/>
      <c r="D69" s="192"/>
      <c r="E69" s="190"/>
      <c r="F69" s="190"/>
      <c r="G69" s="161"/>
      <c r="H69" s="161"/>
      <c r="I69" s="161"/>
    </row>
    <row r="70" spans="2:10"/>
    <row r="71" spans="2:10"/>
    <row r="72" spans="2:10"/>
    <row r="73" spans="2:10"/>
    <row r="74" spans="2:10"/>
    <row r="75" spans="2:10"/>
    <row r="76" spans="2:10"/>
    <row r="77" spans="2:10"/>
    <row r="78" spans="2:10"/>
    <row r="79" spans="2:10"/>
    <row r="80" spans="2:10"/>
    <row r="81"/>
    <row r="82"/>
    <row r="83"/>
  </sheetData>
  <dataConsolidate/>
  <phoneticPr fontId="12"/>
  <conditionalFormatting sqref="C41">
    <cfRule type="expression" dxfId="99" priority="1">
      <formula>"D40=&gt;0"</formula>
    </cfRule>
  </conditionalFormatting>
  <pageMargins left="0.98" right="0.59" top="1.3800000000000001" bottom="0.79000000000000015" header="0.39000000000000007" footer="0.2"/>
  <pageSetup paperSize="9" scale="56"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enableFormatConditionsCalculation="0">
    <pageSetUpPr fitToPage="1"/>
  </sheetPr>
  <dimension ref="A1:AX58"/>
  <sheetViews>
    <sheetView showGridLines="0" showZeros="0" topLeftCell="B1" workbookViewId="0">
      <selection activeCell="G1" sqref="G1:I1048576"/>
    </sheetView>
  </sheetViews>
  <sheetFormatPr baseColWidth="10" defaultColWidth="0" defaultRowHeight="13" zeroHeight="1" x14ac:dyDescent="0"/>
  <cols>
    <col min="1" max="1" width="11.140625" style="305" hidden="1" customWidth="1"/>
    <col min="2" max="2" width="2.28515625" style="305" customWidth="1"/>
    <col min="3" max="3" width="74.140625" style="574" customWidth="1"/>
    <col min="4" max="4" width="16.85546875" style="242" customWidth="1"/>
    <col min="5" max="5" width="7.85546875" style="242" customWidth="1"/>
    <col min="6" max="6" width="6.5703125" style="242" bestFit="1" customWidth="1"/>
    <col min="7" max="7" width="5.28515625" style="242" hidden="1" customWidth="1"/>
    <col min="8" max="8" width="7.5703125" style="242" hidden="1" customWidth="1"/>
    <col min="9" max="9" width="5.5703125" style="242" hidden="1" customWidth="1"/>
    <col min="10" max="10" width="7.140625" style="242" customWidth="1"/>
    <col min="11" max="11" width="6.42578125" style="242" customWidth="1"/>
    <col min="12" max="12" width="7.140625" style="242" bestFit="1" customWidth="1"/>
    <col min="13" max="13" width="0.7109375" style="242" customWidth="1"/>
    <col min="14" max="14" width="7" style="242" bestFit="1" customWidth="1"/>
    <col min="15" max="15" width="7.140625" style="242" bestFit="1" customWidth="1"/>
    <col min="16" max="16" width="1.28515625" style="242" customWidth="1"/>
    <col min="17" max="17" width="8.28515625" style="242" customWidth="1"/>
    <col min="18" max="18" width="10.140625" style="242" bestFit="1" customWidth="1"/>
    <col min="19" max="19" width="7.140625" style="242" bestFit="1" customWidth="1"/>
    <col min="20" max="20" width="0.7109375" style="242" customWidth="1"/>
    <col min="21" max="21" width="9.85546875" style="242" customWidth="1"/>
    <col min="22" max="22" width="7.140625" style="242" bestFit="1" customWidth="1"/>
    <col min="23" max="23" width="0.7109375" style="242" customWidth="1"/>
    <col min="24" max="25" width="5.5703125" style="242" bestFit="1" customWidth="1"/>
    <col min="26" max="26" width="6.85546875" style="242" customWidth="1"/>
    <col min="27" max="27" width="7.140625" style="242" bestFit="1" customWidth="1"/>
    <col min="28" max="28" width="0.7109375" style="242" customWidth="1"/>
    <col min="29" max="29" width="7" style="242" bestFit="1" customWidth="1"/>
    <col min="30" max="36" width="5.5703125" style="242" bestFit="1" customWidth="1"/>
    <col min="37" max="37" width="8.7109375" style="242" bestFit="1" customWidth="1"/>
    <col min="38" max="38" width="0.7109375" style="242" customWidth="1"/>
    <col min="39" max="39" width="6" style="242" bestFit="1" customWidth="1"/>
    <col min="40" max="40" width="0.7109375" style="242" customWidth="1"/>
    <col min="41" max="41" width="7.140625" style="242" bestFit="1" customWidth="1"/>
    <col min="42" max="42" width="0.7109375" style="242" customWidth="1"/>
    <col min="43" max="43" width="7.140625" style="242" bestFit="1" customWidth="1"/>
    <col min="44" max="44" width="0.7109375" style="242" customWidth="1"/>
    <col min="45" max="45" width="7.140625" style="242" bestFit="1" customWidth="1"/>
    <col min="46" max="46" width="0.7109375" style="242" customWidth="1"/>
    <col min="47" max="47" width="7.140625" style="242" bestFit="1" customWidth="1"/>
    <col min="48" max="48" width="1.28515625" style="242" customWidth="1"/>
    <col min="49" max="49" width="10.5703125" style="242" hidden="1" customWidth="1"/>
    <col min="50" max="50" width="0" style="242" hidden="1" customWidth="1"/>
    <col min="51" max="16384" width="8.85546875" style="242" hidden="1"/>
  </cols>
  <sheetData>
    <row r="1" spans="1:50" s="273" customFormat="1">
      <c r="A1" s="589"/>
      <c r="B1" s="590"/>
      <c r="C1" s="272"/>
      <c r="D1" s="272"/>
      <c r="E1" s="272"/>
      <c r="F1" s="272"/>
      <c r="G1" s="272"/>
      <c r="H1" s="272"/>
      <c r="I1" s="272"/>
      <c r="J1" s="272"/>
      <c r="K1" s="272"/>
      <c r="L1" s="272"/>
      <c r="M1" s="272"/>
      <c r="N1" s="272"/>
      <c r="O1" s="272"/>
      <c r="P1" s="272"/>
      <c r="Q1" s="272"/>
      <c r="T1" s="272"/>
      <c r="W1" s="272"/>
      <c r="AB1" s="272"/>
      <c r="AL1" s="272"/>
      <c r="AN1" s="272"/>
      <c r="AP1" s="272"/>
      <c r="AR1" s="272"/>
      <c r="AT1" s="272"/>
    </row>
    <row r="2" spans="1:50" s="273" customFormat="1" ht="16">
      <c r="A2" s="589"/>
      <c r="B2" s="305"/>
      <c r="C2" s="140" t="str">
        <f>'1.0-Contractblad'!D2</f>
        <v>Naam opdrachtgever</v>
      </c>
      <c r="D2" s="141" t="str">
        <f>'1.0-Contractblad'!E2</f>
        <v>Stichting Altra - Horizon</v>
      </c>
      <c r="E2" s="591"/>
      <c r="F2" s="272"/>
      <c r="G2" s="272"/>
      <c r="H2" s="272"/>
      <c r="I2" s="272"/>
      <c r="J2" s="272"/>
      <c r="K2" s="272"/>
      <c r="L2" s="272"/>
      <c r="M2" s="272"/>
      <c r="N2" s="272"/>
      <c r="O2" s="272"/>
      <c r="P2" s="272"/>
      <c r="Q2" s="272"/>
      <c r="T2" s="272"/>
      <c r="W2" s="272"/>
      <c r="AB2" s="272"/>
      <c r="AL2" s="272"/>
      <c r="AN2" s="272"/>
      <c r="AP2" s="272"/>
      <c r="AR2" s="272"/>
      <c r="AT2" s="272"/>
    </row>
    <row r="3" spans="1:50" s="273" customFormat="1" ht="16">
      <c r="A3" s="589"/>
      <c r="B3" s="305"/>
      <c r="C3" s="140" t="str">
        <f>'1.0-Contractblad'!D3</f>
        <v>Omschrijving blad</v>
      </c>
      <c r="D3" s="141" t="s">
        <v>268</v>
      </c>
      <c r="E3" s="591"/>
      <c r="F3" s="272"/>
      <c r="G3" s="272"/>
      <c r="H3" s="272"/>
      <c r="I3" s="272"/>
      <c r="J3" s="272"/>
      <c r="K3" s="272"/>
      <c r="L3" s="272"/>
      <c r="M3" s="272"/>
      <c r="N3" s="272"/>
      <c r="O3" s="272"/>
      <c r="P3" s="272"/>
      <c r="Q3" s="272"/>
      <c r="T3" s="272"/>
      <c r="W3" s="272"/>
      <c r="AB3" s="272"/>
      <c r="AL3" s="272"/>
      <c r="AN3" s="272"/>
      <c r="AP3" s="272"/>
      <c r="AR3" s="272"/>
      <c r="AT3" s="272"/>
    </row>
    <row r="4" spans="1:50" s="273" customFormat="1" ht="16">
      <c r="A4" s="589"/>
      <c r="B4" s="305"/>
      <c r="C4" s="140" t="str">
        <f>'1.0-Contractblad'!D4</f>
        <v>Adres/plaats</v>
      </c>
      <c r="D4" s="141" t="str">
        <f>'1.0-Contractblad'!E4</f>
        <v>Regio Noord Holland</v>
      </c>
      <c r="E4" s="591"/>
      <c r="F4" s="272"/>
      <c r="G4" s="272"/>
      <c r="H4" s="272"/>
      <c r="I4" s="272"/>
      <c r="J4" s="272"/>
      <c r="K4" s="272"/>
      <c r="L4" s="272"/>
      <c r="M4" s="272"/>
      <c r="N4" s="272"/>
      <c r="O4" s="272"/>
      <c r="P4" s="272"/>
      <c r="Q4" s="272"/>
      <c r="T4" s="272"/>
      <c r="W4" s="272"/>
      <c r="AB4" s="272"/>
      <c r="AL4" s="272"/>
      <c r="AN4" s="272"/>
      <c r="AP4" s="272"/>
      <c r="AR4" s="272"/>
      <c r="AT4" s="272"/>
    </row>
    <row r="5" spans="1:50" s="273" customFormat="1" ht="16">
      <c r="A5" s="589"/>
      <c r="B5" s="305"/>
      <c r="C5" s="140" t="str">
        <f>'1.0-Contractblad'!D5</f>
        <v>Besteknummer</v>
      </c>
      <c r="D5" s="141" t="str">
        <f>'1.0-Contractblad'!E5</f>
        <v>180417 V2</v>
      </c>
      <c r="E5" s="591"/>
      <c r="F5" s="272"/>
      <c r="G5" s="272"/>
      <c r="H5" s="272"/>
      <c r="I5" s="272"/>
      <c r="J5" s="272"/>
      <c r="K5" s="272"/>
      <c r="L5" s="272"/>
      <c r="M5" s="272"/>
      <c r="N5" s="272"/>
      <c r="O5" s="272"/>
      <c r="P5" s="272"/>
      <c r="Q5" s="640"/>
      <c r="R5" s="643" t="s">
        <v>426</v>
      </c>
      <c r="T5" s="272"/>
      <c r="W5" s="272"/>
      <c r="AB5" s="272"/>
      <c r="AL5" s="272"/>
      <c r="AN5" s="272"/>
      <c r="AP5" s="272"/>
      <c r="AR5" s="272"/>
      <c r="AT5" s="272"/>
    </row>
    <row r="6" spans="1:50" s="273" customFormat="1" ht="16">
      <c r="A6" s="589"/>
      <c r="B6" s="305"/>
      <c r="C6" s="140" t="str">
        <f>'1.0-Contractblad'!D6</f>
        <v>Naam leverancier</v>
      </c>
      <c r="D6" s="141" t="str">
        <f>'1.0-Contractblad'!E6</f>
        <v>[NAAM LEVERANCIER]</v>
      </c>
      <c r="E6" s="591"/>
      <c r="F6" s="272"/>
      <c r="G6" s="272"/>
      <c r="H6" s="272"/>
      <c r="I6" s="272"/>
      <c r="J6" s="833">
        <f>Voorblad!$E$15</f>
        <v>42917</v>
      </c>
      <c r="K6" s="833"/>
      <c r="L6" s="833"/>
      <c r="M6" s="833"/>
      <c r="N6" s="272"/>
      <c r="O6" s="272"/>
      <c r="P6" s="272"/>
      <c r="Q6" s="272"/>
      <c r="T6" s="272"/>
      <c r="W6" s="272"/>
      <c r="AB6" s="272"/>
      <c r="AL6" s="272"/>
      <c r="AN6" s="272"/>
      <c r="AP6" s="272"/>
      <c r="AR6" s="272"/>
      <c r="AT6" s="272"/>
    </row>
    <row r="7" spans="1:50" s="273" customFormat="1">
      <c r="A7" s="589"/>
      <c r="B7" s="305"/>
      <c r="C7" s="272"/>
      <c r="D7" s="272"/>
      <c r="E7" s="272"/>
      <c r="F7" s="272"/>
      <c r="G7" s="272"/>
      <c r="H7" s="272"/>
      <c r="I7" s="272"/>
      <c r="J7" s="272"/>
      <c r="K7" s="272"/>
      <c r="L7" s="272"/>
      <c r="M7" s="272"/>
      <c r="N7" s="272"/>
      <c r="O7" s="272"/>
      <c r="P7" s="272"/>
      <c r="Q7" s="272"/>
      <c r="T7" s="272"/>
      <c r="W7" s="272"/>
      <c r="AB7" s="272"/>
      <c r="AL7" s="272"/>
      <c r="AN7" s="272"/>
      <c r="AP7" s="272"/>
      <c r="AR7" s="272"/>
      <c r="AT7" s="272"/>
    </row>
    <row r="8" spans="1:50" s="273" customFormat="1">
      <c r="A8" s="589"/>
      <c r="B8" s="305"/>
      <c r="C8" s="272"/>
      <c r="D8" s="272"/>
      <c r="E8" s="272"/>
      <c r="F8" s="272"/>
      <c r="G8" s="272"/>
      <c r="H8" s="272"/>
      <c r="I8" s="272"/>
      <c r="J8" s="272"/>
      <c r="K8" s="272"/>
      <c r="L8" s="272"/>
      <c r="M8" s="272"/>
      <c r="N8" s="272"/>
      <c r="O8" s="272"/>
      <c r="P8" s="272"/>
      <c r="Q8" s="272"/>
      <c r="T8" s="272"/>
      <c r="W8" s="272"/>
      <c r="AB8" s="272"/>
      <c r="AL8" s="272"/>
      <c r="AN8" s="272"/>
      <c r="AP8" s="272"/>
      <c r="AR8" s="272"/>
      <c r="AT8" s="272"/>
    </row>
    <row r="9" spans="1:50"/>
    <row r="10" spans="1:50"/>
    <row r="11" spans="1:50" s="606" customFormat="1" ht="255.75" customHeight="1">
      <c r="A11" s="592"/>
      <c r="B11" s="592"/>
      <c r="C11" s="593" t="s">
        <v>253</v>
      </c>
      <c r="D11" s="594" t="s">
        <v>254</v>
      </c>
      <c r="E11" s="595" t="s">
        <v>252</v>
      </c>
      <c r="F11" s="596" t="s">
        <v>170</v>
      </c>
      <c r="G11" s="597"/>
      <c r="H11" s="597" t="s">
        <v>29</v>
      </c>
      <c r="I11" s="598" t="s">
        <v>331</v>
      </c>
      <c r="J11" s="599" t="s">
        <v>230</v>
      </c>
      <c r="K11" s="599" t="s">
        <v>244</v>
      </c>
      <c r="L11" s="600" t="s">
        <v>36</v>
      </c>
      <c r="M11" s="601"/>
      <c r="N11" s="602" t="s">
        <v>2</v>
      </c>
      <c r="O11" s="600" t="s">
        <v>85</v>
      </c>
      <c r="P11" s="601"/>
      <c r="Q11" s="603" t="s">
        <v>213</v>
      </c>
      <c r="R11" s="602" t="s">
        <v>194</v>
      </c>
      <c r="S11" s="600" t="s">
        <v>4</v>
      </c>
      <c r="T11" s="601"/>
      <c r="U11" s="602" t="s">
        <v>5</v>
      </c>
      <c r="V11" s="600" t="s">
        <v>72</v>
      </c>
      <c r="W11" s="601"/>
      <c r="X11" s="599" t="s">
        <v>172</v>
      </c>
      <c r="Y11" s="599" t="s">
        <v>24</v>
      </c>
      <c r="Z11" s="599" t="s">
        <v>25</v>
      </c>
      <c r="AA11" s="600" t="s">
        <v>173</v>
      </c>
      <c r="AB11" s="601"/>
      <c r="AC11" s="599" t="s">
        <v>186</v>
      </c>
      <c r="AD11" s="599" t="s">
        <v>154</v>
      </c>
      <c r="AE11" s="599" t="s">
        <v>96</v>
      </c>
      <c r="AF11" s="599" t="s">
        <v>97</v>
      </c>
      <c r="AG11" s="599" t="s">
        <v>9</v>
      </c>
      <c r="AH11" s="599" t="s">
        <v>10</v>
      </c>
      <c r="AI11" s="599" t="s">
        <v>34</v>
      </c>
      <c r="AJ11" s="599" t="s">
        <v>340</v>
      </c>
      <c r="AK11" s="600" t="s">
        <v>207</v>
      </c>
      <c r="AL11" s="601"/>
      <c r="AM11" s="599" t="s">
        <v>140</v>
      </c>
      <c r="AN11" s="601"/>
      <c r="AO11" s="600" t="s">
        <v>210</v>
      </c>
      <c r="AP11" s="601"/>
      <c r="AQ11" s="600" t="s">
        <v>271</v>
      </c>
      <c r="AR11" s="601"/>
      <c r="AS11" s="600" t="s">
        <v>78</v>
      </c>
      <c r="AT11" s="601"/>
      <c r="AU11" s="604" t="s">
        <v>28</v>
      </c>
      <c r="AV11" s="605"/>
    </row>
    <row r="12" spans="1:50" s="241" customFormat="1" ht="24.75" customHeight="1">
      <c r="A12" s="304">
        <v>0</v>
      </c>
      <c r="B12" s="304">
        <v>0</v>
      </c>
      <c r="C12" s="244">
        <v>0</v>
      </c>
      <c r="F12" s="497"/>
      <c r="G12" s="535"/>
      <c r="H12" s="497">
        <v>0</v>
      </c>
      <c r="I12" s="497"/>
      <c r="J12" s="240"/>
      <c r="K12" s="497"/>
      <c r="L12" s="497"/>
      <c r="M12" s="242"/>
      <c r="N12" s="240">
        <v>0</v>
      </c>
      <c r="O12" s="497"/>
      <c r="P12" s="242"/>
      <c r="Q12" s="497"/>
      <c r="R12" s="538">
        <f>'1.4-Premies en opslagen'!$D$33</f>
        <v>0</v>
      </c>
      <c r="S12" s="497"/>
      <c r="T12" s="242"/>
      <c r="U12" s="538">
        <f>'1.4-Premies en opslagen'!$D$66</f>
        <v>0</v>
      </c>
      <c r="V12" s="497"/>
      <c r="W12" s="242"/>
      <c r="X12" s="497"/>
      <c r="Y12" s="497"/>
      <c r="Z12" s="497"/>
      <c r="AA12" s="497"/>
      <c r="AB12" s="242"/>
      <c r="AC12" s="497"/>
      <c r="AD12" s="497"/>
      <c r="AE12" s="497"/>
      <c r="AF12" s="497"/>
      <c r="AG12" s="497"/>
      <c r="AH12" s="497"/>
      <c r="AI12" s="497"/>
      <c r="AJ12" s="497"/>
      <c r="AK12" s="497"/>
      <c r="AL12" s="242"/>
      <c r="AM12" s="240"/>
      <c r="AN12" s="242"/>
      <c r="AO12" s="497"/>
      <c r="AP12" s="242"/>
      <c r="AQ12" s="497"/>
      <c r="AR12" s="242"/>
      <c r="AS12" s="497"/>
      <c r="AT12" s="242"/>
      <c r="AU12" s="497"/>
      <c r="AV12" s="242"/>
    </row>
    <row r="13" spans="1:50" ht="23" hidden="1" customHeight="1">
      <c r="A13" s="305" t="str">
        <f>CONCATENATE($C13," ",$D13)</f>
        <v>11.01 Werknemer algemeen schoonmaakonderhoud 17 jaar 0 t/m 7 jaar</v>
      </c>
      <c r="B13" s="305" t="str">
        <f>CONCATENATE($C13," ",$D13)</f>
        <v>11.01 Werknemer algemeen schoonmaakonderhoud 17 jaar 0 t/m 7 jaar</v>
      </c>
      <c r="C13" s="245" t="s">
        <v>257</v>
      </c>
      <c r="D13" s="242" t="s">
        <v>255</v>
      </c>
      <c r="E13" s="242">
        <v>1</v>
      </c>
      <c r="F13" s="239"/>
      <c r="G13" s="239"/>
      <c r="H13" s="497"/>
      <c r="I13" s="239"/>
      <c r="J13" s="540">
        <f>F13*$J$12</f>
        <v>0</v>
      </c>
      <c r="K13" s="239">
        <v>0</v>
      </c>
      <c r="L13" s="532">
        <f t="shared" ref="L13:L31" si="0">SUM(F13:K13)</f>
        <v>0</v>
      </c>
      <c r="N13" s="541">
        <f>L13*$N$12</f>
        <v>0</v>
      </c>
      <c r="O13" s="532">
        <f t="shared" ref="O13:O31" si="1">SUM(L13:N13)</f>
        <v>0</v>
      </c>
      <c r="Q13" s="542">
        <f>O13*0.985</f>
        <v>0</v>
      </c>
      <c r="R13" s="540">
        <f>IF(Q13=0,0,Q13*'1.4-Premies en opslagen'!$D$33)</f>
        <v>0</v>
      </c>
      <c r="S13" s="532">
        <f t="shared" ref="S13:S31" si="2">R13+O13</f>
        <v>0</v>
      </c>
      <c r="U13" s="540">
        <f>S13*'1.4-Premies en opslagen'!$D$66</f>
        <v>0</v>
      </c>
      <c r="V13" s="532">
        <f t="shared" ref="V13:V31" si="3">SUM(S13:U13)</f>
        <v>0</v>
      </c>
      <c r="X13" s="239">
        <v>0.28000000000000003</v>
      </c>
      <c r="Y13" s="239">
        <v>0.1</v>
      </c>
      <c r="Z13" s="239"/>
      <c r="AA13" s="532">
        <f t="shared" ref="AA13:AA31" si="4">SUM(V13:Z13)</f>
        <v>0.38</v>
      </c>
      <c r="AC13" s="239">
        <v>0.34</v>
      </c>
      <c r="AD13" s="239">
        <v>0.22</v>
      </c>
      <c r="AE13" s="239">
        <v>0.39109056479672055</v>
      </c>
      <c r="AF13" s="239">
        <v>0.39109056479672055</v>
      </c>
      <c r="AG13" s="239">
        <v>0.29331792359754039</v>
      </c>
      <c r="AH13" s="239">
        <v>0.15643622591868822</v>
      </c>
      <c r="AI13" s="239">
        <v>0</v>
      </c>
      <c r="AJ13" s="239">
        <v>9.7772641199180138E-2</v>
      </c>
      <c r="AK13" s="532">
        <f>SUM(AA13:AJ13)+SUM(AA13:AJ13)*'1.1a-Jaarprijzen'!$C$143</f>
        <v>2.2697079203088499</v>
      </c>
      <c r="AM13" s="239">
        <f>AK13*$AM$12</f>
        <v>0</v>
      </c>
      <c r="AO13" s="543">
        <f t="shared" ref="AO13:AO31" si="5">SUM(AK13:AN13)</f>
        <v>2.2697079203088499</v>
      </c>
      <c r="AQ13" s="543">
        <f>($V13*0.3)+$AO13</f>
        <v>2.2697079203088499</v>
      </c>
      <c r="AS13" s="543">
        <f>($V13*0.5)+$AO13</f>
        <v>2.2697079203088499</v>
      </c>
      <c r="AU13" s="543">
        <f>($V13*1.5)+$AO13</f>
        <v>2.2697079203088499</v>
      </c>
      <c r="AW13" s="238"/>
      <c r="AX13" s="241"/>
    </row>
    <row r="14" spans="1:50" ht="23" hidden="1" customHeight="1">
      <c r="A14" s="305" t="str">
        <f t="shared" ref="A14:B34" si="6">CONCATENATE($C14," ",$D14)</f>
        <v>11.01 Werknemer algemeen schoonmaakonderhoud 18 jaar 0 t/m 7 jaar</v>
      </c>
      <c r="B14" s="305" t="str">
        <f t="shared" si="6"/>
        <v>11.01 Werknemer algemeen schoonmaakonderhoud 18 jaar 0 t/m 7 jaar</v>
      </c>
      <c r="C14" s="245" t="s">
        <v>258</v>
      </c>
      <c r="D14" s="242" t="s">
        <v>255</v>
      </c>
      <c r="E14" s="242">
        <v>1</v>
      </c>
      <c r="F14" s="239"/>
      <c r="G14" s="239"/>
      <c r="H14" s="497"/>
      <c r="I14" s="239">
        <v>0</v>
      </c>
      <c r="J14" s="540">
        <f t="shared" ref="J14:J31" si="7">F14*$J$12</f>
        <v>0</v>
      </c>
      <c r="K14" s="239">
        <v>0</v>
      </c>
      <c r="L14" s="532">
        <f t="shared" si="0"/>
        <v>0</v>
      </c>
      <c r="N14" s="541">
        <f t="shared" ref="N14:N31" si="8">L14*$N$12</f>
        <v>0</v>
      </c>
      <c r="O14" s="532">
        <f t="shared" si="1"/>
        <v>0</v>
      </c>
      <c r="Q14" s="542">
        <f t="shared" ref="Q14:Q34" si="9">O14*0.985</f>
        <v>0</v>
      </c>
      <c r="R14" s="540">
        <f>IF(Q14=0,0,Q14*'1.4-Premies en opslagen'!$D$33)</f>
        <v>0</v>
      </c>
      <c r="S14" s="532">
        <f t="shared" si="2"/>
        <v>0</v>
      </c>
      <c r="U14" s="540">
        <f>S14*'1.4-Premies en opslagen'!$D$66</f>
        <v>0</v>
      </c>
      <c r="V14" s="532">
        <f t="shared" si="3"/>
        <v>0</v>
      </c>
      <c r="X14" s="239">
        <v>0.28000000000000003</v>
      </c>
      <c r="Y14" s="239">
        <v>0.1</v>
      </c>
      <c r="Z14" s="239"/>
      <c r="AA14" s="532">
        <f t="shared" si="4"/>
        <v>0.38</v>
      </c>
      <c r="AC14" s="239">
        <v>0.34</v>
      </c>
      <c r="AD14" s="239">
        <v>0.22</v>
      </c>
      <c r="AE14" s="239">
        <v>0.39109056479672055</v>
      </c>
      <c r="AF14" s="239">
        <v>0.39109056479672055</v>
      </c>
      <c r="AG14" s="239">
        <v>0.29331792359754039</v>
      </c>
      <c r="AH14" s="239">
        <v>0.15643622591868822</v>
      </c>
      <c r="AI14" s="239">
        <v>0</v>
      </c>
      <c r="AJ14" s="239">
        <v>9.7772641199180138E-2</v>
      </c>
      <c r="AK14" s="532">
        <f>SUM(AA14:AJ14)+SUM(AA14:AJ14)*'1.1a-Jaarprijzen'!$C$143</f>
        <v>2.2697079203088499</v>
      </c>
      <c r="AM14" s="239">
        <f t="shared" ref="AM14:AM34" si="10">AK14*$AM$12</f>
        <v>0</v>
      </c>
      <c r="AO14" s="543">
        <f t="shared" si="5"/>
        <v>2.2697079203088499</v>
      </c>
      <c r="AQ14" s="543">
        <f t="shared" ref="AQ14:AQ31" si="11">($V14*0.3)+$AO14</f>
        <v>2.2697079203088499</v>
      </c>
      <c r="AS14" s="543">
        <f t="shared" ref="AS14:AS31" si="12">($V14*0.5)+$AO14</f>
        <v>2.2697079203088499</v>
      </c>
      <c r="AU14" s="543">
        <f t="shared" ref="AU14:AU31" si="13">($V14*1.5)+$AO14</f>
        <v>2.2697079203088499</v>
      </c>
      <c r="AW14" s="238"/>
      <c r="AX14" s="241"/>
    </row>
    <row r="15" spans="1:50" ht="23" hidden="1" customHeight="1">
      <c r="A15" s="305" t="str">
        <f t="shared" si="6"/>
        <v>11.01 Werknemer algemeen schoonmaakonderhoud 19 jaar 0 t/m 7 jaar</v>
      </c>
      <c r="B15" s="305" t="str">
        <f t="shared" si="6"/>
        <v>11.01 Werknemer algemeen schoonmaakonderhoud 19 jaar 0 t/m 7 jaar</v>
      </c>
      <c r="C15" s="245" t="s">
        <v>259</v>
      </c>
      <c r="D15" s="242" t="s">
        <v>255</v>
      </c>
      <c r="E15" s="242">
        <v>1</v>
      </c>
      <c r="F15" s="239"/>
      <c r="G15" s="239"/>
      <c r="H15" s="497"/>
      <c r="I15" s="239">
        <v>0</v>
      </c>
      <c r="J15" s="540">
        <f t="shared" si="7"/>
        <v>0</v>
      </c>
      <c r="K15" s="239">
        <v>0</v>
      </c>
      <c r="L15" s="532">
        <f t="shared" si="0"/>
        <v>0</v>
      </c>
      <c r="N15" s="541">
        <f t="shared" si="8"/>
        <v>0</v>
      </c>
      <c r="O15" s="532">
        <f t="shared" si="1"/>
        <v>0</v>
      </c>
      <c r="Q15" s="542">
        <f t="shared" si="9"/>
        <v>0</v>
      </c>
      <c r="R15" s="540">
        <f>IF(Q15=0,0,Q15*'1.4-Premies en opslagen'!$D$33)</f>
        <v>0</v>
      </c>
      <c r="S15" s="532">
        <f t="shared" si="2"/>
        <v>0</v>
      </c>
      <c r="U15" s="540">
        <f>S15*'1.4-Premies en opslagen'!$D$66</f>
        <v>0</v>
      </c>
      <c r="V15" s="532">
        <f t="shared" si="3"/>
        <v>0</v>
      </c>
      <c r="X15" s="239">
        <v>0.28000000000000003</v>
      </c>
      <c r="Y15" s="239">
        <v>0.1</v>
      </c>
      <c r="Z15" s="239"/>
      <c r="AA15" s="532">
        <f t="shared" si="4"/>
        <v>0.38</v>
      </c>
      <c r="AC15" s="239">
        <v>0.34</v>
      </c>
      <c r="AD15" s="239">
        <v>0.22</v>
      </c>
      <c r="AE15" s="239">
        <v>0.39109056479672055</v>
      </c>
      <c r="AF15" s="239">
        <v>0.39109056479672055</v>
      </c>
      <c r="AG15" s="239">
        <v>0.29331792359754039</v>
      </c>
      <c r="AH15" s="239">
        <v>0.15643622591868822</v>
      </c>
      <c r="AI15" s="239">
        <v>0</v>
      </c>
      <c r="AJ15" s="239">
        <v>9.7772641199180138E-2</v>
      </c>
      <c r="AK15" s="532">
        <f>SUM(AA15:AJ15)+SUM(AA15:AJ15)*'1.1a-Jaarprijzen'!$C$143</f>
        <v>2.2697079203088499</v>
      </c>
      <c r="AM15" s="239">
        <f t="shared" si="10"/>
        <v>0</v>
      </c>
      <c r="AO15" s="543">
        <f t="shared" si="5"/>
        <v>2.2697079203088499</v>
      </c>
      <c r="AQ15" s="543">
        <f t="shared" si="11"/>
        <v>2.2697079203088499</v>
      </c>
      <c r="AS15" s="543">
        <f t="shared" si="12"/>
        <v>2.2697079203088499</v>
      </c>
      <c r="AU15" s="543">
        <f t="shared" si="13"/>
        <v>2.2697079203088499</v>
      </c>
      <c r="AW15" s="238"/>
      <c r="AX15" s="241"/>
    </row>
    <row r="16" spans="1:50" ht="23" customHeight="1">
      <c r="A16" s="305" t="str">
        <f t="shared" si="6"/>
        <v>11.01 Werknemer algemeen schoonmaakonderhoud 20 jaar 0 t/m 7 jaar</v>
      </c>
      <c r="B16" s="305" t="str">
        <f t="shared" si="6"/>
        <v>11.01 Werknemer algemeen schoonmaakonderhoud 20 jaar 0 t/m 7 jaar</v>
      </c>
      <c r="C16" s="245" t="s">
        <v>260</v>
      </c>
      <c r="D16" s="242" t="s">
        <v>255</v>
      </c>
      <c r="E16" s="781">
        <v>1</v>
      </c>
      <c r="F16" s="239"/>
      <c r="G16" s="239"/>
      <c r="H16" s="497"/>
      <c r="I16" s="239">
        <v>0</v>
      </c>
      <c r="J16" s="540">
        <f t="shared" si="7"/>
        <v>0</v>
      </c>
      <c r="K16" s="239">
        <v>0</v>
      </c>
      <c r="L16" s="532">
        <f t="shared" si="0"/>
        <v>0</v>
      </c>
      <c r="N16" s="541">
        <f t="shared" si="8"/>
        <v>0</v>
      </c>
      <c r="O16" s="532">
        <f t="shared" si="1"/>
        <v>0</v>
      </c>
      <c r="Q16" s="542">
        <f t="shared" si="9"/>
        <v>0</v>
      </c>
      <c r="R16" s="540">
        <f>IF(Q16=0,0,Q16*'1.4-Premies en opslagen'!$D$33)</f>
        <v>0</v>
      </c>
      <c r="S16" s="532">
        <f t="shared" si="2"/>
        <v>0</v>
      </c>
      <c r="U16" s="540">
        <f>S16*'1.4-Premies en opslagen'!$D$66</f>
        <v>0</v>
      </c>
      <c r="V16" s="532">
        <f t="shared" si="3"/>
        <v>0</v>
      </c>
      <c r="X16" s="239"/>
      <c r="Y16" s="239"/>
      <c r="Z16" s="239"/>
      <c r="AA16" s="532">
        <f t="shared" si="4"/>
        <v>0</v>
      </c>
      <c r="AC16" s="239"/>
      <c r="AD16" s="239"/>
      <c r="AE16" s="239"/>
      <c r="AF16" s="239"/>
      <c r="AG16" s="239"/>
      <c r="AH16" s="239"/>
      <c r="AI16" s="239"/>
      <c r="AJ16" s="239"/>
      <c r="AK16" s="532">
        <f>SUM(AA16:AJ16)+SUM(AA16:AJ16)*'1.1a-Jaarprijzen'!$C$143</f>
        <v>0</v>
      </c>
      <c r="AM16" s="239">
        <f t="shared" si="10"/>
        <v>0</v>
      </c>
      <c r="AO16" s="543">
        <f t="shared" si="5"/>
        <v>0</v>
      </c>
      <c r="AQ16" s="543">
        <f t="shared" si="11"/>
        <v>0</v>
      </c>
      <c r="AS16" s="543">
        <f t="shared" si="12"/>
        <v>0</v>
      </c>
      <c r="AU16" s="543">
        <f t="shared" si="13"/>
        <v>0</v>
      </c>
      <c r="AW16" s="238"/>
      <c r="AX16" s="241"/>
    </row>
    <row r="17" spans="1:50" ht="23" hidden="1" customHeight="1">
      <c r="A17" s="305" t="str">
        <f t="shared" si="6"/>
        <v>11.01 Werknemer algemeen schoonmaakonderhoud 21 jaar 0 t/m 7 jaar</v>
      </c>
      <c r="B17" s="305" t="str">
        <f t="shared" si="6"/>
        <v>11.01 Werknemer algemeen schoonmaakonderhoud 21 jaar 0 t/m 7 jaar</v>
      </c>
      <c r="C17" s="245" t="s">
        <v>261</v>
      </c>
      <c r="D17" s="242" t="s">
        <v>255</v>
      </c>
      <c r="E17" s="781">
        <v>1</v>
      </c>
      <c r="F17" s="239"/>
      <c r="G17" s="239"/>
      <c r="H17" s="497"/>
      <c r="I17" s="239">
        <v>0</v>
      </c>
      <c r="J17" s="540">
        <f t="shared" si="7"/>
        <v>0</v>
      </c>
      <c r="K17" s="239">
        <v>0</v>
      </c>
      <c r="L17" s="532">
        <f t="shared" si="0"/>
        <v>0</v>
      </c>
      <c r="N17" s="541">
        <f t="shared" si="8"/>
        <v>0</v>
      </c>
      <c r="O17" s="532">
        <f t="shared" si="1"/>
        <v>0</v>
      </c>
      <c r="Q17" s="542">
        <f t="shared" si="9"/>
        <v>0</v>
      </c>
      <c r="R17" s="540">
        <f>IF(Q17=0,0,Q17*'1.4-Premies en opslagen'!$D$33)</f>
        <v>0</v>
      </c>
      <c r="S17" s="532">
        <f t="shared" si="2"/>
        <v>0</v>
      </c>
      <c r="U17" s="540">
        <f>S17*'1.4-Premies en opslagen'!$D$66</f>
        <v>0</v>
      </c>
      <c r="V17" s="532">
        <f t="shared" si="3"/>
        <v>0</v>
      </c>
      <c r="X17" s="239"/>
      <c r="Y17" s="239"/>
      <c r="Z17" s="239"/>
      <c r="AA17" s="532">
        <f t="shared" si="4"/>
        <v>0</v>
      </c>
      <c r="AC17" s="239"/>
      <c r="AD17" s="239"/>
      <c r="AE17" s="239"/>
      <c r="AF17" s="239"/>
      <c r="AG17" s="239"/>
      <c r="AH17" s="239"/>
      <c r="AI17" s="239"/>
      <c r="AJ17" s="239"/>
      <c r="AK17" s="532">
        <f>SUM(AA17:AJ17)+SUM(AA17:AJ17)*'1.1a-Jaarprijzen'!$C$143</f>
        <v>0</v>
      </c>
      <c r="AM17" s="239">
        <f t="shared" si="10"/>
        <v>0</v>
      </c>
      <c r="AO17" s="543">
        <f t="shared" si="5"/>
        <v>0</v>
      </c>
      <c r="AQ17" s="543">
        <f t="shared" si="11"/>
        <v>0</v>
      </c>
      <c r="AS17" s="543">
        <f t="shared" si="12"/>
        <v>0</v>
      </c>
      <c r="AU17" s="543">
        <f t="shared" si="13"/>
        <v>0</v>
      </c>
      <c r="AW17" s="238"/>
      <c r="AX17" s="241"/>
    </row>
    <row r="18" spans="1:50" ht="23" customHeight="1">
      <c r="A18" s="305" t="str">
        <f t="shared" si="6"/>
        <v>11.01 Werknemer algemeen schoonmaakonderhoud 0 t/m 7 jaar</v>
      </c>
      <c r="B18" s="305" t="str">
        <f t="shared" si="6"/>
        <v>11.01 Werknemer algemeen schoonmaakonderhoud 0 t/m 7 jaar</v>
      </c>
      <c r="C18" s="245" t="s">
        <v>245</v>
      </c>
      <c r="D18" s="242" t="s">
        <v>255</v>
      </c>
      <c r="E18" s="781">
        <v>1</v>
      </c>
      <c r="F18" s="239"/>
      <c r="G18" s="239"/>
      <c r="H18" s="497"/>
      <c r="I18" s="239">
        <v>0</v>
      </c>
      <c r="J18" s="540">
        <f t="shared" si="7"/>
        <v>0</v>
      </c>
      <c r="K18" s="239">
        <v>0</v>
      </c>
      <c r="L18" s="532">
        <f t="shared" si="0"/>
        <v>0</v>
      </c>
      <c r="N18" s="541">
        <f t="shared" si="8"/>
        <v>0</v>
      </c>
      <c r="O18" s="532">
        <f t="shared" si="1"/>
        <v>0</v>
      </c>
      <c r="Q18" s="542">
        <f t="shared" si="9"/>
        <v>0</v>
      </c>
      <c r="R18" s="540">
        <f>IF(Q18=0,0,Q18*'1.4-Premies en opslagen'!$D$33)</f>
        <v>0</v>
      </c>
      <c r="S18" s="532">
        <f t="shared" si="2"/>
        <v>0</v>
      </c>
      <c r="U18" s="540">
        <f>S18*'1.4-Premies en opslagen'!$D$66</f>
        <v>0</v>
      </c>
      <c r="V18" s="532">
        <f t="shared" si="3"/>
        <v>0</v>
      </c>
      <c r="X18" s="239"/>
      <c r="Y18" s="239"/>
      <c r="Z18" s="239"/>
      <c r="AA18" s="532">
        <f t="shared" si="4"/>
        <v>0</v>
      </c>
      <c r="AC18" s="239"/>
      <c r="AD18" s="239"/>
      <c r="AE18" s="239"/>
      <c r="AF18" s="239"/>
      <c r="AG18" s="239"/>
      <c r="AH18" s="239"/>
      <c r="AI18" s="239"/>
      <c r="AJ18" s="239"/>
      <c r="AK18" s="532">
        <f>SUM(AA18:AJ18)+SUM(AA18:AJ18)*'1.1a-Jaarprijzen'!$C$143</f>
        <v>0</v>
      </c>
      <c r="AM18" s="239">
        <f t="shared" si="10"/>
        <v>0</v>
      </c>
      <c r="AO18" s="543">
        <f t="shared" si="5"/>
        <v>0</v>
      </c>
      <c r="AQ18" s="543">
        <f t="shared" si="11"/>
        <v>0</v>
      </c>
      <c r="AS18" s="543">
        <f t="shared" si="12"/>
        <v>0</v>
      </c>
      <c r="AU18" s="543">
        <f t="shared" si="13"/>
        <v>0</v>
      </c>
      <c r="AW18" s="238"/>
      <c r="AX18" s="241"/>
    </row>
    <row r="19" spans="1:50" ht="23" customHeight="1">
      <c r="A19" s="305" t="str">
        <f t="shared" si="6"/>
        <v>11.01 Werknemer algemeen schoonmaakonderhoud 8 jaar en meer</v>
      </c>
      <c r="B19" s="305" t="str">
        <f t="shared" si="6"/>
        <v>11.01 Werknemer algemeen schoonmaakonderhoud 8 jaar en meer</v>
      </c>
      <c r="C19" s="245" t="s">
        <v>245</v>
      </c>
      <c r="D19" s="242" t="s">
        <v>256</v>
      </c>
      <c r="E19" s="781">
        <v>1</v>
      </c>
      <c r="F19" s="239"/>
      <c r="G19" s="239"/>
      <c r="H19" s="497"/>
      <c r="I19" s="239">
        <v>0</v>
      </c>
      <c r="J19" s="540">
        <f t="shared" si="7"/>
        <v>0</v>
      </c>
      <c r="K19" s="239">
        <v>0</v>
      </c>
      <c r="L19" s="532">
        <f t="shared" si="0"/>
        <v>0</v>
      </c>
      <c r="N19" s="541">
        <f t="shared" si="8"/>
        <v>0</v>
      </c>
      <c r="O19" s="532">
        <f t="shared" si="1"/>
        <v>0</v>
      </c>
      <c r="Q19" s="542">
        <f t="shared" si="9"/>
        <v>0</v>
      </c>
      <c r="R19" s="540">
        <f>IF(Q19=0,0,Q19*'1.4-Premies en opslagen'!$D$33)</f>
        <v>0</v>
      </c>
      <c r="S19" s="532">
        <f t="shared" si="2"/>
        <v>0</v>
      </c>
      <c r="U19" s="540">
        <f>S19*'1.4-Premies en opslagen'!$D$66</f>
        <v>0</v>
      </c>
      <c r="V19" s="532">
        <f t="shared" si="3"/>
        <v>0</v>
      </c>
      <c r="X19" s="239"/>
      <c r="Y19" s="239"/>
      <c r="Z19" s="239"/>
      <c r="AA19" s="532">
        <f t="shared" si="4"/>
        <v>0</v>
      </c>
      <c r="AC19" s="239"/>
      <c r="AD19" s="239"/>
      <c r="AE19" s="239"/>
      <c r="AF19" s="239"/>
      <c r="AG19" s="239"/>
      <c r="AH19" s="239"/>
      <c r="AI19" s="239"/>
      <c r="AJ19" s="239"/>
      <c r="AK19" s="532">
        <f>SUM(AA19:AJ19)+SUM(AA19:AJ19)*'1.1a-Jaarprijzen'!$C$143</f>
        <v>0</v>
      </c>
      <c r="AM19" s="239">
        <f t="shared" si="10"/>
        <v>0</v>
      </c>
      <c r="AO19" s="543">
        <f t="shared" si="5"/>
        <v>0</v>
      </c>
      <c r="AQ19" s="543">
        <f t="shared" si="11"/>
        <v>0</v>
      </c>
      <c r="AS19" s="543">
        <f t="shared" si="12"/>
        <v>0</v>
      </c>
      <c r="AU19" s="543">
        <f t="shared" si="13"/>
        <v>0</v>
      </c>
      <c r="AW19" s="238"/>
      <c r="AX19" s="241"/>
    </row>
    <row r="20" spans="1:50" ht="23" hidden="1" customHeight="1">
      <c r="A20" s="305" t="str">
        <f t="shared" si="6"/>
        <v>11.03 Werknemer algemeen schoonmaakonderhoud (sleutelpand)  0 t/m 7 jaar</v>
      </c>
      <c r="B20" s="305" t="str">
        <f t="shared" si="6"/>
        <v>11.03 Werknemer algemeen schoonmaakonderhoud (sleutelpand)  0 t/m 7 jaar</v>
      </c>
      <c r="C20" s="245" t="s">
        <v>246</v>
      </c>
      <c r="D20" s="242" t="s">
        <v>255</v>
      </c>
      <c r="E20" s="781">
        <v>1</v>
      </c>
      <c r="F20" s="239"/>
      <c r="G20" s="239"/>
      <c r="H20" s="497"/>
      <c r="I20" s="239">
        <v>0</v>
      </c>
      <c r="J20" s="540">
        <f t="shared" si="7"/>
        <v>0</v>
      </c>
      <c r="K20" s="239">
        <v>0</v>
      </c>
      <c r="L20" s="532">
        <f t="shared" si="0"/>
        <v>0</v>
      </c>
      <c r="N20" s="541">
        <f t="shared" si="8"/>
        <v>0</v>
      </c>
      <c r="O20" s="532">
        <f t="shared" si="1"/>
        <v>0</v>
      </c>
      <c r="Q20" s="542">
        <f t="shared" si="9"/>
        <v>0</v>
      </c>
      <c r="R20" s="540">
        <f>IF(Q20=0,0,Q20*'1.4-Premies en opslagen'!$D$33)</f>
        <v>0</v>
      </c>
      <c r="S20" s="532">
        <f t="shared" si="2"/>
        <v>0</v>
      </c>
      <c r="U20" s="540">
        <f>S20*'1.4-Premies en opslagen'!$D$66</f>
        <v>0</v>
      </c>
      <c r="V20" s="532">
        <f t="shared" si="3"/>
        <v>0</v>
      </c>
      <c r="X20" s="239"/>
      <c r="Y20" s="239"/>
      <c r="Z20" s="239"/>
      <c r="AA20" s="532">
        <f t="shared" si="4"/>
        <v>0</v>
      </c>
      <c r="AC20" s="239"/>
      <c r="AD20" s="239"/>
      <c r="AE20" s="239"/>
      <c r="AF20" s="239"/>
      <c r="AG20" s="239"/>
      <c r="AH20" s="239"/>
      <c r="AI20" s="239"/>
      <c r="AJ20" s="239"/>
      <c r="AK20" s="532">
        <f>SUM(AA20:AJ20)+SUM(AA20:AJ20)*'1.1a-Jaarprijzen'!$C$143</f>
        <v>0</v>
      </c>
      <c r="AM20" s="239">
        <f t="shared" si="10"/>
        <v>0</v>
      </c>
      <c r="AO20" s="543">
        <f t="shared" si="5"/>
        <v>0</v>
      </c>
      <c r="AQ20" s="543">
        <f t="shared" si="11"/>
        <v>0</v>
      </c>
      <c r="AS20" s="543">
        <f t="shared" si="12"/>
        <v>0</v>
      </c>
      <c r="AU20" s="543">
        <f t="shared" si="13"/>
        <v>0</v>
      </c>
      <c r="AW20" s="238"/>
      <c r="AX20" s="241"/>
    </row>
    <row r="21" spans="1:50" ht="23" hidden="1" customHeight="1">
      <c r="A21" s="305" t="str">
        <f t="shared" si="6"/>
        <v>11.03 Werknemer algemeen schoonmaakonderhoud (sleutelpand)  8 jaar en meer</v>
      </c>
      <c r="B21" s="305" t="str">
        <f t="shared" si="6"/>
        <v>11.03 Werknemer algemeen schoonmaakonderhoud (sleutelpand)  8 jaar en meer</v>
      </c>
      <c r="C21" s="245" t="s">
        <v>246</v>
      </c>
      <c r="D21" s="242" t="s">
        <v>256</v>
      </c>
      <c r="E21" s="781">
        <v>1</v>
      </c>
      <c r="F21" s="239"/>
      <c r="G21" s="239"/>
      <c r="H21" s="497"/>
      <c r="I21" s="239">
        <v>0</v>
      </c>
      <c r="J21" s="540">
        <f t="shared" si="7"/>
        <v>0</v>
      </c>
      <c r="K21" s="239">
        <v>0</v>
      </c>
      <c r="L21" s="532">
        <f t="shared" si="0"/>
        <v>0</v>
      </c>
      <c r="N21" s="541">
        <f>L21*$N$12</f>
        <v>0</v>
      </c>
      <c r="O21" s="532">
        <f t="shared" si="1"/>
        <v>0</v>
      </c>
      <c r="Q21" s="542">
        <f t="shared" si="9"/>
        <v>0</v>
      </c>
      <c r="R21" s="540">
        <f>IF(Q21=0,0,Q21*'1.4-Premies en opslagen'!$D$33)</f>
        <v>0</v>
      </c>
      <c r="S21" s="532">
        <f t="shared" si="2"/>
        <v>0</v>
      </c>
      <c r="U21" s="540">
        <f>S21*'1.4-Premies en opslagen'!$D$66</f>
        <v>0</v>
      </c>
      <c r="V21" s="532">
        <f t="shared" si="3"/>
        <v>0</v>
      </c>
      <c r="X21" s="239"/>
      <c r="Y21" s="239"/>
      <c r="Z21" s="239"/>
      <c r="AA21" s="532">
        <f t="shared" si="4"/>
        <v>0</v>
      </c>
      <c r="AC21" s="239"/>
      <c r="AD21" s="239"/>
      <c r="AE21" s="239"/>
      <c r="AF21" s="239"/>
      <c r="AG21" s="239"/>
      <c r="AH21" s="239"/>
      <c r="AI21" s="239"/>
      <c r="AJ21" s="239"/>
      <c r="AK21" s="532">
        <f>SUM(AA21:AJ21)+SUM(AA21:AJ21)*'1.1a-Jaarprijzen'!$C$143</f>
        <v>0</v>
      </c>
      <c r="AM21" s="239">
        <f t="shared" si="10"/>
        <v>0</v>
      </c>
      <c r="AO21" s="543">
        <f t="shared" si="5"/>
        <v>0</v>
      </c>
      <c r="AQ21" s="543">
        <f t="shared" si="11"/>
        <v>0</v>
      </c>
      <c r="AS21" s="543">
        <f t="shared" si="12"/>
        <v>0</v>
      </c>
      <c r="AU21" s="543">
        <f t="shared" si="13"/>
        <v>0</v>
      </c>
      <c r="AW21" s="238"/>
      <c r="AX21" s="241"/>
    </row>
    <row r="22" spans="1:50" ht="23" hidden="1" customHeight="1">
      <c r="A22" s="305" t="str">
        <f t="shared" si="6"/>
        <v>11.02 All-round werknemer algemeen schoonmaakonderhoud 0 t/m 7 jaar</v>
      </c>
      <c r="B22" s="305" t="str">
        <f t="shared" si="6"/>
        <v>11.02 All-round werknemer algemeen schoonmaakonderhoud 0 t/m 7 jaar</v>
      </c>
      <c r="C22" s="245" t="s">
        <v>247</v>
      </c>
      <c r="D22" s="242" t="s">
        <v>255</v>
      </c>
      <c r="E22" s="781" t="s">
        <v>251</v>
      </c>
      <c r="F22" s="239"/>
      <c r="G22" s="239"/>
      <c r="H22" s="497"/>
      <c r="I22" s="239">
        <v>0</v>
      </c>
      <c r="J22" s="540">
        <f t="shared" si="7"/>
        <v>0</v>
      </c>
      <c r="K22" s="239">
        <v>0</v>
      </c>
      <c r="L22" s="532">
        <f t="shared" si="0"/>
        <v>0</v>
      </c>
      <c r="N22" s="541">
        <f>L22*$N$12</f>
        <v>0</v>
      </c>
      <c r="O22" s="532">
        <f t="shared" si="1"/>
        <v>0</v>
      </c>
      <c r="Q22" s="542">
        <f t="shared" si="9"/>
        <v>0</v>
      </c>
      <c r="R22" s="540">
        <f>IF(Q22=0,0,Q22*'1.4-Premies en opslagen'!$D$33)</f>
        <v>0</v>
      </c>
      <c r="S22" s="532">
        <f t="shared" si="2"/>
        <v>0</v>
      </c>
      <c r="U22" s="540">
        <f>S22*'1.4-Premies en opslagen'!$D$66</f>
        <v>0</v>
      </c>
      <c r="V22" s="532">
        <f t="shared" si="3"/>
        <v>0</v>
      </c>
      <c r="X22" s="239"/>
      <c r="Y22" s="239"/>
      <c r="Z22" s="239"/>
      <c r="AA22" s="532">
        <f t="shared" si="4"/>
        <v>0</v>
      </c>
      <c r="AC22" s="239"/>
      <c r="AD22" s="239"/>
      <c r="AE22" s="239"/>
      <c r="AF22" s="239"/>
      <c r="AG22" s="239"/>
      <c r="AH22" s="239"/>
      <c r="AI22" s="239"/>
      <c r="AJ22" s="239"/>
      <c r="AK22" s="532">
        <f>SUM(AA22:AJ22)+SUM(AA22:AJ22)*'1.1a-Jaarprijzen'!$C$143</f>
        <v>0</v>
      </c>
      <c r="AM22" s="239">
        <f t="shared" si="10"/>
        <v>0</v>
      </c>
      <c r="AO22" s="543">
        <f t="shared" si="5"/>
        <v>0</v>
      </c>
      <c r="AQ22" s="543">
        <f t="shared" si="11"/>
        <v>0</v>
      </c>
      <c r="AS22" s="543">
        <f t="shared" si="12"/>
        <v>0</v>
      </c>
      <c r="AU22" s="543">
        <f t="shared" si="13"/>
        <v>0</v>
      </c>
      <c r="AW22" s="238"/>
      <c r="AX22" s="241"/>
    </row>
    <row r="23" spans="1:50" ht="23" hidden="1" customHeight="1">
      <c r="A23" s="305" t="str">
        <f t="shared" si="6"/>
        <v>11.02 All-round werknemer algemeen schoonmaakonderhoud 8 jaar en meer</v>
      </c>
      <c r="B23" s="305" t="str">
        <f t="shared" si="6"/>
        <v>11.02 All-round werknemer algemeen schoonmaakonderhoud 8 jaar en meer</v>
      </c>
      <c r="C23" s="245" t="s">
        <v>247</v>
      </c>
      <c r="D23" s="242" t="s">
        <v>256</v>
      </c>
      <c r="E23" s="781" t="s">
        <v>251</v>
      </c>
      <c r="F23" s="239"/>
      <c r="G23" s="239"/>
      <c r="H23" s="497"/>
      <c r="I23" s="239">
        <v>0</v>
      </c>
      <c r="J23" s="540">
        <f t="shared" si="7"/>
        <v>0</v>
      </c>
      <c r="K23" s="239">
        <v>0</v>
      </c>
      <c r="L23" s="532">
        <f t="shared" si="0"/>
        <v>0</v>
      </c>
      <c r="N23" s="541">
        <f t="shared" si="8"/>
        <v>0</v>
      </c>
      <c r="O23" s="532">
        <f t="shared" si="1"/>
        <v>0</v>
      </c>
      <c r="Q23" s="542">
        <f t="shared" si="9"/>
        <v>0</v>
      </c>
      <c r="R23" s="540">
        <f>IF(Q23=0,0,Q23*'1.4-Premies en opslagen'!$D$33)</f>
        <v>0</v>
      </c>
      <c r="S23" s="532">
        <f t="shared" si="2"/>
        <v>0</v>
      </c>
      <c r="U23" s="540">
        <f>S23*'1.4-Premies en opslagen'!$D$66</f>
        <v>0</v>
      </c>
      <c r="V23" s="532">
        <f t="shared" si="3"/>
        <v>0</v>
      </c>
      <c r="X23" s="239"/>
      <c r="Y23" s="239"/>
      <c r="Z23" s="239"/>
      <c r="AA23" s="532">
        <f t="shared" si="4"/>
        <v>0</v>
      </c>
      <c r="AC23" s="239"/>
      <c r="AD23" s="239"/>
      <c r="AE23" s="239"/>
      <c r="AF23" s="239"/>
      <c r="AG23" s="239"/>
      <c r="AH23" s="239"/>
      <c r="AI23" s="239"/>
      <c r="AJ23" s="239"/>
      <c r="AK23" s="532">
        <f>SUM(AA23:AJ23)+SUM(AA23:AJ23)*'1.1a-Jaarprijzen'!$C$143</f>
        <v>0</v>
      </c>
      <c r="AM23" s="239">
        <f t="shared" si="10"/>
        <v>0</v>
      </c>
      <c r="AO23" s="543">
        <f t="shared" si="5"/>
        <v>0</v>
      </c>
      <c r="AQ23" s="543">
        <f t="shared" si="11"/>
        <v>0</v>
      </c>
      <c r="AS23" s="543">
        <f t="shared" si="12"/>
        <v>0</v>
      </c>
      <c r="AU23" s="543">
        <f t="shared" si="13"/>
        <v>0</v>
      </c>
      <c r="AW23" s="238"/>
      <c r="AX23" s="241"/>
    </row>
    <row r="24" spans="1:50" ht="23" hidden="1" customHeight="1">
      <c r="A24" s="305" t="str">
        <f t="shared" si="6"/>
        <v>11.04 All-round werknemer algemeen schoonmaakonderhoud (sleutelpand)  0 t/m 7 jaar</v>
      </c>
      <c r="B24" s="305" t="str">
        <f t="shared" si="6"/>
        <v>11.04 All-round werknemer algemeen schoonmaakonderhoud (sleutelpand)  0 t/m 7 jaar</v>
      </c>
      <c r="C24" s="245" t="s">
        <v>248</v>
      </c>
      <c r="D24" s="242" t="s">
        <v>255</v>
      </c>
      <c r="E24" s="781" t="s">
        <v>251</v>
      </c>
      <c r="F24" s="239"/>
      <c r="G24" s="239"/>
      <c r="H24" s="497"/>
      <c r="I24" s="239">
        <v>0</v>
      </c>
      <c r="J24" s="540">
        <f t="shared" si="7"/>
        <v>0</v>
      </c>
      <c r="K24" s="239">
        <v>0</v>
      </c>
      <c r="L24" s="532">
        <f t="shared" si="0"/>
        <v>0</v>
      </c>
      <c r="N24" s="541">
        <f>L24*$N$12</f>
        <v>0</v>
      </c>
      <c r="O24" s="532">
        <f t="shared" si="1"/>
        <v>0</v>
      </c>
      <c r="Q24" s="542">
        <f t="shared" si="9"/>
        <v>0</v>
      </c>
      <c r="R24" s="540">
        <f>IF(Q24=0,0,Q24*'1.4-Premies en opslagen'!$D$33)</f>
        <v>0</v>
      </c>
      <c r="S24" s="532">
        <f t="shared" si="2"/>
        <v>0</v>
      </c>
      <c r="U24" s="540">
        <f>S24*'1.4-Premies en opslagen'!$D$66</f>
        <v>0</v>
      </c>
      <c r="V24" s="532">
        <f t="shared" si="3"/>
        <v>0</v>
      </c>
      <c r="X24" s="239"/>
      <c r="Y24" s="239"/>
      <c r="Z24" s="239"/>
      <c r="AA24" s="532">
        <f t="shared" si="4"/>
        <v>0</v>
      </c>
      <c r="AC24" s="239"/>
      <c r="AD24" s="239"/>
      <c r="AE24" s="239"/>
      <c r="AF24" s="239"/>
      <c r="AG24" s="239"/>
      <c r="AH24" s="239"/>
      <c r="AI24" s="239"/>
      <c r="AJ24" s="239"/>
      <c r="AK24" s="532">
        <f>SUM(AA24:AJ24)+SUM(AA24:AJ24)*'1.1a-Jaarprijzen'!$C$143</f>
        <v>0</v>
      </c>
      <c r="AM24" s="239">
        <f t="shared" si="10"/>
        <v>0</v>
      </c>
      <c r="AO24" s="543">
        <f t="shared" si="5"/>
        <v>0</v>
      </c>
      <c r="AQ24" s="543">
        <f t="shared" si="11"/>
        <v>0</v>
      </c>
      <c r="AS24" s="543">
        <f t="shared" si="12"/>
        <v>0</v>
      </c>
      <c r="AU24" s="543">
        <f t="shared" si="13"/>
        <v>0</v>
      </c>
      <c r="AW24" s="238"/>
      <c r="AX24" s="241"/>
    </row>
    <row r="25" spans="1:50" ht="23" hidden="1" customHeight="1">
      <c r="A25" s="305" t="str">
        <f t="shared" si="6"/>
        <v>11.04 All-round werknemer algemeen schoonmaakonderhoud (sleutelpand)  8 jaar en meer</v>
      </c>
      <c r="B25" s="305" t="str">
        <f t="shared" si="6"/>
        <v>11.04 All-round werknemer algemeen schoonmaakonderhoud (sleutelpand)  8 jaar en meer</v>
      </c>
      <c r="C25" s="245" t="s">
        <v>248</v>
      </c>
      <c r="D25" s="242" t="s">
        <v>256</v>
      </c>
      <c r="E25" s="781" t="s">
        <v>251</v>
      </c>
      <c r="F25" s="239"/>
      <c r="G25" s="239"/>
      <c r="H25" s="497"/>
      <c r="I25" s="239">
        <v>0</v>
      </c>
      <c r="J25" s="540">
        <f t="shared" si="7"/>
        <v>0</v>
      </c>
      <c r="K25" s="239">
        <v>0</v>
      </c>
      <c r="L25" s="532">
        <f t="shared" si="0"/>
        <v>0</v>
      </c>
      <c r="N25" s="541">
        <f t="shared" si="8"/>
        <v>0</v>
      </c>
      <c r="O25" s="532">
        <f t="shared" si="1"/>
        <v>0</v>
      </c>
      <c r="Q25" s="542">
        <f t="shared" si="9"/>
        <v>0</v>
      </c>
      <c r="R25" s="540">
        <f>IF(Q25=0,0,Q25*'1.4-Premies en opslagen'!$D$33)</f>
        <v>0</v>
      </c>
      <c r="S25" s="532">
        <f t="shared" si="2"/>
        <v>0</v>
      </c>
      <c r="U25" s="540">
        <f>S25*'1.4-Premies en opslagen'!$D$66</f>
        <v>0</v>
      </c>
      <c r="V25" s="532">
        <f t="shared" si="3"/>
        <v>0</v>
      </c>
      <c r="X25" s="239"/>
      <c r="Y25" s="239"/>
      <c r="Z25" s="239"/>
      <c r="AA25" s="532">
        <f t="shared" si="4"/>
        <v>0</v>
      </c>
      <c r="AC25" s="239"/>
      <c r="AD25" s="239"/>
      <c r="AE25" s="239"/>
      <c r="AF25" s="239"/>
      <c r="AG25" s="239"/>
      <c r="AH25" s="239"/>
      <c r="AI25" s="239"/>
      <c r="AJ25" s="239"/>
      <c r="AK25" s="532">
        <f>SUM(AA25:AJ25)+SUM(AA25:AJ25)*'1.1a-Jaarprijzen'!$C$143</f>
        <v>0</v>
      </c>
      <c r="AM25" s="239">
        <f t="shared" si="10"/>
        <v>0</v>
      </c>
      <c r="AO25" s="543">
        <f t="shared" si="5"/>
        <v>0</v>
      </c>
      <c r="AQ25" s="543">
        <f t="shared" si="11"/>
        <v>0</v>
      </c>
      <c r="AS25" s="543">
        <f t="shared" si="12"/>
        <v>0</v>
      </c>
      <c r="AU25" s="543">
        <f t="shared" si="13"/>
        <v>0</v>
      </c>
      <c r="AW25" s="238"/>
      <c r="AX25" s="241"/>
    </row>
    <row r="26" spans="1:50" ht="23" hidden="1" customHeight="1">
      <c r="A26" s="305" t="str">
        <f t="shared" si="6"/>
        <v>11.02 Werknemer meewerkend toezicht algemeen schoonmaakonderhoud 0 t/m 7 jaar</v>
      </c>
      <c r="B26" s="305" t="str">
        <f t="shared" si="6"/>
        <v>11.02 Werknemer meewerkend toezicht algemeen schoonmaakonderhoud 0 t/m 7 jaar</v>
      </c>
      <c r="C26" s="245" t="s">
        <v>341</v>
      </c>
      <c r="D26" s="242" t="s">
        <v>255</v>
      </c>
      <c r="E26" s="781" t="s">
        <v>1465</v>
      </c>
      <c r="F26" s="239"/>
      <c r="G26" s="239"/>
      <c r="H26" s="497"/>
      <c r="I26" s="239">
        <v>0</v>
      </c>
      <c r="J26" s="540">
        <f t="shared" si="7"/>
        <v>0</v>
      </c>
      <c r="K26" s="239">
        <v>0</v>
      </c>
      <c r="L26" s="532">
        <f t="shared" si="0"/>
        <v>0</v>
      </c>
      <c r="N26" s="541">
        <f>L26*$N$12</f>
        <v>0</v>
      </c>
      <c r="O26" s="532">
        <f t="shared" si="1"/>
        <v>0</v>
      </c>
      <c r="Q26" s="542">
        <f t="shared" si="9"/>
        <v>0</v>
      </c>
      <c r="R26" s="540">
        <f>IF(Q26=0,0,Q26*'1.4-Premies en opslagen'!$D$33)</f>
        <v>0</v>
      </c>
      <c r="S26" s="532">
        <f t="shared" si="2"/>
        <v>0</v>
      </c>
      <c r="U26" s="540">
        <f>S26*'1.4-Premies en opslagen'!$D$66</f>
        <v>0</v>
      </c>
      <c r="V26" s="532">
        <f t="shared" si="3"/>
        <v>0</v>
      </c>
      <c r="X26" s="239"/>
      <c r="Y26" s="239"/>
      <c r="Z26" s="239"/>
      <c r="AA26" s="532">
        <f t="shared" si="4"/>
        <v>0</v>
      </c>
      <c r="AC26" s="239"/>
      <c r="AD26" s="239"/>
      <c r="AE26" s="239"/>
      <c r="AF26" s="239"/>
      <c r="AG26" s="239"/>
      <c r="AH26" s="239"/>
      <c r="AI26" s="239"/>
      <c r="AJ26" s="239"/>
      <c r="AK26" s="532">
        <f>SUM(AA26:AJ26)+SUM(AA26:AJ26)*'1.1a-Jaarprijzen'!$C$143</f>
        <v>0</v>
      </c>
      <c r="AM26" s="239">
        <f t="shared" si="10"/>
        <v>0</v>
      </c>
      <c r="AO26" s="543">
        <f t="shared" si="5"/>
        <v>0</v>
      </c>
      <c r="AQ26" s="543">
        <f t="shared" si="11"/>
        <v>0</v>
      </c>
      <c r="AS26" s="543">
        <f t="shared" si="12"/>
        <v>0</v>
      </c>
      <c r="AU26" s="543">
        <f t="shared" si="13"/>
        <v>0</v>
      </c>
      <c r="AW26" s="238"/>
      <c r="AX26" s="241"/>
    </row>
    <row r="27" spans="1:50" ht="23" customHeight="1">
      <c r="A27" s="305" t="str">
        <f t="shared" si="6"/>
        <v>11.02 Werknemer meewerkend toezicht algemeen schoonmaakonderhoud 8 jaar en meer</v>
      </c>
      <c r="B27" s="305" t="str">
        <f t="shared" si="6"/>
        <v>11.02 Werknemer meewerkend toezicht algemeen schoonmaakonderhoud 8 jaar en meer</v>
      </c>
      <c r="C27" s="525" t="s">
        <v>341</v>
      </c>
      <c r="D27" s="242" t="s">
        <v>256</v>
      </c>
      <c r="E27" s="781" t="s">
        <v>1465</v>
      </c>
      <c r="F27" s="239"/>
      <c r="G27" s="239"/>
      <c r="H27" s="497"/>
      <c r="I27" s="239">
        <v>0</v>
      </c>
      <c r="J27" s="540">
        <f t="shared" si="7"/>
        <v>0</v>
      </c>
      <c r="K27" s="239">
        <v>0</v>
      </c>
      <c r="L27" s="532">
        <f t="shared" si="0"/>
        <v>0</v>
      </c>
      <c r="N27" s="541">
        <f t="shared" si="8"/>
        <v>0</v>
      </c>
      <c r="O27" s="532">
        <f t="shared" si="1"/>
        <v>0</v>
      </c>
      <c r="Q27" s="542">
        <f t="shared" si="9"/>
        <v>0</v>
      </c>
      <c r="R27" s="540">
        <f>IF(Q27=0,0,Q27*'1.4-Premies en opslagen'!$D$33)</f>
        <v>0</v>
      </c>
      <c r="S27" s="532">
        <f t="shared" si="2"/>
        <v>0</v>
      </c>
      <c r="U27" s="540">
        <f>S27*'1.4-Premies en opslagen'!$D$66</f>
        <v>0</v>
      </c>
      <c r="V27" s="532">
        <f t="shared" si="3"/>
        <v>0</v>
      </c>
      <c r="X27" s="239"/>
      <c r="Y27" s="239"/>
      <c r="Z27" s="239"/>
      <c r="AA27" s="532">
        <f t="shared" si="4"/>
        <v>0</v>
      </c>
      <c r="AC27" s="239"/>
      <c r="AD27" s="239"/>
      <c r="AE27" s="239"/>
      <c r="AF27" s="239"/>
      <c r="AG27" s="239"/>
      <c r="AH27" s="239"/>
      <c r="AI27" s="239"/>
      <c r="AJ27" s="239"/>
      <c r="AK27" s="532">
        <f>SUM(AA27:AJ27)+SUM(AA27:AJ27)*'1.1a-Jaarprijzen'!$C$143</f>
        <v>0</v>
      </c>
      <c r="AM27" s="239">
        <f t="shared" si="10"/>
        <v>0</v>
      </c>
      <c r="AO27" s="543">
        <f t="shared" si="5"/>
        <v>0</v>
      </c>
      <c r="AQ27" s="543">
        <f t="shared" si="11"/>
        <v>0</v>
      </c>
      <c r="AS27" s="543">
        <f t="shared" si="12"/>
        <v>0</v>
      </c>
      <c r="AU27" s="543">
        <f t="shared" si="13"/>
        <v>0</v>
      </c>
      <c r="AW27" s="238"/>
      <c r="AX27" s="241"/>
    </row>
    <row r="28" spans="1:50" ht="23" hidden="1" customHeight="1">
      <c r="A28" s="305" t="str">
        <f t="shared" si="6"/>
        <v>11.02 Werknemer niet meewerkend toezicht algemeen schoonmaakonderhoud 0 t/m 7 jaar</v>
      </c>
      <c r="B28" s="305" t="str">
        <f t="shared" si="6"/>
        <v>11.02 Werknemer niet meewerkend toezicht algemeen schoonmaakonderhoud 0 t/m 7 jaar</v>
      </c>
      <c r="C28" s="245" t="s">
        <v>342</v>
      </c>
      <c r="D28" s="242" t="s">
        <v>255</v>
      </c>
      <c r="E28" s="781" t="s">
        <v>1465</v>
      </c>
      <c r="F28" s="239"/>
      <c r="G28" s="239"/>
      <c r="H28" s="497"/>
      <c r="I28" s="239">
        <v>0</v>
      </c>
      <c r="J28" s="540">
        <f t="shared" si="7"/>
        <v>0</v>
      </c>
      <c r="K28" s="239">
        <v>0</v>
      </c>
      <c r="L28" s="532">
        <f t="shared" si="0"/>
        <v>0</v>
      </c>
      <c r="N28" s="541">
        <f t="shared" si="8"/>
        <v>0</v>
      </c>
      <c r="O28" s="532">
        <f t="shared" si="1"/>
        <v>0</v>
      </c>
      <c r="Q28" s="542">
        <f t="shared" si="9"/>
        <v>0</v>
      </c>
      <c r="R28" s="540">
        <f>IF(Q28=0,0,Q28*'1.4-Premies en opslagen'!$D$33)</f>
        <v>0</v>
      </c>
      <c r="S28" s="532">
        <f t="shared" si="2"/>
        <v>0</v>
      </c>
      <c r="U28" s="540">
        <f>S28*'1.4-Premies en opslagen'!$D$66</f>
        <v>0</v>
      </c>
      <c r="V28" s="532">
        <f t="shared" si="3"/>
        <v>0</v>
      </c>
      <c r="X28" s="239"/>
      <c r="Y28" s="239"/>
      <c r="Z28" s="239"/>
      <c r="AA28" s="532">
        <f t="shared" si="4"/>
        <v>0</v>
      </c>
      <c r="AC28" s="239"/>
      <c r="AD28" s="239"/>
      <c r="AE28" s="239"/>
      <c r="AF28" s="239"/>
      <c r="AG28" s="239"/>
      <c r="AH28" s="239"/>
      <c r="AI28" s="239"/>
      <c r="AJ28" s="239"/>
      <c r="AK28" s="532">
        <f>SUM(AA28:AJ28)+SUM(AA28:AJ28)*'1.1a-Jaarprijzen'!$C$143</f>
        <v>0</v>
      </c>
      <c r="AM28" s="239">
        <f t="shared" si="10"/>
        <v>0</v>
      </c>
      <c r="AO28" s="543">
        <f t="shared" si="5"/>
        <v>0</v>
      </c>
      <c r="AQ28" s="543">
        <f t="shared" si="11"/>
        <v>0</v>
      </c>
      <c r="AS28" s="543">
        <f t="shared" si="12"/>
        <v>0</v>
      </c>
      <c r="AU28" s="543">
        <f t="shared" si="13"/>
        <v>0</v>
      </c>
      <c r="AW28" s="238"/>
      <c r="AX28" s="241"/>
    </row>
    <row r="29" spans="1:50" ht="23" customHeight="1">
      <c r="A29" s="305" t="str">
        <f t="shared" si="6"/>
        <v>11.02 Werknemer niet meewerkend toezicht algemeen schoonmaakonderhoud 8 jaar en meer</v>
      </c>
      <c r="B29" s="305" t="str">
        <f t="shared" si="6"/>
        <v>11.02 Werknemer niet meewerkend toezicht algemeen schoonmaakonderhoud 8 jaar en meer</v>
      </c>
      <c r="C29" s="525" t="s">
        <v>342</v>
      </c>
      <c r="D29" s="242" t="s">
        <v>256</v>
      </c>
      <c r="E29" s="781" t="s">
        <v>1465</v>
      </c>
      <c r="F29" s="239"/>
      <c r="G29" s="239"/>
      <c r="H29" s="497"/>
      <c r="I29" s="239">
        <v>0</v>
      </c>
      <c r="J29" s="540">
        <f t="shared" si="7"/>
        <v>0</v>
      </c>
      <c r="K29" s="239">
        <v>0</v>
      </c>
      <c r="L29" s="532">
        <f t="shared" si="0"/>
        <v>0</v>
      </c>
      <c r="N29" s="541">
        <f t="shared" si="8"/>
        <v>0</v>
      </c>
      <c r="O29" s="532">
        <f t="shared" si="1"/>
        <v>0</v>
      </c>
      <c r="Q29" s="542">
        <f t="shared" si="9"/>
        <v>0</v>
      </c>
      <c r="R29" s="540">
        <f>IF(Q29=0,0,Q29*'1.4-Premies en opslagen'!$D$33)</f>
        <v>0</v>
      </c>
      <c r="S29" s="532">
        <f t="shared" si="2"/>
        <v>0</v>
      </c>
      <c r="U29" s="540">
        <f>S29*'1.4-Premies en opslagen'!$D$66</f>
        <v>0</v>
      </c>
      <c r="V29" s="532">
        <f t="shared" si="3"/>
        <v>0</v>
      </c>
      <c r="X29" s="532"/>
      <c r="Y29" s="239"/>
      <c r="Z29" s="239"/>
      <c r="AA29" s="532">
        <f t="shared" si="4"/>
        <v>0</v>
      </c>
      <c r="AC29" s="239"/>
      <c r="AD29" s="239"/>
      <c r="AE29" s="239"/>
      <c r="AF29" s="239"/>
      <c r="AG29" s="239"/>
      <c r="AH29" s="239"/>
      <c r="AI29" s="239"/>
      <c r="AJ29" s="239"/>
      <c r="AK29" s="532">
        <f>SUM(AA29:AJ29)+SUM(AA29:AJ29)*'1.1a-Jaarprijzen'!$C$143</f>
        <v>0</v>
      </c>
      <c r="AM29" s="239">
        <f t="shared" si="10"/>
        <v>0</v>
      </c>
      <c r="AO29" s="543">
        <f t="shared" si="5"/>
        <v>0</v>
      </c>
      <c r="AQ29" s="543">
        <f t="shared" si="11"/>
        <v>0</v>
      </c>
      <c r="AS29" s="543">
        <f t="shared" si="12"/>
        <v>0</v>
      </c>
      <c r="AU29" s="543">
        <f t="shared" si="13"/>
        <v>0</v>
      </c>
      <c r="AW29" s="238"/>
      <c r="AX29" s="241"/>
    </row>
    <row r="30" spans="1:50" ht="23" hidden="1" customHeight="1">
      <c r="A30" s="305" t="str">
        <f t="shared" si="6"/>
        <v xml:space="preserve">21.01 Objectleider (algemeen schoonmaakonderhoud) </v>
      </c>
      <c r="B30" s="305" t="str">
        <f t="shared" si="6"/>
        <v xml:space="preserve">21.01 Objectleider (algemeen schoonmaakonderhoud) </v>
      </c>
      <c r="C30" s="246" t="s">
        <v>249</v>
      </c>
      <c r="E30" s="242">
        <v>3</v>
      </c>
      <c r="F30" s="239"/>
      <c r="G30" s="239"/>
      <c r="H30" s="497"/>
      <c r="I30" s="239">
        <v>0</v>
      </c>
      <c r="J30" s="540">
        <f t="shared" si="7"/>
        <v>0</v>
      </c>
      <c r="K30" s="239">
        <v>0</v>
      </c>
      <c r="L30" s="532">
        <f t="shared" si="0"/>
        <v>0</v>
      </c>
      <c r="N30" s="541">
        <f t="shared" si="8"/>
        <v>0</v>
      </c>
      <c r="O30" s="532">
        <f t="shared" si="1"/>
        <v>0</v>
      </c>
      <c r="Q30" s="542">
        <f t="shared" si="9"/>
        <v>0</v>
      </c>
      <c r="R30" s="540">
        <f>IF(Q30=0,0,Q30*'1.4-Premies en opslagen'!$D$33)</f>
        <v>0</v>
      </c>
      <c r="S30" s="532">
        <f t="shared" si="2"/>
        <v>0</v>
      </c>
      <c r="U30" s="540">
        <f>S30*'1.4-Premies en opslagen'!$D$66</f>
        <v>0</v>
      </c>
      <c r="V30" s="532">
        <f t="shared" si="3"/>
        <v>0</v>
      </c>
      <c r="X30" s="532"/>
      <c r="Y30" s="239"/>
      <c r="Z30" s="239"/>
      <c r="AA30" s="532">
        <f t="shared" si="4"/>
        <v>0</v>
      </c>
      <c r="AC30" s="239"/>
      <c r="AD30" s="239"/>
      <c r="AE30" s="239"/>
      <c r="AF30" s="239"/>
      <c r="AG30" s="239"/>
      <c r="AH30" s="239"/>
      <c r="AI30" s="239"/>
      <c r="AJ30" s="239"/>
      <c r="AK30" s="532">
        <f>SUM(AA30:AJ30)+SUM(AA30:AJ30)*'1.1a-Jaarprijzen'!$C$143</f>
        <v>0</v>
      </c>
      <c r="AM30" s="239">
        <f t="shared" si="10"/>
        <v>0</v>
      </c>
      <c r="AO30" s="543">
        <f t="shared" si="5"/>
        <v>0</v>
      </c>
      <c r="AQ30" s="543">
        <f t="shared" si="11"/>
        <v>0</v>
      </c>
      <c r="AS30" s="543">
        <f t="shared" si="12"/>
        <v>0</v>
      </c>
      <c r="AU30" s="543">
        <f t="shared" si="13"/>
        <v>0</v>
      </c>
      <c r="AW30" s="238"/>
      <c r="AX30" s="241"/>
    </row>
    <row r="31" spans="1:50" ht="23" customHeight="1">
      <c r="A31" s="305" t="str">
        <f t="shared" si="6"/>
        <v xml:space="preserve">21.02 Ambulant objectleider (algemeen schoonmaakonderhoud) </v>
      </c>
      <c r="B31" s="305" t="str">
        <f t="shared" si="6"/>
        <v xml:space="preserve">21.02 Ambulant objectleider (algemeen schoonmaakonderhoud) </v>
      </c>
      <c r="C31" s="246" t="s">
        <v>250</v>
      </c>
      <c r="E31" s="242">
        <v>3</v>
      </c>
      <c r="F31" s="239"/>
      <c r="G31" s="239"/>
      <c r="H31" s="497"/>
      <c r="I31" s="239">
        <v>0</v>
      </c>
      <c r="J31" s="540">
        <f t="shared" si="7"/>
        <v>0</v>
      </c>
      <c r="K31" s="239">
        <v>0</v>
      </c>
      <c r="L31" s="532">
        <f t="shared" si="0"/>
        <v>0</v>
      </c>
      <c r="N31" s="541">
        <f t="shared" si="8"/>
        <v>0</v>
      </c>
      <c r="O31" s="532">
        <f t="shared" si="1"/>
        <v>0</v>
      </c>
      <c r="Q31" s="542">
        <f t="shared" si="9"/>
        <v>0</v>
      </c>
      <c r="R31" s="540">
        <f>IF(Q31=0,0,Q31*'1.4-Premies en opslagen'!$D$33)</f>
        <v>0</v>
      </c>
      <c r="S31" s="532">
        <f t="shared" si="2"/>
        <v>0</v>
      </c>
      <c r="U31" s="540">
        <f>S31*'1.4-Premies en opslagen'!$D$66</f>
        <v>0</v>
      </c>
      <c r="V31" s="532">
        <f t="shared" si="3"/>
        <v>0</v>
      </c>
      <c r="X31" s="532"/>
      <c r="Y31" s="239"/>
      <c r="Z31" s="239"/>
      <c r="AA31" s="532">
        <f t="shared" si="4"/>
        <v>0</v>
      </c>
      <c r="AC31" s="239"/>
      <c r="AD31" s="239"/>
      <c r="AE31" s="239"/>
      <c r="AF31" s="239"/>
      <c r="AG31" s="239"/>
      <c r="AH31" s="239"/>
      <c r="AI31" s="239"/>
      <c r="AJ31" s="239"/>
      <c r="AK31" s="532">
        <f>SUM(AA31:AJ31)+SUM(AA31:AJ31)*'1.1a-Jaarprijzen'!$C$143</f>
        <v>0</v>
      </c>
      <c r="AM31" s="239">
        <f t="shared" si="10"/>
        <v>0</v>
      </c>
      <c r="AO31" s="543">
        <f t="shared" si="5"/>
        <v>0</v>
      </c>
      <c r="AQ31" s="543">
        <f t="shared" si="11"/>
        <v>0</v>
      </c>
      <c r="AS31" s="543">
        <f t="shared" si="12"/>
        <v>0</v>
      </c>
      <c r="AU31" s="543">
        <f t="shared" si="13"/>
        <v>0</v>
      </c>
      <c r="AW31" s="238"/>
      <c r="AX31" s="241"/>
    </row>
    <row r="32" spans="1:50" s="241" customFormat="1" ht="24.75" customHeight="1">
      <c r="A32" s="305" t="str">
        <f t="shared" si="6"/>
        <v xml:space="preserve">0 </v>
      </c>
      <c r="B32" s="305" t="str">
        <f t="shared" si="6"/>
        <v xml:space="preserve">0 </v>
      </c>
      <c r="C32" s="244">
        <v>0</v>
      </c>
      <c r="F32" s="534"/>
      <c r="G32" s="535"/>
      <c r="H32" s="240"/>
      <c r="I32" s="534"/>
      <c r="J32" s="240">
        <v>0</v>
      </c>
      <c r="K32" s="536"/>
      <c r="L32" s="497"/>
      <c r="M32" s="242"/>
      <c r="N32" s="240">
        <v>0</v>
      </c>
      <c r="O32" s="497"/>
      <c r="P32" s="242"/>
      <c r="Q32" s="537"/>
      <c r="R32" s="538">
        <f>R12</f>
        <v>0</v>
      </c>
      <c r="S32" s="539"/>
      <c r="T32" s="242"/>
      <c r="U32" s="538">
        <f>'1.4-Premies en opslagen'!G66</f>
        <v>0</v>
      </c>
      <c r="V32" s="497"/>
      <c r="W32" s="242"/>
      <c r="X32" s="497"/>
      <c r="Y32" s="497"/>
      <c r="Z32" s="497"/>
      <c r="AA32" s="497"/>
      <c r="AB32" s="242"/>
      <c r="AC32" s="497"/>
      <c r="AD32" s="497"/>
      <c r="AE32" s="497"/>
      <c r="AF32" s="497"/>
      <c r="AG32" s="497"/>
      <c r="AH32" s="497"/>
      <c r="AI32" s="497"/>
      <c r="AJ32" s="497"/>
      <c r="AK32" s="497"/>
      <c r="AL32" s="242"/>
      <c r="AM32" s="497"/>
      <c r="AN32" s="242"/>
      <c r="AO32" s="497"/>
      <c r="AP32" s="242"/>
      <c r="AQ32" s="497"/>
      <c r="AR32" s="242"/>
      <c r="AS32" s="497"/>
      <c r="AT32" s="242"/>
      <c r="AU32" s="497"/>
      <c r="AV32" s="242"/>
    </row>
    <row r="33" spans="1:49" ht="23" customHeight="1">
      <c r="A33" s="305" t="str">
        <f t="shared" si="6"/>
        <v>12.01A Glazenwasser A 0 t/m 7 jaar</v>
      </c>
      <c r="B33" s="305" t="str">
        <f t="shared" si="6"/>
        <v>12.01A Glazenwasser A 0 t/m 7 jaar</v>
      </c>
      <c r="C33" s="246" t="s">
        <v>360</v>
      </c>
      <c r="D33" s="242" t="s">
        <v>255</v>
      </c>
      <c r="E33" s="242" t="s">
        <v>251</v>
      </c>
      <c r="F33" s="239"/>
      <c r="G33" s="239"/>
      <c r="H33" s="239"/>
      <c r="I33" s="239">
        <v>0</v>
      </c>
      <c r="J33" s="540">
        <f t="shared" ref="J33:J34" si="14">F33*$J$12</f>
        <v>0</v>
      </c>
      <c r="K33" s="239">
        <v>0</v>
      </c>
      <c r="L33" s="532">
        <f t="shared" ref="L33:L34" si="15">SUM(F33:K33)</f>
        <v>0</v>
      </c>
      <c r="N33" s="541">
        <f>L33*$N$32</f>
        <v>0</v>
      </c>
      <c r="O33" s="532">
        <f t="shared" ref="O33:O34" si="16">SUM(L33:N33)</f>
        <v>0</v>
      </c>
      <c r="Q33" s="542">
        <f t="shared" si="9"/>
        <v>0</v>
      </c>
      <c r="R33" s="540">
        <f>IF(Q33=0,0,Q33*'1.4-Premies en opslagen'!$D$33)</f>
        <v>0</v>
      </c>
      <c r="S33" s="532">
        <f t="shared" ref="S33:S34" si="17">R33+O33</f>
        <v>0</v>
      </c>
      <c r="U33" s="540">
        <f>S33*'1.4-Premies en opslagen'!$D$66</f>
        <v>0</v>
      </c>
      <c r="V33" s="532">
        <f t="shared" ref="V33:V34" si="18">SUM(S33:U33)</f>
        <v>0</v>
      </c>
      <c r="X33" s="239"/>
      <c r="Y33" s="239"/>
      <c r="Z33" s="239"/>
      <c r="AA33" s="532">
        <f>SUM(V33:Z33)</f>
        <v>0</v>
      </c>
      <c r="AC33" s="239"/>
      <c r="AD33" s="239"/>
      <c r="AE33" s="239"/>
      <c r="AF33" s="239"/>
      <c r="AG33" s="239"/>
      <c r="AH33" s="239"/>
      <c r="AI33" s="239"/>
      <c r="AJ33" s="239"/>
      <c r="AK33" s="532">
        <f>SUM(AA33:AJ33)+SUM(AA33:AJ33)*'1.1a-Jaarprijzen'!$C$143</f>
        <v>0</v>
      </c>
      <c r="AM33" s="239">
        <f t="shared" si="10"/>
        <v>0</v>
      </c>
      <c r="AO33" s="543">
        <f t="shared" ref="AO33:AO34" si="19">SUM(AK33:AN33)</f>
        <v>0</v>
      </c>
      <c r="AQ33" s="543">
        <f>($V33*0.3)+$AO33</f>
        <v>0</v>
      </c>
      <c r="AS33" s="543">
        <f>($V33*0.5)+$AO33</f>
        <v>0</v>
      </c>
      <c r="AU33" s="543">
        <f>($V33*1.5)+$AO33</f>
        <v>0</v>
      </c>
      <c r="AW33" s="238"/>
    </row>
    <row r="34" spans="1:49" ht="23" customHeight="1">
      <c r="A34" s="305" t="str">
        <f t="shared" si="6"/>
        <v>12.01B Glazenwasser B 0 t/m 7 jaar</v>
      </c>
      <c r="B34" s="305" t="str">
        <f t="shared" si="6"/>
        <v>12.01B Glazenwasser B 0 t/m 7 jaar</v>
      </c>
      <c r="C34" s="245" t="s">
        <v>361</v>
      </c>
      <c r="D34" s="242" t="s">
        <v>255</v>
      </c>
      <c r="E34" s="242">
        <v>2</v>
      </c>
      <c r="F34" s="239"/>
      <c r="G34" s="239"/>
      <c r="H34" s="239"/>
      <c r="I34" s="239">
        <v>0</v>
      </c>
      <c r="J34" s="540">
        <f t="shared" si="14"/>
        <v>0</v>
      </c>
      <c r="K34" s="239">
        <v>0</v>
      </c>
      <c r="L34" s="532">
        <f t="shared" si="15"/>
        <v>0</v>
      </c>
      <c r="N34" s="541">
        <f>L34*$N$32</f>
        <v>0</v>
      </c>
      <c r="O34" s="532">
        <f t="shared" si="16"/>
        <v>0</v>
      </c>
      <c r="Q34" s="542">
        <f t="shared" si="9"/>
        <v>0</v>
      </c>
      <c r="R34" s="540">
        <f>IF(Q34=0,0,Q34*'1.4-Premies en opslagen'!$D$33)</f>
        <v>0</v>
      </c>
      <c r="S34" s="532">
        <f t="shared" si="17"/>
        <v>0</v>
      </c>
      <c r="U34" s="540">
        <f>S34*'1.4-Premies en opslagen'!$D$66</f>
        <v>0</v>
      </c>
      <c r="V34" s="532">
        <f t="shared" si="18"/>
        <v>0</v>
      </c>
      <c r="X34" s="239"/>
      <c r="Y34" s="239"/>
      <c r="Z34" s="239"/>
      <c r="AA34" s="532">
        <f>SUM(V34:Z34)</f>
        <v>0</v>
      </c>
      <c r="AC34" s="239"/>
      <c r="AD34" s="239"/>
      <c r="AE34" s="239"/>
      <c r="AF34" s="239"/>
      <c r="AG34" s="239"/>
      <c r="AH34" s="239"/>
      <c r="AI34" s="239"/>
      <c r="AJ34" s="239"/>
      <c r="AK34" s="532">
        <f>SUM(AA34:AJ34)+SUM(AA34:AJ34)*'1.1a-Jaarprijzen'!$C$143</f>
        <v>0</v>
      </c>
      <c r="AM34" s="239">
        <f t="shared" si="10"/>
        <v>0</v>
      </c>
      <c r="AO34" s="543">
        <f t="shared" si="19"/>
        <v>0</v>
      </c>
      <c r="AQ34" s="543">
        <f>($V34*0.3)+$AO34</f>
        <v>0</v>
      </c>
      <c r="AS34" s="543">
        <f>($V34*0.5)+$AO34</f>
        <v>0</v>
      </c>
      <c r="AU34" s="543">
        <f>($V34*1.5)+$AO34</f>
        <v>0</v>
      </c>
      <c r="AW34" s="238"/>
    </row>
    <row r="35" spans="1:49" ht="23" customHeight="1">
      <c r="C35" s="245"/>
      <c r="F35" s="634"/>
      <c r="G35" s="239"/>
      <c r="H35" s="239"/>
      <c r="I35" s="239"/>
      <c r="J35" s="540"/>
      <c r="K35" s="239"/>
      <c r="L35" s="532"/>
      <c r="N35" s="541"/>
      <c r="O35" s="532"/>
      <c r="Q35" s="542"/>
      <c r="R35" s="540"/>
      <c r="S35" s="532"/>
      <c r="U35" s="540"/>
      <c r="V35" s="532"/>
      <c r="X35" s="239"/>
      <c r="Y35" s="239"/>
      <c r="Z35" s="239"/>
      <c r="AA35" s="532"/>
      <c r="AC35" s="239"/>
      <c r="AD35" s="239"/>
      <c r="AE35" s="239"/>
      <c r="AF35" s="239"/>
      <c r="AG35" s="239"/>
      <c r="AH35" s="239"/>
      <c r="AI35" s="239"/>
      <c r="AJ35" s="239"/>
      <c r="AK35" s="532"/>
      <c r="AM35" s="239"/>
      <c r="AO35" s="543"/>
      <c r="AQ35" s="543"/>
      <c r="AS35" s="543"/>
      <c r="AU35" s="543"/>
      <c r="AW35" s="238"/>
    </row>
    <row r="36" spans="1:49"/>
    <row r="37" spans="1:49" ht="14" thickBot="1"/>
    <row r="38" spans="1:49" ht="17" customHeight="1">
      <c r="Q38" s="575">
        <f>SUM(Q13:Q31)</f>
        <v>0</v>
      </c>
      <c r="R38" s="576" t="s">
        <v>391</v>
      </c>
      <c r="S38" s="577"/>
      <c r="T38" s="578"/>
      <c r="U38" s="578"/>
      <c r="V38" s="578"/>
      <c r="W38" s="578"/>
      <c r="X38" s="578"/>
      <c r="Y38" s="578"/>
      <c r="Z38" s="579"/>
    </row>
    <row r="39" spans="1:49" ht="17" customHeight="1">
      <c r="Q39" s="580">
        <f>COUNTIF(Q13:Q31,"&gt;0,01")</f>
        <v>0</v>
      </c>
      <c r="R39" s="581" t="s">
        <v>392</v>
      </c>
      <c r="S39" s="582"/>
      <c r="T39" s="583"/>
      <c r="U39" s="583"/>
      <c r="V39" s="583"/>
      <c r="W39" s="583"/>
      <c r="X39" s="583"/>
      <c r="Y39" s="583"/>
      <c r="Z39" s="584"/>
    </row>
    <row r="40" spans="1:49" ht="17" customHeight="1" thickBot="1">
      <c r="Q40" s="727">
        <f>IF(Q38=0,0,Q38/Q39)</f>
        <v>0</v>
      </c>
      <c r="R40" s="585" t="s">
        <v>393</v>
      </c>
      <c r="S40" s="586"/>
      <c r="T40" s="587"/>
      <c r="U40" s="587"/>
      <c r="V40" s="587"/>
      <c r="W40" s="587"/>
      <c r="X40" s="587"/>
      <c r="Y40" s="587"/>
      <c r="Z40" s="588"/>
    </row>
    <row r="41" spans="1:49">
      <c r="R41" s="272"/>
    </row>
    <row r="42" spans="1:49" hidden="1">
      <c r="I42" s="607"/>
    </row>
    <row r="43" spans="1:49" hidden="1">
      <c r="I43" s="607"/>
    </row>
    <row r="44" spans="1:49" hidden="1"/>
    <row r="45" spans="1:49" hidden="1">
      <c r="I45" s="607"/>
      <c r="AC45" s="608"/>
    </row>
    <row r="46" spans="1:49" hidden="1">
      <c r="I46" s="607"/>
    </row>
    <row r="47" spans="1:49" hidden="1">
      <c r="I47" s="607"/>
    </row>
    <row r="48" spans="1:49" hidden="1">
      <c r="I48" s="607"/>
    </row>
    <row r="49" spans="9:9" hidden="1">
      <c r="I49" s="607"/>
    </row>
    <row r="50" spans="9:9" hidden="1">
      <c r="I50" s="607"/>
    </row>
    <row r="51" spans="9:9" hidden="1">
      <c r="I51" s="272"/>
    </row>
    <row r="52" spans="9:9" hidden="1">
      <c r="I52" s="607"/>
    </row>
    <row r="53" spans="9:9" hidden="1">
      <c r="I53" s="607"/>
    </row>
    <row r="54" spans="9:9" hidden="1">
      <c r="I54" s="607"/>
    </row>
    <row r="55" spans="9:9" hidden="1">
      <c r="I55" s="607"/>
    </row>
    <row r="56" spans="9:9" hidden="1">
      <c r="I56" s="272"/>
    </row>
    <row r="57" spans="9:9" hidden="1">
      <c r="I57" s="243"/>
    </row>
    <row r="58" spans="9:9" hidden="1">
      <c r="I58" s="243"/>
    </row>
  </sheetData>
  <mergeCells count="1">
    <mergeCell ref="J6:M6"/>
  </mergeCells>
  <phoneticPr fontId="12" type="noConversion"/>
  <conditionalFormatting sqref="N12">
    <cfRule type="cellIs" dxfId="98" priority="592" stopIfTrue="1" operator="lessThanOrEqual">
      <formula>0</formula>
    </cfRule>
  </conditionalFormatting>
  <conditionalFormatting sqref="I18 I20 I23 I25 I27:I31">
    <cfRule type="cellIs" dxfId="97" priority="580" stopIfTrue="1" operator="lessThanOrEqual">
      <formula>0</formula>
    </cfRule>
  </conditionalFormatting>
  <conditionalFormatting sqref="I19">
    <cfRule type="cellIs" dxfId="96" priority="579" stopIfTrue="1" operator="lessThanOrEqual">
      <formula>0</formula>
    </cfRule>
  </conditionalFormatting>
  <conditionalFormatting sqref="I21">
    <cfRule type="cellIs" dxfId="95" priority="578" stopIfTrue="1" operator="lessThanOrEqual">
      <formula>0</formula>
    </cfRule>
  </conditionalFormatting>
  <conditionalFormatting sqref="I22">
    <cfRule type="cellIs" dxfId="94" priority="577" stopIfTrue="1" operator="lessThanOrEqual">
      <formula>0</formula>
    </cfRule>
  </conditionalFormatting>
  <conditionalFormatting sqref="I24">
    <cfRule type="cellIs" dxfId="93" priority="576" stopIfTrue="1" operator="lessThanOrEqual">
      <formula>0</formula>
    </cfRule>
  </conditionalFormatting>
  <conditionalFormatting sqref="I26">
    <cfRule type="cellIs" dxfId="92" priority="575" stopIfTrue="1" operator="lessThanOrEqual">
      <formula>0</formula>
    </cfRule>
  </conditionalFormatting>
  <conditionalFormatting sqref="K18 K20 K23 K25 K27:K31">
    <cfRule type="cellIs" dxfId="91" priority="574" stopIfTrue="1" operator="lessThanOrEqual">
      <formula>0</formula>
    </cfRule>
  </conditionalFormatting>
  <conditionalFormatting sqref="K19">
    <cfRule type="cellIs" dxfId="90" priority="573" stopIfTrue="1" operator="lessThanOrEqual">
      <formula>0</formula>
    </cfRule>
  </conditionalFormatting>
  <conditionalFormatting sqref="K21">
    <cfRule type="cellIs" dxfId="89" priority="572" stopIfTrue="1" operator="lessThanOrEqual">
      <formula>0</formula>
    </cfRule>
  </conditionalFormatting>
  <conditionalFormatting sqref="K22">
    <cfRule type="cellIs" dxfId="88" priority="571" stopIfTrue="1" operator="lessThanOrEqual">
      <formula>0</formula>
    </cfRule>
  </conditionalFormatting>
  <conditionalFormatting sqref="K24">
    <cfRule type="cellIs" dxfId="87" priority="570" stopIfTrue="1" operator="lessThanOrEqual">
      <formula>0</formula>
    </cfRule>
  </conditionalFormatting>
  <conditionalFormatting sqref="K26">
    <cfRule type="cellIs" dxfId="86" priority="569" stopIfTrue="1" operator="lessThanOrEqual">
      <formula>0</formula>
    </cfRule>
  </conditionalFormatting>
  <conditionalFormatting sqref="I13">
    <cfRule type="cellIs" dxfId="85" priority="543" stopIfTrue="1" operator="lessThanOrEqual">
      <formula>0</formula>
    </cfRule>
  </conditionalFormatting>
  <conditionalFormatting sqref="I17">
    <cfRule type="cellIs" dxfId="84" priority="542" stopIfTrue="1" operator="lessThanOrEqual">
      <formula>0</formula>
    </cfRule>
  </conditionalFormatting>
  <conditionalFormatting sqref="K13">
    <cfRule type="cellIs" dxfId="83" priority="541" stopIfTrue="1" operator="lessThanOrEqual">
      <formula>0</formula>
    </cfRule>
  </conditionalFormatting>
  <conditionalFormatting sqref="K17">
    <cfRule type="cellIs" dxfId="82" priority="540" stopIfTrue="1" operator="lessThanOrEqual">
      <formula>0</formula>
    </cfRule>
  </conditionalFormatting>
  <conditionalFormatting sqref="I16">
    <cfRule type="cellIs" dxfId="81" priority="526" stopIfTrue="1" operator="lessThanOrEqual">
      <formula>0</formula>
    </cfRule>
  </conditionalFormatting>
  <conditionalFormatting sqref="K16">
    <cfRule type="cellIs" dxfId="80" priority="525" stopIfTrue="1" operator="lessThanOrEqual">
      <formula>0</formula>
    </cfRule>
  </conditionalFormatting>
  <conditionalFormatting sqref="I15">
    <cfRule type="cellIs" dxfId="79" priority="521" stopIfTrue="1" operator="lessThanOrEqual">
      <formula>0</formula>
    </cfRule>
  </conditionalFormatting>
  <conditionalFormatting sqref="K15">
    <cfRule type="cellIs" dxfId="78" priority="520" stopIfTrue="1" operator="lessThanOrEqual">
      <formula>0</formula>
    </cfRule>
  </conditionalFormatting>
  <conditionalFormatting sqref="I14">
    <cfRule type="cellIs" dxfId="77" priority="515" stopIfTrue="1" operator="lessThanOrEqual">
      <formula>0</formula>
    </cfRule>
  </conditionalFormatting>
  <conditionalFormatting sqref="K14">
    <cfRule type="cellIs" dxfId="76" priority="514" stopIfTrue="1" operator="lessThanOrEqual">
      <formula>0</formula>
    </cfRule>
  </conditionalFormatting>
  <conditionalFormatting sqref="J12">
    <cfRule type="cellIs" dxfId="75" priority="499" stopIfTrue="1" operator="lessThanOrEqual">
      <formula>0</formula>
    </cfRule>
  </conditionalFormatting>
  <conditionalFormatting sqref="AC13:AC31">
    <cfRule type="cellIs" dxfId="74" priority="235" stopIfTrue="1" operator="lessThanOrEqual">
      <formula>0</formula>
    </cfRule>
  </conditionalFormatting>
  <conditionalFormatting sqref="AF13:AF31">
    <cfRule type="cellIs" dxfId="73" priority="232" stopIfTrue="1" operator="lessThanOrEqual">
      <formula>0</formula>
    </cfRule>
  </conditionalFormatting>
  <conditionalFormatting sqref="AI13:AJ31">
    <cfRule type="cellIs" dxfId="72" priority="229" stopIfTrue="1" operator="lessThanOrEqual">
      <formula>0</formula>
    </cfRule>
  </conditionalFormatting>
  <conditionalFormatting sqref="Y13:Y27">
    <cfRule type="cellIs" dxfId="71" priority="260" stopIfTrue="1" operator="lessThanOrEqual">
      <formula>0</formula>
    </cfRule>
  </conditionalFormatting>
  <conditionalFormatting sqref="X13:X27">
    <cfRule type="cellIs" dxfId="70" priority="259" stopIfTrue="1" operator="lessThanOrEqual">
      <formula>0</formula>
    </cfRule>
  </conditionalFormatting>
  <conditionalFormatting sqref="Z13:Z29">
    <cfRule type="cellIs" dxfId="69" priority="256" stopIfTrue="1" operator="lessThanOrEqual">
      <formula>0</formula>
    </cfRule>
  </conditionalFormatting>
  <conditionalFormatting sqref="AE13:AE31">
    <cfRule type="cellIs" dxfId="68" priority="233" stopIfTrue="1" operator="lessThanOrEqual">
      <formula>0</formula>
    </cfRule>
  </conditionalFormatting>
  <conditionalFormatting sqref="AG13:AG31">
    <cfRule type="cellIs" dxfId="67" priority="231" stopIfTrue="1" operator="lessThanOrEqual">
      <formula>0</formula>
    </cfRule>
  </conditionalFormatting>
  <conditionalFormatting sqref="AH13:AH31">
    <cfRule type="cellIs" dxfId="66" priority="230" stopIfTrue="1" operator="lessThanOrEqual">
      <formula>0</formula>
    </cfRule>
  </conditionalFormatting>
  <conditionalFormatting sqref="AD13:AD31">
    <cfRule type="cellIs" dxfId="65" priority="234" stopIfTrue="1" operator="lessThanOrEqual">
      <formula>0</formula>
    </cfRule>
  </conditionalFormatting>
  <conditionalFormatting sqref="G24">
    <cfRule type="cellIs" dxfId="64" priority="160" stopIfTrue="1" operator="lessThanOrEqual">
      <formula>0</formula>
    </cfRule>
  </conditionalFormatting>
  <conditionalFormatting sqref="G14">
    <cfRule type="cellIs" dxfId="63" priority="144" stopIfTrue="1" operator="lessThanOrEqual">
      <formula>0</formula>
    </cfRule>
  </conditionalFormatting>
  <conditionalFormatting sqref="G13">
    <cfRule type="cellIs" dxfId="62" priority="152" stopIfTrue="1" operator="lessThanOrEqual">
      <formula>0</formula>
    </cfRule>
  </conditionalFormatting>
  <conditionalFormatting sqref="G17">
    <cfRule type="cellIs" dxfId="61" priority="151" stopIfTrue="1" operator="lessThanOrEqual">
      <formula>0</formula>
    </cfRule>
  </conditionalFormatting>
  <conditionalFormatting sqref="G16">
    <cfRule type="cellIs" dxfId="60" priority="148" stopIfTrue="1" operator="lessThanOrEqual">
      <formula>0</formula>
    </cfRule>
  </conditionalFormatting>
  <conditionalFormatting sqref="G15">
    <cfRule type="cellIs" dxfId="59" priority="146" stopIfTrue="1" operator="lessThanOrEqual">
      <formula>0</formula>
    </cfRule>
  </conditionalFormatting>
  <conditionalFormatting sqref="F13:F14 F16:F31">
    <cfRule type="cellIs" dxfId="58" priority="142" stopIfTrue="1" operator="lessThanOrEqual">
      <formula>0</formula>
    </cfRule>
  </conditionalFormatting>
  <conditionalFormatting sqref="Z30:Z31">
    <cfRule type="cellIs" dxfId="57" priority="136" stopIfTrue="1" operator="lessThanOrEqual">
      <formula>0</formula>
    </cfRule>
  </conditionalFormatting>
  <conditionalFormatting sqref="G18 G20 G23 G25 G27:G31">
    <cfRule type="cellIs" dxfId="56" priority="164" stopIfTrue="1" operator="lessThanOrEqual">
      <formula>0</formula>
    </cfRule>
  </conditionalFormatting>
  <conditionalFormatting sqref="G19">
    <cfRule type="cellIs" dxfId="55" priority="163" stopIfTrue="1" operator="lessThanOrEqual">
      <formula>0</formula>
    </cfRule>
  </conditionalFormatting>
  <conditionalFormatting sqref="G21">
    <cfRule type="cellIs" dxfId="54" priority="162" stopIfTrue="1" operator="lessThanOrEqual">
      <formula>0</formula>
    </cfRule>
  </conditionalFormatting>
  <conditionalFormatting sqref="G22">
    <cfRule type="cellIs" dxfId="53" priority="161" stopIfTrue="1" operator="lessThanOrEqual">
      <formula>0</formula>
    </cfRule>
  </conditionalFormatting>
  <conditionalFormatting sqref="G26">
    <cfRule type="cellIs" dxfId="52" priority="159" stopIfTrue="1" operator="lessThanOrEqual">
      <formula>0</formula>
    </cfRule>
  </conditionalFormatting>
  <conditionalFormatting sqref="G33:G35">
    <cfRule type="cellIs" dxfId="51" priority="118" stopIfTrue="1" operator="lessThanOrEqual">
      <formula>0</formula>
    </cfRule>
  </conditionalFormatting>
  <conditionalFormatting sqref="I33:I35">
    <cfRule type="cellIs" dxfId="50" priority="117" stopIfTrue="1" operator="lessThanOrEqual">
      <formula>0</formula>
    </cfRule>
  </conditionalFormatting>
  <conditionalFormatting sqref="K33:K35">
    <cfRule type="cellIs" dxfId="49" priority="116" stopIfTrue="1" operator="lessThanOrEqual">
      <formula>0</formula>
    </cfRule>
  </conditionalFormatting>
  <conditionalFormatting sqref="AI34:AI35">
    <cfRule type="cellIs" dxfId="48" priority="115" stopIfTrue="1" operator="lessThanOrEqual">
      <formula>0</formula>
    </cfRule>
  </conditionalFormatting>
  <conditionalFormatting sqref="H33">
    <cfRule type="cellIs" dxfId="47" priority="112" stopIfTrue="1" operator="lessThanOrEqual">
      <formula>0</formula>
    </cfRule>
  </conditionalFormatting>
  <conditionalFormatting sqref="H33">
    <cfRule type="cellIs" dxfId="46" priority="111" stopIfTrue="1" operator="lessThanOrEqual">
      <formula>0</formula>
    </cfRule>
  </conditionalFormatting>
  <conditionalFormatting sqref="N32">
    <cfRule type="cellIs" dxfId="45" priority="110" stopIfTrue="1" operator="lessThanOrEqual">
      <formula>0</formula>
    </cfRule>
  </conditionalFormatting>
  <conditionalFormatting sqref="H34">
    <cfRule type="cellIs" dxfId="44" priority="108" stopIfTrue="1" operator="lessThanOrEqual">
      <formula>0</formula>
    </cfRule>
  </conditionalFormatting>
  <conditionalFormatting sqref="H34">
    <cfRule type="cellIs" dxfId="43" priority="107" stopIfTrue="1" operator="lessThanOrEqual">
      <formula>0</formula>
    </cfRule>
  </conditionalFormatting>
  <conditionalFormatting sqref="H35">
    <cfRule type="cellIs" dxfId="42" priority="106" stopIfTrue="1" operator="lessThanOrEqual">
      <formula>0</formula>
    </cfRule>
  </conditionalFormatting>
  <conditionalFormatting sqref="H35">
    <cfRule type="cellIs" dxfId="41" priority="105" stopIfTrue="1" operator="lessThanOrEqual">
      <formula>0</formula>
    </cfRule>
  </conditionalFormatting>
  <conditionalFormatting sqref="Y35">
    <cfRule type="cellIs" dxfId="40" priority="88" stopIfTrue="1" operator="lessThanOrEqual">
      <formula>0</formula>
    </cfRule>
  </conditionalFormatting>
  <conditionalFormatting sqref="X35">
    <cfRule type="cellIs" dxfId="39" priority="87" stopIfTrue="1" operator="lessThanOrEqual">
      <formula>0</formula>
    </cfRule>
  </conditionalFormatting>
  <conditionalFormatting sqref="Z34:Z35">
    <cfRule type="cellIs" dxfId="38" priority="48" stopIfTrue="1" operator="lessThanOrEqual">
      <formula>0</formula>
    </cfRule>
  </conditionalFormatting>
  <conditionalFormatting sqref="AM12">
    <cfRule type="cellIs" dxfId="37" priority="46" stopIfTrue="1" operator="lessThanOrEqual">
      <formula>0</formula>
    </cfRule>
  </conditionalFormatting>
  <conditionalFormatting sqref="AM13:AM31">
    <cfRule type="cellIs" dxfId="36" priority="42" stopIfTrue="1" operator="lessThanOrEqual">
      <formula>0</formula>
    </cfRule>
  </conditionalFormatting>
  <conditionalFormatting sqref="AM33:AM35">
    <cfRule type="cellIs" dxfId="35" priority="41" stopIfTrue="1" operator="lessThanOrEqual">
      <formula>0</formula>
    </cfRule>
  </conditionalFormatting>
  <conditionalFormatting sqref="J32">
    <cfRule type="cellIs" dxfId="34" priority="39" stopIfTrue="1" operator="lessThanOrEqual">
      <formula>0</formula>
    </cfRule>
  </conditionalFormatting>
  <conditionalFormatting sqref="Y28:Y31">
    <cfRule type="cellIs" dxfId="33" priority="33" stopIfTrue="1" operator="lessThanOrEqual">
      <formula>0</formula>
    </cfRule>
  </conditionalFormatting>
  <conditionalFormatting sqref="AC35">
    <cfRule type="cellIs" dxfId="32" priority="32" stopIfTrue="1" operator="lessThanOrEqual">
      <formula>0</formula>
    </cfRule>
  </conditionalFormatting>
  <conditionalFormatting sqref="AF35">
    <cfRule type="cellIs" dxfId="31" priority="29" stopIfTrue="1" operator="lessThanOrEqual">
      <formula>0</formula>
    </cfRule>
  </conditionalFormatting>
  <conditionalFormatting sqref="AE35">
    <cfRule type="cellIs" dxfId="30" priority="30" stopIfTrue="1" operator="lessThanOrEqual">
      <formula>0</formula>
    </cfRule>
  </conditionalFormatting>
  <conditionalFormatting sqref="AG35">
    <cfRule type="cellIs" dxfId="29" priority="28" stopIfTrue="1" operator="lessThanOrEqual">
      <formula>0</formula>
    </cfRule>
  </conditionalFormatting>
  <conditionalFormatting sqref="AH35">
    <cfRule type="cellIs" dxfId="28" priority="27" stopIfTrue="1" operator="lessThanOrEqual">
      <formula>0</formula>
    </cfRule>
  </conditionalFormatting>
  <conditionalFormatting sqref="AD35">
    <cfRule type="cellIs" dxfId="27" priority="31" stopIfTrue="1" operator="lessThanOrEqual">
      <formula>0</formula>
    </cfRule>
  </conditionalFormatting>
  <conditionalFormatting sqref="AJ35">
    <cfRule type="cellIs" dxfId="26" priority="26" stopIfTrue="1" operator="lessThanOrEqual">
      <formula>0</formula>
    </cfRule>
  </conditionalFormatting>
  <conditionalFormatting sqref="Y34">
    <cfRule type="cellIs" dxfId="25" priority="25" stopIfTrue="1" operator="lessThanOrEqual">
      <formula>0</formula>
    </cfRule>
  </conditionalFormatting>
  <conditionalFormatting sqref="X34">
    <cfRule type="cellIs" dxfId="24" priority="24" stopIfTrue="1" operator="lessThanOrEqual">
      <formula>0</formula>
    </cfRule>
  </conditionalFormatting>
  <conditionalFormatting sqref="AC34">
    <cfRule type="cellIs" dxfId="23" priority="23" stopIfTrue="1" operator="lessThanOrEqual">
      <formula>0</formula>
    </cfRule>
  </conditionalFormatting>
  <conditionalFormatting sqref="AF34">
    <cfRule type="cellIs" dxfId="22" priority="20" stopIfTrue="1" operator="lessThanOrEqual">
      <formula>0</formula>
    </cfRule>
  </conditionalFormatting>
  <conditionalFormatting sqref="AE34">
    <cfRule type="cellIs" dxfId="21" priority="21" stopIfTrue="1" operator="lessThanOrEqual">
      <formula>0</formula>
    </cfRule>
  </conditionalFormatting>
  <conditionalFormatting sqref="AG34">
    <cfRule type="cellIs" dxfId="20" priority="19" stopIfTrue="1" operator="lessThanOrEqual">
      <formula>0</formula>
    </cfRule>
  </conditionalFormatting>
  <conditionalFormatting sqref="AH34">
    <cfRule type="cellIs" dxfId="19" priority="18" stopIfTrue="1" operator="lessThanOrEqual">
      <formula>0</formula>
    </cfRule>
  </conditionalFormatting>
  <conditionalFormatting sqref="AD34">
    <cfRule type="cellIs" dxfId="18" priority="22" stopIfTrue="1" operator="lessThanOrEqual">
      <formula>0</formula>
    </cfRule>
  </conditionalFormatting>
  <conditionalFormatting sqref="AJ34">
    <cfRule type="cellIs" dxfId="17" priority="17" stopIfTrue="1" operator="lessThanOrEqual">
      <formula>0</formula>
    </cfRule>
  </conditionalFormatting>
  <conditionalFormatting sqref="F33">
    <cfRule type="cellIs" dxfId="16" priority="16" stopIfTrue="1" operator="lessThanOrEqual">
      <formula>0</formula>
    </cfRule>
  </conditionalFormatting>
  <conditionalFormatting sqref="H32">
    <cfRule type="cellIs" dxfId="15" priority="15" stopIfTrue="1" operator="lessThanOrEqual">
      <formula>0</formula>
    </cfRule>
  </conditionalFormatting>
  <conditionalFormatting sqref="F34">
    <cfRule type="cellIs" dxfId="14" priority="14" stopIfTrue="1" operator="lessThanOrEqual">
      <formula>0</formula>
    </cfRule>
  </conditionalFormatting>
  <conditionalFormatting sqref="AI33">
    <cfRule type="cellIs" dxfId="13" priority="13" stopIfTrue="1" operator="lessThanOrEqual">
      <formula>0</formula>
    </cfRule>
  </conditionalFormatting>
  <conditionalFormatting sqref="Z33">
    <cfRule type="cellIs" dxfId="12" priority="12" stopIfTrue="1" operator="lessThanOrEqual">
      <formula>0</formula>
    </cfRule>
  </conditionalFormatting>
  <conditionalFormatting sqref="Y33">
    <cfRule type="cellIs" dxfId="11" priority="11" stopIfTrue="1" operator="lessThanOrEqual">
      <formula>0</formula>
    </cfRule>
  </conditionalFormatting>
  <conditionalFormatting sqref="X33">
    <cfRule type="cellIs" dxfId="10" priority="10" stopIfTrue="1" operator="lessThanOrEqual">
      <formula>0</formula>
    </cfRule>
  </conditionalFormatting>
  <conditionalFormatting sqref="AC33">
    <cfRule type="cellIs" dxfId="9" priority="9" stopIfTrue="1" operator="lessThanOrEqual">
      <formula>0</formula>
    </cfRule>
  </conditionalFormatting>
  <conditionalFormatting sqref="AF33">
    <cfRule type="cellIs" dxfId="8" priority="6" stopIfTrue="1" operator="lessThanOrEqual">
      <formula>0</formula>
    </cfRule>
  </conditionalFormatting>
  <conditionalFormatting sqref="AE33">
    <cfRule type="cellIs" dxfId="7" priority="7" stopIfTrue="1" operator="lessThanOrEqual">
      <formula>0</formula>
    </cfRule>
  </conditionalFormatting>
  <conditionalFormatting sqref="AG33">
    <cfRule type="cellIs" dxfId="6" priority="5" stopIfTrue="1" operator="lessThanOrEqual">
      <formula>0</formula>
    </cfRule>
  </conditionalFormatting>
  <conditionalFormatting sqref="AH33">
    <cfRule type="cellIs" dxfId="5" priority="4" stopIfTrue="1" operator="lessThanOrEqual">
      <formula>0</formula>
    </cfRule>
  </conditionalFormatting>
  <conditionalFormatting sqref="AD33">
    <cfRule type="cellIs" dxfId="4" priority="8" stopIfTrue="1" operator="lessThanOrEqual">
      <formula>0</formula>
    </cfRule>
  </conditionalFormatting>
  <conditionalFormatting sqref="AJ33">
    <cfRule type="cellIs" dxfId="3" priority="3" stopIfTrue="1" operator="lessThanOrEqual">
      <formula>0</formula>
    </cfRule>
  </conditionalFormatting>
  <conditionalFormatting sqref="X28">
    <cfRule type="cellIs" dxfId="2" priority="2" stopIfTrue="1" operator="lessThanOrEqual">
      <formula>0</formula>
    </cfRule>
  </conditionalFormatting>
  <conditionalFormatting sqref="F15">
    <cfRule type="cellIs" dxfId="1" priority="1" stopIfTrue="1" operator="lessThanOrEqual">
      <formula>0</formula>
    </cfRule>
  </conditionalFormatting>
  <pageMargins left="0.1631496062992126" right="0.1631496062992126" top="0.8" bottom="1" header="0.5" footer="0.5"/>
  <pageSetup paperSize="9" scale="34" orientation="landscape"/>
  <drawing r:id="rId1"/>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enableFormatConditionsCalculation="0"/>
  <dimension ref="B1:I299"/>
  <sheetViews>
    <sheetView showGridLines="0" showZeros="0" showOutlineSymbols="0" zoomScaleSheetLayoutView="75" workbookViewId="0">
      <selection activeCell="C45" sqref="C45"/>
    </sheetView>
  </sheetViews>
  <sheetFormatPr baseColWidth="10" defaultColWidth="10.7109375"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6" width="5.7109375" style="60" customWidth="1"/>
    <col min="7" max="7" width="17.28515625" style="60" bestFit="1" customWidth="1"/>
    <col min="8" max="8" width="8.28515625" style="60" customWidth="1"/>
    <col min="9" max="16384" width="10.7109375" style="60"/>
  </cols>
  <sheetData>
    <row r="1" spans="2:6" ht="18" customHeight="1">
      <c r="B1" s="387" t="s">
        <v>32</v>
      </c>
    </row>
    <row r="2" spans="2:6"/>
    <row r="3" spans="2:6" ht="16">
      <c r="B3" s="119" t="str">
        <f>'1.5 Opbouw uurtarieven'!C2</f>
        <v>Naam opdrachtgever</v>
      </c>
      <c r="C3" s="120" t="str">
        <f>'1.5 Opbouw uurtarieven'!D2</f>
        <v>Stichting Altra - Horizon</v>
      </c>
      <c r="D3" s="121"/>
    </row>
    <row r="4" spans="2:6" ht="16">
      <c r="B4" s="119" t="str">
        <f>'1.5 Opbouw uurtarieven'!C3</f>
        <v>Omschrijving blad</v>
      </c>
      <c r="C4" s="119" t="s">
        <v>101</v>
      </c>
      <c r="D4" s="121"/>
    </row>
    <row r="5" spans="2:6" ht="16">
      <c r="B5" s="119" t="str">
        <f>'1.5 Opbouw uurtarieven'!C4</f>
        <v>Adres/plaats</v>
      </c>
      <c r="C5" s="120" t="str">
        <f>'1.5 Opbouw uurtarieven'!D4</f>
        <v>Regio Noord Holland</v>
      </c>
      <c r="D5" s="76"/>
      <c r="E5" s="76"/>
    </row>
    <row r="6" spans="2:6" ht="16">
      <c r="B6" s="119" t="str">
        <f>'1.5 Opbouw uurtarieven'!C5</f>
        <v>Besteknummer</v>
      </c>
      <c r="C6" s="120" t="str">
        <f>'1.5 Opbouw uurtarieven'!D5</f>
        <v>180417 V2</v>
      </c>
      <c r="D6" s="121"/>
    </row>
    <row r="7" spans="2:6" ht="16">
      <c r="B7" s="119" t="str">
        <f>'1.5 Opbouw uurtarieven'!C6</f>
        <v>Naam leverancier</v>
      </c>
      <c r="C7" s="120" t="str">
        <f>'1.5 Opbouw uurtarieven'!D6</f>
        <v>[NAAM LEVERANCIER]</v>
      </c>
      <c r="D7" s="642">
        <f>Voorblad!$E$15</f>
        <v>42917</v>
      </c>
    </row>
    <row r="8" spans="2:6" ht="16">
      <c r="B8" s="119"/>
      <c r="C8" s="120"/>
      <c r="D8" s="121"/>
    </row>
    <row r="9" spans="2:6" ht="16">
      <c r="B9" s="72"/>
      <c r="C9" s="122"/>
      <c r="D9" s="121"/>
    </row>
    <row r="10" spans="2:6" ht="16">
      <c r="B10" s="384" t="s">
        <v>114</v>
      </c>
      <c r="C10" s="836"/>
      <c r="D10" s="836"/>
      <c r="E10" s="836"/>
      <c r="F10" s="385"/>
    </row>
    <row r="11" spans="2:6">
      <c r="B11" s="123"/>
      <c r="C11" s="123"/>
      <c r="D11" s="123"/>
      <c r="E11" s="123"/>
    </row>
    <row r="12" spans="2:6" ht="15.75" customHeight="1">
      <c r="B12" s="49" t="s">
        <v>115</v>
      </c>
      <c r="C12" s="837"/>
      <c r="D12" s="838"/>
      <c r="E12" s="839"/>
    </row>
    <row r="13" spans="2:6">
      <c r="B13" s="370" t="s">
        <v>54</v>
      </c>
      <c r="C13" s="837"/>
      <c r="D13" s="838"/>
      <c r="E13" s="839"/>
    </row>
    <row r="14" spans="2:6">
      <c r="B14" s="124"/>
      <c r="C14" s="51"/>
      <c r="D14" s="126"/>
      <c r="E14" s="386"/>
    </row>
    <row r="15" spans="2:6" ht="16">
      <c r="B15" s="49" t="s">
        <v>155</v>
      </c>
      <c r="C15" s="51"/>
      <c r="D15" s="372"/>
      <c r="E15" s="373" t="s">
        <v>203</v>
      </c>
    </row>
    <row r="16" spans="2:6">
      <c r="B16" s="124" t="s">
        <v>120</v>
      </c>
      <c r="C16" s="51"/>
      <c r="D16" s="51"/>
      <c r="E16" s="374"/>
    </row>
    <row r="17" spans="2:5">
      <c r="B17" s="124" t="s">
        <v>59</v>
      </c>
      <c r="C17" s="51"/>
      <c r="D17" s="51"/>
      <c r="E17" s="374"/>
    </row>
    <row r="18" spans="2:5">
      <c r="B18" s="124" t="s">
        <v>189</v>
      </c>
      <c r="C18" s="51"/>
      <c r="D18" s="51"/>
      <c r="E18" s="461">
        <f>E16-E17</f>
        <v>0</v>
      </c>
    </row>
    <row r="19" spans="2:5">
      <c r="B19" s="124" t="s">
        <v>145</v>
      </c>
      <c r="C19" s="51"/>
      <c r="D19" s="51"/>
      <c r="E19" s="468"/>
    </row>
    <row r="20" spans="2:5">
      <c r="B20" s="124" t="s">
        <v>191</v>
      </c>
      <c r="C20" s="51"/>
      <c r="D20" s="51"/>
      <c r="E20" s="374"/>
    </row>
    <row r="21" spans="2:5">
      <c r="B21" s="124"/>
      <c r="C21" s="51"/>
      <c r="D21" s="126"/>
      <c r="E21" s="376"/>
    </row>
    <row r="22" spans="2:5">
      <c r="B22" s="49" t="s">
        <v>102</v>
      </c>
      <c r="C22" s="51"/>
      <c r="D22" s="51"/>
      <c r="E22" s="377"/>
    </row>
    <row r="23" spans="2:5">
      <c r="B23" s="124" t="s">
        <v>196</v>
      </c>
      <c r="C23" s="51"/>
      <c r="D23" s="51"/>
      <c r="E23" s="462">
        <f>IF(E19=0,0,(E18-E20)/E19)</f>
        <v>0</v>
      </c>
    </row>
    <row r="24" spans="2:5">
      <c r="B24" s="124" t="s">
        <v>212</v>
      </c>
      <c r="C24" s="51"/>
      <c r="D24" s="51"/>
      <c r="E24" s="374"/>
    </row>
    <row r="25" spans="2:5">
      <c r="B25" s="124" t="s">
        <v>51</v>
      </c>
      <c r="C25" s="371" t="s">
        <v>45</v>
      </c>
      <c r="D25" s="375"/>
      <c r="E25" s="463">
        <f>D25*E18</f>
        <v>0</v>
      </c>
    </row>
    <row r="26" spans="2:5">
      <c r="B26" s="124" t="s">
        <v>127</v>
      </c>
      <c r="C26" s="371" t="s">
        <v>45</v>
      </c>
      <c r="D26" s="375"/>
      <c r="E26" s="464">
        <f>D26*E18</f>
        <v>0</v>
      </c>
    </row>
    <row r="27" spans="2:5">
      <c r="B27" s="124"/>
      <c r="C27" s="51"/>
      <c r="D27" s="126"/>
      <c r="E27" s="371"/>
    </row>
    <row r="28" spans="2:5">
      <c r="B28" s="49" t="s">
        <v>93</v>
      </c>
      <c r="C28" s="51"/>
      <c r="D28" s="51"/>
      <c r="E28" s="465">
        <f>SUM(E23:E27)</f>
        <v>0</v>
      </c>
    </row>
    <row r="29" spans="2:5">
      <c r="B29" s="124"/>
      <c r="C29" s="51"/>
      <c r="D29" s="126"/>
      <c r="E29" s="371"/>
    </row>
    <row r="30" spans="2:5">
      <c r="B30" s="124" t="s">
        <v>193</v>
      </c>
      <c r="C30" s="51"/>
      <c r="D30" s="383"/>
      <c r="E30" s="465">
        <f>D30*E28</f>
        <v>0</v>
      </c>
    </row>
    <row r="31" spans="2:5" ht="16">
      <c r="B31" s="72"/>
      <c r="C31" s="122"/>
      <c r="D31" s="121"/>
      <c r="E31" s="121"/>
    </row>
    <row r="32" spans="2:5">
      <c r="B32" s="49" t="s">
        <v>115</v>
      </c>
      <c r="C32" s="837"/>
      <c r="D32" s="838"/>
      <c r="E32" s="839"/>
    </row>
    <row r="33" spans="2:9">
      <c r="B33" s="370" t="s">
        <v>54</v>
      </c>
      <c r="C33" s="837"/>
      <c r="D33" s="838"/>
      <c r="E33" s="839"/>
    </row>
    <row r="34" spans="2:9">
      <c r="B34" s="124"/>
      <c r="C34" s="51"/>
      <c r="D34" s="126"/>
      <c r="E34" s="386"/>
    </row>
    <row r="35" spans="2:9" ht="16">
      <c r="B35" s="49" t="s">
        <v>155</v>
      </c>
      <c r="C35" s="51"/>
      <c r="D35" s="372"/>
      <c r="E35" s="373" t="s">
        <v>203</v>
      </c>
    </row>
    <row r="36" spans="2:9">
      <c r="B36" s="124" t="s">
        <v>120</v>
      </c>
      <c r="C36" s="51"/>
      <c r="D36" s="51"/>
      <c r="E36" s="374"/>
      <c r="I36" s="94"/>
    </row>
    <row r="37" spans="2:9">
      <c r="B37" s="124" t="s">
        <v>59</v>
      </c>
      <c r="C37" s="51"/>
      <c r="D37" s="51"/>
      <c r="E37" s="374"/>
    </row>
    <row r="38" spans="2:9">
      <c r="B38" s="124" t="s">
        <v>189</v>
      </c>
      <c r="C38" s="51"/>
      <c r="D38" s="51"/>
      <c r="E38" s="461">
        <f>E36-E37</f>
        <v>0</v>
      </c>
    </row>
    <row r="39" spans="2:9">
      <c r="B39" s="124" t="s">
        <v>145</v>
      </c>
      <c r="C39" s="51"/>
      <c r="D39" s="51"/>
      <c r="E39" s="468"/>
    </row>
    <row r="40" spans="2:9">
      <c r="B40" s="124" t="s">
        <v>191</v>
      </c>
      <c r="C40" s="51"/>
      <c r="D40" s="51"/>
      <c r="E40" s="374"/>
    </row>
    <row r="41" spans="2:9">
      <c r="B41" s="124"/>
      <c r="C41" s="51"/>
      <c r="D41" s="126"/>
      <c r="E41" s="376"/>
    </row>
    <row r="42" spans="2:9">
      <c r="B42" s="49" t="s">
        <v>102</v>
      </c>
      <c r="C42" s="51"/>
      <c r="D42" s="51"/>
      <c r="E42" s="377"/>
    </row>
    <row r="43" spans="2:9">
      <c r="B43" s="124" t="s">
        <v>196</v>
      </c>
      <c r="C43" s="51"/>
      <c r="D43" s="51"/>
      <c r="E43" s="462">
        <f>IF(E39=0,0,(E38-E40)/E39)</f>
        <v>0</v>
      </c>
    </row>
    <row r="44" spans="2:9">
      <c r="B44" s="124" t="s">
        <v>212</v>
      </c>
      <c r="C44" s="51"/>
      <c r="D44" s="51"/>
      <c r="E44" s="374"/>
    </row>
    <row r="45" spans="2:9">
      <c r="B45" s="124" t="s">
        <v>51</v>
      </c>
      <c r="C45" s="371" t="s">
        <v>45</v>
      </c>
      <c r="D45" s="375"/>
      <c r="E45" s="463">
        <f>D45*E38</f>
        <v>0</v>
      </c>
    </row>
    <row r="46" spans="2:9">
      <c r="B46" s="124" t="s">
        <v>127</v>
      </c>
      <c r="C46" s="371" t="s">
        <v>45</v>
      </c>
      <c r="D46" s="375"/>
      <c r="E46" s="464">
        <f>D46*E38</f>
        <v>0</v>
      </c>
    </row>
    <row r="47" spans="2:9">
      <c r="B47" s="124"/>
      <c r="C47" s="51"/>
      <c r="D47" s="126"/>
      <c r="E47" s="371"/>
    </row>
    <row r="48" spans="2:9">
      <c r="B48" s="49" t="s">
        <v>93</v>
      </c>
      <c r="C48" s="51"/>
      <c r="D48" s="51"/>
      <c r="E48" s="465">
        <f>SUM(E43:E47)</f>
        <v>0</v>
      </c>
    </row>
    <row r="49" spans="2:5">
      <c r="B49" s="124"/>
      <c r="C49" s="51"/>
      <c r="D49" s="126"/>
      <c r="E49" s="371"/>
    </row>
    <row r="50" spans="2:5">
      <c r="B50" s="124" t="s">
        <v>193</v>
      </c>
      <c r="C50" s="51"/>
      <c r="D50" s="383"/>
      <c r="E50" s="465">
        <f>D50*E48</f>
        <v>0</v>
      </c>
    </row>
    <row r="51" spans="2:5" ht="16">
      <c r="B51" s="72"/>
      <c r="C51" s="122"/>
      <c r="D51" s="121"/>
      <c r="E51" s="121"/>
    </row>
    <row r="52" spans="2:5">
      <c r="B52" s="49" t="s">
        <v>115</v>
      </c>
      <c r="C52" s="837"/>
      <c r="D52" s="838"/>
      <c r="E52" s="839"/>
    </row>
    <row r="53" spans="2:5">
      <c r="B53" s="370" t="s">
        <v>54</v>
      </c>
      <c r="C53" s="837"/>
      <c r="D53" s="838"/>
      <c r="E53" s="839"/>
    </row>
    <row r="54" spans="2:5">
      <c r="B54" s="124"/>
      <c r="C54" s="51"/>
      <c r="D54" s="126"/>
      <c r="E54" s="386"/>
    </row>
    <row r="55" spans="2:5" ht="16">
      <c r="B55" s="49" t="s">
        <v>155</v>
      </c>
      <c r="C55" s="51"/>
      <c r="D55" s="372"/>
      <c r="E55" s="373" t="s">
        <v>203</v>
      </c>
    </row>
    <row r="56" spans="2:5">
      <c r="B56" s="124" t="s">
        <v>120</v>
      </c>
      <c r="C56" s="51"/>
      <c r="D56" s="51"/>
      <c r="E56" s="374"/>
    </row>
    <row r="57" spans="2:5">
      <c r="B57" s="124" t="s">
        <v>59</v>
      </c>
      <c r="C57" s="51"/>
      <c r="D57" s="51"/>
      <c r="E57" s="374"/>
    </row>
    <row r="58" spans="2:5">
      <c r="B58" s="124" t="s">
        <v>189</v>
      </c>
      <c r="C58" s="51"/>
      <c r="D58" s="51"/>
      <c r="E58" s="461">
        <f>E56-E57</f>
        <v>0</v>
      </c>
    </row>
    <row r="59" spans="2:5">
      <c r="B59" s="124" t="s">
        <v>145</v>
      </c>
      <c r="C59" s="51"/>
      <c r="D59" s="51"/>
      <c r="E59" s="468"/>
    </row>
    <row r="60" spans="2:5">
      <c r="B60" s="124" t="s">
        <v>191</v>
      </c>
      <c r="C60" s="51"/>
      <c r="D60" s="51"/>
      <c r="E60" s="374"/>
    </row>
    <row r="61" spans="2:5">
      <c r="B61" s="124"/>
      <c r="C61" s="51"/>
      <c r="D61" s="126"/>
      <c r="E61" s="376"/>
    </row>
    <row r="62" spans="2:5">
      <c r="B62" s="49" t="s">
        <v>102</v>
      </c>
      <c r="C62" s="51"/>
      <c r="D62" s="51"/>
      <c r="E62" s="377"/>
    </row>
    <row r="63" spans="2:5">
      <c r="B63" s="124" t="s">
        <v>196</v>
      </c>
      <c r="C63" s="51"/>
      <c r="D63" s="51"/>
      <c r="E63" s="462">
        <f>IF(E59=0,0,(E58-E60)/E59)</f>
        <v>0</v>
      </c>
    </row>
    <row r="64" spans="2:5">
      <c r="B64" s="124" t="s">
        <v>212</v>
      </c>
      <c r="C64" s="51"/>
      <c r="D64" s="51"/>
      <c r="E64" s="374"/>
    </row>
    <row r="65" spans="2:5">
      <c r="B65" s="124" t="s">
        <v>51</v>
      </c>
      <c r="C65" s="371" t="s">
        <v>45</v>
      </c>
      <c r="D65" s="375"/>
      <c r="E65" s="463">
        <f>D65*E58</f>
        <v>0</v>
      </c>
    </row>
    <row r="66" spans="2:5">
      <c r="B66" s="124" t="s">
        <v>127</v>
      </c>
      <c r="C66" s="371" t="s">
        <v>45</v>
      </c>
      <c r="D66" s="375"/>
      <c r="E66" s="464">
        <f>D66*E58</f>
        <v>0</v>
      </c>
    </row>
    <row r="67" spans="2:5">
      <c r="B67" s="124"/>
      <c r="C67" s="51"/>
      <c r="D67" s="126"/>
      <c r="E67" s="371"/>
    </row>
    <row r="68" spans="2:5">
      <c r="B68" s="49" t="s">
        <v>93</v>
      </c>
      <c r="C68" s="51"/>
      <c r="D68" s="51"/>
      <c r="E68" s="465">
        <f>SUM(E63:E67)</f>
        <v>0</v>
      </c>
    </row>
    <row r="69" spans="2:5">
      <c r="B69" s="124"/>
      <c r="C69" s="51"/>
      <c r="D69" s="126"/>
      <c r="E69" s="371"/>
    </row>
    <row r="70" spans="2:5">
      <c r="B70" s="124" t="s">
        <v>193</v>
      </c>
      <c r="C70" s="51"/>
      <c r="D70" s="383"/>
      <c r="E70" s="465">
        <f>D70*E68</f>
        <v>0</v>
      </c>
    </row>
    <row r="71" spans="2:5" ht="16">
      <c r="B71" s="72"/>
      <c r="C71" s="122"/>
      <c r="D71" s="121"/>
      <c r="E71" s="121"/>
    </row>
    <row r="72" spans="2:5">
      <c r="B72" s="49" t="s">
        <v>115</v>
      </c>
      <c r="C72" s="837">
        <v>0</v>
      </c>
      <c r="D72" s="838"/>
      <c r="E72" s="839"/>
    </row>
    <row r="73" spans="2:5">
      <c r="B73" s="370" t="s">
        <v>54</v>
      </c>
      <c r="C73" s="837">
        <v>0</v>
      </c>
      <c r="D73" s="838"/>
      <c r="E73" s="839"/>
    </row>
    <row r="74" spans="2:5">
      <c r="B74" s="124"/>
      <c r="C74" s="51"/>
      <c r="D74" s="126"/>
      <c r="E74" s="386"/>
    </row>
    <row r="75" spans="2:5" ht="16">
      <c r="B75" s="49" t="s">
        <v>155</v>
      </c>
      <c r="C75" s="51"/>
      <c r="D75" s="372"/>
      <c r="E75" s="373" t="s">
        <v>203</v>
      </c>
    </row>
    <row r="76" spans="2:5">
      <c r="B76" s="124" t="s">
        <v>120</v>
      </c>
      <c r="C76" s="51"/>
      <c r="D76" s="51"/>
      <c r="E76" s="374">
        <v>0</v>
      </c>
    </row>
    <row r="77" spans="2:5">
      <c r="B77" s="124" t="s">
        <v>59</v>
      </c>
      <c r="C77" s="51"/>
      <c r="D77" s="51"/>
      <c r="E77" s="374">
        <v>0</v>
      </c>
    </row>
    <row r="78" spans="2:5">
      <c r="B78" s="124" t="s">
        <v>189</v>
      </c>
      <c r="C78" s="51"/>
      <c r="D78" s="51"/>
      <c r="E78" s="378">
        <f>E76-E77</f>
        <v>0</v>
      </c>
    </row>
    <row r="79" spans="2:5">
      <c r="B79" s="124" t="s">
        <v>145</v>
      </c>
      <c r="C79" s="51"/>
      <c r="D79" s="51"/>
      <c r="E79" s="374">
        <v>0</v>
      </c>
    </row>
    <row r="80" spans="2:5">
      <c r="B80" s="124" t="s">
        <v>191</v>
      </c>
      <c r="C80" s="51"/>
      <c r="D80" s="51"/>
      <c r="E80" s="374">
        <v>0</v>
      </c>
    </row>
    <row r="81" spans="2:9">
      <c r="B81" s="124"/>
      <c r="C81" s="51"/>
      <c r="D81" s="126"/>
      <c r="E81" s="376"/>
    </row>
    <row r="82" spans="2:9">
      <c r="B82" s="49" t="s">
        <v>102</v>
      </c>
      <c r="C82" s="51"/>
      <c r="D82" s="51"/>
      <c r="E82" s="377"/>
    </row>
    <row r="83" spans="2:9">
      <c r="B83" s="124" t="s">
        <v>196</v>
      </c>
      <c r="C83" s="51"/>
      <c r="D83" s="51"/>
      <c r="E83" s="379">
        <f>IF(E79=0,0,(E78-E80)/E79)</f>
        <v>0</v>
      </c>
    </row>
    <row r="84" spans="2:9">
      <c r="B84" s="124" t="s">
        <v>212</v>
      </c>
      <c r="C84" s="51"/>
      <c r="D84" s="51"/>
      <c r="E84" s="374">
        <v>0</v>
      </c>
    </row>
    <row r="85" spans="2:9">
      <c r="B85" s="124" t="s">
        <v>51</v>
      </c>
      <c r="C85" s="371" t="s">
        <v>45</v>
      </c>
      <c r="D85" s="375">
        <v>0</v>
      </c>
      <c r="E85" s="380">
        <f>D85*E78</f>
        <v>0</v>
      </c>
    </row>
    <row r="86" spans="2:9">
      <c r="B86" s="124" t="s">
        <v>127</v>
      </c>
      <c r="C86" s="371" t="s">
        <v>45</v>
      </c>
      <c r="D86" s="375">
        <v>0</v>
      </c>
      <c r="E86" s="381">
        <f>D86*E78</f>
        <v>0</v>
      </c>
    </row>
    <row r="87" spans="2:9">
      <c r="B87" s="124"/>
      <c r="C87" s="51"/>
      <c r="D87" s="126"/>
      <c r="E87" s="371"/>
    </row>
    <row r="88" spans="2:9">
      <c r="B88" s="49" t="s">
        <v>93</v>
      </c>
      <c r="C88" s="51"/>
      <c r="D88" s="51"/>
      <c r="E88" s="382">
        <f>SUM(E83:E87)</f>
        <v>0</v>
      </c>
    </row>
    <row r="89" spans="2:9">
      <c r="B89" s="124"/>
      <c r="C89" s="51"/>
      <c r="D89" s="126"/>
      <c r="E89" s="371"/>
    </row>
    <row r="90" spans="2:9">
      <c r="B90" s="124" t="s">
        <v>193</v>
      </c>
      <c r="C90" s="51"/>
      <c r="D90" s="383">
        <v>0</v>
      </c>
      <c r="E90" s="382">
        <f>D90*E88</f>
        <v>0</v>
      </c>
    </row>
    <row r="91" spans="2:9" ht="16">
      <c r="B91" s="72"/>
      <c r="C91" s="122"/>
      <c r="D91" s="121"/>
      <c r="E91" s="121"/>
    </row>
    <row r="92" spans="2:9">
      <c r="B92" s="124"/>
      <c r="C92" s="51"/>
      <c r="D92" s="51"/>
      <c r="E92" s="127"/>
    </row>
    <row r="93" spans="2:9">
      <c r="B93" s="49" t="s">
        <v>166</v>
      </c>
      <c r="C93" s="570" t="s">
        <v>100</v>
      </c>
      <c r="D93" s="125"/>
      <c r="E93" s="389">
        <f>(E90+E70+E50+E30)</f>
        <v>0</v>
      </c>
    </row>
    <row r="94" spans="2:9"/>
    <row r="95" spans="2:9">
      <c r="G95" s="567" t="s">
        <v>383</v>
      </c>
    </row>
    <row r="96" spans="2:9" ht="26">
      <c r="B96" s="566" t="s">
        <v>41</v>
      </c>
      <c r="C96" s="565" t="s">
        <v>384</v>
      </c>
      <c r="D96" s="564"/>
      <c r="E96" s="565" t="s">
        <v>385</v>
      </c>
      <c r="F96" s="564"/>
      <c r="G96" s="568">
        <f>'1.0-Contractblad'!H29</f>
        <v>0</v>
      </c>
      <c r="I96" s="564"/>
    </row>
    <row r="97" spans="2:8" hidden="1">
      <c r="B97" s="118">
        <f>'1.1a-Jaarprijzen'!B11</f>
        <v>0</v>
      </c>
      <c r="C97" s="563">
        <f>IF($G$96=0,0,G97/$G$96)</f>
        <v>0</v>
      </c>
      <c r="E97" s="388">
        <f>C97*E$93</f>
        <v>0</v>
      </c>
      <c r="G97" s="569">
        <f>'1.1a-Jaarprijzen'!H11+'1.1a-Jaarprijzen'!I11</f>
        <v>0</v>
      </c>
      <c r="H97" s="834" t="s">
        <v>386</v>
      </c>
    </row>
    <row r="98" spans="2:8" hidden="1">
      <c r="B98" s="118">
        <f>'1.1a-Jaarprijzen'!B12</f>
        <v>0</v>
      </c>
      <c r="C98" s="563">
        <f t="shared" ref="C98:C146" si="0">IF($G$96=0,0,G98/$G$96)</f>
        <v>0</v>
      </c>
      <c r="E98" s="388">
        <f t="shared" ref="E98:E147" si="1">C98*E$93</f>
        <v>0</v>
      </c>
      <c r="G98" s="569">
        <f>'1.1a-Jaarprijzen'!H12+'1.1a-Jaarprijzen'!I12</f>
        <v>0</v>
      </c>
      <c r="H98" s="835"/>
    </row>
    <row r="99" spans="2:8" hidden="1">
      <c r="B99" s="118">
        <f>'1.1a-Jaarprijzen'!B13</f>
        <v>0</v>
      </c>
      <c r="C99" s="563">
        <f t="shared" si="0"/>
        <v>0</v>
      </c>
      <c r="E99" s="388">
        <f t="shared" si="1"/>
        <v>0</v>
      </c>
      <c r="G99" s="569">
        <f>'1.1a-Jaarprijzen'!H13+'1.1a-Jaarprijzen'!I13</f>
        <v>0</v>
      </c>
      <c r="H99" s="835"/>
    </row>
    <row r="100" spans="2:8" hidden="1">
      <c r="B100" s="118">
        <f>'1.1a-Jaarprijzen'!B14</f>
        <v>0</v>
      </c>
      <c r="C100" s="563">
        <f t="shared" si="0"/>
        <v>0</v>
      </c>
      <c r="E100" s="388">
        <f t="shared" si="1"/>
        <v>0</v>
      </c>
      <c r="G100" s="569">
        <f>'1.1a-Jaarprijzen'!H14+'1.1a-Jaarprijzen'!I14</f>
        <v>0</v>
      </c>
      <c r="H100" s="835"/>
    </row>
    <row r="101" spans="2:8" hidden="1">
      <c r="B101" s="118">
        <f>'1.1a-Jaarprijzen'!B15</f>
        <v>0</v>
      </c>
      <c r="C101" s="563">
        <f t="shared" si="0"/>
        <v>0</v>
      </c>
      <c r="E101" s="388">
        <f t="shared" si="1"/>
        <v>0</v>
      </c>
      <c r="G101" s="569">
        <f>'1.1a-Jaarprijzen'!H15+'1.1a-Jaarprijzen'!I15</f>
        <v>0</v>
      </c>
      <c r="H101" s="835"/>
    </row>
    <row r="102" spans="2:8" hidden="1">
      <c r="B102" s="118">
        <f>'1.1a-Jaarprijzen'!B16</f>
        <v>0</v>
      </c>
      <c r="C102" s="563">
        <f t="shared" si="0"/>
        <v>0</v>
      </c>
      <c r="E102" s="388">
        <f t="shared" si="1"/>
        <v>0</v>
      </c>
      <c r="G102" s="569">
        <f>'1.1a-Jaarprijzen'!H16+'1.1a-Jaarprijzen'!I16</f>
        <v>0</v>
      </c>
      <c r="H102" s="835"/>
    </row>
    <row r="103" spans="2:8" hidden="1">
      <c r="B103" s="118">
        <f>'1.1a-Jaarprijzen'!B17</f>
        <v>0</v>
      </c>
      <c r="C103" s="563">
        <f t="shared" si="0"/>
        <v>0</v>
      </c>
      <c r="E103" s="388">
        <f t="shared" si="1"/>
        <v>0</v>
      </c>
      <c r="G103" s="569">
        <f>'1.1a-Jaarprijzen'!H17+'1.1a-Jaarprijzen'!I17</f>
        <v>0</v>
      </c>
      <c r="H103" s="835"/>
    </row>
    <row r="104" spans="2:8" hidden="1">
      <c r="B104" s="118">
        <f>'1.1a-Jaarprijzen'!B18</f>
        <v>0</v>
      </c>
      <c r="C104" s="563">
        <f t="shared" si="0"/>
        <v>0</v>
      </c>
      <c r="E104" s="388">
        <f t="shared" si="1"/>
        <v>0</v>
      </c>
      <c r="G104" s="569">
        <f>'1.1a-Jaarprijzen'!H18+'1.1a-Jaarprijzen'!I18</f>
        <v>0</v>
      </c>
      <c r="H104" s="835"/>
    </row>
    <row r="105" spans="2:8" hidden="1">
      <c r="B105" s="118">
        <f>'1.1a-Jaarprijzen'!B19</f>
        <v>0</v>
      </c>
      <c r="C105" s="563">
        <f t="shared" si="0"/>
        <v>0</v>
      </c>
      <c r="E105" s="388">
        <f t="shared" si="1"/>
        <v>0</v>
      </c>
      <c r="G105" s="569">
        <f>'1.1a-Jaarprijzen'!H19+'1.1a-Jaarprijzen'!I19</f>
        <v>0</v>
      </c>
      <c r="H105" s="835"/>
    </row>
    <row r="106" spans="2:8" hidden="1">
      <c r="B106" s="118">
        <f>'1.1a-Jaarprijzen'!B20</f>
        <v>0</v>
      </c>
      <c r="C106" s="563">
        <f t="shared" si="0"/>
        <v>0</v>
      </c>
      <c r="E106" s="388">
        <f t="shared" si="1"/>
        <v>0</v>
      </c>
      <c r="G106" s="569">
        <f>'1.1a-Jaarprijzen'!H20+'1.1a-Jaarprijzen'!I20</f>
        <v>0</v>
      </c>
      <c r="H106" s="835"/>
    </row>
    <row r="107" spans="2:8" hidden="1">
      <c r="B107" s="118">
        <f>'1.1a-Jaarprijzen'!B21</f>
        <v>0</v>
      </c>
      <c r="C107" s="563">
        <f t="shared" si="0"/>
        <v>0</v>
      </c>
      <c r="E107" s="388">
        <f t="shared" si="1"/>
        <v>0</v>
      </c>
      <c r="G107" s="569">
        <f>'1.1a-Jaarprijzen'!H21+'1.1a-Jaarprijzen'!I21</f>
        <v>0</v>
      </c>
      <c r="H107" s="835"/>
    </row>
    <row r="108" spans="2:8" hidden="1">
      <c r="B108" s="118">
        <f>'1.1a-Jaarprijzen'!B22</f>
        <v>0</v>
      </c>
      <c r="C108" s="563">
        <f t="shared" si="0"/>
        <v>0</v>
      </c>
      <c r="E108" s="388">
        <f t="shared" si="1"/>
        <v>0</v>
      </c>
      <c r="G108" s="569">
        <f>'1.1a-Jaarprijzen'!H22+'1.1a-Jaarprijzen'!I22</f>
        <v>0</v>
      </c>
      <c r="H108" s="835"/>
    </row>
    <row r="109" spans="2:8" hidden="1">
      <c r="B109" s="118">
        <f>'1.1a-Jaarprijzen'!B23</f>
        <v>0</v>
      </c>
      <c r="C109" s="563">
        <f t="shared" si="0"/>
        <v>0</v>
      </c>
      <c r="E109" s="388">
        <f t="shared" si="1"/>
        <v>0</v>
      </c>
      <c r="G109" s="569">
        <f>'1.1a-Jaarprijzen'!H23+'1.1a-Jaarprijzen'!I23</f>
        <v>0</v>
      </c>
      <c r="H109" s="835"/>
    </row>
    <row r="110" spans="2:8">
      <c r="B110" s="118" t="str">
        <f>'1.1a-Jaarprijzen'!B24</f>
        <v>Horizon Anker A gebouw A</v>
      </c>
      <c r="C110" s="563">
        <f t="shared" si="0"/>
        <v>0</v>
      </c>
      <c r="E110" s="388">
        <f t="shared" si="1"/>
        <v>0</v>
      </c>
      <c r="G110" s="569">
        <f ca="1">'1.1a-Jaarprijzen'!H24+'1.1a-Jaarprijzen'!I24</f>
        <v>0</v>
      </c>
      <c r="H110" s="835"/>
    </row>
    <row r="111" spans="2:8">
      <c r="B111" s="118" t="str">
        <f>'1.1a-Jaarprijzen'!B25</f>
        <v>Horizon Anker Einder 1 gebouw A</v>
      </c>
      <c r="C111" s="563">
        <f t="shared" si="0"/>
        <v>0</v>
      </c>
      <c r="E111" s="388">
        <f t="shared" si="1"/>
        <v>0</v>
      </c>
      <c r="G111" s="569">
        <f ca="1">'1.1a-Jaarprijzen'!H25+'1.1a-Jaarprijzen'!I25</f>
        <v>0</v>
      </c>
      <c r="H111" s="835"/>
    </row>
    <row r="112" spans="2:8">
      <c r="B112" s="118" t="str">
        <f>'1.1a-Jaarprijzen'!B26</f>
        <v>Horizon Anker Einder 2 gebouw A</v>
      </c>
      <c r="C112" s="563">
        <f t="shared" si="0"/>
        <v>0</v>
      </c>
      <c r="E112" s="388">
        <f t="shared" si="1"/>
        <v>0</v>
      </c>
      <c r="G112" s="569">
        <f ca="1">'1.1a-Jaarprijzen'!H26+'1.1a-Jaarprijzen'!I26</f>
        <v>0</v>
      </c>
      <c r="H112" s="835"/>
    </row>
    <row r="113" spans="2:8">
      <c r="B113" s="118" t="str">
        <f>'1.1a-Jaarprijzen'!B27</f>
        <v>Horizon Anker Kompas 1 gebouw A</v>
      </c>
      <c r="C113" s="563">
        <f t="shared" si="0"/>
        <v>0</v>
      </c>
      <c r="E113" s="388">
        <f t="shared" si="1"/>
        <v>0</v>
      </c>
      <c r="G113" s="569">
        <f ca="1">'1.1a-Jaarprijzen'!H27+'1.1a-Jaarprijzen'!I27</f>
        <v>0</v>
      </c>
      <c r="H113" s="835"/>
    </row>
    <row r="114" spans="2:8">
      <c r="B114" s="118" t="str">
        <f>'1.1a-Jaarprijzen'!B28</f>
        <v>Horizon Anker Kompas 2 gebouw A</v>
      </c>
      <c r="C114" s="563">
        <f t="shared" si="0"/>
        <v>0</v>
      </c>
      <c r="E114" s="388">
        <f t="shared" si="1"/>
        <v>0</v>
      </c>
      <c r="G114" s="569">
        <f ca="1">'1.1a-Jaarprijzen'!H28+'1.1a-Jaarprijzen'!I28</f>
        <v>0</v>
      </c>
      <c r="H114" s="835"/>
    </row>
    <row r="115" spans="2:8">
      <c r="B115" s="118" t="str">
        <f>'1.1a-Jaarprijzen'!B29</f>
        <v>Horizon Anker Lagune 1 gebouw A</v>
      </c>
      <c r="C115" s="563">
        <f t="shared" si="0"/>
        <v>0</v>
      </c>
      <c r="E115" s="388">
        <f t="shared" si="1"/>
        <v>0</v>
      </c>
      <c r="G115" s="569">
        <f ca="1">'1.1a-Jaarprijzen'!H29+'1.1a-Jaarprijzen'!I29</f>
        <v>0</v>
      </c>
      <c r="H115" s="835"/>
    </row>
    <row r="116" spans="2:8">
      <c r="B116" s="118" t="str">
        <f>'1.1a-Jaarprijzen'!B30</f>
        <v>Horizon Anker Lagune 2 gebouw A</v>
      </c>
      <c r="C116" s="563">
        <f t="shared" si="0"/>
        <v>0</v>
      </c>
      <c r="E116" s="388">
        <f t="shared" si="1"/>
        <v>0</v>
      </c>
      <c r="G116" s="569">
        <f ca="1">'1.1a-Jaarprijzen'!H30+'1.1a-Jaarprijzen'!I30</f>
        <v>0</v>
      </c>
      <c r="H116" s="835"/>
    </row>
    <row r="117" spans="2:8">
      <c r="B117" s="118" t="str">
        <f>'1.1a-Jaarprijzen'!B31</f>
        <v>Horizon Anker Meander 1 gebouw A</v>
      </c>
      <c r="C117" s="563">
        <f t="shared" si="0"/>
        <v>0</v>
      </c>
      <c r="E117" s="388">
        <f t="shared" si="1"/>
        <v>0</v>
      </c>
      <c r="G117" s="569">
        <f ca="1">'1.1a-Jaarprijzen'!H31+'1.1a-Jaarprijzen'!I31</f>
        <v>0</v>
      </c>
      <c r="H117" s="835"/>
    </row>
    <row r="118" spans="2:8">
      <c r="B118" s="118" t="str">
        <f>'1.1a-Jaarprijzen'!B32</f>
        <v>Horizon Anker Meander 2 gebouw A</v>
      </c>
      <c r="C118" s="563">
        <f t="shared" si="0"/>
        <v>0</v>
      </c>
      <c r="E118" s="388">
        <f t="shared" si="1"/>
        <v>0</v>
      </c>
      <c r="G118" s="569">
        <f ca="1">'1.1a-Jaarprijzen'!H32+'1.1a-Jaarprijzen'!I32</f>
        <v>0</v>
      </c>
      <c r="H118" s="835"/>
    </row>
    <row r="119" spans="2:8">
      <c r="B119" s="118" t="str">
        <f>'1.1a-Jaarprijzen'!B33</f>
        <v>Horizon Anker Openbare ruimte gebouw A</v>
      </c>
      <c r="C119" s="563">
        <f t="shared" si="0"/>
        <v>0</v>
      </c>
      <c r="E119" s="388">
        <f t="shared" si="1"/>
        <v>0</v>
      </c>
      <c r="G119" s="569">
        <f ca="1">'1.1a-Jaarprijzen'!H33+'1.1a-Jaarprijzen'!I33</f>
        <v>0</v>
      </c>
      <c r="H119" s="835"/>
    </row>
    <row r="120" spans="2:8">
      <c r="B120" s="118" t="str">
        <f>'1.1a-Jaarprijzen'!B34</f>
        <v>Horizon Anker School gebouw A</v>
      </c>
      <c r="C120" s="563">
        <f t="shared" si="0"/>
        <v>0</v>
      </c>
      <c r="E120" s="388">
        <f t="shared" si="1"/>
        <v>0</v>
      </c>
      <c r="G120" s="569">
        <f ca="1">'1.1a-Jaarprijzen'!H34+'1.1a-Jaarprijzen'!I34</f>
        <v>0</v>
      </c>
      <c r="H120" s="835"/>
    </row>
    <row r="121" spans="2:8">
      <c r="B121" s="118" t="str">
        <f>'1.1a-Jaarprijzen'!B35</f>
        <v>Horizon Anker Tuinkantoor gebouw S</v>
      </c>
      <c r="C121" s="563">
        <f t="shared" si="0"/>
        <v>0</v>
      </c>
      <c r="E121" s="388">
        <f t="shared" si="1"/>
        <v>0</v>
      </c>
      <c r="G121" s="569">
        <f ca="1">'1.1a-Jaarprijzen'!H35+'1.1a-Jaarprijzen'!I35</f>
        <v>0</v>
      </c>
      <c r="H121" s="835"/>
    </row>
    <row r="122" spans="2:8">
      <c r="B122" s="118" t="str">
        <f>'1.1a-Jaarprijzen'!B36</f>
        <v>Horizon Prisma Atlantis 1 gebouw C</v>
      </c>
      <c r="C122" s="563">
        <f t="shared" si="0"/>
        <v>0</v>
      </c>
      <c r="E122" s="388">
        <f t="shared" si="1"/>
        <v>0</v>
      </c>
      <c r="G122" s="569">
        <f ca="1">'1.1a-Jaarprijzen'!H36+'1.1a-Jaarprijzen'!I36</f>
        <v>0</v>
      </c>
      <c r="H122" s="835"/>
    </row>
    <row r="123" spans="2:8">
      <c r="B123" s="118" t="str">
        <f>'1.1a-Jaarprijzen'!B37</f>
        <v>Horizon Prisma Atlantis 2 gebouw C</v>
      </c>
      <c r="C123" s="563">
        <f t="shared" si="0"/>
        <v>0</v>
      </c>
      <c r="E123" s="388">
        <f t="shared" si="1"/>
        <v>0</v>
      </c>
      <c r="G123" s="569">
        <f ca="1">'1.1a-Jaarprijzen'!H37+'1.1a-Jaarprijzen'!I37</f>
        <v>0</v>
      </c>
      <c r="H123" s="835"/>
    </row>
    <row r="124" spans="2:8">
      <c r="B124" s="118" t="str">
        <f>'1.1a-Jaarprijzen'!B38</f>
        <v>Horizon Prisma Boerderij gebouw D</v>
      </c>
      <c r="C124" s="563">
        <f t="shared" si="0"/>
        <v>0</v>
      </c>
      <c r="E124" s="388">
        <f t="shared" si="1"/>
        <v>0</v>
      </c>
      <c r="G124" s="569">
        <f ca="1">'1.1a-Jaarprijzen'!H38+'1.1a-Jaarprijzen'!I38</f>
        <v>0</v>
      </c>
      <c r="H124" s="835"/>
    </row>
    <row r="125" spans="2:8">
      <c r="B125" s="118" t="str">
        <f>'1.1a-Jaarprijzen'!B39</f>
        <v>Horizon Prisma Delta gebouw B</v>
      </c>
      <c r="C125" s="563">
        <f t="shared" si="0"/>
        <v>0</v>
      </c>
      <c r="E125" s="388">
        <f t="shared" si="1"/>
        <v>0</v>
      </c>
      <c r="G125" s="569">
        <f ca="1">'1.1a-Jaarprijzen'!H39+'1.1a-Jaarprijzen'!I39</f>
        <v>0</v>
      </c>
      <c r="H125" s="835"/>
    </row>
    <row r="126" spans="2:8">
      <c r="B126" s="118" t="str">
        <f>'1.1a-Jaarprijzen'!B40</f>
        <v>Horizon Prisma Gebouw Onderhoud gebouw G</v>
      </c>
      <c r="C126" s="563">
        <f t="shared" si="0"/>
        <v>0</v>
      </c>
      <c r="E126" s="388">
        <f t="shared" si="1"/>
        <v>0</v>
      </c>
      <c r="G126" s="569">
        <f ca="1">'1.1a-Jaarprijzen'!H40+'1.1a-Jaarprijzen'!I40</f>
        <v>0</v>
      </c>
      <c r="H126" s="835"/>
    </row>
    <row r="127" spans="2:8">
      <c r="B127" s="118" t="str">
        <f>'1.1a-Jaarprijzen'!B41</f>
        <v>Horizon Prisma Lichtboei gebouw E</v>
      </c>
      <c r="C127" s="563">
        <f t="shared" si="0"/>
        <v>0</v>
      </c>
      <c r="E127" s="388">
        <f t="shared" si="1"/>
        <v>0</v>
      </c>
      <c r="G127" s="569">
        <f ca="1">'1.1a-Jaarprijzen'!H41+'1.1a-Jaarprijzen'!I41</f>
        <v>0</v>
      </c>
      <c r="H127" s="835"/>
    </row>
    <row r="128" spans="2:8">
      <c r="B128" s="118" t="str">
        <f>'1.1a-Jaarprijzen'!B42</f>
        <v>Horizon Prisma Multifunctioneel gebouw F</v>
      </c>
      <c r="C128" s="563">
        <f t="shared" si="0"/>
        <v>0</v>
      </c>
      <c r="E128" s="388">
        <f t="shared" si="1"/>
        <v>0</v>
      </c>
      <c r="G128" s="569">
        <f ca="1">'1.1a-Jaarprijzen'!H42+'1.1a-Jaarprijzen'!I42</f>
        <v>0</v>
      </c>
      <c r="H128" s="835"/>
    </row>
    <row r="129" spans="2:8">
      <c r="B129" s="118" t="str">
        <f>'1.1a-Jaarprijzen'!B43</f>
        <v>Horizon Prisma Omega gebouw L</v>
      </c>
      <c r="C129" s="563">
        <f t="shared" si="0"/>
        <v>0</v>
      </c>
      <c r="E129" s="388">
        <f t="shared" si="1"/>
        <v>0</v>
      </c>
      <c r="G129" s="569">
        <f ca="1">'1.1a-Jaarprijzen'!H43+'1.1a-Jaarprijzen'!I43</f>
        <v>0</v>
      </c>
      <c r="H129" s="835"/>
    </row>
    <row r="130" spans="2:8" hidden="1">
      <c r="B130" s="118">
        <f>'1.1a-Jaarprijzen'!B44</f>
        <v>0</v>
      </c>
      <c r="C130" s="563">
        <f t="shared" si="0"/>
        <v>0</v>
      </c>
      <c r="E130" s="388">
        <f t="shared" si="1"/>
        <v>0</v>
      </c>
      <c r="G130" s="569">
        <f>'1.1a-Jaarprijzen'!H44+'1.1a-Jaarprijzen'!I44</f>
        <v>0</v>
      </c>
      <c r="H130" s="835"/>
    </row>
    <row r="131" spans="2:8" hidden="1">
      <c r="B131" s="118">
        <f>'1.1a-Jaarprijzen'!B45</f>
        <v>0</v>
      </c>
      <c r="C131" s="563">
        <f t="shared" si="0"/>
        <v>0</v>
      </c>
      <c r="E131" s="388">
        <f t="shared" si="1"/>
        <v>0</v>
      </c>
      <c r="G131" s="569">
        <f>'1.1a-Jaarprijzen'!H45+'1.1a-Jaarprijzen'!I45</f>
        <v>0</v>
      </c>
      <c r="H131" s="835"/>
    </row>
    <row r="132" spans="2:8" hidden="1">
      <c r="B132" s="118">
        <f>'1.1a-Jaarprijzen'!B46</f>
        <v>0</v>
      </c>
      <c r="C132" s="563">
        <f t="shared" si="0"/>
        <v>0</v>
      </c>
      <c r="E132" s="388">
        <f t="shared" si="1"/>
        <v>0</v>
      </c>
      <c r="G132" s="569">
        <f>'1.1a-Jaarprijzen'!H46+'1.1a-Jaarprijzen'!I46</f>
        <v>0</v>
      </c>
      <c r="H132" s="835"/>
    </row>
    <row r="133" spans="2:8" hidden="1">
      <c r="B133" s="118">
        <f>'1.1a-Jaarprijzen'!B47</f>
        <v>0</v>
      </c>
      <c r="C133" s="563">
        <f t="shared" si="0"/>
        <v>0</v>
      </c>
      <c r="E133" s="388">
        <f t="shared" si="1"/>
        <v>0</v>
      </c>
      <c r="G133" s="569">
        <f>'1.1a-Jaarprijzen'!H47+'1.1a-Jaarprijzen'!I47</f>
        <v>0</v>
      </c>
      <c r="H133" s="835"/>
    </row>
    <row r="134" spans="2:8" hidden="1">
      <c r="B134" s="118">
        <f>'1.1a-Jaarprijzen'!B48</f>
        <v>0</v>
      </c>
      <c r="C134" s="563">
        <f t="shared" si="0"/>
        <v>0</v>
      </c>
      <c r="E134" s="388">
        <f t="shared" si="1"/>
        <v>0</v>
      </c>
      <c r="G134" s="569">
        <f>'1.1a-Jaarprijzen'!H48+'1.1a-Jaarprijzen'!I48</f>
        <v>0</v>
      </c>
      <c r="H134" s="835"/>
    </row>
    <row r="135" spans="2:8" hidden="1">
      <c r="B135" s="118">
        <f>'1.1a-Jaarprijzen'!B49</f>
        <v>0</v>
      </c>
      <c r="C135" s="563">
        <f t="shared" si="0"/>
        <v>0</v>
      </c>
      <c r="E135" s="388">
        <f t="shared" si="1"/>
        <v>0</v>
      </c>
      <c r="G135" s="569">
        <f>'1.1a-Jaarprijzen'!H49+'1.1a-Jaarprijzen'!I49</f>
        <v>0</v>
      </c>
      <c r="H135" s="835"/>
    </row>
    <row r="136" spans="2:8" hidden="1">
      <c r="B136" s="118">
        <f>'1.1a-Jaarprijzen'!B50</f>
        <v>0</v>
      </c>
      <c r="C136" s="563">
        <f t="shared" si="0"/>
        <v>0</v>
      </c>
      <c r="E136" s="388">
        <f t="shared" si="1"/>
        <v>0</v>
      </c>
      <c r="G136" s="569">
        <f>'1.1a-Jaarprijzen'!H50+'1.1a-Jaarprijzen'!I50</f>
        <v>0</v>
      </c>
      <c r="H136" s="835"/>
    </row>
    <row r="137" spans="2:8" hidden="1">
      <c r="B137" s="118">
        <f>'1.1a-Jaarprijzen'!B51</f>
        <v>0</v>
      </c>
      <c r="C137" s="563">
        <f t="shared" si="0"/>
        <v>0</v>
      </c>
      <c r="E137" s="388">
        <f t="shared" si="1"/>
        <v>0</v>
      </c>
      <c r="G137" s="569">
        <f>'1.1a-Jaarprijzen'!H51+'1.1a-Jaarprijzen'!I51</f>
        <v>0</v>
      </c>
      <c r="H137" s="835"/>
    </row>
    <row r="138" spans="2:8" hidden="1">
      <c r="B138" s="118">
        <f>'1.1a-Jaarprijzen'!B52</f>
        <v>0</v>
      </c>
      <c r="C138" s="563">
        <f t="shared" si="0"/>
        <v>0</v>
      </c>
      <c r="E138" s="388">
        <f t="shared" si="1"/>
        <v>0</v>
      </c>
      <c r="G138" s="569">
        <f>'1.1a-Jaarprijzen'!H52+'1.1a-Jaarprijzen'!I52</f>
        <v>0</v>
      </c>
      <c r="H138" s="835"/>
    </row>
    <row r="139" spans="2:8" hidden="1">
      <c r="B139" s="118">
        <f>'1.1a-Jaarprijzen'!B53</f>
        <v>0</v>
      </c>
      <c r="C139" s="563">
        <f t="shared" si="0"/>
        <v>0</v>
      </c>
      <c r="E139" s="388">
        <f t="shared" si="1"/>
        <v>0</v>
      </c>
      <c r="G139" s="569">
        <f>'1.1a-Jaarprijzen'!H53+'1.1a-Jaarprijzen'!I53</f>
        <v>0</v>
      </c>
      <c r="H139" s="835"/>
    </row>
    <row r="140" spans="2:8" hidden="1">
      <c r="B140" s="118">
        <f>'1.1a-Jaarprijzen'!B54</f>
        <v>0</v>
      </c>
      <c r="C140" s="563">
        <f t="shared" si="0"/>
        <v>0</v>
      </c>
      <c r="E140" s="388">
        <f t="shared" si="1"/>
        <v>0</v>
      </c>
      <c r="G140" s="569">
        <f>'1.1a-Jaarprijzen'!H54+'1.1a-Jaarprijzen'!I54</f>
        <v>0</v>
      </c>
      <c r="H140" s="835"/>
    </row>
    <row r="141" spans="2:8" hidden="1">
      <c r="B141" s="118">
        <f>'1.1a-Jaarprijzen'!B55</f>
        <v>0</v>
      </c>
      <c r="C141" s="563">
        <f t="shared" si="0"/>
        <v>0</v>
      </c>
      <c r="E141" s="388">
        <f t="shared" si="1"/>
        <v>0</v>
      </c>
      <c r="G141" s="569">
        <f>'1.1a-Jaarprijzen'!H55+'1.1a-Jaarprijzen'!I55</f>
        <v>0</v>
      </c>
      <c r="H141" s="835"/>
    </row>
    <row r="142" spans="2:8" hidden="1">
      <c r="B142" s="118">
        <f>'1.1a-Jaarprijzen'!B56</f>
        <v>0</v>
      </c>
      <c r="C142" s="563">
        <f t="shared" si="0"/>
        <v>0</v>
      </c>
      <c r="E142" s="388">
        <f t="shared" si="1"/>
        <v>0</v>
      </c>
      <c r="G142" s="569">
        <f>'1.1a-Jaarprijzen'!H56+'1.1a-Jaarprijzen'!I56</f>
        <v>0</v>
      </c>
      <c r="H142" s="835"/>
    </row>
    <row r="143" spans="2:8" hidden="1">
      <c r="B143" s="118">
        <f>'1.1a-Jaarprijzen'!B57</f>
        <v>0</v>
      </c>
      <c r="C143" s="563">
        <f t="shared" si="0"/>
        <v>0</v>
      </c>
      <c r="E143" s="388">
        <f t="shared" si="1"/>
        <v>0</v>
      </c>
      <c r="G143" s="569">
        <f>'1.1a-Jaarprijzen'!H57+'1.1a-Jaarprijzen'!I57</f>
        <v>0</v>
      </c>
      <c r="H143" s="835"/>
    </row>
    <row r="144" spans="2:8" hidden="1">
      <c r="B144" s="118">
        <f>'1.1a-Jaarprijzen'!B58</f>
        <v>0</v>
      </c>
      <c r="C144" s="563">
        <f t="shared" si="0"/>
        <v>0</v>
      </c>
      <c r="E144" s="388">
        <f t="shared" si="1"/>
        <v>0</v>
      </c>
      <c r="G144" s="569">
        <f>'1.1a-Jaarprijzen'!H58+'1.1a-Jaarprijzen'!I58</f>
        <v>0</v>
      </c>
      <c r="H144" s="835"/>
    </row>
    <row r="145" spans="2:8" hidden="1">
      <c r="B145" s="118">
        <f>'1.1a-Jaarprijzen'!B59</f>
        <v>0</v>
      </c>
      <c r="C145" s="563">
        <f t="shared" si="0"/>
        <v>0</v>
      </c>
      <c r="E145" s="388">
        <f t="shared" si="1"/>
        <v>0</v>
      </c>
      <c r="G145" s="569">
        <f>'1.1a-Jaarprijzen'!H59+'1.1a-Jaarprijzen'!I59</f>
        <v>0</v>
      </c>
      <c r="H145" s="835"/>
    </row>
    <row r="146" spans="2:8" hidden="1">
      <c r="B146" s="118">
        <f>'1.1a-Jaarprijzen'!B60</f>
        <v>0</v>
      </c>
      <c r="C146" s="563">
        <f t="shared" si="0"/>
        <v>0</v>
      </c>
      <c r="E146" s="388">
        <f t="shared" si="1"/>
        <v>0</v>
      </c>
      <c r="G146" s="569">
        <f>'1.1a-Jaarprijzen'!H60+'1.1a-Jaarprijzen'!I60</f>
        <v>0</v>
      </c>
      <c r="H146" s="835"/>
    </row>
    <row r="147" spans="2:8" hidden="1">
      <c r="B147" s="118">
        <f>'1.1a-Jaarprijzen'!B61</f>
        <v>0</v>
      </c>
      <c r="C147" s="563">
        <f t="shared" ref="C147:C149" si="2">IF($G$96=0,0,G147/$G$96)</f>
        <v>0</v>
      </c>
      <c r="E147" s="388">
        <f t="shared" si="1"/>
        <v>0</v>
      </c>
      <c r="G147" s="569">
        <f>'1.1a-Jaarprijzen'!H62+'1.1a-Jaarprijzen'!I62</f>
        <v>0</v>
      </c>
      <c r="H147" s="835"/>
    </row>
    <row r="148" spans="2:8" hidden="1">
      <c r="B148" s="118">
        <f>'1.1a-Jaarprijzen'!B62</f>
        <v>0</v>
      </c>
      <c r="C148" s="563">
        <f t="shared" si="2"/>
        <v>0</v>
      </c>
      <c r="E148" s="388">
        <f t="shared" ref="E148:E149" si="3">C148*E$93</f>
        <v>0</v>
      </c>
      <c r="G148" s="569">
        <f>'1.1a-Jaarprijzen'!H62+'1.1a-Jaarprijzen'!I62</f>
        <v>0</v>
      </c>
      <c r="H148" s="835"/>
    </row>
    <row r="149" spans="2:8" hidden="1">
      <c r="B149" s="118">
        <f>'1.1a-Jaarprijzen'!B63</f>
        <v>0</v>
      </c>
      <c r="C149" s="563">
        <f t="shared" si="2"/>
        <v>0</v>
      </c>
      <c r="E149" s="388">
        <f t="shared" si="3"/>
        <v>0</v>
      </c>
      <c r="G149" s="569">
        <f>'1.1a-Jaarprijzen'!H63+'1.1a-Jaarprijzen'!I63</f>
        <v>0</v>
      </c>
      <c r="H149" s="835"/>
    </row>
    <row r="150" spans="2:8" hidden="1">
      <c r="B150" s="118"/>
      <c r="C150" s="424">
        <f>SUM(C97:C149)</f>
        <v>0</v>
      </c>
      <c r="G150" s="562"/>
    </row>
    <row r="151" spans="2:8"/>
    <row r="152" spans="2:8">
      <c r="E152" s="389">
        <f>SUM(E97:E150)</f>
        <v>0</v>
      </c>
    </row>
    <row r="153" spans="2:8"/>
    <row r="154" spans="2:8"/>
    <row r="155" spans="2:8"/>
    <row r="156" spans="2:8"/>
    <row r="157" spans="2:8">
      <c r="B157" s="118"/>
    </row>
    <row r="158" spans="2:8">
      <c r="B158" s="118"/>
    </row>
    <row r="159" spans="2:8"/>
    <row r="160" spans="2:8"/>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sheetData>
  <mergeCells count="10">
    <mergeCell ref="H97:H149"/>
    <mergeCell ref="C10:E10"/>
    <mergeCell ref="C13:E13"/>
    <mergeCell ref="C33:E33"/>
    <mergeCell ref="C53:E53"/>
    <mergeCell ref="C73:E73"/>
    <mergeCell ref="C12:E12"/>
    <mergeCell ref="C32:E32"/>
    <mergeCell ref="C52:E52"/>
    <mergeCell ref="C72:E72"/>
  </mergeCells>
  <phoneticPr fontId="12"/>
  <conditionalFormatting sqref="C150">
    <cfRule type="cellIs" dxfId="0" priority="1" stopIfTrue="1" operator="greaterThan">
      <formula>1</formula>
    </cfRule>
  </conditionalFormatting>
  <printOptions horizontalCentered="1"/>
  <pageMargins left="0.2" right="0.2" top="0.39000000000000007" bottom="0.59"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94" max="4" man="1"/>
  </rowBreaks>
  <drawing r:id="rId1"/>
  <extLst>
    <ext xmlns:mx="http://schemas.microsoft.com/office/mac/excel/2008/main" uri="{64002731-A6B0-56B0-2670-7721B7C09600}">
      <mx:PLV Mode="0" OnePage="0" WScale="41"/>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enableFormatConditionsCalculation="0">
    <pageSetUpPr fitToPage="1"/>
  </sheetPr>
  <dimension ref="A1:N138"/>
  <sheetViews>
    <sheetView showGridLines="0" showZeros="0" showOutlineSymbols="0" zoomScaleSheetLayoutView="75" workbookViewId="0"/>
  </sheetViews>
  <sheetFormatPr baseColWidth="10" defaultColWidth="0"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0.7109375" style="61" customWidth="1"/>
    <col min="10" max="14" width="0" style="61" hidden="1" customWidth="1"/>
    <col min="15" max="16384" width="10.7109375" style="61" hidden="1"/>
  </cols>
  <sheetData>
    <row r="1" spans="2:14" ht="27" customHeight="1">
      <c r="B1" s="387" t="s">
        <v>32</v>
      </c>
    </row>
    <row r="2" spans="2:14" ht="27" customHeight="1">
      <c r="B2" s="399"/>
    </row>
    <row r="3" spans="2:14">
      <c r="B3" s="137"/>
    </row>
    <row r="4" spans="2:14" ht="16">
      <c r="B4" s="140" t="str">
        <f>'1.6-Machine-investeringskosten'!B3</f>
        <v>Naam opdrachtgever</v>
      </c>
      <c r="C4" s="141" t="str">
        <f>'1.6-Machine-investeringskosten'!C3</f>
        <v>Stichting Altra - Horizon</v>
      </c>
      <c r="D4" s="142"/>
      <c r="E4" s="139"/>
    </row>
    <row r="5" spans="2:14" ht="16">
      <c r="B5" s="140" t="str">
        <f>'1.6-Machine-investeringskosten'!B4</f>
        <v>Omschrijving blad</v>
      </c>
      <c r="C5" s="140" t="s">
        <v>37</v>
      </c>
      <c r="D5" s="128"/>
      <c r="E5" s="139"/>
    </row>
    <row r="6" spans="2:14" ht="15.75" customHeight="1">
      <c r="B6" s="140" t="str">
        <f>'1.6-Machine-investeringskosten'!B5</f>
        <v>Adres/plaats</v>
      </c>
      <c r="C6" s="141" t="str">
        <f>'1.6-Machine-investeringskosten'!C5</f>
        <v>Regio Noord Holland</v>
      </c>
      <c r="D6" s="143"/>
      <c r="E6" s="139"/>
    </row>
    <row r="7" spans="2:14" ht="16">
      <c r="B7" s="140" t="str">
        <f>'1.6-Machine-investeringskosten'!B6</f>
        <v>Besteknummer</v>
      </c>
      <c r="C7" s="141" t="str">
        <f>'1.6-Machine-investeringskosten'!C6</f>
        <v>180417 V2</v>
      </c>
      <c r="D7" s="128"/>
      <c r="E7" s="139"/>
    </row>
    <row r="8" spans="2:14" ht="16">
      <c r="B8" s="140" t="str">
        <f>'1.6-Machine-investeringskosten'!B7</f>
        <v>Naam leverancier</v>
      </c>
      <c r="C8" s="141" t="str">
        <f>'1.6-Machine-investeringskosten'!C7</f>
        <v>[NAAM LEVERANCIER]</v>
      </c>
      <c r="D8" s="128"/>
      <c r="E8" s="642">
        <f>Voorblad!$E$15</f>
        <v>42917</v>
      </c>
    </row>
    <row r="9" spans="2:14" ht="16">
      <c r="B9" s="140">
        <f>'1.6-Machine-investeringskosten'!B8</f>
        <v>0</v>
      </c>
      <c r="C9" s="141">
        <f>'1.6-Machine-investeringskosten'!C8</f>
        <v>0</v>
      </c>
      <c r="D9" s="128"/>
      <c r="E9" s="139"/>
    </row>
    <row r="10" spans="2:14" ht="16">
      <c r="B10" s="140" t="s">
        <v>23</v>
      </c>
      <c r="C10" s="129" t="s">
        <v>92</v>
      </c>
      <c r="D10" s="128"/>
      <c r="E10" s="139"/>
    </row>
    <row r="11" spans="2:14" ht="16">
      <c r="B11" s="140"/>
      <c r="C11" s="129"/>
      <c r="D11" s="128"/>
      <c r="E11" s="133"/>
    </row>
    <row r="12" spans="2:14">
      <c r="B12" s="144"/>
      <c r="C12" s="145"/>
      <c r="D12" s="145"/>
      <c r="E12" s="146"/>
    </row>
    <row r="13" spans="2:14" ht="18.75" customHeight="1">
      <c r="B13" s="841" t="s">
        <v>185</v>
      </c>
      <c r="C13" s="841"/>
      <c r="D13" s="841"/>
      <c r="E13" s="841"/>
      <c r="F13" s="841"/>
      <c r="G13" s="841"/>
      <c r="H13" s="841"/>
    </row>
    <row r="14" spans="2:14"/>
    <row r="15" spans="2:14">
      <c r="B15" s="391"/>
      <c r="C15" s="391"/>
      <c r="D15" s="391"/>
      <c r="E15" s="843" t="s">
        <v>152</v>
      </c>
      <c r="F15" s="843"/>
      <c r="G15" s="843"/>
      <c r="H15" s="843"/>
      <c r="J15" s="840" t="s">
        <v>152</v>
      </c>
      <c r="K15" s="840"/>
      <c r="L15" s="840"/>
      <c r="M15" s="840"/>
      <c r="N15" s="840"/>
    </row>
    <row r="16" spans="2:14">
      <c r="B16" s="392" t="s">
        <v>108</v>
      </c>
      <c r="C16" s="392" t="s">
        <v>116</v>
      </c>
      <c r="D16" s="393"/>
      <c r="E16" s="394" t="s">
        <v>117</v>
      </c>
      <c r="F16" s="394" t="s">
        <v>46</v>
      </c>
      <c r="G16" s="394" t="s">
        <v>232</v>
      </c>
      <c r="H16" s="394" t="s">
        <v>1513</v>
      </c>
      <c r="J16" s="491" t="s">
        <v>117</v>
      </c>
      <c r="K16" s="491" t="s">
        <v>46</v>
      </c>
      <c r="L16" s="491" t="s">
        <v>232</v>
      </c>
      <c r="M16" s="491" t="s">
        <v>109</v>
      </c>
      <c r="N16" s="491" t="s">
        <v>110</v>
      </c>
    </row>
    <row r="17" spans="2:14">
      <c r="B17" s="396" t="s">
        <v>106</v>
      </c>
      <c r="C17" s="396" t="s">
        <v>201</v>
      </c>
      <c r="D17" s="397"/>
      <c r="E17" s="390"/>
      <c r="F17" s="390"/>
      <c r="G17" s="390"/>
      <c r="H17" s="390"/>
      <c r="J17" s="492">
        <f>35.04/40</f>
        <v>0.876</v>
      </c>
      <c r="K17" s="492">
        <f>35.04/110</f>
        <v>0.31854545454545452</v>
      </c>
      <c r="L17" s="492">
        <f>35.04/140</f>
        <v>0.25028571428571428</v>
      </c>
      <c r="M17" s="492">
        <f>35.04/175</f>
        <v>0.20022857142857142</v>
      </c>
      <c r="N17" s="492">
        <f>35.04/180</f>
        <v>0.19466666666666665</v>
      </c>
    </row>
    <row r="18" spans="2:14">
      <c r="B18" s="396" t="s">
        <v>106</v>
      </c>
      <c r="C18" s="396" t="s">
        <v>202</v>
      </c>
      <c r="D18" s="397"/>
      <c r="E18" s="390"/>
      <c r="F18" s="390"/>
      <c r="G18" s="390"/>
      <c r="H18" s="390"/>
      <c r="J18" s="492">
        <f>35.04/10</f>
        <v>3.504</v>
      </c>
      <c r="K18" s="492">
        <f>35.04/12</f>
        <v>2.92</v>
      </c>
      <c r="L18" s="492">
        <f>35.04/15</f>
        <v>2.3359999999999999</v>
      </c>
      <c r="M18" s="492">
        <f>35.04/17</f>
        <v>2.0611764705882352</v>
      </c>
      <c r="N18" s="492">
        <f>35.04/18</f>
        <v>1.9466666666666665</v>
      </c>
    </row>
    <row r="19" spans="2:14">
      <c r="B19" s="396" t="s">
        <v>84</v>
      </c>
      <c r="C19" s="396" t="s">
        <v>135</v>
      </c>
      <c r="D19" s="150"/>
      <c r="E19" s="390"/>
      <c r="F19" s="390"/>
      <c r="G19" s="390"/>
      <c r="H19" s="390"/>
      <c r="J19" s="492">
        <f>35.04/40</f>
        <v>0.876</v>
      </c>
      <c r="K19" s="492">
        <f>35.04/70</f>
        <v>0.50057142857142856</v>
      </c>
      <c r="L19" s="492">
        <f>35.04/85</f>
        <v>0.41223529411764703</v>
      </c>
      <c r="M19" s="492">
        <f>35.04/95</f>
        <v>0.36884210526315786</v>
      </c>
      <c r="N19" s="492">
        <f>35.04/100</f>
        <v>0.35039999999999999</v>
      </c>
    </row>
    <row r="20" spans="2:14">
      <c r="B20" s="396" t="s">
        <v>76</v>
      </c>
      <c r="C20" s="396" t="s">
        <v>77</v>
      </c>
      <c r="D20" s="150"/>
      <c r="E20" s="390"/>
      <c r="F20" s="390"/>
      <c r="G20" s="390"/>
      <c r="H20" s="390"/>
      <c r="J20" s="492">
        <f>35.04/10</f>
        <v>3.504</v>
      </c>
      <c r="K20" s="492">
        <f>35.04/13</f>
        <v>2.6953846153846155</v>
      </c>
      <c r="L20" s="492">
        <f>35.04/16</f>
        <v>2.19</v>
      </c>
      <c r="M20" s="492">
        <f>35.04/18</f>
        <v>1.9466666666666665</v>
      </c>
      <c r="N20" s="492">
        <f>35.04/20</f>
        <v>1.752</v>
      </c>
    </row>
    <row r="21" spans="2:14">
      <c r="B21" s="396" t="s">
        <v>76</v>
      </c>
      <c r="C21" s="396" t="s">
        <v>146</v>
      </c>
      <c r="D21" s="147"/>
      <c r="E21" s="390"/>
      <c r="F21" s="390"/>
      <c r="G21" s="390"/>
      <c r="H21" s="390"/>
      <c r="J21" s="492">
        <f>35.04/10</f>
        <v>3.504</v>
      </c>
      <c r="K21" s="492">
        <f>35.04/15</f>
        <v>2.3359999999999999</v>
      </c>
      <c r="L21" s="492">
        <f>35.04/18</f>
        <v>1.9466666666666665</v>
      </c>
      <c r="M21" s="492">
        <f>35.04/20</f>
        <v>1.752</v>
      </c>
      <c r="N21" s="492">
        <f>35.04/22</f>
        <v>1.5927272727272728</v>
      </c>
    </row>
    <row r="22" spans="2:14">
      <c r="E22" s="148"/>
      <c r="F22" s="132"/>
      <c r="G22" s="132"/>
      <c r="H22" s="132"/>
      <c r="J22" s="148"/>
      <c r="K22" s="132"/>
      <c r="L22" s="132"/>
      <c r="M22" s="132"/>
      <c r="N22" s="132"/>
    </row>
    <row r="23" spans="2:14">
      <c r="B23" s="131"/>
      <c r="C23" s="131"/>
      <c r="D23" s="131"/>
      <c r="E23" s="131"/>
      <c r="F23" s="131"/>
      <c r="G23" s="131"/>
      <c r="H23" s="131"/>
      <c r="J23" s="131"/>
      <c r="K23" s="131"/>
      <c r="L23" s="131"/>
      <c r="M23" s="131"/>
      <c r="N23" s="131"/>
    </row>
    <row r="24" spans="2:14">
      <c r="B24" s="391"/>
      <c r="C24" s="391"/>
      <c r="D24" s="391"/>
      <c r="E24" s="395" t="s">
        <v>147</v>
      </c>
      <c r="F24" s="395" t="s">
        <v>147</v>
      </c>
      <c r="G24" s="131"/>
      <c r="H24" s="131"/>
      <c r="J24" s="493" t="s">
        <v>147</v>
      </c>
      <c r="K24" s="493" t="s">
        <v>147</v>
      </c>
      <c r="L24" s="131"/>
      <c r="M24" s="131"/>
      <c r="N24" s="131"/>
    </row>
    <row r="25" spans="2:14">
      <c r="B25" s="392" t="s">
        <v>148</v>
      </c>
      <c r="C25" s="392" t="s">
        <v>116</v>
      </c>
      <c r="D25" s="391"/>
      <c r="E25" s="395" t="s">
        <v>149</v>
      </c>
      <c r="F25" s="395" t="s">
        <v>150</v>
      </c>
      <c r="G25" s="131"/>
      <c r="H25" s="61"/>
      <c r="J25" s="493" t="s">
        <v>149</v>
      </c>
      <c r="K25" s="493" t="s">
        <v>150</v>
      </c>
      <c r="L25" s="131"/>
      <c r="N25" s="131"/>
    </row>
    <row r="26" spans="2:14">
      <c r="B26" s="396" t="s">
        <v>151</v>
      </c>
      <c r="C26" s="396" t="s">
        <v>3</v>
      </c>
      <c r="D26" s="396"/>
      <c r="E26" s="390"/>
      <c r="F26" s="398"/>
      <c r="G26" s="131"/>
      <c r="H26" s="61"/>
      <c r="J26" s="492">
        <v>0.27</v>
      </c>
      <c r="K26" s="494"/>
      <c r="L26" s="131"/>
      <c r="N26" s="131"/>
    </row>
    <row r="27" spans="2:14">
      <c r="B27" s="396" t="s">
        <v>138</v>
      </c>
      <c r="C27" s="396" t="s">
        <v>88</v>
      </c>
      <c r="D27" s="396"/>
      <c r="E27" s="390"/>
      <c r="F27" s="398"/>
      <c r="G27" s="131"/>
      <c r="H27" s="61"/>
      <c r="J27" s="492">
        <v>0.44</v>
      </c>
      <c r="K27" s="494"/>
      <c r="L27" s="131"/>
      <c r="N27" s="131"/>
    </row>
    <row r="28" spans="2:14">
      <c r="B28" s="396" t="s">
        <v>89</v>
      </c>
      <c r="C28" s="396" t="s">
        <v>216</v>
      </c>
      <c r="D28" s="396"/>
      <c r="E28" s="398"/>
      <c r="F28" s="390"/>
      <c r="G28" s="131"/>
      <c r="H28" s="61"/>
      <c r="J28" s="495"/>
      <c r="K28" s="492">
        <v>2.95</v>
      </c>
      <c r="L28" s="131"/>
      <c r="N28" s="131"/>
    </row>
    <row r="29" spans="2:14">
      <c r="B29" s="396" t="s">
        <v>124</v>
      </c>
      <c r="C29" s="396" t="s">
        <v>216</v>
      </c>
      <c r="D29" s="396"/>
      <c r="E29" s="398"/>
      <c r="F29" s="390"/>
      <c r="G29" s="131"/>
      <c r="H29" s="61"/>
      <c r="J29" s="495"/>
      <c r="K29" s="492">
        <v>3.48</v>
      </c>
      <c r="L29" s="131"/>
      <c r="N29" s="131"/>
    </row>
    <row r="30" spans="2:14">
      <c r="B30" s="131"/>
      <c r="C30" s="131"/>
      <c r="D30" s="131"/>
      <c r="E30" s="131"/>
      <c r="F30" s="131"/>
      <c r="G30" s="131"/>
      <c r="H30" s="131"/>
      <c r="J30" s="131"/>
      <c r="K30" s="131"/>
      <c r="L30" s="131"/>
      <c r="M30" s="131"/>
      <c r="N30" s="131"/>
    </row>
    <row r="31" spans="2:14">
      <c r="B31" s="61"/>
      <c r="C31" s="131"/>
      <c r="D31" s="131"/>
      <c r="E31" s="131"/>
      <c r="F31" s="131"/>
      <c r="G31" s="131"/>
      <c r="H31" s="131"/>
      <c r="J31" s="131"/>
      <c r="K31" s="131"/>
      <c r="L31" s="131"/>
      <c r="M31" s="131"/>
      <c r="N31" s="131"/>
    </row>
    <row r="32" spans="2:14">
      <c r="B32" s="392" t="s">
        <v>200</v>
      </c>
      <c r="C32" s="391"/>
      <c r="D32" s="391"/>
      <c r="E32" s="843" t="s">
        <v>199</v>
      </c>
      <c r="F32" s="843"/>
      <c r="G32" s="843"/>
      <c r="H32" s="843"/>
      <c r="J32" s="840" t="s">
        <v>199</v>
      </c>
      <c r="K32" s="840"/>
      <c r="L32" s="840"/>
      <c r="M32" s="840"/>
      <c r="N32" s="149"/>
    </row>
    <row r="33" spans="2:14">
      <c r="B33" s="392" t="s">
        <v>226</v>
      </c>
      <c r="C33" s="392" t="s">
        <v>116</v>
      </c>
      <c r="D33" s="392"/>
      <c r="E33" s="394" t="s">
        <v>98</v>
      </c>
      <c r="F33" s="394" t="s">
        <v>99</v>
      </c>
      <c r="G33" s="394" t="s">
        <v>187</v>
      </c>
      <c r="H33" s="394" t="s">
        <v>188</v>
      </c>
      <c r="J33" s="491" t="s">
        <v>98</v>
      </c>
      <c r="K33" s="491" t="s">
        <v>99</v>
      </c>
      <c r="L33" s="491" t="s">
        <v>187</v>
      </c>
      <c r="M33" s="491" t="s">
        <v>188</v>
      </c>
    </row>
    <row r="34" spans="2:14">
      <c r="B34" s="396" t="s">
        <v>1515</v>
      </c>
      <c r="C34" s="396" t="s">
        <v>1516</v>
      </c>
      <c r="D34" s="396"/>
      <c r="E34" s="390"/>
      <c r="F34" s="390"/>
      <c r="G34" s="390"/>
      <c r="H34" s="390"/>
      <c r="J34" s="492">
        <v>8.34</v>
      </c>
      <c r="K34" s="492">
        <v>8.1</v>
      </c>
      <c r="L34" s="492">
        <v>7.95</v>
      </c>
      <c r="M34" s="492">
        <v>7.9</v>
      </c>
      <c r="N34" s="131"/>
    </row>
    <row r="35" spans="2:14">
      <c r="B35" s="396" t="s">
        <v>233</v>
      </c>
      <c r="C35" s="396" t="s">
        <v>1516</v>
      </c>
      <c r="D35" s="396"/>
      <c r="E35" s="390"/>
      <c r="F35" s="390"/>
      <c r="G35" s="390"/>
      <c r="H35" s="390"/>
      <c r="J35" s="492">
        <v>5.82</v>
      </c>
      <c r="K35" s="492">
        <v>5.65</v>
      </c>
      <c r="L35" s="492">
        <v>5.4</v>
      </c>
      <c r="M35" s="492">
        <v>5.25</v>
      </c>
      <c r="N35" s="131"/>
    </row>
    <row r="36" spans="2:14">
      <c r="B36" s="131"/>
      <c r="C36" s="131"/>
      <c r="D36" s="131"/>
      <c r="E36" s="131"/>
      <c r="F36" s="131"/>
      <c r="G36" s="131"/>
      <c r="H36" s="131"/>
      <c r="J36" s="131"/>
      <c r="K36" s="131"/>
      <c r="L36" s="131"/>
      <c r="M36" s="131"/>
      <c r="N36" s="131"/>
    </row>
    <row r="37" spans="2:14">
      <c r="B37" s="131"/>
      <c r="C37" s="131"/>
      <c r="D37" s="131"/>
      <c r="E37" s="131"/>
      <c r="F37" s="131"/>
      <c r="G37" s="131"/>
      <c r="H37" s="131"/>
      <c r="J37" s="131"/>
      <c r="K37" s="131"/>
      <c r="L37" s="131"/>
      <c r="M37" s="131"/>
      <c r="N37" s="131"/>
    </row>
    <row r="38" spans="2:14">
      <c r="B38" s="483" t="s">
        <v>1433</v>
      </c>
      <c r="C38" s="482"/>
      <c r="D38" s="482"/>
      <c r="E38" s="843" t="s">
        <v>199</v>
      </c>
      <c r="F38" s="843"/>
      <c r="G38" s="843"/>
      <c r="H38" s="843"/>
      <c r="J38" s="131"/>
      <c r="K38" s="131"/>
      <c r="L38" s="131"/>
      <c r="M38" s="131"/>
      <c r="N38" s="131"/>
    </row>
    <row r="39" spans="2:14">
      <c r="B39" s="483" t="s">
        <v>190</v>
      </c>
      <c r="C39" s="483" t="s">
        <v>116</v>
      </c>
      <c r="D39" s="483"/>
      <c r="E39" s="677" t="s">
        <v>1436</v>
      </c>
      <c r="F39" s="678" t="s">
        <v>1437</v>
      </c>
      <c r="G39" s="677" t="s">
        <v>1438</v>
      </c>
      <c r="H39" s="677" t="s">
        <v>1439</v>
      </c>
      <c r="J39" s="131"/>
      <c r="K39" s="131"/>
      <c r="L39" s="131"/>
      <c r="M39" s="131"/>
      <c r="N39" s="131"/>
    </row>
    <row r="40" spans="2:14">
      <c r="B40" s="396" t="s">
        <v>1434</v>
      </c>
      <c r="C40" s="396" t="s">
        <v>1514</v>
      </c>
      <c r="D40" s="396"/>
      <c r="E40" s="390"/>
      <c r="F40" s="390"/>
      <c r="G40" s="390"/>
      <c r="H40" s="390"/>
    </row>
    <row r="41" spans="2:14">
      <c r="B41" s="396" t="s">
        <v>1435</v>
      </c>
      <c r="C41" s="396" t="s">
        <v>1514</v>
      </c>
      <c r="D41" s="396"/>
      <c r="E41" s="390"/>
      <c r="F41" s="390"/>
      <c r="G41" s="390"/>
      <c r="H41" s="390"/>
    </row>
    <row r="42" spans="2:14">
      <c r="B42" s="131"/>
      <c r="C42" s="131"/>
      <c r="D42" s="131"/>
      <c r="E42" s="131"/>
      <c r="F42" s="131"/>
      <c r="G42" s="131"/>
      <c r="H42" s="131"/>
    </row>
    <row r="43" spans="2:14">
      <c r="B43" s="131"/>
      <c r="C43" s="131"/>
      <c r="D43" s="131"/>
      <c r="E43" s="131"/>
      <c r="F43" s="131"/>
      <c r="G43" s="131"/>
      <c r="H43" s="131"/>
    </row>
    <row r="44" spans="2:14">
      <c r="B44" s="131"/>
      <c r="C44" s="131"/>
      <c r="D44" s="131"/>
      <c r="E44" s="131"/>
      <c r="F44" s="131"/>
      <c r="G44" s="131"/>
      <c r="H44" s="131"/>
    </row>
    <row r="45" spans="2:14">
      <c r="B45" s="483" t="s">
        <v>1498</v>
      </c>
      <c r="C45" s="482"/>
      <c r="D45" s="482"/>
      <c r="E45" s="843" t="s">
        <v>1499</v>
      </c>
      <c r="F45" s="843"/>
      <c r="G45" s="843"/>
      <c r="H45" s="843"/>
      <c r="J45" s="131"/>
      <c r="K45" s="131"/>
      <c r="L45" s="131"/>
      <c r="M45" s="131"/>
      <c r="N45" s="131"/>
    </row>
    <row r="46" spans="2:14">
      <c r="B46" s="483" t="s">
        <v>190</v>
      </c>
      <c r="C46" s="483" t="s">
        <v>116</v>
      </c>
      <c r="D46" s="483"/>
      <c r="E46" s="772" t="s">
        <v>1500</v>
      </c>
      <c r="F46" s="678" t="s">
        <v>1503</v>
      </c>
      <c r="G46" s="772" t="s">
        <v>1502</v>
      </c>
      <c r="H46" s="772" t="s">
        <v>1501</v>
      </c>
      <c r="J46" s="131"/>
      <c r="K46" s="131"/>
      <c r="L46" s="131"/>
      <c r="M46" s="131"/>
      <c r="N46" s="131"/>
    </row>
    <row r="47" spans="2:14">
      <c r="B47" s="396" t="s">
        <v>1507</v>
      </c>
      <c r="C47" s="396" t="s">
        <v>1508</v>
      </c>
      <c r="D47" s="396"/>
      <c r="E47" s="390"/>
      <c r="F47" s="390"/>
      <c r="G47" s="390"/>
      <c r="H47" s="390"/>
    </row>
    <row r="48" spans="2:14">
      <c r="B48" s="131"/>
      <c r="C48" s="131"/>
      <c r="D48" s="131"/>
      <c r="E48" s="131"/>
      <c r="F48" s="131"/>
      <c r="G48" s="131"/>
      <c r="H48" s="131"/>
    </row>
    <row r="49" spans="2:10">
      <c r="B49" s="131"/>
      <c r="C49" s="131"/>
      <c r="D49" s="131"/>
      <c r="E49" s="131"/>
      <c r="F49" s="131"/>
      <c r="G49" s="131"/>
      <c r="H49" s="131"/>
    </row>
    <row r="50" spans="2:10">
      <c r="B50" s="482"/>
      <c r="C50" s="482"/>
      <c r="D50" s="482"/>
      <c r="E50" s="843" t="s">
        <v>152</v>
      </c>
      <c r="F50" s="843"/>
      <c r="G50" s="843"/>
      <c r="H50" s="843"/>
    </row>
    <row r="51" spans="2:10">
      <c r="B51" s="483" t="s">
        <v>1509</v>
      </c>
      <c r="C51" s="483" t="s">
        <v>116</v>
      </c>
      <c r="D51" s="484"/>
      <c r="E51" s="783" t="s">
        <v>117</v>
      </c>
      <c r="F51" s="783" t="s">
        <v>46</v>
      </c>
      <c r="G51" s="783" t="s">
        <v>232</v>
      </c>
      <c r="H51" s="783" t="s">
        <v>1513</v>
      </c>
    </row>
    <row r="52" spans="2:10">
      <c r="B52" s="396" t="s">
        <v>1510</v>
      </c>
      <c r="C52" s="396" t="s">
        <v>1511</v>
      </c>
      <c r="D52" s="397"/>
      <c r="E52" s="390"/>
      <c r="F52" s="390"/>
      <c r="G52" s="390"/>
      <c r="H52" s="390"/>
    </row>
    <row r="53" spans="2:10">
      <c r="B53" s="396" t="s">
        <v>1510</v>
      </c>
      <c r="C53" s="396" t="s">
        <v>1512</v>
      </c>
      <c r="D53" s="397"/>
      <c r="E53" s="390"/>
      <c r="F53" s="390"/>
      <c r="G53" s="390"/>
      <c r="H53" s="390"/>
    </row>
    <row r="54" spans="2:10">
      <c r="B54" s="131"/>
      <c r="C54" s="131"/>
      <c r="D54" s="131"/>
      <c r="E54" s="131"/>
      <c r="F54" s="131"/>
      <c r="G54" s="131"/>
      <c r="H54" s="131"/>
    </row>
    <row r="55" spans="2:10">
      <c r="B55" s="131"/>
      <c r="C55" s="131"/>
      <c r="D55" s="131"/>
      <c r="E55" s="131"/>
      <c r="F55" s="131"/>
      <c r="G55" s="131"/>
      <c r="H55" s="131"/>
    </row>
    <row r="56" spans="2:10">
      <c r="B56" s="131"/>
      <c r="C56" s="131"/>
      <c r="D56" s="131"/>
      <c r="E56" s="131"/>
      <c r="F56" s="131"/>
      <c r="G56" s="131"/>
      <c r="H56" s="131"/>
    </row>
    <row r="57" spans="2:10">
      <c r="B57" s="131"/>
      <c r="C57" s="131"/>
      <c r="D57" s="131"/>
      <c r="E57" s="131"/>
      <c r="F57" s="131"/>
      <c r="G57" s="131"/>
      <c r="H57" s="131"/>
    </row>
    <row r="58" spans="2:10" ht="32" customHeight="1">
      <c r="B58" s="844" t="s">
        <v>86</v>
      </c>
      <c r="C58" s="844"/>
      <c r="D58" s="844"/>
      <c r="E58" s="844"/>
      <c r="F58" s="844"/>
      <c r="G58" s="844"/>
      <c r="H58" s="844"/>
    </row>
    <row r="59" spans="2:10" ht="12.75" customHeight="1">
      <c r="B59" s="842" t="s">
        <v>44</v>
      </c>
      <c r="C59" s="842"/>
      <c r="D59" s="842"/>
      <c r="E59" s="842"/>
      <c r="F59" s="842"/>
      <c r="G59" s="842"/>
      <c r="H59" s="842"/>
    </row>
    <row r="60" spans="2:10">
      <c r="B60" s="842"/>
      <c r="C60" s="842"/>
      <c r="D60" s="842"/>
      <c r="E60" s="842"/>
      <c r="F60" s="842"/>
      <c r="G60" s="842"/>
      <c r="H60" s="842"/>
    </row>
    <row r="61" spans="2:10">
      <c r="B61" s="842"/>
      <c r="C61" s="842"/>
      <c r="D61" s="842"/>
      <c r="E61" s="842"/>
      <c r="F61" s="842"/>
      <c r="G61" s="842"/>
      <c r="H61" s="842"/>
    </row>
    <row r="62" spans="2:10">
      <c r="B62" s="149"/>
      <c r="C62" s="149"/>
      <c r="D62" s="149"/>
      <c r="E62" s="149"/>
      <c r="F62" s="149"/>
      <c r="G62" s="149"/>
      <c r="H62" s="149"/>
    </row>
    <row r="63" spans="2:10">
      <c r="B63" s="149" t="s">
        <v>21</v>
      </c>
      <c r="C63" s="149" t="s">
        <v>57</v>
      </c>
      <c r="D63" s="149"/>
      <c r="E63" s="149"/>
      <c r="F63" s="149"/>
      <c r="G63" s="149"/>
      <c r="H63" s="149"/>
    </row>
    <row r="64" spans="2:10" ht="15.75" customHeight="1">
      <c r="B64" s="136" t="s">
        <v>225</v>
      </c>
      <c r="C64" s="131" t="s">
        <v>175</v>
      </c>
      <c r="D64" s="135"/>
      <c r="E64" s="390"/>
      <c r="F64" s="135"/>
      <c r="G64" s="135"/>
      <c r="H64" s="135"/>
      <c r="J64" s="496">
        <v>22.300299439885112</v>
      </c>
    </row>
    <row r="65" spans="2:10">
      <c r="B65" s="131" t="s">
        <v>35</v>
      </c>
      <c r="C65" s="131" t="s">
        <v>178</v>
      </c>
      <c r="D65" s="135"/>
      <c r="E65" s="390"/>
      <c r="F65" s="135"/>
      <c r="G65" s="135"/>
      <c r="H65" s="135"/>
      <c r="J65" s="496">
        <v>35.04</v>
      </c>
    </row>
    <row r="66" spans="2:10" ht="12.75" customHeight="1">
      <c r="B66" s="131" t="s">
        <v>225</v>
      </c>
      <c r="C66" s="131" t="s">
        <v>111</v>
      </c>
      <c r="D66" s="135"/>
      <c r="E66" s="390"/>
      <c r="F66" s="135"/>
      <c r="G66" s="135"/>
      <c r="H66" s="135"/>
      <c r="J66" s="496">
        <v>38.44</v>
      </c>
    </row>
    <row r="67" spans="2:10">
      <c r="B67" s="136" t="s">
        <v>35</v>
      </c>
      <c r="C67" s="136" t="s">
        <v>111</v>
      </c>
      <c r="D67" s="134"/>
      <c r="E67" s="390"/>
      <c r="F67" s="134"/>
      <c r="G67" s="135"/>
      <c r="H67" s="135"/>
      <c r="J67" s="496">
        <v>31.78409724752219</v>
      </c>
    </row>
    <row r="68" spans="2:10">
      <c r="B68" s="131" t="s">
        <v>225</v>
      </c>
      <c r="C68" s="131" t="s">
        <v>62</v>
      </c>
      <c r="D68" s="135"/>
      <c r="E68" s="390"/>
      <c r="F68" s="135"/>
      <c r="G68" s="134"/>
      <c r="H68" s="134"/>
      <c r="J68" s="496">
        <v>48.18</v>
      </c>
    </row>
    <row r="69" spans="2:10">
      <c r="B69" s="136" t="s">
        <v>35</v>
      </c>
      <c r="C69" s="136" t="s">
        <v>62</v>
      </c>
      <c r="D69" s="134"/>
      <c r="E69" s="390"/>
      <c r="F69" s="134"/>
      <c r="G69" s="135"/>
      <c r="H69" s="135"/>
      <c r="J69" s="496">
        <v>50.751692862796347</v>
      </c>
    </row>
    <row r="70" spans="2:10">
      <c r="B70" s="131"/>
      <c r="C70" s="131"/>
      <c r="D70" s="131"/>
      <c r="E70" s="131"/>
      <c r="F70" s="131"/>
      <c r="G70" s="134"/>
      <c r="H70" s="134"/>
      <c r="J70" s="496">
        <v>74.459999999999994</v>
      </c>
    </row>
    <row r="71" spans="2:10" ht="12.75" customHeight="1">
      <c r="B71" s="130" t="s">
        <v>68</v>
      </c>
      <c r="C71" s="150"/>
      <c r="D71" s="150"/>
      <c r="E71" s="151"/>
      <c r="G71" s="131"/>
      <c r="H71" s="131"/>
    </row>
    <row r="72" spans="2:10" ht="12.75" customHeight="1">
      <c r="B72" s="152" t="s">
        <v>73</v>
      </c>
      <c r="C72" s="150"/>
      <c r="D72" s="150"/>
      <c r="E72" s="151"/>
    </row>
    <row r="73" spans="2:10" ht="12.75" customHeight="1">
      <c r="B73" s="152" t="s">
        <v>123</v>
      </c>
      <c r="C73" s="150"/>
      <c r="D73" s="150"/>
      <c r="E73" s="151"/>
    </row>
    <row r="74" spans="2:10" ht="12.75" customHeight="1"/>
    <row r="75" spans="2:10" ht="12.75" customHeight="1"/>
    <row r="76" spans="2:10" ht="12.75" customHeight="1"/>
    <row r="77" spans="2:10" ht="12.75" customHeight="1"/>
    <row r="78" spans="2:10"/>
    <row r="79" spans="2:10"/>
    <row r="80" spans="2:1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sheetData>
  <mergeCells count="10">
    <mergeCell ref="J15:N15"/>
    <mergeCell ref="J32:M32"/>
    <mergeCell ref="B13:H13"/>
    <mergeCell ref="B59:H61"/>
    <mergeCell ref="E15:H15"/>
    <mergeCell ref="E32:H32"/>
    <mergeCell ref="B58:H58"/>
    <mergeCell ref="E38:H38"/>
    <mergeCell ref="E45:H45"/>
    <mergeCell ref="E50:H50"/>
  </mergeCells>
  <phoneticPr fontId="15"/>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enableFormatConditionsCalculation="0"/>
  <dimension ref="A1:AH172"/>
  <sheetViews>
    <sheetView showGridLines="0" showZeros="0" showOutlineSymbols="0" zoomScaleSheetLayoutView="75" workbookViewId="0">
      <selection activeCell="D125" sqref="D125:D139"/>
    </sheetView>
  </sheetViews>
  <sheetFormatPr baseColWidth="10" defaultColWidth="0" defaultRowHeight="13" x14ac:dyDescent="0"/>
  <cols>
    <col min="1" max="1" width="5" style="61" customWidth="1"/>
    <col min="2" max="2" width="41.42578125" style="147" customWidth="1"/>
    <col min="3" max="3" width="22.42578125" style="137" customWidth="1"/>
    <col min="4" max="4" width="34.28515625" style="138" bestFit="1" customWidth="1"/>
    <col min="5" max="5" width="12.85546875" style="138" customWidth="1"/>
    <col min="6" max="6" width="9.85546875" style="138" customWidth="1"/>
    <col min="7" max="7" width="11.85546875" style="139" bestFit="1" customWidth="1"/>
    <col min="8" max="8" width="10" style="139" customWidth="1"/>
    <col min="9" max="9" width="11.85546875" style="139" bestFit="1" customWidth="1"/>
    <col min="10" max="10" width="12.28515625" style="139" customWidth="1"/>
    <col min="11" max="12" width="9.5703125" style="139" customWidth="1"/>
    <col min="13" max="13" width="11.5703125" style="61" bestFit="1" customWidth="1"/>
    <col min="14" max="14" width="10.7109375" style="61" bestFit="1" customWidth="1"/>
    <col min="15" max="15" width="13.85546875" style="61" customWidth="1"/>
    <col min="16" max="16" width="9.28515625" style="61" bestFit="1" customWidth="1"/>
    <col min="17" max="18" width="10.5703125" style="61" bestFit="1" customWidth="1"/>
    <col min="19" max="19" width="10.85546875" style="61" bestFit="1" customWidth="1"/>
    <col min="20" max="20" width="10.5703125" style="61" bestFit="1" customWidth="1"/>
    <col min="21" max="21" width="10.140625" style="61" bestFit="1" customWidth="1"/>
    <col min="22" max="22" width="12.28515625" style="61" bestFit="1" customWidth="1"/>
    <col min="23" max="25" width="12.5703125" style="61" customWidth="1"/>
    <col min="26" max="29" width="11.85546875" style="61" hidden="1" customWidth="1"/>
    <col min="30" max="30" width="10.85546875" style="61" bestFit="1" customWidth="1"/>
    <col min="31" max="31" width="12.85546875" style="61" bestFit="1" customWidth="1"/>
    <col min="32" max="34" width="0" style="61" hidden="1" customWidth="1"/>
    <col min="35" max="16384" width="10.7109375" style="61" hidden="1"/>
  </cols>
  <sheetData>
    <row r="1" spans="2:34" ht="27" customHeight="1">
      <c r="B1" s="387" t="s">
        <v>32</v>
      </c>
    </row>
    <row r="2" spans="2:34" ht="27" customHeight="1">
      <c r="B2" s="399"/>
    </row>
    <row r="3" spans="2:34">
      <c r="B3" s="137"/>
    </row>
    <row r="4" spans="2:34" ht="16">
      <c r="B4" s="140" t="s">
        <v>160</v>
      </c>
      <c r="C4" s="141" t="str">
        <f>'Uitleg calculatiemodule'!F2</f>
        <v>Stichting Altra - Horizon</v>
      </c>
      <c r="D4" s="431"/>
      <c r="E4" s="431"/>
      <c r="F4" s="139"/>
    </row>
    <row r="5" spans="2:34" ht="16">
      <c r="B5" s="140" t="s">
        <v>42</v>
      </c>
      <c r="C5" s="140" t="s">
        <v>66</v>
      </c>
      <c r="D5" s="133"/>
      <c r="E5" s="133"/>
      <c r="F5" s="139"/>
    </row>
    <row r="6" spans="2:34" ht="15.75" customHeight="1">
      <c r="B6" s="140" t="s">
        <v>52</v>
      </c>
      <c r="C6" s="141" t="str">
        <f>'Uitleg calculatiemodule'!F3</f>
        <v>Regio Noord Holland</v>
      </c>
      <c r="D6" s="430"/>
      <c r="E6" s="430"/>
      <c r="F6" s="139"/>
    </row>
    <row r="7" spans="2:34" ht="16">
      <c r="B7" s="140" t="s">
        <v>217</v>
      </c>
      <c r="C7" s="141" t="str">
        <f>'Uitleg calculatiemodule'!F4</f>
        <v>180417 V2</v>
      </c>
      <c r="D7" s="133"/>
      <c r="E7" s="133"/>
      <c r="F7" s="139"/>
    </row>
    <row r="8" spans="2:34" ht="16">
      <c r="B8" s="140" t="s">
        <v>158</v>
      </c>
      <c r="C8" s="141" t="str">
        <f>'1.0-Contractblad'!E6</f>
        <v>[NAAM LEVERANCIER]</v>
      </c>
      <c r="D8" s="133"/>
      <c r="E8" s="676">
        <f>Voorblad!$E$15</f>
        <v>42917</v>
      </c>
      <c r="F8" s="139"/>
    </row>
    <row r="9" spans="2:34" ht="16">
      <c r="B9" s="140">
        <v>0</v>
      </c>
      <c r="C9" s="141">
        <v>0</v>
      </c>
      <c r="D9" s="133"/>
      <c r="E9" s="133"/>
      <c r="F9" s="139"/>
    </row>
    <row r="10" spans="2:34" ht="16">
      <c r="B10" s="140" t="s">
        <v>23</v>
      </c>
      <c r="C10" s="129" t="s">
        <v>92</v>
      </c>
      <c r="D10" s="133"/>
      <c r="E10" s="133"/>
      <c r="F10" s="139"/>
    </row>
    <row r="11" spans="2:34" ht="16">
      <c r="B11" s="140"/>
      <c r="C11" s="129"/>
      <c r="D11" s="133"/>
      <c r="E11" s="133"/>
      <c r="F11" s="133"/>
    </row>
    <row r="12" spans="2:34">
      <c r="B12" s="144"/>
      <c r="C12" s="145"/>
      <c r="D12" s="146"/>
      <c r="E12" s="146"/>
      <c r="F12" s="146"/>
    </row>
    <row r="13" spans="2:34" ht="18.75" customHeight="1">
      <c r="B13" s="841" t="s">
        <v>321</v>
      </c>
      <c r="C13" s="841"/>
      <c r="D13" s="841"/>
      <c r="E13" s="841"/>
      <c r="F13" s="841"/>
      <c r="G13" s="841"/>
      <c r="H13" s="841"/>
      <c r="I13" s="841"/>
      <c r="J13" s="841"/>
      <c r="K13" s="665"/>
      <c r="L13" s="665"/>
      <c r="M13" s="429"/>
    </row>
    <row r="14" spans="2:34">
      <c r="D14" s="137"/>
      <c r="E14" s="137"/>
      <c r="F14" s="848" t="s">
        <v>343</v>
      </c>
      <c r="G14" s="849"/>
      <c r="H14" s="849"/>
      <c r="I14" s="849"/>
      <c r="J14" s="850"/>
      <c r="K14" s="667"/>
      <c r="L14" s="667"/>
      <c r="M14" s="851" t="s">
        <v>1441</v>
      </c>
      <c r="N14" s="852"/>
      <c r="O14" s="852"/>
      <c r="P14" s="853"/>
      <c r="Q14" s="429"/>
      <c r="R14" s="429"/>
      <c r="S14" s="428"/>
      <c r="T14" s="667"/>
      <c r="U14" s="429"/>
    </row>
    <row r="15" spans="2:34" s="688" customFormat="1" ht="36">
      <c r="B15" s="448" t="s">
        <v>41</v>
      </c>
      <c r="C15" s="429" t="s">
        <v>1440</v>
      </c>
      <c r="D15" s="429" t="s">
        <v>54</v>
      </c>
      <c r="E15" s="449" t="s">
        <v>320</v>
      </c>
      <c r="F15" s="449" t="s">
        <v>344</v>
      </c>
      <c r="G15" s="449" t="s">
        <v>320</v>
      </c>
      <c r="H15" s="471" t="s">
        <v>1429</v>
      </c>
      <c r="I15" s="471" t="s">
        <v>320</v>
      </c>
      <c r="J15" s="471" t="s">
        <v>503</v>
      </c>
      <c r="K15" s="471" t="s">
        <v>320</v>
      </c>
      <c r="L15" s="471" t="s">
        <v>1422</v>
      </c>
      <c r="M15" s="471" t="s">
        <v>1442</v>
      </c>
      <c r="N15" s="449" t="s">
        <v>1443</v>
      </c>
      <c r="O15" s="471" t="s">
        <v>1444</v>
      </c>
      <c r="P15" s="471" t="s">
        <v>1445</v>
      </c>
      <c r="Q15" s="471" t="s">
        <v>1425</v>
      </c>
      <c r="R15" s="471" t="s">
        <v>1426</v>
      </c>
      <c r="S15" s="471" t="s">
        <v>1427</v>
      </c>
      <c r="T15" s="471" t="s">
        <v>1422</v>
      </c>
      <c r="U15" s="472" t="s">
        <v>345</v>
      </c>
      <c r="V15" s="471" t="s">
        <v>398</v>
      </c>
      <c r="W15" s="471" t="s">
        <v>399</v>
      </c>
      <c r="X15" s="471" t="s">
        <v>400</v>
      </c>
      <c r="Y15" s="471" t="s">
        <v>1424</v>
      </c>
      <c r="Z15" s="472" t="s">
        <v>346</v>
      </c>
      <c r="AA15" s="472" t="s">
        <v>347</v>
      </c>
      <c r="AB15" s="472" t="s">
        <v>348</v>
      </c>
      <c r="AC15" s="472" t="s">
        <v>1428</v>
      </c>
      <c r="AD15" s="472" t="s">
        <v>349</v>
      </c>
      <c r="AE15" s="472" t="s">
        <v>198</v>
      </c>
      <c r="AF15" s="687"/>
      <c r="AG15" s="687"/>
    </row>
    <row r="16" spans="2:34" hidden="1">
      <c r="B16" s="672"/>
      <c r="C16" s="673"/>
      <c r="D16" s="674"/>
      <c r="E16" s="469"/>
      <c r="F16" s="675"/>
      <c r="G16" s="469"/>
      <c r="H16" s="675"/>
      <c r="I16" s="469"/>
      <c r="J16" s="675"/>
      <c r="K16" s="469"/>
      <c r="L16" s="675"/>
      <c r="M16" s="470"/>
      <c r="N16" s="470"/>
      <c r="O16" s="470"/>
      <c r="P16" s="787"/>
      <c r="Q16" s="473"/>
      <c r="R16" s="473"/>
      <c r="S16" s="473"/>
      <c r="T16" s="671"/>
      <c r="U16" s="474"/>
      <c r="V16" s="560"/>
      <c r="W16" s="560"/>
      <c r="X16" s="560"/>
      <c r="Y16" s="560"/>
      <c r="Z16" s="475"/>
      <c r="AA16" s="475"/>
      <c r="AB16" s="476"/>
      <c r="AC16" s="476"/>
      <c r="AD16" s="561"/>
      <c r="AE16" s="561"/>
      <c r="AH16" s="700"/>
    </row>
    <row r="17" spans="1:34" hidden="1">
      <c r="B17" s="672"/>
      <c r="C17" s="673"/>
      <c r="D17" s="674"/>
      <c r="E17" s="469"/>
      <c r="F17" s="675"/>
      <c r="G17" s="469"/>
      <c r="H17" s="675"/>
      <c r="I17" s="469"/>
      <c r="J17" s="675"/>
      <c r="K17" s="469"/>
      <c r="L17" s="675"/>
      <c r="M17" s="470"/>
      <c r="N17" s="470"/>
      <c r="O17" s="470"/>
      <c r="P17" s="787"/>
      <c r="Q17" s="473"/>
      <c r="R17" s="473"/>
      <c r="S17" s="473"/>
      <c r="T17" s="671"/>
      <c r="U17" s="474"/>
      <c r="V17" s="560"/>
      <c r="W17" s="560"/>
      <c r="X17" s="560"/>
      <c r="Y17" s="560"/>
      <c r="Z17" s="475"/>
      <c r="AA17" s="475"/>
      <c r="AB17" s="476"/>
      <c r="AC17" s="476"/>
      <c r="AD17" s="561"/>
      <c r="AE17" s="561"/>
      <c r="AH17" s="700"/>
    </row>
    <row r="18" spans="1:34" hidden="1">
      <c r="B18" s="672"/>
      <c r="C18" s="673"/>
      <c r="D18" s="674"/>
      <c r="E18" s="469"/>
      <c r="F18" s="675"/>
      <c r="G18" s="469"/>
      <c r="H18" s="675"/>
      <c r="I18" s="469"/>
      <c r="J18" s="675"/>
      <c r="K18" s="469"/>
      <c r="L18" s="675"/>
      <c r="M18" s="470"/>
      <c r="N18" s="470"/>
      <c r="O18" s="470"/>
      <c r="P18" s="787"/>
      <c r="Q18" s="473"/>
      <c r="R18" s="473"/>
      <c r="S18" s="473"/>
      <c r="T18" s="671"/>
      <c r="U18" s="474"/>
      <c r="V18" s="560"/>
      <c r="W18" s="560"/>
      <c r="X18" s="560"/>
      <c r="Y18" s="560"/>
      <c r="Z18" s="475"/>
      <c r="AA18" s="475"/>
      <c r="AB18" s="476"/>
      <c r="AC18" s="476"/>
      <c r="AD18" s="561"/>
      <c r="AE18" s="561"/>
      <c r="AH18" s="700"/>
    </row>
    <row r="19" spans="1:34" hidden="1">
      <c r="B19" s="672"/>
      <c r="C19" s="673"/>
      <c r="D19" s="674"/>
      <c r="E19" s="469"/>
      <c r="F19" s="675"/>
      <c r="G19" s="469"/>
      <c r="H19" s="675"/>
      <c r="I19" s="469"/>
      <c r="J19" s="675"/>
      <c r="K19" s="469"/>
      <c r="L19" s="675"/>
      <c r="M19" s="470"/>
      <c r="N19" s="470"/>
      <c r="O19" s="470"/>
      <c r="P19" s="787"/>
      <c r="Q19" s="473"/>
      <c r="R19" s="473"/>
      <c r="S19" s="473"/>
      <c r="T19" s="671"/>
      <c r="U19" s="474"/>
      <c r="V19" s="560"/>
      <c r="W19" s="560"/>
      <c r="X19" s="560"/>
      <c r="Y19" s="560"/>
      <c r="Z19" s="475"/>
      <c r="AA19" s="475"/>
      <c r="AB19" s="476"/>
      <c r="AC19" s="476"/>
      <c r="AD19" s="561"/>
      <c r="AE19" s="561"/>
      <c r="AH19" s="700"/>
    </row>
    <row r="20" spans="1:34" hidden="1">
      <c r="B20" s="672"/>
      <c r="C20" s="673"/>
      <c r="D20" s="674"/>
      <c r="E20" s="469"/>
      <c r="F20" s="675"/>
      <c r="G20" s="469"/>
      <c r="H20" s="675"/>
      <c r="I20" s="469"/>
      <c r="J20" s="675"/>
      <c r="K20" s="469"/>
      <c r="L20" s="675"/>
      <c r="M20" s="470"/>
      <c r="N20" s="470"/>
      <c r="O20" s="470"/>
      <c r="P20" s="787"/>
      <c r="Q20" s="473"/>
      <c r="R20" s="473"/>
      <c r="S20" s="473"/>
      <c r="T20" s="671"/>
      <c r="U20" s="474"/>
      <c r="V20" s="560"/>
      <c r="W20" s="560"/>
      <c r="X20" s="560"/>
      <c r="Y20" s="560"/>
      <c r="Z20" s="475"/>
      <c r="AA20" s="475"/>
      <c r="AB20" s="476"/>
      <c r="AC20" s="476"/>
      <c r="AD20" s="561"/>
      <c r="AE20" s="561"/>
      <c r="AH20" s="700"/>
    </row>
    <row r="21" spans="1:34" hidden="1">
      <c r="B21" s="672"/>
      <c r="C21" s="673"/>
      <c r="D21" s="674"/>
      <c r="E21" s="469"/>
      <c r="F21" s="675"/>
      <c r="G21" s="469"/>
      <c r="H21" s="675"/>
      <c r="I21" s="469"/>
      <c r="J21" s="675"/>
      <c r="K21" s="469"/>
      <c r="L21" s="675"/>
      <c r="M21" s="470"/>
      <c r="N21" s="470"/>
      <c r="O21" s="470"/>
      <c r="P21" s="787"/>
      <c r="Q21" s="473"/>
      <c r="R21" s="473"/>
      <c r="S21" s="473"/>
      <c r="T21" s="671"/>
      <c r="U21" s="474"/>
      <c r="V21" s="560"/>
      <c r="W21" s="560"/>
      <c r="X21" s="560"/>
      <c r="Y21" s="560"/>
      <c r="Z21" s="475"/>
      <c r="AA21" s="475"/>
      <c r="AB21" s="476"/>
      <c r="AC21" s="476"/>
      <c r="AD21" s="561"/>
      <c r="AE21" s="561"/>
      <c r="AH21" s="700"/>
    </row>
    <row r="22" spans="1:34" hidden="1">
      <c r="B22" s="672"/>
      <c r="C22" s="673"/>
      <c r="D22" s="674"/>
      <c r="E22" s="469"/>
      <c r="F22" s="675"/>
      <c r="G22" s="469"/>
      <c r="H22" s="675"/>
      <c r="I22" s="469"/>
      <c r="J22" s="675"/>
      <c r="K22" s="469"/>
      <c r="L22" s="675"/>
      <c r="M22" s="470"/>
      <c r="N22" s="470"/>
      <c r="O22" s="470"/>
      <c r="P22" s="787"/>
      <c r="Q22" s="473"/>
      <c r="R22" s="473"/>
      <c r="S22" s="473"/>
      <c r="T22" s="671"/>
      <c r="U22" s="474"/>
      <c r="V22" s="560"/>
      <c r="W22" s="560"/>
      <c r="X22" s="560"/>
      <c r="Y22" s="560"/>
      <c r="Z22" s="475"/>
      <c r="AA22" s="475"/>
      <c r="AB22" s="476"/>
      <c r="AC22" s="476"/>
      <c r="AD22" s="561"/>
      <c r="AE22" s="561"/>
      <c r="AH22" s="700"/>
    </row>
    <row r="23" spans="1:34" hidden="1">
      <c r="B23" s="672"/>
      <c r="C23" s="673"/>
      <c r="D23" s="674"/>
      <c r="E23" s="469"/>
      <c r="F23" s="675"/>
      <c r="G23" s="469"/>
      <c r="H23" s="675"/>
      <c r="I23" s="469"/>
      <c r="J23" s="675"/>
      <c r="K23" s="469"/>
      <c r="L23" s="675"/>
      <c r="M23" s="470"/>
      <c r="N23" s="470"/>
      <c r="O23" s="470"/>
      <c r="P23" s="787"/>
      <c r="Q23" s="473"/>
      <c r="R23" s="473"/>
      <c r="S23" s="473"/>
      <c r="T23" s="671"/>
      <c r="U23" s="474"/>
      <c r="V23" s="560"/>
      <c r="W23" s="560"/>
      <c r="X23" s="560"/>
      <c r="Y23" s="560"/>
      <c r="Z23" s="475"/>
      <c r="AA23" s="475"/>
      <c r="AB23" s="476"/>
      <c r="AC23" s="476"/>
      <c r="AD23" s="561"/>
      <c r="AE23" s="561"/>
      <c r="AH23" s="700"/>
    </row>
    <row r="24" spans="1:34" hidden="1">
      <c r="B24" s="672"/>
      <c r="C24" s="673"/>
      <c r="D24" s="674"/>
      <c r="E24" s="469"/>
      <c r="F24" s="675"/>
      <c r="G24" s="469"/>
      <c r="H24" s="675"/>
      <c r="I24" s="469"/>
      <c r="J24" s="675"/>
      <c r="K24" s="469"/>
      <c r="L24" s="675"/>
      <c r="M24" s="470"/>
      <c r="N24" s="470"/>
      <c r="O24" s="470"/>
      <c r="P24" s="787"/>
      <c r="Q24" s="473"/>
      <c r="R24" s="473"/>
      <c r="S24" s="473"/>
      <c r="T24" s="671"/>
      <c r="U24" s="474"/>
      <c r="V24" s="560"/>
      <c r="W24" s="560"/>
      <c r="X24" s="560"/>
      <c r="Y24" s="560"/>
      <c r="Z24" s="475"/>
      <c r="AA24" s="475"/>
      <c r="AB24" s="476"/>
      <c r="AC24" s="476"/>
      <c r="AD24" s="561"/>
      <c r="AE24" s="561"/>
      <c r="AH24" s="700"/>
    </row>
    <row r="25" spans="1:34" hidden="1">
      <c r="B25" s="672"/>
      <c r="C25" s="673"/>
      <c r="D25" s="674"/>
      <c r="E25" s="469"/>
      <c r="F25" s="675"/>
      <c r="G25" s="469"/>
      <c r="H25" s="675"/>
      <c r="I25" s="469"/>
      <c r="J25" s="675"/>
      <c r="K25" s="469"/>
      <c r="L25" s="675"/>
      <c r="M25" s="470"/>
      <c r="N25" s="470"/>
      <c r="O25" s="470"/>
      <c r="P25" s="787"/>
      <c r="Q25" s="473"/>
      <c r="R25" s="473"/>
      <c r="S25" s="473"/>
      <c r="T25" s="671"/>
      <c r="U25" s="474"/>
      <c r="V25" s="560"/>
      <c r="W25" s="560"/>
      <c r="X25" s="560"/>
      <c r="Y25" s="560"/>
      <c r="Z25" s="475"/>
      <c r="AA25" s="475"/>
      <c r="AB25" s="476"/>
      <c r="AC25" s="476"/>
      <c r="AD25" s="561"/>
      <c r="AE25" s="561"/>
      <c r="AH25" s="700"/>
    </row>
    <row r="26" spans="1:34" hidden="1">
      <c r="B26" s="672"/>
      <c r="C26" s="673"/>
      <c r="D26" s="674"/>
      <c r="E26" s="469"/>
      <c r="F26" s="675"/>
      <c r="G26" s="469"/>
      <c r="H26" s="675"/>
      <c r="I26" s="469"/>
      <c r="J26" s="675"/>
      <c r="K26" s="469"/>
      <c r="L26" s="675"/>
      <c r="M26" s="470"/>
      <c r="N26" s="470"/>
      <c r="O26" s="470"/>
      <c r="P26" s="787"/>
      <c r="Q26" s="473"/>
      <c r="R26" s="473"/>
      <c r="S26" s="473"/>
      <c r="T26" s="671"/>
      <c r="U26" s="474"/>
      <c r="V26" s="560"/>
      <c r="W26" s="560"/>
      <c r="X26" s="560"/>
      <c r="Y26" s="560"/>
      <c r="Z26" s="475"/>
      <c r="AA26" s="475"/>
      <c r="AB26" s="476"/>
      <c r="AC26" s="476"/>
      <c r="AD26" s="561"/>
      <c r="AE26" s="561"/>
      <c r="AH26" s="700"/>
    </row>
    <row r="27" spans="1:34" hidden="1">
      <c r="B27" s="672"/>
      <c r="C27" s="673"/>
      <c r="D27" s="674"/>
      <c r="E27" s="469"/>
      <c r="F27" s="675"/>
      <c r="G27" s="469"/>
      <c r="H27" s="675"/>
      <c r="I27" s="469"/>
      <c r="J27" s="675"/>
      <c r="K27" s="469"/>
      <c r="L27" s="675"/>
      <c r="M27" s="470"/>
      <c r="N27" s="470"/>
      <c r="O27" s="470"/>
      <c r="P27" s="787"/>
      <c r="Q27" s="473"/>
      <c r="R27" s="473"/>
      <c r="S27" s="473"/>
      <c r="T27" s="671"/>
      <c r="U27" s="474"/>
      <c r="V27" s="560"/>
      <c r="W27" s="560"/>
      <c r="X27" s="560"/>
      <c r="Y27" s="560"/>
      <c r="Z27" s="475"/>
      <c r="AA27" s="475"/>
      <c r="AB27" s="476"/>
      <c r="AC27" s="476"/>
      <c r="AD27" s="561"/>
      <c r="AE27" s="561"/>
      <c r="AH27" s="700"/>
    </row>
    <row r="28" spans="1:34" hidden="1">
      <c r="B28" s="672"/>
      <c r="C28" s="673"/>
      <c r="D28" s="674"/>
      <c r="E28" s="469"/>
      <c r="F28" s="675"/>
      <c r="G28" s="469"/>
      <c r="H28" s="675"/>
      <c r="I28" s="469"/>
      <c r="J28" s="675"/>
      <c r="K28" s="469"/>
      <c r="L28" s="675"/>
      <c r="M28" s="470"/>
      <c r="N28" s="470"/>
      <c r="O28" s="470"/>
      <c r="P28" s="787"/>
      <c r="Q28" s="473"/>
      <c r="R28" s="473"/>
      <c r="S28" s="473"/>
      <c r="T28" s="671"/>
      <c r="U28" s="474"/>
      <c r="V28" s="560"/>
      <c r="W28" s="560"/>
      <c r="X28" s="560"/>
      <c r="Y28" s="560"/>
      <c r="Z28" s="475"/>
      <c r="AA28" s="475"/>
      <c r="AB28" s="476"/>
      <c r="AC28" s="476"/>
      <c r="AD28" s="561"/>
      <c r="AE28" s="561"/>
      <c r="AH28" s="700"/>
    </row>
    <row r="29" spans="1:34">
      <c r="A29" s="61">
        <v>3</v>
      </c>
      <c r="B29" s="672" t="s">
        <v>1476</v>
      </c>
      <c r="C29" s="673" t="s">
        <v>1413</v>
      </c>
      <c r="D29" s="674" t="s">
        <v>1417</v>
      </c>
      <c r="E29" s="469">
        <v>3</v>
      </c>
      <c r="F29" s="675">
        <v>2384</v>
      </c>
      <c r="G29" s="469">
        <v>3</v>
      </c>
      <c r="H29" s="675">
        <v>1730</v>
      </c>
      <c r="I29" s="469">
        <v>3</v>
      </c>
      <c r="J29" s="675">
        <v>7380</v>
      </c>
      <c r="K29" s="469"/>
      <c r="L29" s="675"/>
      <c r="M29" s="470"/>
      <c r="N29" s="470"/>
      <c r="O29" s="470"/>
      <c r="P29" s="787"/>
      <c r="Q29" s="473">
        <f t="shared" ref="Q29:Q53" si="0">IF(M29=0,0,F29/M29)*E29</f>
        <v>0</v>
      </c>
      <c r="R29" s="473">
        <f t="shared" ref="R29:R53" si="1">IF(N29=0,0,H29/N29)*G29</f>
        <v>0</v>
      </c>
      <c r="S29" s="473">
        <f t="shared" ref="S29:S53" si="2">IF(O29=0,0,J29/O29)*I29</f>
        <v>0</v>
      </c>
      <c r="T29" s="671"/>
      <c r="U29" s="474">
        <f>'1.0-Contractblad'!$L$137</f>
        <v>0</v>
      </c>
      <c r="V29" s="560">
        <f t="shared" ref="V29:V53" si="3">IF(M29=0,0,Q29*U29)</f>
        <v>0</v>
      </c>
      <c r="W29" s="560">
        <f t="shared" ref="W29:W53" si="4">IF(N29=0,0,R29*U29)</f>
        <v>0</v>
      </c>
      <c r="X29" s="560">
        <f t="shared" ref="X29:X53" si="5">IF(O29=0,0,S29*U29)</f>
        <v>0</v>
      </c>
      <c r="Y29" s="560">
        <f t="shared" ref="Y29:Y53" si="6">IF(P29=0,0,T29*U29)</f>
        <v>0</v>
      </c>
      <c r="Z29" s="475">
        <f t="shared" ref="Z29:Z53" si="7">IF(F29=0,0,V29/E29/F29)</f>
        <v>0</v>
      </c>
      <c r="AA29" s="475">
        <f t="shared" ref="AA29:AA53" si="8">IF(H29=0,0,W29/G29/H29)</f>
        <v>0</v>
      </c>
      <c r="AB29" s="476">
        <f t="shared" ref="AB29:AB53" si="9">IF(J29=0,0,X29/I29/J29)</f>
        <v>0</v>
      </c>
      <c r="AC29" s="476">
        <f t="shared" ref="AC29:AC53" si="10">IF(L29=0,0,Y29/K29/L29)</f>
        <v>0</v>
      </c>
      <c r="AD29" s="561">
        <f t="shared" ref="AD29" si="11">E125*D125</f>
        <v>0</v>
      </c>
      <c r="AE29" s="561">
        <f t="shared" ref="AE29:AE53" si="12">IF(M29=0,0,V29+W29+X29)+Y29</f>
        <v>0</v>
      </c>
      <c r="AH29" s="700">
        <f t="shared" ref="AH29:AH53" si="13">F29+H29+J29+L29</f>
        <v>11494</v>
      </c>
    </row>
    <row r="30" spans="1:34">
      <c r="A30" s="61">
        <v>3</v>
      </c>
      <c r="B30" s="672" t="s">
        <v>1466</v>
      </c>
      <c r="C30" s="673" t="s">
        <v>1413</v>
      </c>
      <c r="D30" s="674" t="s">
        <v>1419</v>
      </c>
      <c r="E30" s="469">
        <v>3</v>
      </c>
      <c r="F30" s="675">
        <v>112</v>
      </c>
      <c r="G30" s="469">
        <v>3</v>
      </c>
      <c r="H30" s="675">
        <v>112</v>
      </c>
      <c r="I30" s="469">
        <v>3</v>
      </c>
      <c r="J30" s="675">
        <v>340</v>
      </c>
      <c r="K30" s="469"/>
      <c r="L30" s="675"/>
      <c r="M30" s="470"/>
      <c r="N30" s="470"/>
      <c r="O30" s="470"/>
      <c r="P30" s="787"/>
      <c r="Q30" s="473">
        <f t="shared" si="0"/>
        <v>0</v>
      </c>
      <c r="R30" s="473">
        <f t="shared" si="1"/>
        <v>0</v>
      </c>
      <c r="S30" s="473">
        <f t="shared" si="2"/>
        <v>0</v>
      </c>
      <c r="T30" s="671"/>
      <c r="U30" s="474">
        <f>'1.0-Contractblad'!$L$137</f>
        <v>0</v>
      </c>
      <c r="V30" s="560">
        <f t="shared" si="3"/>
        <v>0</v>
      </c>
      <c r="W30" s="560">
        <f t="shared" si="4"/>
        <v>0</v>
      </c>
      <c r="X30" s="560">
        <f t="shared" si="5"/>
        <v>0</v>
      </c>
      <c r="Y30" s="560">
        <f t="shared" si="6"/>
        <v>0</v>
      </c>
      <c r="Z30" s="475">
        <f t="shared" si="7"/>
        <v>0</v>
      </c>
      <c r="AA30" s="475">
        <f t="shared" si="8"/>
        <v>0</v>
      </c>
      <c r="AB30" s="476">
        <f t="shared" si="9"/>
        <v>0</v>
      </c>
      <c r="AC30" s="476">
        <f t="shared" si="10"/>
        <v>0</v>
      </c>
      <c r="AD30" s="561">
        <f t="shared" ref="AD30:AD51" si="14">E126*D126</f>
        <v>0</v>
      </c>
      <c r="AE30" s="561">
        <f t="shared" si="12"/>
        <v>0</v>
      </c>
      <c r="AH30" s="700">
        <f t="shared" si="13"/>
        <v>564</v>
      </c>
    </row>
    <row r="31" spans="1:34">
      <c r="A31" s="61">
        <v>3</v>
      </c>
      <c r="B31" s="672" t="s">
        <v>1467</v>
      </c>
      <c r="C31" s="673" t="s">
        <v>1413</v>
      </c>
      <c r="D31" s="674" t="s">
        <v>1418</v>
      </c>
      <c r="E31" s="469">
        <v>3</v>
      </c>
      <c r="F31" s="675"/>
      <c r="G31" s="469">
        <v>3</v>
      </c>
      <c r="H31" s="675"/>
      <c r="I31" s="469">
        <v>3</v>
      </c>
      <c r="J31" s="675"/>
      <c r="K31" s="469"/>
      <c r="L31" s="675"/>
      <c r="M31" s="470"/>
      <c r="N31" s="470"/>
      <c r="O31" s="470"/>
      <c r="P31" s="787"/>
      <c r="Q31" s="473">
        <f t="shared" si="0"/>
        <v>0</v>
      </c>
      <c r="R31" s="473">
        <f t="shared" si="1"/>
        <v>0</v>
      </c>
      <c r="S31" s="473">
        <f t="shared" si="2"/>
        <v>0</v>
      </c>
      <c r="T31" s="671"/>
      <c r="U31" s="474">
        <f>'1.0-Contractblad'!$L$137</f>
        <v>0</v>
      </c>
      <c r="V31" s="560">
        <f t="shared" si="3"/>
        <v>0</v>
      </c>
      <c r="W31" s="560">
        <f t="shared" si="4"/>
        <v>0</v>
      </c>
      <c r="X31" s="560">
        <f t="shared" si="5"/>
        <v>0</v>
      </c>
      <c r="Y31" s="560">
        <f t="shared" si="6"/>
        <v>0</v>
      </c>
      <c r="Z31" s="475">
        <f t="shared" si="7"/>
        <v>0</v>
      </c>
      <c r="AA31" s="475">
        <f t="shared" si="8"/>
        <v>0</v>
      </c>
      <c r="AB31" s="476">
        <f t="shared" si="9"/>
        <v>0</v>
      </c>
      <c r="AC31" s="476">
        <f t="shared" si="10"/>
        <v>0</v>
      </c>
      <c r="AD31" s="561">
        <f t="shared" si="14"/>
        <v>0</v>
      </c>
      <c r="AE31" s="561">
        <f t="shared" si="12"/>
        <v>0</v>
      </c>
      <c r="AH31" s="700">
        <f t="shared" si="13"/>
        <v>0</v>
      </c>
    </row>
    <row r="32" spans="1:34">
      <c r="A32" s="61">
        <v>3</v>
      </c>
      <c r="B32" s="672" t="s">
        <v>1468</v>
      </c>
      <c r="C32" s="673" t="s">
        <v>1413</v>
      </c>
      <c r="D32" s="674" t="s">
        <v>1418</v>
      </c>
      <c r="E32" s="469">
        <v>3</v>
      </c>
      <c r="F32" s="675"/>
      <c r="G32" s="469">
        <v>3</v>
      </c>
      <c r="H32" s="675"/>
      <c r="I32" s="469">
        <v>3</v>
      </c>
      <c r="J32" s="675"/>
      <c r="K32" s="469"/>
      <c r="L32" s="675"/>
      <c r="M32" s="470"/>
      <c r="N32" s="470"/>
      <c r="O32" s="470"/>
      <c r="P32" s="787"/>
      <c r="Q32" s="473">
        <f t="shared" si="0"/>
        <v>0</v>
      </c>
      <c r="R32" s="473">
        <f t="shared" si="1"/>
        <v>0</v>
      </c>
      <c r="S32" s="473">
        <f t="shared" si="2"/>
        <v>0</v>
      </c>
      <c r="T32" s="671"/>
      <c r="U32" s="474">
        <f>'1.0-Contractblad'!$L$137</f>
        <v>0</v>
      </c>
      <c r="V32" s="560">
        <f t="shared" si="3"/>
        <v>0</v>
      </c>
      <c r="W32" s="560">
        <f t="shared" si="4"/>
        <v>0</v>
      </c>
      <c r="X32" s="560">
        <f t="shared" si="5"/>
        <v>0</v>
      </c>
      <c r="Y32" s="560">
        <f t="shared" si="6"/>
        <v>0</v>
      </c>
      <c r="Z32" s="475">
        <f t="shared" si="7"/>
        <v>0</v>
      </c>
      <c r="AA32" s="475">
        <f t="shared" si="8"/>
        <v>0</v>
      </c>
      <c r="AB32" s="476">
        <f t="shared" si="9"/>
        <v>0</v>
      </c>
      <c r="AC32" s="476">
        <f t="shared" si="10"/>
        <v>0</v>
      </c>
      <c r="AD32" s="561">
        <f t="shared" si="14"/>
        <v>0</v>
      </c>
      <c r="AE32" s="561">
        <f t="shared" si="12"/>
        <v>0</v>
      </c>
      <c r="AH32" s="700">
        <f t="shared" si="13"/>
        <v>0</v>
      </c>
    </row>
    <row r="33" spans="1:34">
      <c r="A33" s="61">
        <v>3</v>
      </c>
      <c r="B33" s="672" t="s">
        <v>1469</v>
      </c>
      <c r="C33" s="673" t="s">
        <v>1413</v>
      </c>
      <c r="D33" s="674" t="s">
        <v>1418</v>
      </c>
      <c r="E33" s="469">
        <v>3</v>
      </c>
      <c r="F33" s="675"/>
      <c r="G33" s="469">
        <v>3</v>
      </c>
      <c r="H33" s="675"/>
      <c r="I33" s="469">
        <v>3</v>
      </c>
      <c r="J33" s="675"/>
      <c r="K33" s="469"/>
      <c r="L33" s="675"/>
      <c r="M33" s="470"/>
      <c r="N33" s="470"/>
      <c r="O33" s="470"/>
      <c r="P33" s="787"/>
      <c r="Q33" s="473">
        <f t="shared" si="0"/>
        <v>0</v>
      </c>
      <c r="R33" s="473">
        <f t="shared" si="1"/>
        <v>0</v>
      </c>
      <c r="S33" s="473">
        <f t="shared" si="2"/>
        <v>0</v>
      </c>
      <c r="T33" s="671"/>
      <c r="U33" s="474">
        <f>'1.0-Contractblad'!$L$137</f>
        <v>0</v>
      </c>
      <c r="V33" s="560">
        <f t="shared" si="3"/>
        <v>0</v>
      </c>
      <c r="W33" s="560">
        <f t="shared" si="4"/>
        <v>0</v>
      </c>
      <c r="X33" s="560">
        <f t="shared" si="5"/>
        <v>0</v>
      </c>
      <c r="Y33" s="560">
        <f t="shared" si="6"/>
        <v>0</v>
      </c>
      <c r="Z33" s="475">
        <f t="shared" si="7"/>
        <v>0</v>
      </c>
      <c r="AA33" s="475">
        <f t="shared" si="8"/>
        <v>0</v>
      </c>
      <c r="AB33" s="476">
        <f t="shared" si="9"/>
        <v>0</v>
      </c>
      <c r="AC33" s="476">
        <f t="shared" si="10"/>
        <v>0</v>
      </c>
      <c r="AD33" s="561">
        <f t="shared" si="14"/>
        <v>0</v>
      </c>
      <c r="AE33" s="561">
        <f t="shared" si="12"/>
        <v>0</v>
      </c>
      <c r="AH33" s="700">
        <f t="shared" si="13"/>
        <v>0</v>
      </c>
    </row>
    <row r="34" spans="1:34">
      <c r="A34" s="61">
        <v>3</v>
      </c>
      <c r="B34" s="672" t="s">
        <v>1470</v>
      </c>
      <c r="C34" s="673" t="s">
        <v>1413</v>
      </c>
      <c r="D34" s="674" t="s">
        <v>1418</v>
      </c>
      <c r="E34" s="469">
        <v>3</v>
      </c>
      <c r="F34" s="675"/>
      <c r="G34" s="469">
        <v>3</v>
      </c>
      <c r="H34" s="675"/>
      <c r="I34" s="469">
        <v>3</v>
      </c>
      <c r="J34" s="675"/>
      <c r="K34" s="469"/>
      <c r="L34" s="675"/>
      <c r="M34" s="470"/>
      <c r="N34" s="470"/>
      <c r="O34" s="470"/>
      <c r="P34" s="787"/>
      <c r="Q34" s="473">
        <f t="shared" si="0"/>
        <v>0</v>
      </c>
      <c r="R34" s="473">
        <f t="shared" si="1"/>
        <v>0</v>
      </c>
      <c r="S34" s="473">
        <f t="shared" si="2"/>
        <v>0</v>
      </c>
      <c r="T34" s="671"/>
      <c r="U34" s="474">
        <f>'1.0-Contractblad'!$L$137</f>
        <v>0</v>
      </c>
      <c r="V34" s="560">
        <f t="shared" si="3"/>
        <v>0</v>
      </c>
      <c r="W34" s="560">
        <f t="shared" si="4"/>
        <v>0</v>
      </c>
      <c r="X34" s="560">
        <f t="shared" si="5"/>
        <v>0</v>
      </c>
      <c r="Y34" s="560">
        <f t="shared" si="6"/>
        <v>0</v>
      </c>
      <c r="Z34" s="475">
        <f t="shared" si="7"/>
        <v>0</v>
      </c>
      <c r="AA34" s="475">
        <f t="shared" si="8"/>
        <v>0</v>
      </c>
      <c r="AB34" s="476">
        <f t="shared" si="9"/>
        <v>0</v>
      </c>
      <c r="AC34" s="476">
        <f t="shared" si="10"/>
        <v>0</v>
      </c>
      <c r="AD34" s="561">
        <f t="shared" si="14"/>
        <v>0</v>
      </c>
      <c r="AE34" s="561">
        <f t="shared" si="12"/>
        <v>0</v>
      </c>
      <c r="AH34" s="700">
        <f t="shared" si="13"/>
        <v>0</v>
      </c>
    </row>
    <row r="35" spans="1:34">
      <c r="A35" s="61">
        <v>3</v>
      </c>
      <c r="B35" s="672" t="s">
        <v>1471</v>
      </c>
      <c r="C35" s="673" t="s">
        <v>1413</v>
      </c>
      <c r="D35" s="674" t="s">
        <v>1418</v>
      </c>
      <c r="E35" s="469">
        <v>3</v>
      </c>
      <c r="F35" s="675"/>
      <c r="G35" s="469">
        <v>3</v>
      </c>
      <c r="H35" s="675"/>
      <c r="I35" s="469">
        <v>3</v>
      </c>
      <c r="J35" s="675"/>
      <c r="K35" s="469"/>
      <c r="L35" s="675"/>
      <c r="M35" s="470"/>
      <c r="N35" s="470"/>
      <c r="O35" s="470"/>
      <c r="P35" s="787"/>
      <c r="Q35" s="473">
        <f t="shared" si="0"/>
        <v>0</v>
      </c>
      <c r="R35" s="473">
        <f t="shared" si="1"/>
        <v>0</v>
      </c>
      <c r="S35" s="473">
        <f t="shared" si="2"/>
        <v>0</v>
      </c>
      <c r="T35" s="671"/>
      <c r="U35" s="474">
        <f>'1.0-Contractblad'!$L$137</f>
        <v>0</v>
      </c>
      <c r="V35" s="560">
        <f t="shared" si="3"/>
        <v>0</v>
      </c>
      <c r="W35" s="560">
        <f t="shared" si="4"/>
        <v>0</v>
      </c>
      <c r="X35" s="560">
        <f t="shared" si="5"/>
        <v>0</v>
      </c>
      <c r="Y35" s="560">
        <f t="shared" si="6"/>
        <v>0</v>
      </c>
      <c r="Z35" s="475">
        <f t="shared" si="7"/>
        <v>0</v>
      </c>
      <c r="AA35" s="475">
        <f t="shared" si="8"/>
        <v>0</v>
      </c>
      <c r="AB35" s="476">
        <f t="shared" si="9"/>
        <v>0</v>
      </c>
      <c r="AC35" s="476">
        <f t="shared" si="10"/>
        <v>0</v>
      </c>
      <c r="AD35" s="561">
        <f t="shared" si="14"/>
        <v>0</v>
      </c>
      <c r="AE35" s="561">
        <f t="shared" si="12"/>
        <v>0</v>
      </c>
      <c r="AH35" s="700">
        <f t="shared" si="13"/>
        <v>0</v>
      </c>
    </row>
    <row r="36" spans="1:34">
      <c r="A36" s="61">
        <v>3</v>
      </c>
      <c r="B36" s="672" t="s">
        <v>1472</v>
      </c>
      <c r="C36" s="673" t="s">
        <v>1413</v>
      </c>
      <c r="D36" s="674" t="s">
        <v>1418</v>
      </c>
      <c r="E36" s="469">
        <v>3</v>
      </c>
      <c r="F36" s="675"/>
      <c r="G36" s="469">
        <v>3</v>
      </c>
      <c r="H36" s="675"/>
      <c r="I36" s="469">
        <v>3</v>
      </c>
      <c r="J36" s="675"/>
      <c r="K36" s="469"/>
      <c r="L36" s="675"/>
      <c r="M36" s="470"/>
      <c r="N36" s="470"/>
      <c r="O36" s="470"/>
      <c r="P36" s="787"/>
      <c r="Q36" s="473">
        <f t="shared" si="0"/>
        <v>0</v>
      </c>
      <c r="R36" s="473">
        <f t="shared" si="1"/>
        <v>0</v>
      </c>
      <c r="S36" s="473">
        <f t="shared" si="2"/>
        <v>0</v>
      </c>
      <c r="T36" s="671"/>
      <c r="U36" s="474">
        <f>'1.0-Contractblad'!$L$137</f>
        <v>0</v>
      </c>
      <c r="V36" s="560">
        <f t="shared" si="3"/>
        <v>0</v>
      </c>
      <c r="W36" s="560">
        <f t="shared" si="4"/>
        <v>0</v>
      </c>
      <c r="X36" s="560">
        <f t="shared" si="5"/>
        <v>0</v>
      </c>
      <c r="Y36" s="560">
        <f t="shared" si="6"/>
        <v>0</v>
      </c>
      <c r="Z36" s="475">
        <f t="shared" si="7"/>
        <v>0</v>
      </c>
      <c r="AA36" s="475">
        <f t="shared" si="8"/>
        <v>0</v>
      </c>
      <c r="AB36" s="476">
        <f t="shared" si="9"/>
        <v>0</v>
      </c>
      <c r="AC36" s="476">
        <f t="shared" si="10"/>
        <v>0</v>
      </c>
      <c r="AD36" s="561">
        <f t="shared" si="14"/>
        <v>0</v>
      </c>
      <c r="AE36" s="561">
        <f t="shared" si="12"/>
        <v>0</v>
      </c>
      <c r="AH36" s="700">
        <f t="shared" si="13"/>
        <v>0</v>
      </c>
    </row>
    <row r="37" spans="1:34">
      <c r="A37" s="61">
        <v>3</v>
      </c>
      <c r="B37" s="672" t="s">
        <v>1473</v>
      </c>
      <c r="C37" s="673" t="s">
        <v>1413</v>
      </c>
      <c r="D37" s="674" t="s">
        <v>1418</v>
      </c>
      <c r="E37" s="469">
        <v>3</v>
      </c>
      <c r="F37" s="675"/>
      <c r="G37" s="469">
        <v>3</v>
      </c>
      <c r="H37" s="675"/>
      <c r="I37" s="469">
        <v>3</v>
      </c>
      <c r="J37" s="675"/>
      <c r="K37" s="469"/>
      <c r="L37" s="675"/>
      <c r="M37" s="470"/>
      <c r="N37" s="470"/>
      <c r="O37" s="470"/>
      <c r="P37" s="787"/>
      <c r="Q37" s="473">
        <f t="shared" si="0"/>
        <v>0</v>
      </c>
      <c r="R37" s="473">
        <f t="shared" si="1"/>
        <v>0</v>
      </c>
      <c r="S37" s="473">
        <f t="shared" si="2"/>
        <v>0</v>
      </c>
      <c r="T37" s="671"/>
      <c r="U37" s="474">
        <f>'1.0-Contractblad'!$L$137</f>
        <v>0</v>
      </c>
      <c r="V37" s="560">
        <f t="shared" si="3"/>
        <v>0</v>
      </c>
      <c r="W37" s="560">
        <f t="shared" si="4"/>
        <v>0</v>
      </c>
      <c r="X37" s="560">
        <f t="shared" si="5"/>
        <v>0</v>
      </c>
      <c r="Y37" s="560">
        <f t="shared" si="6"/>
        <v>0</v>
      </c>
      <c r="Z37" s="475">
        <f t="shared" si="7"/>
        <v>0</v>
      </c>
      <c r="AA37" s="475">
        <f t="shared" si="8"/>
        <v>0</v>
      </c>
      <c r="AB37" s="476">
        <f t="shared" si="9"/>
        <v>0</v>
      </c>
      <c r="AC37" s="476">
        <f t="shared" si="10"/>
        <v>0</v>
      </c>
      <c r="AD37" s="561">
        <f t="shared" si="14"/>
        <v>0</v>
      </c>
      <c r="AE37" s="561">
        <f t="shared" si="12"/>
        <v>0</v>
      </c>
      <c r="AH37" s="700">
        <f t="shared" si="13"/>
        <v>0</v>
      </c>
    </row>
    <row r="38" spans="1:34">
      <c r="A38" s="61">
        <v>3</v>
      </c>
      <c r="B38" s="672" t="s">
        <v>1474</v>
      </c>
      <c r="C38" s="673" t="s">
        <v>1413</v>
      </c>
      <c r="D38" s="674" t="s">
        <v>1418</v>
      </c>
      <c r="E38" s="469">
        <v>3</v>
      </c>
      <c r="F38" s="675"/>
      <c r="G38" s="469">
        <v>3</v>
      </c>
      <c r="H38" s="675"/>
      <c r="I38" s="469">
        <v>3</v>
      </c>
      <c r="J38" s="675"/>
      <c r="K38" s="469"/>
      <c r="L38" s="675"/>
      <c r="M38" s="470"/>
      <c r="N38" s="470"/>
      <c r="O38" s="470"/>
      <c r="P38" s="787"/>
      <c r="Q38" s="473">
        <f t="shared" si="0"/>
        <v>0</v>
      </c>
      <c r="R38" s="473">
        <f t="shared" si="1"/>
        <v>0</v>
      </c>
      <c r="S38" s="473">
        <f t="shared" si="2"/>
        <v>0</v>
      </c>
      <c r="T38" s="671"/>
      <c r="U38" s="474">
        <f>'1.0-Contractblad'!$L$137</f>
        <v>0</v>
      </c>
      <c r="V38" s="560">
        <f t="shared" si="3"/>
        <v>0</v>
      </c>
      <c r="W38" s="560">
        <f t="shared" si="4"/>
        <v>0</v>
      </c>
      <c r="X38" s="560">
        <f t="shared" si="5"/>
        <v>0</v>
      </c>
      <c r="Y38" s="560">
        <f t="shared" si="6"/>
        <v>0</v>
      </c>
      <c r="Z38" s="475">
        <f t="shared" si="7"/>
        <v>0</v>
      </c>
      <c r="AA38" s="475">
        <f t="shared" si="8"/>
        <v>0</v>
      </c>
      <c r="AB38" s="476">
        <f t="shared" si="9"/>
        <v>0</v>
      </c>
      <c r="AC38" s="476">
        <f t="shared" si="10"/>
        <v>0</v>
      </c>
      <c r="AD38" s="561">
        <f t="shared" si="14"/>
        <v>0</v>
      </c>
      <c r="AE38" s="561">
        <f t="shared" si="12"/>
        <v>0</v>
      </c>
      <c r="AH38" s="700">
        <f t="shared" si="13"/>
        <v>0</v>
      </c>
    </row>
    <row r="39" spans="1:34">
      <c r="A39" s="61">
        <v>3</v>
      </c>
      <c r="B39" s="672" t="s">
        <v>1475</v>
      </c>
      <c r="C39" s="673" t="s">
        <v>1413</v>
      </c>
      <c r="D39" s="674" t="s">
        <v>1418</v>
      </c>
      <c r="E39" s="469">
        <v>3</v>
      </c>
      <c r="F39" s="675"/>
      <c r="G39" s="469">
        <v>3</v>
      </c>
      <c r="H39" s="675"/>
      <c r="I39" s="469">
        <v>3</v>
      </c>
      <c r="J39" s="675"/>
      <c r="K39" s="469"/>
      <c r="L39" s="675"/>
      <c r="M39" s="470"/>
      <c r="N39" s="470"/>
      <c r="O39" s="470"/>
      <c r="P39" s="787"/>
      <c r="Q39" s="473">
        <f t="shared" si="0"/>
        <v>0</v>
      </c>
      <c r="R39" s="473">
        <f t="shared" si="1"/>
        <v>0</v>
      </c>
      <c r="S39" s="473">
        <f t="shared" si="2"/>
        <v>0</v>
      </c>
      <c r="T39" s="671"/>
      <c r="U39" s="474">
        <f>'1.0-Contractblad'!$L$137</f>
        <v>0</v>
      </c>
      <c r="V39" s="560">
        <f t="shared" si="3"/>
        <v>0</v>
      </c>
      <c r="W39" s="560">
        <f t="shared" si="4"/>
        <v>0</v>
      </c>
      <c r="X39" s="560">
        <f t="shared" si="5"/>
        <v>0</v>
      </c>
      <c r="Y39" s="560">
        <f t="shared" si="6"/>
        <v>0</v>
      </c>
      <c r="Z39" s="475">
        <f t="shared" si="7"/>
        <v>0</v>
      </c>
      <c r="AA39" s="475">
        <f t="shared" si="8"/>
        <v>0</v>
      </c>
      <c r="AB39" s="476">
        <f t="shared" si="9"/>
        <v>0</v>
      </c>
      <c r="AC39" s="476">
        <f t="shared" si="10"/>
        <v>0</v>
      </c>
      <c r="AD39" s="561">
        <f t="shared" si="14"/>
        <v>0</v>
      </c>
      <c r="AE39" s="561">
        <f t="shared" si="12"/>
        <v>0</v>
      </c>
      <c r="AH39" s="700">
        <f t="shared" si="13"/>
        <v>0</v>
      </c>
    </row>
    <row r="40" spans="1:34">
      <c r="A40" s="61">
        <v>3</v>
      </c>
      <c r="B40" s="672" t="s">
        <v>1487</v>
      </c>
      <c r="C40" s="673" t="s">
        <v>1413</v>
      </c>
      <c r="D40" s="674" t="s">
        <v>1418</v>
      </c>
      <c r="E40" s="469">
        <v>3</v>
      </c>
      <c r="F40" s="675"/>
      <c r="G40" s="469">
        <v>3</v>
      </c>
      <c r="H40" s="675"/>
      <c r="I40" s="469">
        <v>3</v>
      </c>
      <c r="J40" s="675"/>
      <c r="K40" s="469"/>
      <c r="L40" s="675"/>
      <c r="M40" s="470"/>
      <c r="N40" s="470"/>
      <c r="O40" s="470"/>
      <c r="P40" s="787"/>
      <c r="Q40" s="473">
        <f t="shared" si="0"/>
        <v>0</v>
      </c>
      <c r="R40" s="473">
        <f t="shared" si="1"/>
        <v>0</v>
      </c>
      <c r="S40" s="473">
        <f t="shared" si="2"/>
        <v>0</v>
      </c>
      <c r="T40" s="671"/>
      <c r="U40" s="474">
        <f>'1.0-Contractblad'!$L$137</f>
        <v>0</v>
      </c>
      <c r="V40" s="560">
        <f t="shared" si="3"/>
        <v>0</v>
      </c>
      <c r="W40" s="560">
        <f t="shared" si="4"/>
        <v>0</v>
      </c>
      <c r="X40" s="560">
        <f t="shared" si="5"/>
        <v>0</v>
      </c>
      <c r="Y40" s="560">
        <f t="shared" si="6"/>
        <v>0</v>
      </c>
      <c r="Z40" s="475">
        <f t="shared" si="7"/>
        <v>0</v>
      </c>
      <c r="AA40" s="475">
        <f t="shared" si="8"/>
        <v>0</v>
      </c>
      <c r="AB40" s="476">
        <f t="shared" si="9"/>
        <v>0</v>
      </c>
      <c r="AC40" s="476">
        <f t="shared" si="10"/>
        <v>0</v>
      </c>
      <c r="AD40" s="561">
        <f t="shared" si="14"/>
        <v>0</v>
      </c>
      <c r="AE40" s="561">
        <f t="shared" si="12"/>
        <v>0</v>
      </c>
      <c r="AH40" s="700">
        <f t="shared" si="13"/>
        <v>0</v>
      </c>
    </row>
    <row r="41" spans="1:34">
      <c r="A41" s="61">
        <v>3</v>
      </c>
      <c r="B41" s="672" t="s">
        <v>1477</v>
      </c>
      <c r="C41" s="673" t="s">
        <v>1413</v>
      </c>
      <c r="D41" s="674" t="s">
        <v>1418</v>
      </c>
      <c r="E41" s="469">
        <v>3</v>
      </c>
      <c r="F41" s="675"/>
      <c r="G41" s="469">
        <v>3</v>
      </c>
      <c r="H41" s="675"/>
      <c r="I41" s="469">
        <v>3</v>
      </c>
      <c r="J41" s="675"/>
      <c r="K41" s="469"/>
      <c r="L41" s="675"/>
      <c r="M41" s="470"/>
      <c r="N41" s="470"/>
      <c r="O41" s="470"/>
      <c r="P41" s="787"/>
      <c r="Q41" s="473">
        <f t="shared" si="0"/>
        <v>0</v>
      </c>
      <c r="R41" s="473">
        <f t="shared" si="1"/>
        <v>0</v>
      </c>
      <c r="S41" s="473">
        <f t="shared" si="2"/>
        <v>0</v>
      </c>
      <c r="T41" s="671"/>
      <c r="U41" s="474">
        <f>'1.0-Contractblad'!$L$137</f>
        <v>0</v>
      </c>
      <c r="V41" s="560">
        <f t="shared" si="3"/>
        <v>0</v>
      </c>
      <c r="W41" s="560">
        <f t="shared" si="4"/>
        <v>0</v>
      </c>
      <c r="X41" s="560">
        <f t="shared" si="5"/>
        <v>0</v>
      </c>
      <c r="Y41" s="560">
        <f t="shared" si="6"/>
        <v>0</v>
      </c>
      <c r="Z41" s="475">
        <f t="shared" si="7"/>
        <v>0</v>
      </c>
      <c r="AA41" s="475">
        <f t="shared" si="8"/>
        <v>0</v>
      </c>
      <c r="AB41" s="476">
        <f t="shared" si="9"/>
        <v>0</v>
      </c>
      <c r="AC41" s="476">
        <f t="shared" si="10"/>
        <v>0</v>
      </c>
      <c r="AD41" s="561">
        <f t="shared" si="14"/>
        <v>0</v>
      </c>
      <c r="AE41" s="561">
        <f t="shared" si="12"/>
        <v>0</v>
      </c>
      <c r="AH41" s="700">
        <f t="shared" si="13"/>
        <v>0</v>
      </c>
    </row>
    <row r="42" spans="1:34">
      <c r="A42" s="61">
        <v>3</v>
      </c>
      <c r="B42" s="672" t="s">
        <v>1478</v>
      </c>
      <c r="C42" s="673" t="s">
        <v>1413</v>
      </c>
      <c r="D42" s="674" t="s">
        <v>1420</v>
      </c>
      <c r="E42" s="469">
        <v>3</v>
      </c>
      <c r="F42" s="675">
        <v>134</v>
      </c>
      <c r="G42" s="469">
        <v>3</v>
      </c>
      <c r="H42" s="675">
        <v>134</v>
      </c>
      <c r="I42" s="469">
        <v>3</v>
      </c>
      <c r="J42" s="675">
        <v>313</v>
      </c>
      <c r="K42" s="469"/>
      <c r="L42" s="675"/>
      <c r="M42" s="470"/>
      <c r="N42" s="470"/>
      <c r="O42" s="470"/>
      <c r="P42" s="787"/>
      <c r="Q42" s="473">
        <f t="shared" si="0"/>
        <v>0</v>
      </c>
      <c r="R42" s="473">
        <f t="shared" si="1"/>
        <v>0</v>
      </c>
      <c r="S42" s="473">
        <f t="shared" si="2"/>
        <v>0</v>
      </c>
      <c r="T42" s="671"/>
      <c r="U42" s="474">
        <f>'1.0-Contractblad'!$L$137</f>
        <v>0</v>
      </c>
      <c r="V42" s="560">
        <f t="shared" si="3"/>
        <v>0</v>
      </c>
      <c r="W42" s="560">
        <f t="shared" si="4"/>
        <v>0</v>
      </c>
      <c r="X42" s="560">
        <f t="shared" si="5"/>
        <v>0</v>
      </c>
      <c r="Y42" s="560">
        <f t="shared" si="6"/>
        <v>0</v>
      </c>
      <c r="Z42" s="475">
        <f t="shared" si="7"/>
        <v>0</v>
      </c>
      <c r="AA42" s="475">
        <f t="shared" si="8"/>
        <v>0</v>
      </c>
      <c r="AB42" s="476">
        <f t="shared" si="9"/>
        <v>0</v>
      </c>
      <c r="AC42" s="476">
        <f t="shared" si="10"/>
        <v>0</v>
      </c>
      <c r="AD42" s="561">
        <f t="shared" si="14"/>
        <v>0</v>
      </c>
      <c r="AE42" s="561">
        <f t="shared" si="12"/>
        <v>0</v>
      </c>
      <c r="AH42" s="700">
        <f t="shared" si="13"/>
        <v>581</v>
      </c>
    </row>
    <row r="43" spans="1:34">
      <c r="A43" s="61">
        <v>0</v>
      </c>
      <c r="B43" s="672" t="s">
        <v>1481</v>
      </c>
      <c r="C43" s="673" t="s">
        <v>1413</v>
      </c>
      <c r="D43" s="674" t="s">
        <v>1416</v>
      </c>
      <c r="E43" s="469">
        <v>3</v>
      </c>
      <c r="F43" s="675"/>
      <c r="G43" s="469">
        <v>3</v>
      </c>
      <c r="H43" s="675"/>
      <c r="I43" s="469">
        <v>3</v>
      </c>
      <c r="J43" s="675"/>
      <c r="K43" s="469"/>
      <c r="L43" s="675"/>
      <c r="M43" s="470"/>
      <c r="N43" s="470"/>
      <c r="O43" s="470"/>
      <c r="P43" s="787"/>
      <c r="Q43" s="473">
        <f t="shared" si="0"/>
        <v>0</v>
      </c>
      <c r="R43" s="473">
        <f t="shared" si="1"/>
        <v>0</v>
      </c>
      <c r="S43" s="473">
        <f t="shared" si="2"/>
        <v>0</v>
      </c>
      <c r="T43" s="671"/>
      <c r="U43" s="474">
        <f>'1.0-Contractblad'!$L$137</f>
        <v>0</v>
      </c>
      <c r="V43" s="560">
        <f t="shared" si="3"/>
        <v>0</v>
      </c>
      <c r="W43" s="560">
        <f t="shared" si="4"/>
        <v>0</v>
      </c>
      <c r="X43" s="560">
        <f t="shared" si="5"/>
        <v>0</v>
      </c>
      <c r="Y43" s="560">
        <f t="shared" si="6"/>
        <v>0</v>
      </c>
      <c r="Z43" s="475">
        <f t="shared" si="7"/>
        <v>0</v>
      </c>
      <c r="AA43" s="475">
        <f t="shared" si="8"/>
        <v>0</v>
      </c>
      <c r="AB43" s="476">
        <f t="shared" si="9"/>
        <v>0</v>
      </c>
      <c r="AC43" s="476">
        <f t="shared" si="10"/>
        <v>0</v>
      </c>
      <c r="AD43" s="561">
        <f t="shared" si="14"/>
        <v>0</v>
      </c>
      <c r="AE43" s="561">
        <f t="shared" si="12"/>
        <v>0</v>
      </c>
      <c r="AH43" s="700">
        <f t="shared" si="13"/>
        <v>0</v>
      </c>
    </row>
    <row r="44" spans="1:34" hidden="1">
      <c r="B44" s="672"/>
      <c r="C44" s="673"/>
      <c r="D44" s="674"/>
      <c r="E44" s="469"/>
      <c r="F44" s="675"/>
      <c r="G44" s="469"/>
      <c r="H44" s="675"/>
      <c r="I44" s="469"/>
      <c r="J44" s="675"/>
      <c r="K44" s="469"/>
      <c r="L44" s="675"/>
      <c r="M44" s="470"/>
      <c r="N44" s="470"/>
      <c r="O44" s="470"/>
      <c r="P44" s="787"/>
      <c r="Q44" s="473"/>
      <c r="R44" s="473"/>
      <c r="S44" s="473"/>
      <c r="T44" s="671"/>
      <c r="U44" s="474"/>
      <c r="V44" s="560"/>
      <c r="W44" s="560"/>
      <c r="X44" s="560"/>
      <c r="Y44" s="560"/>
      <c r="Z44" s="475"/>
      <c r="AA44" s="475"/>
      <c r="AB44" s="476"/>
      <c r="AC44" s="476"/>
      <c r="AD44" s="561"/>
      <c r="AE44" s="561"/>
      <c r="AH44" s="700"/>
    </row>
    <row r="45" spans="1:34">
      <c r="A45" s="61">
        <v>3</v>
      </c>
      <c r="B45" s="672" t="s">
        <v>1479</v>
      </c>
      <c r="C45" s="673" t="s">
        <v>1413</v>
      </c>
      <c r="D45" s="674" t="s">
        <v>1416</v>
      </c>
      <c r="E45" s="469">
        <v>3</v>
      </c>
      <c r="F45" s="675"/>
      <c r="G45" s="469">
        <v>3</v>
      </c>
      <c r="H45" s="675"/>
      <c r="I45" s="469">
        <v>3</v>
      </c>
      <c r="J45" s="675"/>
      <c r="K45" s="469"/>
      <c r="L45" s="675"/>
      <c r="M45" s="470"/>
      <c r="N45" s="470"/>
      <c r="O45" s="470"/>
      <c r="P45" s="787"/>
      <c r="Q45" s="473">
        <f t="shared" si="0"/>
        <v>0</v>
      </c>
      <c r="R45" s="473">
        <f t="shared" si="1"/>
        <v>0</v>
      </c>
      <c r="S45" s="473">
        <f t="shared" si="2"/>
        <v>0</v>
      </c>
      <c r="T45" s="671"/>
      <c r="U45" s="474">
        <f>'1.0-Contractblad'!$L$137</f>
        <v>0</v>
      </c>
      <c r="V45" s="560">
        <f t="shared" si="3"/>
        <v>0</v>
      </c>
      <c r="W45" s="560">
        <f t="shared" si="4"/>
        <v>0</v>
      </c>
      <c r="X45" s="560">
        <f t="shared" si="5"/>
        <v>0</v>
      </c>
      <c r="Y45" s="560">
        <f t="shared" si="6"/>
        <v>0</v>
      </c>
      <c r="Z45" s="475">
        <f t="shared" si="7"/>
        <v>0</v>
      </c>
      <c r="AA45" s="475">
        <f t="shared" si="8"/>
        <v>0</v>
      </c>
      <c r="AB45" s="476">
        <f t="shared" si="9"/>
        <v>0</v>
      </c>
      <c r="AC45" s="476">
        <f t="shared" si="10"/>
        <v>0</v>
      </c>
      <c r="AD45" s="561">
        <f t="shared" si="14"/>
        <v>0</v>
      </c>
      <c r="AE45" s="561">
        <f t="shared" si="12"/>
        <v>0</v>
      </c>
      <c r="AH45" s="700">
        <f t="shared" si="13"/>
        <v>0</v>
      </c>
    </row>
    <row r="46" spans="1:34">
      <c r="A46" s="61">
        <v>3</v>
      </c>
      <c r="B46" s="672" t="s">
        <v>1480</v>
      </c>
      <c r="C46" s="673" t="s">
        <v>1413</v>
      </c>
      <c r="D46" s="674"/>
      <c r="E46" s="469">
        <v>3</v>
      </c>
      <c r="F46" s="675">
        <v>97</v>
      </c>
      <c r="G46" s="469">
        <v>3</v>
      </c>
      <c r="H46" s="675">
        <v>97</v>
      </c>
      <c r="I46" s="469">
        <v>3</v>
      </c>
      <c r="J46" s="675">
        <v>52</v>
      </c>
      <c r="K46" s="469"/>
      <c r="L46" s="675"/>
      <c r="M46" s="470"/>
      <c r="N46" s="470"/>
      <c r="O46" s="470"/>
      <c r="P46" s="787"/>
      <c r="Q46" s="473">
        <f t="shared" si="0"/>
        <v>0</v>
      </c>
      <c r="R46" s="473">
        <f t="shared" si="1"/>
        <v>0</v>
      </c>
      <c r="S46" s="473">
        <f t="shared" si="2"/>
        <v>0</v>
      </c>
      <c r="T46" s="671"/>
      <c r="U46" s="474">
        <f>'1.0-Contractblad'!$L$137</f>
        <v>0</v>
      </c>
      <c r="V46" s="560">
        <f t="shared" si="3"/>
        <v>0</v>
      </c>
      <c r="W46" s="560">
        <f t="shared" si="4"/>
        <v>0</v>
      </c>
      <c r="X46" s="560">
        <f t="shared" si="5"/>
        <v>0</v>
      </c>
      <c r="Y46" s="560">
        <f t="shared" si="6"/>
        <v>0</v>
      </c>
      <c r="Z46" s="475">
        <f t="shared" si="7"/>
        <v>0</v>
      </c>
      <c r="AA46" s="475">
        <f t="shared" si="8"/>
        <v>0</v>
      </c>
      <c r="AB46" s="476">
        <f t="shared" si="9"/>
        <v>0</v>
      </c>
      <c r="AC46" s="476">
        <f t="shared" si="10"/>
        <v>0</v>
      </c>
      <c r="AD46" s="561">
        <f t="shared" si="14"/>
        <v>0</v>
      </c>
      <c r="AE46" s="561">
        <f t="shared" si="12"/>
        <v>0</v>
      </c>
      <c r="AH46" s="700">
        <f t="shared" si="13"/>
        <v>246</v>
      </c>
    </row>
    <row r="47" spans="1:34">
      <c r="A47" s="61">
        <v>3</v>
      </c>
      <c r="B47" s="672" t="s">
        <v>1481</v>
      </c>
      <c r="C47" s="673" t="s">
        <v>1413</v>
      </c>
      <c r="D47" s="674"/>
      <c r="E47" s="720" t="s">
        <v>1462</v>
      </c>
      <c r="F47" s="721"/>
      <c r="G47" s="720" t="s">
        <v>1462</v>
      </c>
      <c r="H47" s="721"/>
      <c r="I47" s="720" t="s">
        <v>1463</v>
      </c>
      <c r="J47" s="721"/>
      <c r="K47" s="469"/>
      <c r="L47" s="675"/>
      <c r="M47" s="470"/>
      <c r="N47" s="470"/>
      <c r="O47" s="470"/>
      <c r="P47" s="787"/>
      <c r="Q47" s="473"/>
      <c r="R47" s="473"/>
      <c r="S47" s="473"/>
      <c r="T47" s="671"/>
      <c r="U47" s="474"/>
      <c r="V47" s="560">
        <f t="shared" si="3"/>
        <v>0</v>
      </c>
      <c r="W47" s="560">
        <f t="shared" si="4"/>
        <v>0</v>
      </c>
      <c r="X47" s="560">
        <f t="shared" si="5"/>
        <v>0</v>
      </c>
      <c r="Y47" s="560">
        <f t="shared" si="6"/>
        <v>0</v>
      </c>
      <c r="Z47" s="475"/>
      <c r="AA47" s="475"/>
      <c r="AB47" s="476"/>
      <c r="AC47" s="476"/>
      <c r="AD47" s="561">
        <f t="shared" si="14"/>
        <v>0</v>
      </c>
      <c r="AE47" s="561">
        <f t="shared" si="12"/>
        <v>0</v>
      </c>
      <c r="AH47" s="700">
        <f t="shared" si="13"/>
        <v>0</v>
      </c>
    </row>
    <row r="48" spans="1:34">
      <c r="A48" s="61">
        <v>3</v>
      </c>
      <c r="B48" s="672" t="s">
        <v>1493</v>
      </c>
      <c r="C48" s="673" t="s">
        <v>1413</v>
      </c>
      <c r="D48" s="674" t="s">
        <v>1489</v>
      </c>
      <c r="E48" s="469">
        <v>3</v>
      </c>
      <c r="F48" s="675"/>
      <c r="G48" s="469">
        <v>3</v>
      </c>
      <c r="H48" s="675"/>
      <c r="I48" s="469">
        <v>3</v>
      </c>
      <c r="J48" s="675"/>
      <c r="K48" s="469"/>
      <c r="L48" s="675"/>
      <c r="M48" s="470"/>
      <c r="N48" s="470"/>
      <c r="O48" s="470"/>
      <c r="P48" s="787"/>
      <c r="Q48" s="473">
        <f t="shared" ref="Q48:Q50" si="15">IF(M48=0,0,F48/M48)*E48</f>
        <v>0</v>
      </c>
      <c r="R48" s="473">
        <f t="shared" ref="R48:R50" si="16">IF(N48=0,0,H48/N48)*G48</f>
        <v>0</v>
      </c>
      <c r="S48" s="473">
        <f t="shared" ref="S48:S50" si="17">IF(O48=0,0,J48/O48)*I48</f>
        <v>0</v>
      </c>
      <c r="T48" s="671"/>
      <c r="U48" s="474">
        <f>'1.0-Contractblad'!$L$137</f>
        <v>0</v>
      </c>
      <c r="V48" s="560">
        <f t="shared" si="3"/>
        <v>0</v>
      </c>
      <c r="W48" s="560">
        <f t="shared" si="4"/>
        <v>0</v>
      </c>
      <c r="X48" s="560">
        <f t="shared" si="5"/>
        <v>0</v>
      </c>
      <c r="Y48" s="560">
        <f t="shared" si="6"/>
        <v>0</v>
      </c>
      <c r="Z48" s="475">
        <f t="shared" ref="Z48:Z50" si="18">IF(F48=0,0,V48/E48/F48)</f>
        <v>0</v>
      </c>
      <c r="AA48" s="475">
        <f t="shared" ref="AA48:AA50" si="19">IF(H48=0,0,W48/G48/H48)</f>
        <v>0</v>
      </c>
      <c r="AB48" s="476">
        <f t="shared" ref="AB48:AB50" si="20">IF(J48=0,0,X48/I48/J48)</f>
        <v>0</v>
      </c>
      <c r="AC48" s="476">
        <f t="shared" si="10"/>
        <v>0</v>
      </c>
      <c r="AD48" s="561">
        <f t="shared" si="14"/>
        <v>0</v>
      </c>
      <c r="AE48" s="561">
        <f t="shared" si="12"/>
        <v>0</v>
      </c>
      <c r="AH48" s="700">
        <f t="shared" si="13"/>
        <v>0</v>
      </c>
    </row>
    <row r="49" spans="1:34">
      <c r="A49" s="61">
        <v>3</v>
      </c>
      <c r="B49" s="672" t="s">
        <v>1493</v>
      </c>
      <c r="C49" s="673" t="s">
        <v>1413</v>
      </c>
      <c r="D49" s="674" t="s">
        <v>1490</v>
      </c>
      <c r="E49" s="720" t="s">
        <v>1462</v>
      </c>
      <c r="F49" s="721"/>
      <c r="G49" s="720" t="s">
        <v>1462</v>
      </c>
      <c r="H49" s="721"/>
      <c r="I49" s="720" t="s">
        <v>1463</v>
      </c>
      <c r="J49" s="721"/>
      <c r="K49" s="469"/>
      <c r="L49" s="675"/>
      <c r="M49" s="470"/>
      <c r="N49" s="470"/>
      <c r="O49" s="470"/>
      <c r="P49" s="787"/>
      <c r="Q49" s="473"/>
      <c r="R49" s="473"/>
      <c r="S49" s="473"/>
      <c r="T49" s="671"/>
      <c r="U49" s="474"/>
      <c r="V49" s="560">
        <f t="shared" si="3"/>
        <v>0</v>
      </c>
      <c r="W49" s="560">
        <f t="shared" si="4"/>
        <v>0</v>
      </c>
      <c r="X49" s="560">
        <f t="shared" si="5"/>
        <v>0</v>
      </c>
      <c r="Y49" s="560">
        <f t="shared" si="6"/>
        <v>0</v>
      </c>
      <c r="Z49" s="475"/>
      <c r="AA49" s="475"/>
      <c r="AB49" s="476"/>
      <c r="AC49" s="476"/>
      <c r="AD49" s="561">
        <f t="shared" si="14"/>
        <v>0</v>
      </c>
      <c r="AE49" s="561">
        <f t="shared" si="12"/>
        <v>0</v>
      </c>
      <c r="AH49" s="700">
        <f t="shared" si="13"/>
        <v>0</v>
      </c>
    </row>
    <row r="50" spans="1:34">
      <c r="A50" s="61">
        <v>3</v>
      </c>
      <c r="B50" s="672" t="s">
        <v>1493</v>
      </c>
      <c r="C50" s="673" t="s">
        <v>1413</v>
      </c>
      <c r="D50" s="674" t="s">
        <v>1491</v>
      </c>
      <c r="E50" s="469">
        <v>3</v>
      </c>
      <c r="F50" s="675">
        <v>97</v>
      </c>
      <c r="G50" s="469">
        <v>3</v>
      </c>
      <c r="H50" s="675">
        <v>97</v>
      </c>
      <c r="I50" s="469">
        <v>3</v>
      </c>
      <c r="J50" s="675">
        <v>52</v>
      </c>
      <c r="K50" s="469"/>
      <c r="L50" s="675"/>
      <c r="M50" s="470"/>
      <c r="N50" s="470"/>
      <c r="O50" s="470"/>
      <c r="P50" s="787"/>
      <c r="Q50" s="473">
        <f t="shared" si="15"/>
        <v>0</v>
      </c>
      <c r="R50" s="473">
        <f t="shared" si="16"/>
        <v>0</v>
      </c>
      <c r="S50" s="473">
        <f t="shared" si="17"/>
        <v>0</v>
      </c>
      <c r="T50" s="671"/>
      <c r="U50" s="474">
        <f>'1.0-Contractblad'!$L$137</f>
        <v>0</v>
      </c>
      <c r="V50" s="560">
        <f t="shared" si="3"/>
        <v>0</v>
      </c>
      <c r="W50" s="560">
        <f t="shared" si="4"/>
        <v>0</v>
      </c>
      <c r="X50" s="560">
        <f t="shared" si="5"/>
        <v>0</v>
      </c>
      <c r="Y50" s="560">
        <f t="shared" si="6"/>
        <v>0</v>
      </c>
      <c r="Z50" s="475">
        <f t="shared" si="18"/>
        <v>0</v>
      </c>
      <c r="AA50" s="475">
        <f t="shared" si="19"/>
        <v>0</v>
      </c>
      <c r="AB50" s="476">
        <f t="shared" si="20"/>
        <v>0</v>
      </c>
      <c r="AC50" s="476">
        <f t="shared" si="10"/>
        <v>0</v>
      </c>
      <c r="AD50" s="561">
        <f t="shared" si="14"/>
        <v>0</v>
      </c>
      <c r="AE50" s="561">
        <f t="shared" si="12"/>
        <v>0</v>
      </c>
      <c r="AH50" s="700">
        <f t="shared" si="13"/>
        <v>246</v>
      </c>
    </row>
    <row r="51" spans="1:34" ht="39">
      <c r="A51" s="61">
        <v>3</v>
      </c>
      <c r="B51" s="672" t="s">
        <v>1493</v>
      </c>
      <c r="C51" s="673" t="s">
        <v>1413</v>
      </c>
      <c r="D51" s="674" t="s">
        <v>1494</v>
      </c>
      <c r="E51" s="469">
        <v>3</v>
      </c>
      <c r="F51" s="675">
        <v>134</v>
      </c>
      <c r="G51" s="469">
        <v>3</v>
      </c>
      <c r="H51" s="675">
        <v>125</v>
      </c>
      <c r="I51" s="469">
        <v>3</v>
      </c>
      <c r="J51" s="675">
        <v>171</v>
      </c>
      <c r="K51" s="469"/>
      <c r="L51" s="675"/>
      <c r="M51" s="470"/>
      <c r="N51" s="470"/>
      <c r="O51" s="470"/>
      <c r="P51" s="787"/>
      <c r="Q51" s="473">
        <f t="shared" si="0"/>
        <v>0</v>
      </c>
      <c r="R51" s="473">
        <f t="shared" si="1"/>
        <v>0</v>
      </c>
      <c r="S51" s="473">
        <f t="shared" si="2"/>
        <v>0</v>
      </c>
      <c r="T51" s="671"/>
      <c r="U51" s="474">
        <f>'1.0-Contractblad'!$L$137</f>
        <v>0</v>
      </c>
      <c r="V51" s="560">
        <f t="shared" si="3"/>
        <v>0</v>
      </c>
      <c r="W51" s="560">
        <f t="shared" si="4"/>
        <v>0</v>
      </c>
      <c r="X51" s="560">
        <f t="shared" si="5"/>
        <v>0</v>
      </c>
      <c r="Y51" s="560">
        <f t="shared" si="6"/>
        <v>0</v>
      </c>
      <c r="Z51" s="475">
        <f t="shared" si="7"/>
        <v>0</v>
      </c>
      <c r="AA51" s="475">
        <f t="shared" si="8"/>
        <v>0</v>
      </c>
      <c r="AB51" s="476">
        <f t="shared" si="9"/>
        <v>0</v>
      </c>
      <c r="AC51" s="476">
        <f t="shared" si="10"/>
        <v>0</v>
      </c>
      <c r="AD51" s="561">
        <f t="shared" si="14"/>
        <v>0</v>
      </c>
      <c r="AE51" s="561">
        <f t="shared" si="12"/>
        <v>0</v>
      </c>
      <c r="AH51" s="700">
        <f t="shared" si="13"/>
        <v>430</v>
      </c>
    </row>
    <row r="52" spans="1:34">
      <c r="A52" s="61">
        <v>3</v>
      </c>
      <c r="B52" s="672" t="s">
        <v>1482</v>
      </c>
      <c r="C52" s="673" t="s">
        <v>1413</v>
      </c>
      <c r="D52" s="674" t="s">
        <v>1421</v>
      </c>
      <c r="E52" s="469">
        <v>3</v>
      </c>
      <c r="F52" s="675"/>
      <c r="G52" s="469">
        <v>3</v>
      </c>
      <c r="H52" s="675"/>
      <c r="I52" s="469">
        <v>3</v>
      </c>
      <c r="J52" s="675"/>
      <c r="K52" s="469"/>
      <c r="L52" s="675"/>
      <c r="M52" s="470"/>
      <c r="N52" s="470"/>
      <c r="O52" s="470"/>
      <c r="P52" s="787"/>
      <c r="Q52" s="473">
        <f t="shared" si="0"/>
        <v>0</v>
      </c>
      <c r="R52" s="473">
        <f t="shared" si="1"/>
        <v>0</v>
      </c>
      <c r="S52" s="473">
        <f t="shared" si="2"/>
        <v>0</v>
      </c>
      <c r="T52" s="671"/>
      <c r="U52" s="474">
        <f>'1.0-Contractblad'!$L$137</f>
        <v>0</v>
      </c>
      <c r="V52" s="560">
        <f t="shared" si="3"/>
        <v>0</v>
      </c>
      <c r="W52" s="560">
        <f t="shared" si="4"/>
        <v>0</v>
      </c>
      <c r="X52" s="560">
        <f t="shared" si="5"/>
        <v>0</v>
      </c>
      <c r="Y52" s="560">
        <f t="shared" si="6"/>
        <v>0</v>
      </c>
      <c r="Z52" s="475">
        <f t="shared" si="7"/>
        <v>0</v>
      </c>
      <c r="AA52" s="475">
        <f t="shared" si="8"/>
        <v>0</v>
      </c>
      <c r="AB52" s="476">
        <f t="shared" si="9"/>
        <v>0</v>
      </c>
      <c r="AC52" s="476">
        <f t="shared" si="10"/>
        <v>0</v>
      </c>
      <c r="AD52" s="561">
        <f>E149*D149</f>
        <v>0</v>
      </c>
      <c r="AE52" s="561">
        <f t="shared" si="12"/>
        <v>0</v>
      </c>
      <c r="AH52" s="700">
        <f t="shared" si="13"/>
        <v>0</v>
      </c>
    </row>
    <row r="53" spans="1:34">
      <c r="A53" s="61">
        <v>3</v>
      </c>
      <c r="B53" s="672" t="s">
        <v>1483</v>
      </c>
      <c r="C53" s="673" t="s">
        <v>1413</v>
      </c>
      <c r="D53" s="674" t="s">
        <v>1421</v>
      </c>
      <c r="E53" s="469">
        <v>3</v>
      </c>
      <c r="F53" s="675"/>
      <c r="G53" s="469">
        <v>3</v>
      </c>
      <c r="H53" s="675"/>
      <c r="I53" s="469">
        <v>3</v>
      </c>
      <c r="J53" s="675"/>
      <c r="K53" s="469"/>
      <c r="L53" s="675"/>
      <c r="M53" s="470"/>
      <c r="N53" s="470"/>
      <c r="O53" s="470"/>
      <c r="P53" s="787"/>
      <c r="Q53" s="473">
        <f t="shared" si="0"/>
        <v>0</v>
      </c>
      <c r="R53" s="473">
        <f t="shared" si="1"/>
        <v>0</v>
      </c>
      <c r="S53" s="473">
        <f t="shared" si="2"/>
        <v>0</v>
      </c>
      <c r="T53" s="671"/>
      <c r="U53" s="474">
        <f>'1.0-Contractblad'!$L$137</f>
        <v>0</v>
      </c>
      <c r="V53" s="560">
        <f t="shared" si="3"/>
        <v>0</v>
      </c>
      <c r="W53" s="560">
        <f t="shared" si="4"/>
        <v>0</v>
      </c>
      <c r="X53" s="560">
        <f t="shared" si="5"/>
        <v>0</v>
      </c>
      <c r="Y53" s="560">
        <f t="shared" si="6"/>
        <v>0</v>
      </c>
      <c r="Z53" s="475">
        <f t="shared" si="7"/>
        <v>0</v>
      </c>
      <c r="AA53" s="475">
        <f t="shared" si="8"/>
        <v>0</v>
      </c>
      <c r="AB53" s="476">
        <f t="shared" si="9"/>
        <v>0</v>
      </c>
      <c r="AC53" s="476">
        <f t="shared" si="10"/>
        <v>0</v>
      </c>
      <c r="AD53" s="561">
        <f>E150*D150</f>
        <v>0</v>
      </c>
      <c r="AE53" s="561">
        <f t="shared" si="12"/>
        <v>0</v>
      </c>
      <c r="AH53" s="700">
        <f t="shared" si="13"/>
        <v>0</v>
      </c>
    </row>
    <row r="54" spans="1:34" hidden="1">
      <c r="B54" s="782"/>
      <c r="C54" s="673"/>
      <c r="D54" s="674"/>
      <c r="E54" s="469"/>
      <c r="F54" s="675"/>
      <c r="G54" s="469"/>
      <c r="H54" s="675"/>
      <c r="I54" s="469"/>
      <c r="J54" s="675"/>
      <c r="K54" s="469"/>
      <c r="L54" s="675"/>
      <c r="M54" s="470"/>
      <c r="N54" s="470"/>
      <c r="O54" s="470"/>
      <c r="P54" s="787"/>
      <c r="Q54" s="473"/>
      <c r="R54" s="473"/>
      <c r="S54" s="473"/>
      <c r="T54" s="671"/>
      <c r="U54" s="474"/>
      <c r="V54" s="560"/>
      <c r="W54" s="560"/>
      <c r="X54" s="560"/>
      <c r="Y54" s="560"/>
      <c r="Z54" s="475"/>
      <c r="AA54" s="475"/>
      <c r="AB54" s="476"/>
      <c r="AC54" s="476"/>
      <c r="AD54" s="561"/>
      <c r="AE54" s="561"/>
      <c r="AH54" s="700"/>
    </row>
    <row r="55" spans="1:34" hidden="1">
      <c r="B55" s="782"/>
      <c r="C55" s="673"/>
      <c r="D55" s="674"/>
      <c r="E55" s="469"/>
      <c r="F55" s="723"/>
      <c r="G55" s="469"/>
      <c r="H55" s="723"/>
      <c r="I55" s="469"/>
      <c r="J55" s="675"/>
      <c r="K55" s="469"/>
      <c r="L55" s="675"/>
      <c r="M55" s="470"/>
      <c r="N55" s="470"/>
      <c r="O55" s="470"/>
      <c r="P55" s="787"/>
      <c r="Q55" s="473"/>
      <c r="R55" s="473"/>
      <c r="S55" s="473"/>
      <c r="T55" s="671"/>
      <c r="U55" s="474"/>
      <c r="V55" s="560"/>
      <c r="W55" s="560"/>
      <c r="X55" s="560"/>
      <c r="Y55" s="560"/>
      <c r="Z55" s="475"/>
      <c r="AA55" s="475"/>
      <c r="AB55" s="476"/>
      <c r="AC55" s="476"/>
      <c r="AD55" s="561"/>
      <c r="AE55" s="561"/>
      <c r="AH55" s="700"/>
    </row>
    <row r="56" spans="1:34" hidden="1">
      <c r="B56" s="769"/>
      <c r="C56" s="673"/>
      <c r="D56" s="674"/>
      <c r="E56" s="469"/>
      <c r="F56" s="675"/>
      <c r="G56" s="469"/>
      <c r="H56" s="675"/>
      <c r="I56" s="469"/>
      <c r="J56" s="675"/>
      <c r="K56" s="469"/>
      <c r="L56" s="675"/>
      <c r="M56" s="470"/>
      <c r="N56" s="470"/>
      <c r="O56" s="470"/>
      <c r="P56" s="470"/>
      <c r="Q56" s="473"/>
      <c r="R56" s="473"/>
      <c r="S56" s="473"/>
      <c r="T56" s="473"/>
      <c r="U56" s="474"/>
      <c r="V56" s="560"/>
      <c r="W56" s="560"/>
      <c r="X56" s="560"/>
      <c r="Y56" s="560"/>
      <c r="Z56" s="475"/>
      <c r="AA56" s="475"/>
      <c r="AB56" s="476"/>
      <c r="AC56" s="476"/>
      <c r="AD56" s="561"/>
      <c r="AE56" s="561"/>
      <c r="AH56" s="700"/>
    </row>
    <row r="57" spans="1:34" hidden="1">
      <c r="B57" s="782"/>
      <c r="C57" s="673"/>
      <c r="D57" s="722"/>
      <c r="E57" s="469"/>
      <c r="F57" s="675"/>
      <c r="G57" s="469"/>
      <c r="H57" s="675"/>
      <c r="I57" s="469"/>
      <c r="J57" s="675"/>
      <c r="K57" s="469"/>
      <c r="L57" s="675"/>
      <c r="M57" s="470"/>
      <c r="N57" s="470"/>
      <c r="O57" s="470"/>
      <c r="P57" s="787"/>
      <c r="Q57" s="473"/>
      <c r="R57" s="473"/>
      <c r="S57" s="473"/>
      <c r="T57" s="671"/>
      <c r="U57" s="474"/>
      <c r="V57" s="560"/>
      <c r="W57" s="560"/>
      <c r="X57" s="560"/>
      <c r="Y57" s="560"/>
      <c r="Z57" s="475"/>
      <c r="AA57" s="475"/>
      <c r="AB57" s="476"/>
      <c r="AC57" s="476"/>
      <c r="AD57" s="561"/>
      <c r="AE57" s="561"/>
      <c r="AH57" s="700"/>
    </row>
    <row r="58" spans="1:34" hidden="1">
      <c r="B58" s="782"/>
      <c r="C58" s="673"/>
      <c r="D58" s="674"/>
      <c r="E58" s="469"/>
      <c r="F58" s="723"/>
      <c r="G58" s="469"/>
      <c r="H58" s="723"/>
      <c r="I58" s="469"/>
      <c r="J58" s="609"/>
      <c r="K58" s="469"/>
      <c r="L58" s="675"/>
      <c r="M58" s="470"/>
      <c r="N58" s="470"/>
      <c r="O58" s="470"/>
      <c r="P58" s="787"/>
      <c r="Q58" s="473"/>
      <c r="R58" s="473"/>
      <c r="S58" s="473"/>
      <c r="T58" s="671"/>
      <c r="U58" s="474"/>
      <c r="V58" s="560"/>
      <c r="W58" s="560"/>
      <c r="X58" s="560"/>
      <c r="Y58" s="560"/>
      <c r="Z58" s="475"/>
      <c r="AA58" s="475"/>
      <c r="AB58" s="476"/>
      <c r="AC58" s="476"/>
      <c r="AD58" s="561"/>
      <c r="AE58" s="561"/>
      <c r="AH58" s="700"/>
    </row>
    <row r="59" spans="1:34" hidden="1">
      <c r="B59" s="782"/>
      <c r="C59" s="673"/>
      <c r="D59" s="722"/>
      <c r="E59" s="469"/>
      <c r="F59" s="723"/>
      <c r="G59" s="469"/>
      <c r="H59" s="723"/>
      <c r="I59" s="469"/>
      <c r="J59" s="609"/>
      <c r="K59" s="469"/>
      <c r="L59" s="609"/>
      <c r="M59" s="470"/>
      <c r="N59" s="470"/>
      <c r="O59" s="470"/>
      <c r="P59" s="787"/>
      <c r="Q59" s="473"/>
      <c r="R59" s="473"/>
      <c r="S59" s="473"/>
      <c r="T59" s="671"/>
      <c r="U59" s="474"/>
      <c r="V59" s="560"/>
      <c r="W59" s="560"/>
      <c r="X59" s="560"/>
      <c r="Y59" s="560"/>
      <c r="Z59" s="475"/>
      <c r="AA59" s="475"/>
      <c r="AB59" s="476"/>
      <c r="AC59" s="476"/>
      <c r="AD59" s="561"/>
      <c r="AE59" s="561"/>
      <c r="AH59" s="700"/>
    </row>
    <row r="60" spans="1:34" hidden="1">
      <c r="B60" s="782"/>
      <c r="C60" s="673"/>
      <c r="D60" s="674"/>
      <c r="E60" s="469"/>
      <c r="F60" s="723"/>
      <c r="G60" s="469"/>
      <c r="H60" s="723"/>
      <c r="I60" s="469"/>
      <c r="J60" s="723"/>
      <c r="K60" s="469"/>
      <c r="L60" s="609"/>
      <c r="M60" s="470"/>
      <c r="N60" s="470"/>
      <c r="O60" s="470"/>
      <c r="P60" s="787"/>
      <c r="Q60" s="473"/>
      <c r="R60" s="473"/>
      <c r="S60" s="473"/>
      <c r="T60" s="671"/>
      <c r="U60" s="474"/>
      <c r="V60" s="560"/>
      <c r="W60" s="560"/>
      <c r="X60" s="560"/>
      <c r="Y60" s="560"/>
      <c r="Z60" s="475"/>
      <c r="AA60" s="475"/>
      <c r="AB60" s="476"/>
      <c r="AC60" s="476"/>
      <c r="AD60" s="561"/>
      <c r="AE60" s="561"/>
      <c r="AH60" s="700"/>
    </row>
    <row r="61" spans="1:34" hidden="1">
      <c r="B61" s="782"/>
      <c r="C61" s="673"/>
      <c r="D61" s="674"/>
      <c r="E61" s="469"/>
      <c r="F61" s="723"/>
      <c r="G61" s="469"/>
      <c r="H61" s="723"/>
      <c r="I61" s="469"/>
      <c r="J61" s="723"/>
      <c r="K61" s="469"/>
      <c r="L61" s="609"/>
      <c r="M61" s="470"/>
      <c r="N61" s="470"/>
      <c r="O61" s="470"/>
      <c r="P61" s="787"/>
      <c r="Q61" s="473"/>
      <c r="R61" s="473"/>
      <c r="S61" s="473"/>
      <c r="T61" s="671"/>
      <c r="U61" s="474"/>
      <c r="V61" s="560"/>
      <c r="W61" s="560"/>
      <c r="X61" s="560"/>
      <c r="Y61" s="560"/>
      <c r="Z61" s="475"/>
      <c r="AA61" s="475"/>
      <c r="AB61" s="476"/>
      <c r="AC61" s="476"/>
      <c r="AD61" s="561"/>
      <c r="AE61" s="561"/>
      <c r="AH61" s="700"/>
    </row>
    <row r="62" spans="1:34" hidden="1">
      <c r="B62" s="782"/>
      <c r="C62" s="673"/>
      <c r="D62" s="674"/>
      <c r="E62" s="469"/>
      <c r="F62" s="723"/>
      <c r="G62" s="469"/>
      <c r="H62" s="723"/>
      <c r="I62" s="469"/>
      <c r="J62" s="723"/>
      <c r="K62" s="469"/>
      <c r="L62" s="609"/>
      <c r="M62" s="470"/>
      <c r="N62" s="470"/>
      <c r="O62" s="470"/>
      <c r="P62" s="787"/>
      <c r="Q62" s="473"/>
      <c r="R62" s="473"/>
      <c r="S62" s="473"/>
      <c r="T62" s="671"/>
      <c r="U62" s="474"/>
      <c r="V62" s="560"/>
      <c r="W62" s="560"/>
      <c r="X62" s="560"/>
      <c r="Y62" s="560"/>
      <c r="Z62" s="475"/>
      <c r="AA62" s="475"/>
      <c r="AB62" s="476"/>
      <c r="AC62" s="476"/>
      <c r="AD62" s="561"/>
      <c r="AE62" s="561"/>
      <c r="AH62" s="700"/>
    </row>
    <row r="63" spans="1:34" hidden="1">
      <c r="B63" s="782"/>
      <c r="C63" s="673"/>
      <c r="D63" s="674"/>
      <c r="E63" s="469"/>
      <c r="F63" s="723"/>
      <c r="G63" s="469"/>
      <c r="H63" s="723"/>
      <c r="I63" s="469"/>
      <c r="J63" s="723"/>
      <c r="K63" s="469"/>
      <c r="L63" s="609"/>
      <c r="M63" s="470"/>
      <c r="N63" s="470"/>
      <c r="O63" s="470"/>
      <c r="P63" s="787"/>
      <c r="Q63" s="473"/>
      <c r="R63" s="473"/>
      <c r="S63" s="473"/>
      <c r="T63" s="671"/>
      <c r="U63" s="474"/>
      <c r="V63" s="560"/>
      <c r="W63" s="560"/>
      <c r="X63" s="560"/>
      <c r="Y63" s="560"/>
      <c r="Z63" s="475"/>
      <c r="AA63" s="475"/>
      <c r="AB63" s="476"/>
      <c r="AC63" s="476"/>
      <c r="AD63" s="561"/>
      <c r="AE63" s="561"/>
      <c r="AH63" s="700"/>
    </row>
    <row r="64" spans="1:34" hidden="1">
      <c r="B64" s="782"/>
      <c r="C64" s="673"/>
      <c r="D64" s="674"/>
      <c r="E64" s="469"/>
      <c r="F64" s="723"/>
      <c r="G64" s="469"/>
      <c r="H64" s="723"/>
      <c r="I64" s="469"/>
      <c r="J64" s="723"/>
      <c r="K64" s="469"/>
      <c r="L64" s="609"/>
      <c r="M64" s="470"/>
      <c r="N64" s="470"/>
      <c r="O64" s="470"/>
      <c r="P64" s="787"/>
      <c r="Q64" s="473"/>
      <c r="R64" s="473"/>
      <c r="S64" s="473"/>
      <c r="T64" s="671"/>
      <c r="U64" s="474"/>
      <c r="V64" s="560"/>
      <c r="W64" s="560"/>
      <c r="X64" s="560"/>
      <c r="Y64" s="560"/>
      <c r="Z64" s="475"/>
      <c r="AA64" s="475"/>
      <c r="AB64" s="476"/>
      <c r="AC64" s="476"/>
      <c r="AD64" s="561"/>
      <c r="AE64" s="561"/>
      <c r="AH64" s="700"/>
    </row>
    <row r="65" spans="2:34" hidden="1">
      <c r="B65" s="782"/>
      <c r="C65" s="673"/>
      <c r="D65" s="674"/>
      <c r="E65" s="469"/>
      <c r="F65" s="723"/>
      <c r="G65" s="469"/>
      <c r="H65" s="723"/>
      <c r="I65" s="469"/>
      <c r="J65" s="723"/>
      <c r="K65" s="469"/>
      <c r="L65" s="609"/>
      <c r="M65" s="470"/>
      <c r="N65" s="470"/>
      <c r="O65" s="470"/>
      <c r="P65" s="787"/>
      <c r="Q65" s="473"/>
      <c r="R65" s="473"/>
      <c r="S65" s="473"/>
      <c r="T65" s="671"/>
      <c r="U65" s="474"/>
      <c r="V65" s="560"/>
      <c r="W65" s="560"/>
      <c r="X65" s="560"/>
      <c r="Y65" s="560"/>
      <c r="Z65" s="475"/>
      <c r="AA65" s="475"/>
      <c r="AB65" s="476"/>
      <c r="AC65" s="476"/>
      <c r="AD65" s="561"/>
      <c r="AE65" s="561"/>
      <c r="AH65" s="700"/>
    </row>
    <row r="66" spans="2:34" hidden="1">
      <c r="B66" s="782"/>
      <c r="C66" s="673"/>
      <c r="D66" s="674"/>
      <c r="E66" s="469"/>
      <c r="F66" s="723"/>
      <c r="G66" s="469"/>
      <c r="H66" s="723"/>
      <c r="I66" s="469"/>
      <c r="J66" s="723"/>
      <c r="K66" s="469"/>
      <c r="L66" s="609"/>
      <c r="M66" s="470"/>
      <c r="N66" s="470"/>
      <c r="O66" s="470"/>
      <c r="P66" s="787"/>
      <c r="Q66" s="473"/>
      <c r="R66" s="473"/>
      <c r="S66" s="473"/>
      <c r="T66" s="671"/>
      <c r="U66" s="474"/>
      <c r="V66" s="560"/>
      <c r="W66" s="560"/>
      <c r="X66" s="560"/>
      <c r="Y66" s="560"/>
      <c r="Z66" s="475"/>
      <c r="AA66" s="475"/>
      <c r="AB66" s="476"/>
      <c r="AC66" s="476"/>
      <c r="AD66" s="561"/>
      <c r="AE66" s="561"/>
      <c r="AH66" s="700"/>
    </row>
    <row r="67" spans="2:34" hidden="1">
      <c r="B67" s="672"/>
      <c r="C67" s="673"/>
      <c r="D67" s="674"/>
      <c r="E67" s="469"/>
      <c r="F67" s="723"/>
      <c r="G67" s="469"/>
      <c r="H67" s="723"/>
      <c r="I67" s="469"/>
      <c r="J67" s="723"/>
      <c r="K67" s="469"/>
      <c r="L67" s="609"/>
      <c r="M67" s="470"/>
      <c r="N67" s="470"/>
      <c r="O67" s="470"/>
      <c r="P67" s="787"/>
      <c r="Q67" s="473"/>
      <c r="R67" s="473"/>
      <c r="S67" s="473"/>
      <c r="T67" s="671"/>
      <c r="U67" s="474"/>
      <c r="V67" s="560"/>
      <c r="W67" s="560"/>
      <c r="X67" s="560"/>
      <c r="Y67" s="560"/>
      <c r="Z67" s="475"/>
      <c r="AA67" s="475"/>
      <c r="AB67" s="476"/>
      <c r="AC67" s="476"/>
      <c r="AD67" s="561"/>
      <c r="AE67" s="561"/>
      <c r="AH67" s="700"/>
    </row>
    <row r="68" spans="2:34" hidden="1">
      <c r="B68" s="769"/>
      <c r="C68" s="673"/>
      <c r="D68" s="674"/>
      <c r="E68" s="469"/>
      <c r="F68" s="723"/>
      <c r="G68" s="469"/>
      <c r="H68" s="723"/>
      <c r="I68" s="469"/>
      <c r="J68" s="723"/>
      <c r="K68" s="469"/>
      <c r="L68" s="609"/>
      <c r="M68" s="470"/>
      <c r="N68" s="470"/>
      <c r="O68" s="470"/>
      <c r="P68" s="787"/>
      <c r="Q68" s="473"/>
      <c r="R68" s="473"/>
      <c r="S68" s="473"/>
      <c r="T68" s="671"/>
      <c r="U68" s="474"/>
      <c r="V68" s="560"/>
      <c r="W68" s="560"/>
      <c r="X68" s="560"/>
      <c r="Y68" s="560"/>
      <c r="Z68" s="475"/>
      <c r="AA68" s="475"/>
      <c r="AB68" s="476"/>
      <c r="AC68" s="476"/>
      <c r="AD68" s="561"/>
      <c r="AE68" s="561"/>
      <c r="AH68" s="700"/>
    </row>
    <row r="69" spans="2:34" hidden="1">
      <c r="B69" s="672"/>
      <c r="C69" s="673"/>
      <c r="D69" s="674"/>
      <c r="E69" s="469"/>
      <c r="F69" s="723"/>
      <c r="G69" s="469"/>
      <c r="H69" s="723"/>
      <c r="I69" s="469"/>
      <c r="J69" s="723"/>
      <c r="K69" s="469"/>
      <c r="L69" s="609"/>
      <c r="M69" s="470"/>
      <c r="N69" s="470"/>
      <c r="O69" s="470"/>
      <c r="P69" s="787"/>
      <c r="Q69" s="473"/>
      <c r="R69" s="473"/>
      <c r="S69" s="473"/>
      <c r="T69" s="671"/>
      <c r="U69" s="474"/>
      <c r="V69" s="560"/>
      <c r="W69" s="560"/>
      <c r="X69" s="560"/>
      <c r="Y69" s="560"/>
      <c r="Z69" s="475"/>
      <c r="AA69" s="475"/>
      <c r="AB69" s="476"/>
      <c r="AC69" s="476"/>
      <c r="AD69" s="561"/>
      <c r="AE69" s="561"/>
      <c r="AH69" s="700"/>
    </row>
    <row r="70" spans="2:34" hidden="1">
      <c r="B70" s="672"/>
      <c r="C70" s="673"/>
      <c r="D70" s="674"/>
      <c r="E70" s="469"/>
      <c r="F70" s="723"/>
      <c r="G70" s="469"/>
      <c r="H70" s="723"/>
      <c r="I70" s="469"/>
      <c r="J70" s="723"/>
      <c r="K70" s="469"/>
      <c r="L70" s="609"/>
      <c r="M70" s="470"/>
      <c r="N70" s="470"/>
      <c r="O70" s="470"/>
      <c r="P70" s="787"/>
      <c r="Q70" s="473"/>
      <c r="R70" s="473"/>
      <c r="S70" s="473"/>
      <c r="T70" s="671"/>
      <c r="U70" s="474"/>
      <c r="V70" s="560"/>
      <c r="W70" s="560"/>
      <c r="X70" s="560"/>
      <c r="Y70" s="560"/>
      <c r="Z70" s="475"/>
      <c r="AA70" s="475"/>
      <c r="AB70" s="476"/>
      <c r="AC70" s="476"/>
      <c r="AD70" s="561"/>
      <c r="AE70" s="561"/>
      <c r="AH70" s="700"/>
    </row>
    <row r="71" spans="2:34" hidden="1">
      <c r="B71" s="672"/>
      <c r="C71" s="673"/>
      <c r="D71" s="674"/>
      <c r="E71" s="469"/>
      <c r="F71" s="723"/>
      <c r="G71" s="469"/>
      <c r="H71" s="723"/>
      <c r="I71" s="469"/>
      <c r="J71" s="723"/>
      <c r="K71" s="469"/>
      <c r="L71" s="609"/>
      <c r="M71" s="470"/>
      <c r="N71" s="470"/>
      <c r="O71" s="470"/>
      <c r="P71" s="787"/>
      <c r="Q71" s="473"/>
      <c r="R71" s="473"/>
      <c r="S71" s="473"/>
      <c r="T71" s="671"/>
      <c r="U71" s="474"/>
      <c r="V71" s="560"/>
      <c r="W71" s="560"/>
      <c r="X71" s="560"/>
      <c r="Y71" s="560"/>
      <c r="Z71" s="475"/>
      <c r="AA71" s="475"/>
      <c r="AB71" s="476"/>
      <c r="AC71" s="476"/>
      <c r="AD71" s="561"/>
      <c r="AE71" s="561"/>
      <c r="AH71" s="700"/>
    </row>
    <row r="72" spans="2:34" hidden="1">
      <c r="B72" s="672"/>
      <c r="C72" s="673"/>
      <c r="D72" s="674"/>
      <c r="E72" s="720"/>
      <c r="F72" s="723"/>
      <c r="G72" s="720"/>
      <c r="H72" s="723"/>
      <c r="I72" s="720"/>
      <c r="J72" s="723"/>
      <c r="K72" s="469"/>
      <c r="L72" s="609"/>
      <c r="M72" s="470"/>
      <c r="N72" s="470"/>
      <c r="O72" s="470"/>
      <c r="P72" s="787"/>
      <c r="Q72" s="473"/>
      <c r="R72" s="473"/>
      <c r="S72" s="473"/>
      <c r="T72" s="671"/>
      <c r="U72" s="474"/>
      <c r="V72" s="560"/>
      <c r="W72" s="560"/>
      <c r="X72" s="560"/>
      <c r="Y72" s="560"/>
      <c r="Z72" s="475"/>
      <c r="AA72" s="475"/>
      <c r="AB72" s="476"/>
      <c r="AC72" s="476"/>
      <c r="AD72" s="561"/>
      <c r="AE72" s="561"/>
      <c r="AH72" s="700"/>
    </row>
    <row r="73" spans="2:34" hidden="1">
      <c r="B73" s="672"/>
      <c r="C73" s="673"/>
      <c r="D73" s="674"/>
      <c r="E73" s="724"/>
      <c r="F73" s="725"/>
      <c r="G73" s="724"/>
      <c r="H73" s="725"/>
      <c r="I73" s="724"/>
      <c r="J73" s="725"/>
      <c r="K73" s="469"/>
      <c r="L73" s="609"/>
      <c r="M73" s="470"/>
      <c r="N73" s="470"/>
      <c r="O73" s="470"/>
      <c r="P73" s="787"/>
      <c r="Q73" s="473"/>
      <c r="R73" s="473"/>
      <c r="S73" s="473"/>
      <c r="T73" s="671"/>
      <c r="U73" s="474"/>
      <c r="V73" s="560"/>
      <c r="W73" s="560"/>
      <c r="X73" s="560"/>
      <c r="Y73" s="560"/>
      <c r="Z73" s="475"/>
      <c r="AA73" s="475"/>
      <c r="AB73" s="476"/>
      <c r="AC73" s="476"/>
      <c r="AD73" s="561"/>
      <c r="AE73" s="561"/>
      <c r="AH73" s="700"/>
    </row>
    <row r="74" spans="2:34" hidden="1">
      <c r="B74" s="672"/>
      <c r="C74" s="673"/>
      <c r="D74" s="669"/>
      <c r="E74" s="469"/>
      <c r="F74" s="609"/>
      <c r="G74" s="469"/>
      <c r="H74" s="609"/>
      <c r="I74" s="469"/>
      <c r="J74" s="609"/>
      <c r="K74" s="469"/>
      <c r="L74" s="609"/>
      <c r="M74" s="470"/>
      <c r="N74" s="470"/>
      <c r="O74" s="470"/>
      <c r="P74" s="787"/>
      <c r="Q74" s="473"/>
      <c r="R74" s="473"/>
      <c r="S74" s="473"/>
      <c r="T74" s="671"/>
      <c r="U74" s="474"/>
      <c r="V74" s="560"/>
      <c r="W74" s="560"/>
      <c r="X74" s="560"/>
      <c r="Y74" s="560"/>
      <c r="Z74" s="475"/>
      <c r="AA74" s="475"/>
      <c r="AB74" s="476"/>
      <c r="AC74" s="476"/>
      <c r="AD74" s="561"/>
      <c r="AE74" s="561"/>
      <c r="AH74" s="700"/>
    </row>
    <row r="75" spans="2:34" hidden="1">
      <c r="B75" s="672"/>
      <c r="C75" s="662"/>
      <c r="D75" s="669"/>
      <c r="E75" s="469"/>
      <c r="F75" s="609"/>
      <c r="G75" s="469"/>
      <c r="H75" s="609"/>
      <c r="I75" s="469"/>
      <c r="J75" s="609"/>
      <c r="K75" s="469"/>
      <c r="L75" s="609"/>
      <c r="M75" s="470"/>
      <c r="N75" s="470"/>
      <c r="O75" s="470"/>
      <c r="P75" s="787"/>
      <c r="Q75" s="473"/>
      <c r="R75" s="473"/>
      <c r="S75" s="473"/>
      <c r="T75" s="671"/>
      <c r="U75" s="474"/>
      <c r="V75" s="560"/>
      <c r="W75" s="560"/>
      <c r="X75" s="560"/>
      <c r="Y75" s="560"/>
      <c r="Z75" s="475"/>
      <c r="AA75" s="475"/>
      <c r="AB75" s="476"/>
      <c r="AC75" s="476"/>
      <c r="AD75" s="561"/>
      <c r="AE75" s="561"/>
      <c r="AH75" s="700"/>
    </row>
    <row r="76" spans="2:34" hidden="1">
      <c r="B76" s="672"/>
      <c r="C76" s="662"/>
      <c r="D76" s="669"/>
      <c r="E76" s="469"/>
      <c r="F76" s="609"/>
      <c r="G76" s="469"/>
      <c r="H76" s="609"/>
      <c r="I76" s="469"/>
      <c r="J76" s="609"/>
      <c r="K76" s="469"/>
      <c r="L76" s="609"/>
      <c r="M76" s="470"/>
      <c r="N76" s="470"/>
      <c r="O76" s="470"/>
      <c r="P76" s="787"/>
      <c r="Q76" s="473"/>
      <c r="R76" s="473"/>
      <c r="S76" s="473"/>
      <c r="T76" s="671"/>
      <c r="U76" s="474"/>
      <c r="V76" s="560"/>
      <c r="W76" s="560"/>
      <c r="X76" s="560"/>
      <c r="Y76" s="560"/>
      <c r="Z76" s="475"/>
      <c r="AA76" s="475"/>
      <c r="AB76" s="476"/>
      <c r="AC76" s="476"/>
      <c r="AD76" s="561"/>
      <c r="AE76" s="561"/>
      <c r="AH76" s="700"/>
    </row>
    <row r="77" spans="2:34" hidden="1">
      <c r="B77" s="672"/>
      <c r="C77" s="662"/>
      <c r="D77" s="669"/>
      <c r="E77" s="469"/>
      <c r="F77" s="609"/>
      <c r="G77" s="469"/>
      <c r="H77" s="609"/>
      <c r="I77" s="469"/>
      <c r="J77" s="609"/>
      <c r="K77" s="469"/>
      <c r="L77" s="609"/>
      <c r="M77" s="470"/>
      <c r="N77" s="470"/>
      <c r="O77" s="470"/>
      <c r="P77" s="787"/>
      <c r="Q77" s="473"/>
      <c r="R77" s="473"/>
      <c r="S77" s="473"/>
      <c r="T77" s="671"/>
      <c r="U77" s="474"/>
      <c r="V77" s="560"/>
      <c r="W77" s="560"/>
      <c r="X77" s="560"/>
      <c r="Y77" s="560"/>
      <c r="Z77" s="475"/>
      <c r="AA77" s="475"/>
      <c r="AB77" s="476"/>
      <c r="AC77" s="476"/>
      <c r="AD77" s="561"/>
      <c r="AE77" s="561"/>
      <c r="AH77" s="700"/>
    </row>
    <row r="78" spans="2:34">
      <c r="B78" s="213"/>
      <c r="C78" s="213"/>
      <c r="D78" s="689"/>
      <c r="E78" s="487"/>
      <c r="F78" s="690"/>
      <c r="G78" s="487"/>
      <c r="H78" s="690"/>
      <c r="I78" s="487"/>
      <c r="J78" s="691"/>
      <c r="K78" s="487"/>
      <c r="L78" s="692"/>
      <c r="M78" s="488"/>
      <c r="N78" s="488"/>
      <c r="O78" s="488"/>
      <c r="P78" s="488"/>
      <c r="Q78" s="693"/>
      <c r="R78" s="693"/>
      <c r="S78" s="693"/>
      <c r="T78" s="693"/>
      <c r="U78" s="694"/>
      <c r="V78" s="695"/>
      <c r="W78" s="695"/>
      <c r="X78" s="695"/>
      <c r="Y78" s="695"/>
      <c r="Z78" s="696"/>
      <c r="AA78" s="696"/>
      <c r="AB78" s="696"/>
      <c r="AC78" s="696"/>
      <c r="AD78" s="697"/>
      <c r="AE78" s="697"/>
      <c r="AH78" s="700">
        <f t="shared" ref="AH78:AH80" si="21">F78+H78+J78+L78</f>
        <v>0</v>
      </c>
    </row>
    <row r="79" spans="2:34">
      <c r="B79" s="213"/>
      <c r="C79" s="213"/>
      <c r="D79" s="689"/>
      <c r="E79" s="487"/>
      <c r="F79" s="690"/>
      <c r="G79" s="487"/>
      <c r="H79" s="690"/>
      <c r="I79" s="487"/>
      <c r="J79" s="691"/>
      <c r="K79" s="487"/>
      <c r="L79" s="692"/>
      <c r="M79" s="488"/>
      <c r="N79" s="488"/>
      <c r="O79" s="488"/>
      <c r="P79" s="488"/>
      <c r="Q79" s="693"/>
      <c r="R79" s="693"/>
      <c r="S79" s="693"/>
      <c r="T79" s="693"/>
      <c r="U79" s="694"/>
      <c r="V79" s="695"/>
      <c r="W79" s="695"/>
      <c r="X79" s="695"/>
      <c r="Y79" s="695"/>
      <c r="Z79" s="696"/>
      <c r="AA79" s="696"/>
      <c r="AB79" s="696"/>
      <c r="AC79" s="696"/>
      <c r="AD79" s="697"/>
      <c r="AE79" s="697"/>
      <c r="AH79" s="700">
        <f t="shared" si="21"/>
        <v>0</v>
      </c>
    </row>
    <row r="80" spans="2:34">
      <c r="B80" s="213"/>
      <c r="AH80" s="700">
        <f t="shared" si="21"/>
        <v>0</v>
      </c>
    </row>
    <row r="81" spans="2:34" s="688" customFormat="1" hidden="1">
      <c r="B81" s="448"/>
      <c r="C81" s="429"/>
      <c r="D81" s="429"/>
      <c r="E81" s="449"/>
      <c r="F81" s="449"/>
      <c r="G81" s="449"/>
      <c r="H81" s="471"/>
      <c r="I81" s="471"/>
      <c r="J81" s="471"/>
      <c r="K81" s="471"/>
      <c r="L81" s="471"/>
      <c r="M81" s="471"/>
      <c r="N81" s="449"/>
      <c r="O81" s="471"/>
      <c r="P81" s="471"/>
      <c r="Q81" s="471"/>
      <c r="R81" s="471"/>
      <c r="S81" s="471"/>
      <c r="T81" s="471"/>
      <c r="U81" s="472"/>
      <c r="V81" s="471"/>
      <c r="W81" s="471"/>
      <c r="X81" s="471"/>
      <c r="Y81" s="471"/>
      <c r="Z81" s="472"/>
      <c r="AA81" s="472"/>
      <c r="AB81" s="472"/>
      <c r="AC81" s="472"/>
      <c r="AD81" s="472"/>
      <c r="AE81" s="472"/>
      <c r="AF81" s="687"/>
      <c r="AG81" s="687"/>
      <c r="AH81" s="700"/>
    </row>
    <row r="82" spans="2:34" hidden="1">
      <c r="B82" s="672"/>
      <c r="C82" s="673"/>
      <c r="D82" s="670"/>
      <c r="E82" s="469"/>
      <c r="F82" s="427"/>
      <c r="G82" s="683"/>
      <c r="H82" s="684"/>
      <c r="I82" s="683"/>
      <c r="J82" s="685"/>
      <c r="K82" s="683"/>
      <c r="L82" s="686"/>
      <c r="M82" s="470"/>
      <c r="N82" s="682"/>
      <c r="O82" s="682"/>
      <c r="P82" s="682"/>
      <c r="Q82" s="473"/>
      <c r="R82" s="679"/>
      <c r="S82" s="679"/>
      <c r="T82" s="680"/>
      <c r="U82" s="474"/>
      <c r="V82" s="560"/>
      <c r="W82" s="681"/>
      <c r="X82" s="681"/>
      <c r="Y82" s="681"/>
      <c r="Z82" s="475"/>
      <c r="AA82" s="475"/>
      <c r="AB82" s="476"/>
      <c r="AC82" s="476"/>
      <c r="AD82" s="561"/>
      <c r="AE82" s="561"/>
      <c r="AH82" s="700"/>
    </row>
    <row r="83" spans="2:34" hidden="1">
      <c r="B83" s="672"/>
      <c r="C83" s="673"/>
      <c r="D83" s="670"/>
      <c r="E83" s="469"/>
      <c r="F83" s="427"/>
      <c r="G83" s="683"/>
      <c r="H83" s="684"/>
      <c r="I83" s="683"/>
      <c r="J83" s="685"/>
      <c r="K83" s="683"/>
      <c r="L83" s="686"/>
      <c r="M83" s="470"/>
      <c r="N83" s="682"/>
      <c r="O83" s="682"/>
      <c r="P83" s="682"/>
      <c r="Q83" s="473"/>
      <c r="R83" s="679"/>
      <c r="S83" s="679"/>
      <c r="T83" s="680"/>
      <c r="U83" s="474"/>
      <c r="V83" s="560"/>
      <c r="W83" s="681"/>
      <c r="X83" s="681"/>
      <c r="Y83" s="681"/>
      <c r="Z83" s="475"/>
      <c r="AA83" s="475"/>
      <c r="AB83" s="476"/>
      <c r="AC83" s="476"/>
      <c r="AD83" s="561"/>
      <c r="AE83" s="561"/>
      <c r="AH83" s="700"/>
    </row>
    <row r="84" spans="2:34" hidden="1">
      <c r="B84" s="672"/>
      <c r="C84" s="673"/>
      <c r="D84" s="670"/>
      <c r="E84" s="469"/>
      <c r="F84" s="427"/>
      <c r="G84" s="683"/>
      <c r="H84" s="684"/>
      <c r="I84" s="683"/>
      <c r="J84" s="685"/>
      <c r="K84" s="683"/>
      <c r="L84" s="686"/>
      <c r="M84" s="470"/>
      <c r="N84" s="682"/>
      <c r="O84" s="682"/>
      <c r="P84" s="682"/>
      <c r="Q84" s="473"/>
      <c r="R84" s="679"/>
      <c r="S84" s="679"/>
      <c r="T84" s="680"/>
      <c r="U84" s="474"/>
      <c r="V84" s="560"/>
      <c r="W84" s="681"/>
      <c r="X84" s="681"/>
      <c r="Y84" s="681"/>
      <c r="Z84" s="475"/>
      <c r="AA84" s="475"/>
      <c r="AB84" s="476"/>
      <c r="AC84" s="476"/>
      <c r="AD84" s="561"/>
      <c r="AE84" s="561"/>
      <c r="AH84" s="700"/>
    </row>
    <row r="85" spans="2:34" hidden="1">
      <c r="B85" s="672"/>
      <c r="C85" s="673"/>
      <c r="D85" s="670"/>
      <c r="E85" s="469"/>
      <c r="F85" s="427"/>
      <c r="G85" s="683"/>
      <c r="H85" s="684"/>
      <c r="I85" s="683"/>
      <c r="J85" s="685"/>
      <c r="K85" s="683"/>
      <c r="L85" s="686"/>
      <c r="M85" s="470"/>
      <c r="N85" s="682"/>
      <c r="O85" s="682"/>
      <c r="P85" s="682"/>
      <c r="Q85" s="473"/>
      <c r="R85" s="679"/>
      <c r="S85" s="679"/>
      <c r="T85" s="680"/>
      <c r="U85" s="474"/>
      <c r="V85" s="560"/>
      <c r="W85" s="681"/>
      <c r="X85" s="681"/>
      <c r="Y85" s="681"/>
      <c r="Z85" s="475"/>
      <c r="AA85" s="475"/>
      <c r="AB85" s="476"/>
      <c r="AC85" s="476"/>
      <c r="AD85" s="561"/>
      <c r="AE85" s="561"/>
      <c r="AH85" s="700"/>
    </row>
    <row r="86" spans="2:34" hidden="1">
      <c r="B86" s="672"/>
      <c r="C86" s="673"/>
      <c r="D86" s="670"/>
      <c r="E86" s="469"/>
      <c r="F86" s="427"/>
      <c r="G86" s="683"/>
      <c r="H86" s="684"/>
      <c r="I86" s="683"/>
      <c r="J86" s="685"/>
      <c r="K86" s="683"/>
      <c r="L86" s="686"/>
      <c r="M86" s="470"/>
      <c r="N86" s="682"/>
      <c r="O86" s="682"/>
      <c r="P86" s="682"/>
      <c r="Q86" s="473"/>
      <c r="R86" s="679"/>
      <c r="S86" s="679"/>
      <c r="T86" s="680"/>
      <c r="U86" s="474"/>
      <c r="V86" s="560"/>
      <c r="W86" s="681"/>
      <c r="X86" s="681"/>
      <c r="Y86" s="681"/>
      <c r="Z86" s="475"/>
      <c r="AA86" s="475"/>
      <c r="AB86" s="476"/>
      <c r="AC86" s="476"/>
      <c r="AD86" s="561"/>
      <c r="AE86" s="561"/>
      <c r="AH86" s="700"/>
    </row>
    <row r="87" spans="2:34" hidden="1">
      <c r="B87" s="672"/>
      <c r="C87" s="673"/>
      <c r="D87" s="670"/>
      <c r="E87" s="469"/>
      <c r="F87" s="427"/>
      <c r="G87" s="683"/>
      <c r="H87" s="684"/>
      <c r="I87" s="683"/>
      <c r="J87" s="685"/>
      <c r="K87" s="683"/>
      <c r="L87" s="686"/>
      <c r="M87" s="470"/>
      <c r="N87" s="682"/>
      <c r="O87" s="682"/>
      <c r="P87" s="682"/>
      <c r="Q87" s="473"/>
      <c r="R87" s="679"/>
      <c r="S87" s="679"/>
      <c r="T87" s="680"/>
      <c r="U87" s="474"/>
      <c r="V87" s="560"/>
      <c r="W87" s="681"/>
      <c r="X87" s="681"/>
      <c r="Y87" s="681"/>
      <c r="Z87" s="475"/>
      <c r="AA87" s="475"/>
      <c r="AB87" s="476"/>
      <c r="AC87" s="476"/>
      <c r="AD87" s="561"/>
      <c r="AE87" s="561"/>
      <c r="AH87" s="700"/>
    </row>
    <row r="88" spans="2:34" hidden="1">
      <c r="B88" s="672"/>
      <c r="C88" s="673"/>
      <c r="D88" s="670"/>
      <c r="E88" s="469"/>
      <c r="F88" s="427"/>
      <c r="G88" s="683"/>
      <c r="H88" s="684"/>
      <c r="I88" s="683"/>
      <c r="J88" s="685"/>
      <c r="K88" s="683"/>
      <c r="L88" s="686"/>
      <c r="M88" s="470"/>
      <c r="N88" s="682"/>
      <c r="O88" s="682"/>
      <c r="P88" s="682"/>
      <c r="Q88" s="473"/>
      <c r="R88" s="679"/>
      <c r="S88" s="679"/>
      <c r="T88" s="680"/>
      <c r="U88" s="474"/>
      <c r="V88" s="560"/>
      <c r="W88" s="681"/>
      <c r="X88" s="681"/>
      <c r="Y88" s="681"/>
      <c r="Z88" s="475"/>
      <c r="AA88" s="475"/>
      <c r="AB88" s="476"/>
      <c r="AC88" s="476"/>
      <c r="AD88" s="561"/>
      <c r="AE88" s="561"/>
      <c r="AH88" s="700"/>
    </row>
    <row r="89" spans="2:34" hidden="1">
      <c r="B89" s="672"/>
      <c r="C89" s="673"/>
      <c r="D89" s="670"/>
      <c r="E89" s="469"/>
      <c r="F89" s="427"/>
      <c r="G89" s="683"/>
      <c r="H89" s="684"/>
      <c r="I89" s="683"/>
      <c r="J89" s="685"/>
      <c r="K89" s="683"/>
      <c r="L89" s="686"/>
      <c r="M89" s="470"/>
      <c r="N89" s="682"/>
      <c r="O89" s="682"/>
      <c r="P89" s="682"/>
      <c r="Q89" s="473"/>
      <c r="R89" s="679"/>
      <c r="S89" s="679"/>
      <c r="T89" s="680"/>
      <c r="U89" s="474"/>
      <c r="V89" s="560"/>
      <c r="W89" s="681"/>
      <c r="X89" s="681"/>
      <c r="Y89" s="681"/>
      <c r="Z89" s="475"/>
      <c r="AA89" s="475"/>
      <c r="AB89" s="476"/>
      <c r="AC89" s="476"/>
      <c r="AD89" s="561"/>
      <c r="AE89" s="561"/>
      <c r="AH89" s="700"/>
    </row>
    <row r="90" spans="2:34" hidden="1">
      <c r="B90" s="672"/>
      <c r="C90" s="673"/>
      <c r="D90" s="670"/>
      <c r="E90" s="469"/>
      <c r="F90" s="427"/>
      <c r="G90" s="683"/>
      <c r="H90" s="684"/>
      <c r="I90" s="683"/>
      <c r="J90" s="685"/>
      <c r="K90" s="683"/>
      <c r="L90" s="686"/>
      <c r="M90" s="470"/>
      <c r="N90" s="682"/>
      <c r="O90" s="682"/>
      <c r="P90" s="682"/>
      <c r="Q90" s="473"/>
      <c r="R90" s="679"/>
      <c r="S90" s="679"/>
      <c r="T90" s="680"/>
      <c r="U90" s="474"/>
      <c r="V90" s="560"/>
      <c r="W90" s="681"/>
      <c r="X90" s="681"/>
      <c r="Y90" s="681"/>
      <c r="Z90" s="475"/>
      <c r="AA90" s="475"/>
      <c r="AB90" s="476"/>
      <c r="AC90" s="476"/>
      <c r="AD90" s="561"/>
      <c r="AE90" s="561"/>
      <c r="AH90" s="700"/>
    </row>
    <row r="91" spans="2:34" hidden="1">
      <c r="B91" s="672"/>
      <c r="C91" s="673"/>
      <c r="D91" s="670"/>
      <c r="E91" s="469"/>
      <c r="F91" s="427"/>
      <c r="G91" s="683"/>
      <c r="H91" s="684"/>
      <c r="I91" s="683"/>
      <c r="J91" s="685"/>
      <c r="K91" s="683"/>
      <c r="L91" s="686"/>
      <c r="M91" s="470"/>
      <c r="N91" s="682"/>
      <c r="O91" s="682"/>
      <c r="P91" s="682"/>
      <c r="Q91" s="473"/>
      <c r="R91" s="679"/>
      <c r="S91" s="679"/>
      <c r="T91" s="680"/>
      <c r="U91" s="474"/>
      <c r="V91" s="560"/>
      <c r="W91" s="681"/>
      <c r="X91" s="681"/>
      <c r="Y91" s="681"/>
      <c r="Z91" s="475"/>
      <c r="AA91" s="475"/>
      <c r="AB91" s="476"/>
      <c r="AC91" s="476"/>
      <c r="AD91" s="561"/>
      <c r="AE91" s="561"/>
      <c r="AH91" s="700"/>
    </row>
    <row r="92" spans="2:34" hidden="1">
      <c r="B92" s="672"/>
      <c r="C92" s="673"/>
      <c r="D92" s="670"/>
      <c r="E92" s="469"/>
      <c r="F92" s="427"/>
      <c r="G92" s="683"/>
      <c r="H92" s="684"/>
      <c r="I92" s="683"/>
      <c r="J92" s="685"/>
      <c r="K92" s="683"/>
      <c r="L92" s="686"/>
      <c r="M92" s="470"/>
      <c r="N92" s="682"/>
      <c r="O92" s="682"/>
      <c r="P92" s="682"/>
      <c r="Q92" s="473"/>
      <c r="R92" s="679"/>
      <c r="S92" s="679"/>
      <c r="T92" s="680"/>
      <c r="U92" s="474"/>
      <c r="V92" s="560"/>
      <c r="W92" s="681"/>
      <c r="X92" s="681"/>
      <c r="Y92" s="681"/>
      <c r="Z92" s="475"/>
      <c r="AA92" s="475"/>
      <c r="AB92" s="476"/>
      <c r="AC92" s="476"/>
      <c r="AD92" s="561"/>
      <c r="AE92" s="561"/>
      <c r="AH92" s="700"/>
    </row>
    <row r="93" spans="2:34" hidden="1">
      <c r="B93" s="672"/>
      <c r="C93" s="673"/>
      <c r="D93" s="670"/>
      <c r="E93" s="469"/>
      <c r="F93" s="427"/>
      <c r="G93" s="683"/>
      <c r="H93" s="684"/>
      <c r="I93" s="683"/>
      <c r="J93" s="685"/>
      <c r="K93" s="683"/>
      <c r="L93" s="686"/>
      <c r="M93" s="470"/>
      <c r="N93" s="682"/>
      <c r="O93" s="682"/>
      <c r="P93" s="682"/>
      <c r="Q93" s="473"/>
      <c r="R93" s="679"/>
      <c r="S93" s="679"/>
      <c r="T93" s="680"/>
      <c r="U93" s="474"/>
      <c r="V93" s="560"/>
      <c r="W93" s="681"/>
      <c r="X93" s="681"/>
      <c r="Y93" s="681"/>
      <c r="Z93" s="475"/>
      <c r="AA93" s="475"/>
      <c r="AB93" s="476"/>
      <c r="AC93" s="476"/>
      <c r="AD93" s="561"/>
      <c r="AE93" s="561"/>
      <c r="AH93" s="700"/>
    </row>
    <row r="94" spans="2:34" hidden="1">
      <c r="B94" s="213"/>
    </row>
    <row r="95" spans="2:34">
      <c r="B95" s="213"/>
    </row>
    <row r="96" spans="2:34">
      <c r="B96" s="213"/>
    </row>
    <row r="97" spans="1:30">
      <c r="B97" s="213"/>
    </row>
    <row r="98" spans="1:30">
      <c r="B98" s="213"/>
    </row>
    <row r="99" spans="1:30">
      <c r="B99" s="213"/>
    </row>
    <row r="100" spans="1:30">
      <c r="B100" s="213"/>
    </row>
    <row r="101" spans="1:30" ht="12.75" customHeight="1">
      <c r="B101" s="130" t="s">
        <v>68</v>
      </c>
      <c r="C101" s="150"/>
      <c r="D101" s="426"/>
      <c r="E101" s="426"/>
      <c r="F101" s="151"/>
    </row>
    <row r="102" spans="1:30" ht="12.75" customHeight="1">
      <c r="B102" s="152" t="s">
        <v>73</v>
      </c>
      <c r="C102" s="150"/>
      <c r="D102" s="426"/>
      <c r="E102" s="426"/>
      <c r="F102" s="151"/>
      <c r="H102" s="151"/>
      <c r="J102" s="151"/>
      <c r="K102" s="151"/>
      <c r="L102" s="151"/>
    </row>
    <row r="103" spans="1:30" ht="12.75" customHeight="1">
      <c r="B103" s="152" t="s">
        <v>123</v>
      </c>
      <c r="C103" s="150"/>
      <c r="D103" s="426"/>
      <c r="E103" s="426"/>
      <c r="F103" s="151"/>
    </row>
    <row r="104" spans="1:30" ht="12.75" customHeight="1"/>
    <row r="105" spans="1:30" ht="12.75" customHeight="1"/>
    <row r="106" spans="1:30" ht="12.75" customHeight="1"/>
    <row r="109" spans="1:30" s="478" customFormat="1">
      <c r="A109" s="644"/>
      <c r="B109" s="477"/>
      <c r="C109" s="477"/>
      <c r="D109" s="477"/>
      <c r="E109" s="477"/>
      <c r="F109" s="477"/>
      <c r="G109" s="477"/>
      <c r="H109" s="477"/>
      <c r="O109" s="61"/>
      <c r="P109" s="61"/>
      <c r="Q109" s="61"/>
      <c r="R109" s="61"/>
      <c r="AB109" s="479"/>
      <c r="AC109" s="479"/>
      <c r="AD109" s="479"/>
    </row>
    <row r="110" spans="1:30" s="478" customFormat="1">
      <c r="A110" s="477"/>
      <c r="B110" s="477"/>
      <c r="C110" s="477"/>
      <c r="D110" s="477"/>
      <c r="E110" s="477"/>
      <c r="F110" s="477"/>
      <c r="G110" s="477"/>
      <c r="H110" s="477"/>
      <c r="I110" s="480"/>
      <c r="J110" s="480"/>
      <c r="K110" s="480"/>
      <c r="L110" s="480"/>
      <c r="M110" s="480"/>
      <c r="N110" s="480"/>
      <c r="O110" s="61"/>
      <c r="P110" s="61"/>
      <c r="Q110" s="61"/>
      <c r="R110" s="61"/>
      <c r="S110" s="480"/>
      <c r="T110" s="480"/>
      <c r="U110" s="480"/>
      <c r="V110" s="480"/>
      <c r="W110" s="480"/>
      <c r="X110" s="480"/>
    </row>
    <row r="111" spans="1:30" s="478" customFormat="1">
      <c r="A111" s="477"/>
      <c r="B111" s="477"/>
      <c r="C111" s="477"/>
      <c r="D111" s="477"/>
      <c r="E111" s="477"/>
      <c r="F111" s="477"/>
      <c r="G111" s="477"/>
      <c r="H111" s="477"/>
      <c r="I111" s="480"/>
      <c r="J111" s="480"/>
      <c r="K111" s="480"/>
      <c r="L111" s="480"/>
      <c r="M111" s="480"/>
      <c r="N111" s="480"/>
      <c r="O111" s="61"/>
      <c r="P111" s="61"/>
      <c r="Q111" s="61"/>
      <c r="R111" s="61"/>
      <c r="S111" s="480"/>
      <c r="T111" s="480"/>
      <c r="U111" s="480"/>
      <c r="V111" s="480"/>
      <c r="W111" s="480"/>
      <c r="X111" s="480"/>
    </row>
    <row r="112" spans="1:30" s="478" customFormat="1" ht="26">
      <c r="A112" s="477"/>
      <c r="B112" s="448" t="s">
        <v>41</v>
      </c>
      <c r="C112" s="429" t="s">
        <v>350</v>
      </c>
      <c r="D112" s="428" t="s">
        <v>320</v>
      </c>
      <c r="E112" s="481" t="s">
        <v>351</v>
      </c>
      <c r="F112" s="477" t="s">
        <v>352</v>
      </c>
      <c r="G112" s="477"/>
      <c r="H112" s="477"/>
      <c r="I112" s="480"/>
      <c r="J112" s="480"/>
      <c r="K112" s="480"/>
      <c r="L112" s="480"/>
      <c r="M112" s="480"/>
      <c r="N112" s="480"/>
      <c r="O112" s="61"/>
      <c r="P112" s="61"/>
      <c r="Q112" s="61"/>
      <c r="R112" s="61"/>
      <c r="S112" s="480"/>
      <c r="T112" s="480"/>
      <c r="U112" s="480"/>
      <c r="V112" s="480"/>
    </row>
    <row r="113" spans="1:22" s="478" customFormat="1" hidden="1">
      <c r="A113" s="477"/>
      <c r="B113" s="300"/>
      <c r="C113" s="300"/>
      <c r="D113" s="469"/>
      <c r="E113" s="490"/>
      <c r="F113" s="846"/>
      <c r="G113" s="846"/>
      <c r="H113" s="846"/>
      <c r="I113" s="846"/>
      <c r="J113" s="847"/>
      <c r="K113" s="489"/>
      <c r="L113" s="489"/>
      <c r="M113" s="480"/>
      <c r="N113" s="480"/>
      <c r="O113" s="61"/>
      <c r="P113" s="61"/>
      <c r="Q113" s="61"/>
      <c r="R113" s="61"/>
      <c r="S113" s="480"/>
      <c r="T113" s="480"/>
      <c r="U113" s="480"/>
      <c r="V113" s="480"/>
    </row>
    <row r="114" spans="1:22" s="478" customFormat="1" hidden="1">
      <c r="A114" s="477"/>
      <c r="B114" s="300"/>
      <c r="C114" s="300"/>
      <c r="D114" s="469"/>
      <c r="E114" s="490"/>
      <c r="F114" s="846"/>
      <c r="G114" s="846"/>
      <c r="H114" s="846"/>
      <c r="I114" s="846"/>
      <c r="J114" s="847"/>
      <c r="K114" s="489"/>
      <c r="L114" s="489"/>
      <c r="M114" s="480"/>
      <c r="N114" s="480"/>
      <c r="O114" s="61"/>
      <c r="P114" s="61"/>
      <c r="Q114" s="61"/>
      <c r="R114" s="61"/>
      <c r="S114" s="480"/>
      <c r="T114" s="480"/>
      <c r="U114" s="480"/>
      <c r="V114" s="480"/>
    </row>
    <row r="115" spans="1:22" s="478" customFormat="1" hidden="1">
      <c r="A115" s="477"/>
      <c r="B115" s="300"/>
      <c r="C115" s="300"/>
      <c r="D115" s="469"/>
      <c r="E115" s="490"/>
      <c r="F115" s="846"/>
      <c r="G115" s="846"/>
      <c r="H115" s="846"/>
      <c r="I115" s="846"/>
      <c r="J115" s="847"/>
      <c r="K115" s="489"/>
      <c r="L115" s="489"/>
      <c r="M115" s="480"/>
      <c r="N115" s="480"/>
      <c r="O115" s="61"/>
      <c r="P115" s="61"/>
      <c r="Q115" s="61"/>
      <c r="R115" s="61"/>
      <c r="S115" s="480"/>
      <c r="T115" s="480"/>
      <c r="U115" s="480"/>
      <c r="V115" s="480"/>
    </row>
    <row r="116" spans="1:22" s="478" customFormat="1" hidden="1">
      <c r="A116" s="477"/>
      <c r="B116" s="300"/>
      <c r="C116" s="300"/>
      <c r="D116" s="469"/>
      <c r="E116" s="490"/>
      <c r="F116" s="846"/>
      <c r="G116" s="846"/>
      <c r="H116" s="846"/>
      <c r="I116" s="846"/>
      <c r="J116" s="847"/>
      <c r="K116" s="489"/>
      <c r="L116" s="489"/>
      <c r="M116" s="480"/>
      <c r="N116" s="480"/>
      <c r="O116" s="61"/>
      <c r="P116" s="61"/>
      <c r="Q116" s="61"/>
      <c r="R116" s="61"/>
      <c r="S116" s="480"/>
      <c r="T116" s="480"/>
      <c r="U116" s="480"/>
      <c r="V116" s="480"/>
    </row>
    <row r="117" spans="1:22" s="478" customFormat="1" hidden="1">
      <c r="A117" s="477"/>
      <c r="B117" s="300"/>
      <c r="C117" s="300"/>
      <c r="D117" s="469"/>
      <c r="E117" s="618"/>
      <c r="F117" s="845"/>
      <c r="G117" s="846"/>
      <c r="H117" s="846"/>
      <c r="I117" s="846"/>
      <c r="J117" s="847"/>
      <c r="K117" s="489"/>
      <c r="L117" s="489"/>
      <c r="M117" s="480"/>
      <c r="N117" s="480"/>
      <c r="O117" s="61"/>
      <c r="P117" s="61"/>
      <c r="Q117" s="61"/>
      <c r="R117" s="61"/>
      <c r="S117" s="480"/>
      <c r="T117" s="480"/>
      <c r="U117" s="480"/>
      <c r="V117" s="480"/>
    </row>
    <row r="118" spans="1:22" hidden="1">
      <c r="B118" s="300"/>
      <c r="C118" s="300"/>
      <c r="D118" s="469"/>
      <c r="E118" s="519"/>
      <c r="F118" s="845"/>
      <c r="G118" s="846"/>
      <c r="H118" s="846"/>
      <c r="I118" s="846"/>
      <c r="J118" s="847"/>
      <c r="K118" s="489"/>
      <c r="L118" s="489"/>
      <c r="M118" s="480"/>
      <c r="N118" s="480"/>
    </row>
    <row r="119" spans="1:22" hidden="1">
      <c r="B119" s="300"/>
      <c r="C119" s="300"/>
      <c r="D119" s="469"/>
      <c r="E119" s="519"/>
      <c r="F119" s="845"/>
      <c r="G119" s="846"/>
      <c r="H119" s="846"/>
      <c r="I119" s="846"/>
      <c r="J119" s="847"/>
      <c r="K119" s="489"/>
      <c r="L119" s="489"/>
      <c r="M119" s="480"/>
      <c r="N119" s="480"/>
    </row>
    <row r="120" spans="1:22" hidden="1">
      <c r="B120" s="300"/>
      <c r="C120" s="300"/>
      <c r="D120" s="469"/>
      <c r="E120" s="519"/>
      <c r="F120" s="845"/>
      <c r="G120" s="846"/>
      <c r="H120" s="846"/>
      <c r="I120" s="846"/>
      <c r="J120" s="847"/>
      <c r="K120" s="489"/>
      <c r="L120" s="489"/>
      <c r="M120" s="480"/>
      <c r="N120" s="480"/>
    </row>
    <row r="121" spans="1:22" hidden="1">
      <c r="B121" s="300"/>
      <c r="C121" s="300"/>
      <c r="D121" s="469"/>
      <c r="E121" s="519"/>
      <c r="F121" s="845"/>
      <c r="G121" s="846"/>
      <c r="H121" s="846"/>
      <c r="I121" s="846"/>
      <c r="J121" s="847"/>
      <c r="K121" s="489"/>
      <c r="L121" s="489"/>
      <c r="M121" s="480"/>
      <c r="N121" s="480"/>
    </row>
    <row r="122" spans="1:22" hidden="1">
      <c r="B122" s="300"/>
      <c r="C122" s="300"/>
      <c r="D122" s="469"/>
      <c r="E122" s="519"/>
      <c r="F122" s="845"/>
      <c r="G122" s="846"/>
      <c r="H122" s="846"/>
      <c r="I122" s="846"/>
      <c r="J122" s="847"/>
      <c r="K122" s="489"/>
      <c r="L122" s="489"/>
      <c r="M122" s="480"/>
      <c r="N122" s="480"/>
    </row>
    <row r="123" spans="1:22" hidden="1">
      <c r="B123" s="300"/>
      <c r="C123" s="300"/>
      <c r="D123" s="469"/>
      <c r="E123" s="519"/>
      <c r="F123" s="845"/>
      <c r="G123" s="846"/>
      <c r="H123" s="846"/>
      <c r="I123" s="846"/>
      <c r="J123" s="847"/>
      <c r="K123" s="489"/>
      <c r="L123" s="489"/>
      <c r="M123" s="480"/>
      <c r="N123" s="480"/>
    </row>
    <row r="124" spans="1:22" hidden="1">
      <c r="B124" s="300"/>
      <c r="C124" s="300"/>
      <c r="D124" s="469"/>
      <c r="E124" s="519"/>
      <c r="F124" s="845"/>
      <c r="G124" s="846"/>
      <c r="H124" s="846"/>
      <c r="I124" s="846"/>
      <c r="J124" s="847"/>
      <c r="K124" s="489"/>
      <c r="L124" s="489"/>
      <c r="M124" s="480"/>
      <c r="N124" s="480"/>
    </row>
    <row r="125" spans="1:22">
      <c r="B125" s="300" t="s">
        <v>1476</v>
      </c>
      <c r="C125" s="300" t="s">
        <v>1413</v>
      </c>
      <c r="D125" s="469">
        <v>3</v>
      </c>
      <c r="E125" s="519"/>
      <c r="F125" s="845"/>
      <c r="G125" s="846"/>
      <c r="H125" s="846"/>
      <c r="I125" s="846"/>
      <c r="J125" s="847"/>
      <c r="K125" s="489"/>
      <c r="L125" s="489"/>
      <c r="M125" s="480"/>
      <c r="N125" s="480"/>
    </row>
    <row r="126" spans="1:22">
      <c r="B126" s="300" t="s">
        <v>1466</v>
      </c>
      <c r="C126" s="300" t="s">
        <v>1413</v>
      </c>
      <c r="D126" s="469">
        <v>3</v>
      </c>
      <c r="E126" s="519"/>
      <c r="F126" s="845"/>
      <c r="G126" s="846"/>
      <c r="H126" s="846"/>
      <c r="I126" s="846"/>
      <c r="J126" s="847"/>
      <c r="K126" s="489"/>
      <c r="L126" s="489"/>
      <c r="M126" s="480"/>
      <c r="N126" s="480"/>
    </row>
    <row r="127" spans="1:22">
      <c r="B127" s="300" t="s">
        <v>1467</v>
      </c>
      <c r="C127" s="300" t="s">
        <v>1413</v>
      </c>
      <c r="D127" s="469">
        <v>3</v>
      </c>
      <c r="E127" s="519"/>
      <c r="F127" s="845"/>
      <c r="G127" s="846"/>
      <c r="H127" s="846"/>
      <c r="I127" s="846"/>
      <c r="J127" s="847"/>
      <c r="K127" s="489"/>
      <c r="L127" s="489"/>
      <c r="M127" s="480"/>
      <c r="N127" s="480"/>
    </row>
    <row r="128" spans="1:22">
      <c r="B128" s="300" t="s">
        <v>1468</v>
      </c>
      <c r="C128" s="300" t="s">
        <v>1413</v>
      </c>
      <c r="D128" s="469">
        <v>3</v>
      </c>
      <c r="E128" s="519"/>
      <c r="F128" s="845"/>
      <c r="G128" s="846"/>
      <c r="H128" s="846"/>
      <c r="I128" s="846"/>
      <c r="J128" s="847"/>
      <c r="K128" s="489"/>
      <c r="L128" s="489"/>
      <c r="M128" s="480"/>
      <c r="N128" s="480"/>
    </row>
    <row r="129" spans="2:14">
      <c r="B129" s="300" t="s">
        <v>1469</v>
      </c>
      <c r="C129" s="300" t="s">
        <v>1413</v>
      </c>
      <c r="D129" s="469">
        <v>3</v>
      </c>
      <c r="E129" s="519"/>
      <c r="F129" s="845"/>
      <c r="G129" s="846"/>
      <c r="H129" s="846"/>
      <c r="I129" s="846"/>
      <c r="J129" s="847"/>
      <c r="K129" s="489"/>
      <c r="L129" s="489"/>
      <c r="M129" s="480"/>
      <c r="N129" s="480"/>
    </row>
    <row r="130" spans="2:14">
      <c r="B130" s="300" t="s">
        <v>1470</v>
      </c>
      <c r="C130" s="300" t="s">
        <v>1413</v>
      </c>
      <c r="D130" s="469">
        <v>3</v>
      </c>
      <c r="E130" s="519"/>
      <c r="F130" s="845"/>
      <c r="G130" s="846"/>
      <c r="H130" s="846"/>
      <c r="I130" s="846"/>
      <c r="J130" s="847"/>
      <c r="K130" s="489"/>
      <c r="L130" s="489"/>
      <c r="M130" s="480"/>
      <c r="N130" s="480"/>
    </row>
    <row r="131" spans="2:14">
      <c r="B131" s="300" t="s">
        <v>1471</v>
      </c>
      <c r="C131" s="300" t="s">
        <v>1413</v>
      </c>
      <c r="D131" s="469">
        <v>3</v>
      </c>
      <c r="E131" s="519"/>
      <c r="F131" s="845"/>
      <c r="G131" s="846"/>
      <c r="H131" s="846"/>
      <c r="I131" s="846"/>
      <c r="J131" s="847"/>
      <c r="K131" s="489"/>
      <c r="L131" s="489"/>
      <c r="M131" s="480"/>
      <c r="N131" s="480"/>
    </row>
    <row r="132" spans="2:14">
      <c r="B132" s="300" t="s">
        <v>1472</v>
      </c>
      <c r="C132" s="300" t="s">
        <v>1413</v>
      </c>
      <c r="D132" s="469">
        <v>3</v>
      </c>
      <c r="E132" s="519"/>
      <c r="F132" s="845"/>
      <c r="G132" s="846"/>
      <c r="H132" s="846"/>
      <c r="I132" s="846"/>
      <c r="J132" s="847"/>
      <c r="K132" s="489"/>
      <c r="L132" s="489"/>
      <c r="M132" s="480"/>
      <c r="N132" s="480"/>
    </row>
    <row r="133" spans="2:14">
      <c r="B133" s="300" t="s">
        <v>1473</v>
      </c>
      <c r="C133" s="300" t="s">
        <v>1413</v>
      </c>
      <c r="D133" s="469">
        <v>3</v>
      </c>
      <c r="E133" s="519"/>
      <c r="F133" s="845"/>
      <c r="G133" s="846"/>
      <c r="H133" s="846"/>
      <c r="I133" s="846"/>
      <c r="J133" s="847"/>
      <c r="K133" s="489"/>
      <c r="L133" s="489"/>
      <c r="M133" s="480"/>
      <c r="N133" s="480"/>
    </row>
    <row r="134" spans="2:14">
      <c r="B134" s="300" t="s">
        <v>1474</v>
      </c>
      <c r="C134" s="300" t="s">
        <v>1413</v>
      </c>
      <c r="D134" s="469">
        <v>3</v>
      </c>
      <c r="E134" s="519"/>
      <c r="F134" s="845"/>
      <c r="G134" s="846"/>
      <c r="H134" s="846"/>
      <c r="I134" s="846"/>
      <c r="J134" s="847"/>
      <c r="K134" s="489"/>
      <c r="L134" s="489"/>
      <c r="M134" s="480"/>
      <c r="N134" s="480"/>
    </row>
    <row r="135" spans="2:14">
      <c r="B135" s="300" t="s">
        <v>1475</v>
      </c>
      <c r="C135" s="300" t="s">
        <v>1413</v>
      </c>
      <c r="D135" s="469">
        <v>3</v>
      </c>
      <c r="E135" s="519"/>
      <c r="F135" s="845"/>
      <c r="G135" s="846"/>
      <c r="H135" s="846"/>
      <c r="I135" s="846"/>
      <c r="J135" s="847"/>
      <c r="K135" s="489"/>
      <c r="L135" s="489"/>
      <c r="M135" s="480"/>
      <c r="N135" s="480"/>
    </row>
    <row r="136" spans="2:14">
      <c r="B136" s="300" t="s">
        <v>1487</v>
      </c>
      <c r="C136" s="300" t="s">
        <v>1413</v>
      </c>
      <c r="D136" s="469">
        <v>3</v>
      </c>
      <c r="E136" s="519"/>
      <c r="F136" s="845"/>
      <c r="G136" s="846"/>
      <c r="H136" s="846"/>
      <c r="I136" s="846"/>
      <c r="J136" s="847"/>
      <c r="K136" s="489"/>
      <c r="L136" s="489"/>
      <c r="M136" s="480"/>
      <c r="N136" s="480"/>
    </row>
    <row r="137" spans="2:14">
      <c r="B137" s="300" t="s">
        <v>1477</v>
      </c>
      <c r="C137" s="300" t="s">
        <v>1413</v>
      </c>
      <c r="D137" s="469">
        <v>3</v>
      </c>
      <c r="E137" s="519"/>
      <c r="F137" s="845"/>
      <c r="G137" s="846"/>
      <c r="H137" s="846"/>
      <c r="I137" s="846"/>
      <c r="J137" s="847"/>
      <c r="K137" s="489"/>
      <c r="L137" s="489"/>
      <c r="M137" s="480"/>
      <c r="N137" s="480"/>
    </row>
    <row r="138" spans="2:14">
      <c r="B138" s="300" t="s">
        <v>1478</v>
      </c>
      <c r="C138" s="300" t="s">
        <v>1413</v>
      </c>
      <c r="D138" s="469">
        <v>3</v>
      </c>
      <c r="E138" s="519"/>
      <c r="F138" s="845"/>
      <c r="G138" s="846"/>
      <c r="H138" s="846"/>
      <c r="I138" s="846"/>
      <c r="J138" s="847"/>
      <c r="K138" s="489"/>
      <c r="L138" s="489"/>
      <c r="M138" s="480"/>
      <c r="N138" s="480"/>
    </row>
    <row r="139" spans="2:14">
      <c r="B139" s="672" t="s">
        <v>1479</v>
      </c>
      <c r="C139" s="673" t="s">
        <v>1413</v>
      </c>
      <c r="D139" s="469">
        <v>3</v>
      </c>
      <c r="E139" s="519"/>
      <c r="F139" s="845"/>
      <c r="G139" s="846"/>
      <c r="H139" s="846"/>
      <c r="I139" s="846"/>
      <c r="J139" s="847"/>
      <c r="K139" s="489"/>
      <c r="L139" s="489"/>
      <c r="M139" s="480"/>
      <c r="N139" s="480"/>
    </row>
    <row r="140" spans="2:14" hidden="1">
      <c r="B140" s="300"/>
      <c r="C140" s="300"/>
      <c r="D140" s="469"/>
      <c r="E140" s="519"/>
      <c r="F140" s="845"/>
      <c r="G140" s="846"/>
      <c r="H140" s="846"/>
      <c r="I140" s="846"/>
      <c r="J140" s="847"/>
      <c r="K140" s="489"/>
      <c r="L140" s="489"/>
      <c r="M140" s="480"/>
      <c r="N140" s="480"/>
    </row>
    <row r="141" spans="2:14" hidden="1">
      <c r="B141" s="300"/>
      <c r="C141" s="300"/>
      <c r="D141" s="469"/>
      <c r="E141" s="519"/>
      <c r="F141" s="845"/>
      <c r="G141" s="846"/>
      <c r="H141" s="846"/>
      <c r="I141" s="846"/>
      <c r="J141" s="847"/>
      <c r="K141" s="489"/>
      <c r="L141" s="489"/>
      <c r="M141" s="480"/>
      <c r="N141" s="480"/>
    </row>
    <row r="142" spans="2:14" hidden="1">
      <c r="B142" s="300"/>
      <c r="C142" s="300"/>
      <c r="D142" s="469"/>
      <c r="E142" s="519"/>
      <c r="F142" s="845"/>
      <c r="G142" s="846"/>
      <c r="H142" s="846"/>
      <c r="I142" s="846"/>
      <c r="J142" s="847"/>
      <c r="K142" s="489"/>
      <c r="L142" s="489"/>
      <c r="M142" s="480"/>
      <c r="N142" s="480"/>
    </row>
    <row r="143" spans="2:14" hidden="1">
      <c r="B143" s="300"/>
      <c r="C143" s="300"/>
      <c r="D143" s="469"/>
      <c r="E143" s="519"/>
      <c r="F143" s="845"/>
      <c r="G143" s="846"/>
      <c r="H143" s="846"/>
      <c r="I143" s="846"/>
      <c r="J143" s="847"/>
      <c r="K143" s="489"/>
      <c r="L143" s="489"/>
      <c r="M143" s="480"/>
      <c r="N143" s="480"/>
    </row>
    <row r="144" spans="2:14" hidden="1">
      <c r="B144" s="300"/>
      <c r="C144" s="300"/>
      <c r="D144" s="469"/>
      <c r="E144" s="519"/>
      <c r="F144" s="845"/>
      <c r="G144" s="846"/>
      <c r="H144" s="846"/>
      <c r="I144" s="846"/>
      <c r="J144" s="847"/>
      <c r="K144" s="489"/>
      <c r="L144" s="489"/>
      <c r="M144" s="480"/>
      <c r="N144" s="480"/>
    </row>
    <row r="145" spans="2:14" hidden="1">
      <c r="B145" s="300"/>
      <c r="C145" s="300"/>
      <c r="D145" s="469"/>
      <c r="E145" s="519"/>
      <c r="F145" s="845"/>
      <c r="G145" s="846"/>
      <c r="H145" s="846"/>
      <c r="I145" s="846"/>
      <c r="J145" s="847"/>
      <c r="K145" s="489"/>
      <c r="L145" s="489"/>
      <c r="M145" s="480"/>
      <c r="N145" s="480"/>
    </row>
    <row r="146" spans="2:14" hidden="1">
      <c r="B146" s="300"/>
      <c r="C146" s="300"/>
      <c r="D146" s="469"/>
      <c r="E146" s="519"/>
      <c r="F146" s="845"/>
      <c r="G146" s="846"/>
      <c r="H146" s="846"/>
      <c r="I146" s="846"/>
      <c r="J146" s="847"/>
      <c r="K146" s="489"/>
      <c r="L146" s="489"/>
      <c r="M146" s="480"/>
      <c r="N146" s="480"/>
    </row>
    <row r="147" spans="2:14" hidden="1">
      <c r="B147" s="300"/>
      <c r="C147" s="300"/>
      <c r="D147" s="469"/>
      <c r="E147" s="519"/>
      <c r="F147" s="845"/>
      <c r="G147" s="846"/>
      <c r="H147" s="846"/>
      <c r="I147" s="846"/>
      <c r="J147" s="847"/>
      <c r="K147" s="489"/>
      <c r="L147" s="489"/>
      <c r="M147" s="480"/>
      <c r="N147" s="480"/>
    </row>
    <row r="148" spans="2:14" hidden="1">
      <c r="B148" s="300"/>
      <c r="C148" s="300"/>
      <c r="D148" s="469"/>
      <c r="E148" s="519"/>
      <c r="F148" s="845"/>
      <c r="G148" s="846"/>
      <c r="H148" s="846"/>
      <c r="I148" s="846"/>
      <c r="J148" s="847"/>
      <c r="K148" s="489"/>
      <c r="L148" s="489"/>
      <c r="M148" s="480"/>
      <c r="N148" s="480"/>
    </row>
    <row r="149" spans="2:14" hidden="1">
      <c r="B149" s="300"/>
      <c r="C149" s="300"/>
      <c r="D149" s="469"/>
      <c r="E149" s="519"/>
      <c r="F149" s="845"/>
      <c r="G149" s="846"/>
      <c r="H149" s="846"/>
      <c r="I149" s="846"/>
      <c r="J149" s="847"/>
      <c r="K149" s="489"/>
      <c r="L149" s="489"/>
      <c r="M149" s="480"/>
      <c r="N149" s="480"/>
    </row>
    <row r="150" spans="2:14" hidden="1">
      <c r="B150" s="300"/>
      <c r="C150" s="300"/>
      <c r="D150" s="469"/>
      <c r="E150" s="519"/>
      <c r="F150" s="845"/>
      <c r="G150" s="846"/>
      <c r="H150" s="846"/>
      <c r="I150" s="846"/>
      <c r="J150" s="847"/>
      <c r="K150" s="489"/>
      <c r="L150" s="489"/>
      <c r="M150" s="480"/>
      <c r="N150" s="480"/>
    </row>
    <row r="151" spans="2:14" hidden="1">
      <c r="B151" s="300"/>
      <c r="C151" s="300"/>
      <c r="D151" s="469"/>
      <c r="E151" s="519"/>
      <c r="F151" s="845"/>
      <c r="G151" s="846"/>
      <c r="H151" s="846"/>
      <c r="I151" s="846"/>
      <c r="J151" s="847"/>
      <c r="K151" s="489"/>
      <c r="L151" s="489"/>
      <c r="M151" s="480"/>
      <c r="N151" s="480"/>
    </row>
    <row r="152" spans="2:14" hidden="1">
      <c r="B152" s="300"/>
      <c r="C152" s="300"/>
      <c r="D152" s="469"/>
      <c r="E152" s="519"/>
      <c r="F152" s="845"/>
      <c r="G152" s="846"/>
      <c r="H152" s="846"/>
      <c r="I152" s="846"/>
      <c r="J152" s="847"/>
      <c r="K152" s="489"/>
      <c r="L152" s="489"/>
      <c r="M152" s="480"/>
      <c r="N152" s="480"/>
    </row>
    <row r="153" spans="2:14" hidden="1">
      <c r="B153" s="300"/>
      <c r="C153" s="300"/>
      <c r="D153" s="469"/>
      <c r="E153" s="519"/>
      <c r="F153" s="845"/>
      <c r="G153" s="846"/>
      <c r="H153" s="846"/>
      <c r="I153" s="846"/>
      <c r="J153" s="847"/>
      <c r="K153" s="489"/>
      <c r="L153" s="489"/>
      <c r="M153" s="480"/>
      <c r="N153" s="480"/>
    </row>
    <row r="154" spans="2:14" hidden="1">
      <c r="B154" s="300"/>
      <c r="C154" s="300"/>
      <c r="D154" s="469"/>
      <c r="E154" s="519"/>
      <c r="F154" s="845"/>
      <c r="G154" s="846"/>
      <c r="H154" s="846"/>
      <c r="I154" s="846"/>
      <c r="J154" s="847"/>
      <c r="K154" s="489"/>
      <c r="L154" s="489"/>
      <c r="M154" s="480"/>
      <c r="N154" s="480"/>
    </row>
    <row r="155" spans="2:14" hidden="1">
      <c r="B155" s="300"/>
      <c r="C155" s="300"/>
      <c r="D155" s="469"/>
      <c r="E155" s="519"/>
      <c r="F155" s="845"/>
      <c r="G155" s="846"/>
      <c r="H155" s="846"/>
      <c r="I155" s="846"/>
      <c r="J155" s="847"/>
      <c r="K155" s="489"/>
      <c r="L155" s="489"/>
      <c r="M155" s="480"/>
      <c r="N155" s="480"/>
    </row>
    <row r="156" spans="2:14" hidden="1">
      <c r="B156" s="300"/>
      <c r="C156" s="300"/>
      <c r="D156" s="469"/>
      <c r="E156" s="519"/>
      <c r="F156" s="845"/>
      <c r="G156" s="846"/>
      <c r="H156" s="846"/>
      <c r="I156" s="846"/>
      <c r="J156" s="847"/>
      <c r="K156" s="489"/>
      <c r="L156" s="489"/>
      <c r="M156" s="480"/>
      <c r="N156" s="480"/>
    </row>
    <row r="157" spans="2:14">
      <c r="B157" s="213"/>
      <c r="C157" s="147"/>
      <c r="D157" s="487"/>
      <c r="E157" s="488"/>
      <c r="F157" s="489"/>
      <c r="G157" s="489"/>
      <c r="H157" s="489"/>
      <c r="I157" s="489"/>
      <c r="J157" s="489"/>
      <c r="K157" s="489"/>
      <c r="L157" s="489"/>
      <c r="M157" s="480"/>
      <c r="N157" s="480"/>
    </row>
    <row r="158" spans="2:14">
      <c r="B158" s="213"/>
      <c r="C158" s="147"/>
      <c r="D158" s="487"/>
      <c r="E158" s="488"/>
      <c r="F158" s="489"/>
      <c r="G158" s="489"/>
      <c r="H158" s="489"/>
      <c r="I158" s="489"/>
      <c r="J158" s="489"/>
      <c r="K158" s="489"/>
      <c r="L158" s="489"/>
      <c r="M158" s="480"/>
      <c r="N158" s="480"/>
    </row>
    <row r="159" spans="2:14" ht="16">
      <c r="B159" s="130" t="s">
        <v>68</v>
      </c>
    </row>
    <row r="160" spans="2:14">
      <c r="B160" s="152" t="s">
        <v>73</v>
      </c>
    </row>
    <row r="161" spans="2:13">
      <c r="B161" s="152" t="s">
        <v>123</v>
      </c>
    </row>
    <row r="164" spans="2:13">
      <c r="B164" s="482"/>
      <c r="C164" s="482"/>
      <c r="D164" s="482"/>
      <c r="E164" s="483"/>
      <c r="F164" s="483"/>
      <c r="G164" s="483"/>
      <c r="H164" s="483"/>
      <c r="I164" s="483"/>
      <c r="J164" s="483"/>
      <c r="K164" s="483"/>
      <c r="L164" s="483"/>
      <c r="M164" s="483"/>
    </row>
    <row r="165" spans="2:13">
      <c r="B165" s="483" t="s">
        <v>23</v>
      </c>
      <c r="C165" s="483"/>
      <c r="D165" s="484"/>
      <c r="E165" s="485"/>
      <c r="F165" s="485"/>
      <c r="G165" s="485"/>
      <c r="H165" s="485"/>
      <c r="I165" s="485"/>
      <c r="J165" s="485"/>
      <c r="K165" s="666"/>
      <c r="L165" s="666"/>
      <c r="M165" s="485"/>
    </row>
    <row r="166" spans="2:13">
      <c r="B166" s="486" t="s">
        <v>353</v>
      </c>
      <c r="C166" s="842" t="s">
        <v>354</v>
      </c>
      <c r="D166" s="842"/>
      <c r="E166" s="842"/>
      <c r="F166" s="842"/>
      <c r="G166" s="842"/>
      <c r="H166" s="842"/>
      <c r="I166" s="842"/>
    </row>
    <row r="167" spans="2:13">
      <c r="B167" s="486"/>
      <c r="C167" s="842"/>
      <c r="D167" s="842"/>
      <c r="E167" s="842"/>
      <c r="F167" s="842"/>
      <c r="G167" s="842"/>
      <c r="H167" s="842"/>
      <c r="I167" s="842"/>
    </row>
    <row r="168" spans="2:13">
      <c r="B168" s="486"/>
      <c r="C168" s="131" t="s">
        <v>355</v>
      </c>
      <c r="D168" s="131"/>
      <c r="E168" s="131"/>
      <c r="F168" s="131"/>
      <c r="G168" s="131"/>
      <c r="H168" s="131"/>
      <c r="I168" s="131"/>
    </row>
    <row r="169" spans="2:13">
      <c r="B169" s="486"/>
      <c r="C169" s="131"/>
      <c r="D169" s="131"/>
      <c r="E169" s="131"/>
      <c r="F169" s="131"/>
      <c r="G169" s="131"/>
      <c r="H169" s="131"/>
      <c r="I169" s="131"/>
    </row>
    <row r="170" spans="2:13">
      <c r="B170" s="486" t="s">
        <v>356</v>
      </c>
      <c r="C170" s="131" t="s">
        <v>357</v>
      </c>
      <c r="D170" s="131"/>
      <c r="E170" s="131"/>
      <c r="F170" s="131"/>
      <c r="G170" s="131"/>
      <c r="H170" s="131"/>
      <c r="I170" s="131"/>
    </row>
    <row r="171" spans="2:13">
      <c r="B171" s="486"/>
      <c r="C171" s="131" t="s">
        <v>358</v>
      </c>
      <c r="D171" s="131"/>
      <c r="E171" s="131"/>
      <c r="F171" s="131"/>
      <c r="G171" s="131"/>
      <c r="H171" s="131"/>
      <c r="I171" s="131"/>
    </row>
    <row r="172" spans="2:13">
      <c r="B172" s="486"/>
      <c r="C172" s="131" t="s">
        <v>359</v>
      </c>
      <c r="D172" s="131"/>
      <c r="E172" s="131"/>
      <c r="F172" s="131"/>
      <c r="G172" s="131"/>
      <c r="H172" s="131"/>
      <c r="I172" s="131"/>
    </row>
  </sheetData>
  <autoFilter ref="B15:D77"/>
  <mergeCells count="48">
    <mergeCell ref="M14:P14"/>
    <mergeCell ref="F127:J127"/>
    <mergeCell ref="F128:J128"/>
    <mergeCell ref="F129:J129"/>
    <mergeCell ref="F117:J117"/>
    <mergeCell ref="F116:J116"/>
    <mergeCell ref="F118:J118"/>
    <mergeCell ref="F119:J119"/>
    <mergeCell ref="F120:J120"/>
    <mergeCell ref="F121:J121"/>
    <mergeCell ref="C166:I167"/>
    <mergeCell ref="F122:J122"/>
    <mergeCell ref="F123:J123"/>
    <mergeCell ref="F124:J124"/>
    <mergeCell ref="F125:J125"/>
    <mergeCell ref="F126:J126"/>
    <mergeCell ref="F130:J130"/>
    <mergeCell ref="F131:J131"/>
    <mergeCell ref="F132:J132"/>
    <mergeCell ref="F133:J133"/>
    <mergeCell ref="F134:J134"/>
    <mergeCell ref="F135:J135"/>
    <mergeCell ref="F136:J136"/>
    <mergeCell ref="F137:J137"/>
    <mergeCell ref="F138:J138"/>
    <mergeCell ref="F139:J139"/>
    <mergeCell ref="B13:J13"/>
    <mergeCell ref="F14:J14"/>
    <mergeCell ref="F113:J113"/>
    <mergeCell ref="F114:J114"/>
    <mergeCell ref="F115:J115"/>
    <mergeCell ref="F140:J140"/>
    <mergeCell ref="F141:J141"/>
    <mergeCell ref="F142:J142"/>
    <mergeCell ref="F143:J143"/>
    <mergeCell ref="F144:J144"/>
    <mergeCell ref="F145:J145"/>
    <mergeCell ref="F146:J146"/>
    <mergeCell ref="F147:J147"/>
    <mergeCell ref="F148:J148"/>
    <mergeCell ref="F149:J149"/>
    <mergeCell ref="F150:J150"/>
    <mergeCell ref="F156:J156"/>
    <mergeCell ref="F151:J151"/>
    <mergeCell ref="F152:J152"/>
    <mergeCell ref="F153:J153"/>
    <mergeCell ref="F154:J154"/>
    <mergeCell ref="F155:J155"/>
  </mergeCells>
  <phoneticPr fontId="12" type="noConversion"/>
  <printOptions horizontalCentered="1"/>
  <pageMargins left="0.39629921259842515" right="0.39314960629921264" top="0.78944881889763785" bottom="0.79000000000000015" header="0.1931496062992126" footer="0.2"/>
  <pageSetup paperSize="9" scale="35" orientation="landscape"/>
  <headerFooter>
    <oddHeader>&amp;L&amp;C&amp;R</oddHeader>
    <oddFooter>&amp;L&amp;"Verdana,Regular"&amp;F-&amp;A_x000D_ICCA b.v. ©&amp;R&amp;"Verdana,Regular"printversie &amp;D</oddFooter>
  </headerFooter>
  <rowBreaks count="1" manualBreakCount="1">
    <brk id="94" max="30"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50"/>
  <sheetViews>
    <sheetView showGridLines="0" workbookViewId="0">
      <selection activeCell="F25" sqref="F25"/>
    </sheetView>
  </sheetViews>
  <sheetFormatPr baseColWidth="10" defaultRowHeight="13" x14ac:dyDescent="0"/>
  <cols>
    <col min="1" max="1" width="42.7109375" style="636" customWidth="1"/>
    <col min="2" max="16384" width="10.7109375" style="1"/>
  </cols>
  <sheetData>
    <row r="3" spans="1:3">
      <c r="A3" s="635" t="s">
        <v>402</v>
      </c>
    </row>
    <row r="5" spans="1:3">
      <c r="B5" s="808" t="s">
        <v>404</v>
      </c>
      <c r="C5" s="809"/>
    </row>
    <row r="6" spans="1:3">
      <c r="B6" s="810"/>
      <c r="C6" s="811"/>
    </row>
    <row r="7" spans="1:3">
      <c r="B7" s="810"/>
      <c r="C7" s="811"/>
    </row>
    <row r="8" spans="1:3">
      <c r="B8" s="810"/>
      <c r="C8" s="811"/>
    </row>
    <row r="9" spans="1:3">
      <c r="B9" s="810"/>
      <c r="C9" s="811"/>
    </row>
    <row r="10" spans="1:3">
      <c r="B10" s="810"/>
      <c r="C10" s="811"/>
    </row>
    <row r="11" spans="1:3">
      <c r="B11" s="810"/>
      <c r="C11" s="811"/>
    </row>
    <row r="12" spans="1:3">
      <c r="B12" s="810"/>
      <c r="C12" s="811"/>
    </row>
    <row r="13" spans="1:3">
      <c r="B13" s="810"/>
      <c r="C13" s="811"/>
    </row>
    <row r="14" spans="1:3">
      <c r="B14" s="810"/>
      <c r="C14" s="811"/>
    </row>
    <row r="15" spans="1:3">
      <c r="B15" s="812"/>
      <c r="C15" s="813"/>
    </row>
    <row r="18" spans="1:3">
      <c r="A18" s="635" t="s">
        <v>403</v>
      </c>
    </row>
    <row r="20" spans="1:3">
      <c r="B20" s="808" t="s">
        <v>405</v>
      </c>
      <c r="C20" s="809"/>
    </row>
    <row r="21" spans="1:3">
      <c r="B21" s="810"/>
      <c r="C21" s="811"/>
    </row>
    <row r="22" spans="1:3">
      <c r="B22" s="810"/>
      <c r="C22" s="811"/>
    </row>
    <row r="23" spans="1:3">
      <c r="B23" s="810"/>
      <c r="C23" s="811"/>
    </row>
    <row r="24" spans="1:3">
      <c r="B24" s="810"/>
      <c r="C24" s="811"/>
    </row>
    <row r="25" spans="1:3">
      <c r="B25" s="810"/>
      <c r="C25" s="811"/>
    </row>
    <row r="26" spans="1:3">
      <c r="B26" s="810"/>
      <c r="C26" s="811"/>
    </row>
    <row r="27" spans="1:3">
      <c r="B27" s="810"/>
      <c r="C27" s="811"/>
    </row>
    <row r="28" spans="1:3">
      <c r="B28" s="810"/>
      <c r="C28" s="811"/>
    </row>
    <row r="29" spans="1:3">
      <c r="B29" s="810"/>
      <c r="C29" s="811"/>
    </row>
    <row r="30" spans="1:3">
      <c r="B30" s="812"/>
      <c r="C30" s="813"/>
    </row>
    <row r="33" spans="1:3">
      <c r="A33" s="635" t="s">
        <v>406</v>
      </c>
    </row>
    <row r="35" spans="1:3">
      <c r="B35" s="808" t="s">
        <v>407</v>
      </c>
      <c r="C35" s="809"/>
    </row>
    <row r="36" spans="1:3">
      <c r="B36" s="810"/>
      <c r="C36" s="811"/>
    </row>
    <row r="37" spans="1:3">
      <c r="B37" s="810"/>
      <c r="C37" s="811"/>
    </row>
    <row r="38" spans="1:3">
      <c r="B38" s="810"/>
      <c r="C38" s="811"/>
    </row>
    <row r="39" spans="1:3">
      <c r="B39" s="810"/>
      <c r="C39" s="811"/>
    </row>
    <row r="40" spans="1:3">
      <c r="B40" s="810"/>
      <c r="C40" s="811"/>
    </row>
    <row r="41" spans="1:3">
      <c r="B41" s="810"/>
      <c r="C41" s="811"/>
    </row>
    <row r="42" spans="1:3">
      <c r="B42" s="810"/>
      <c r="C42" s="811"/>
    </row>
    <row r="43" spans="1:3">
      <c r="B43" s="810"/>
      <c r="C43" s="811"/>
    </row>
    <row r="44" spans="1:3">
      <c r="B44" s="810"/>
      <c r="C44" s="811"/>
    </row>
    <row r="45" spans="1:3">
      <c r="B45" s="812"/>
      <c r="C45" s="813"/>
    </row>
    <row r="47" spans="1:3">
      <c r="A47" s="635" t="s">
        <v>408</v>
      </c>
    </row>
    <row r="49" spans="1:3">
      <c r="B49" s="808" t="s">
        <v>410</v>
      </c>
      <c r="C49" s="809"/>
    </row>
    <row r="50" spans="1:3">
      <c r="B50" s="810"/>
      <c r="C50" s="811"/>
    </row>
    <row r="51" spans="1:3">
      <c r="B51" s="810"/>
      <c r="C51" s="811"/>
    </row>
    <row r="52" spans="1:3">
      <c r="B52" s="810"/>
      <c r="C52" s="811"/>
    </row>
    <row r="53" spans="1:3">
      <c r="B53" s="810"/>
      <c r="C53" s="811"/>
    </row>
    <row r="54" spans="1:3">
      <c r="B54" s="810"/>
      <c r="C54" s="811"/>
    </row>
    <row r="55" spans="1:3">
      <c r="B55" s="810"/>
      <c r="C55" s="811"/>
    </row>
    <row r="56" spans="1:3">
      <c r="B56" s="810"/>
      <c r="C56" s="811"/>
    </row>
    <row r="57" spans="1:3">
      <c r="B57" s="810"/>
      <c r="C57" s="811"/>
    </row>
    <row r="58" spans="1:3">
      <c r="B58" s="810"/>
      <c r="C58" s="811"/>
    </row>
    <row r="59" spans="1:3">
      <c r="B59" s="812"/>
      <c r="C59" s="813"/>
    </row>
    <row r="61" spans="1:3">
      <c r="A61" s="635" t="s">
        <v>415</v>
      </c>
    </row>
    <row r="64" spans="1:3">
      <c r="B64" s="808" t="s">
        <v>409</v>
      </c>
      <c r="C64" s="809"/>
    </row>
    <row r="65" spans="1:3">
      <c r="B65" s="810"/>
      <c r="C65" s="811"/>
    </row>
    <row r="66" spans="1:3">
      <c r="B66" s="810"/>
      <c r="C66" s="811"/>
    </row>
    <row r="67" spans="1:3">
      <c r="B67" s="810"/>
      <c r="C67" s="811"/>
    </row>
    <row r="68" spans="1:3">
      <c r="B68" s="810"/>
      <c r="C68" s="811"/>
    </row>
    <row r="69" spans="1:3">
      <c r="B69" s="810"/>
      <c r="C69" s="811"/>
    </row>
    <row r="70" spans="1:3">
      <c r="B70" s="810"/>
      <c r="C70" s="811"/>
    </row>
    <row r="71" spans="1:3">
      <c r="B71" s="810"/>
      <c r="C71" s="811"/>
    </row>
    <row r="72" spans="1:3">
      <c r="B72" s="810"/>
      <c r="C72" s="811"/>
    </row>
    <row r="73" spans="1:3">
      <c r="B73" s="810"/>
      <c r="C73" s="811"/>
    </row>
    <row r="74" spans="1:3">
      <c r="B74" s="812"/>
      <c r="C74" s="813"/>
    </row>
    <row r="76" spans="1:3">
      <c r="A76" s="635" t="s">
        <v>411</v>
      </c>
    </row>
    <row r="78" spans="1:3">
      <c r="B78" s="808" t="s">
        <v>413</v>
      </c>
      <c r="C78" s="809"/>
    </row>
    <row r="79" spans="1:3">
      <c r="B79" s="810"/>
      <c r="C79" s="811"/>
    </row>
    <row r="80" spans="1:3">
      <c r="B80" s="810"/>
      <c r="C80" s="811"/>
    </row>
    <row r="81" spans="1:3">
      <c r="B81" s="810"/>
      <c r="C81" s="811"/>
    </row>
    <row r="82" spans="1:3">
      <c r="B82" s="810"/>
      <c r="C82" s="811"/>
    </row>
    <row r="83" spans="1:3">
      <c r="B83" s="810"/>
      <c r="C83" s="811"/>
    </row>
    <row r="84" spans="1:3">
      <c r="B84" s="810"/>
      <c r="C84" s="811"/>
    </row>
    <row r="85" spans="1:3">
      <c r="B85" s="810"/>
      <c r="C85" s="811"/>
    </row>
    <row r="86" spans="1:3">
      <c r="B86" s="810"/>
      <c r="C86" s="811"/>
    </row>
    <row r="87" spans="1:3">
      <c r="B87" s="810"/>
      <c r="C87" s="811"/>
    </row>
    <row r="88" spans="1:3">
      <c r="B88" s="812"/>
      <c r="C88" s="813"/>
    </row>
    <row r="96" spans="1:3">
      <c r="A96" s="635" t="s">
        <v>412</v>
      </c>
    </row>
    <row r="98" spans="1:3">
      <c r="B98" s="808" t="s">
        <v>414</v>
      </c>
      <c r="C98" s="809"/>
    </row>
    <row r="99" spans="1:3">
      <c r="B99" s="810"/>
      <c r="C99" s="811"/>
    </row>
    <row r="100" spans="1:3">
      <c r="B100" s="810"/>
      <c r="C100" s="811"/>
    </row>
    <row r="101" spans="1:3">
      <c r="B101" s="810"/>
      <c r="C101" s="811"/>
    </row>
    <row r="102" spans="1:3">
      <c r="B102" s="810"/>
      <c r="C102" s="811"/>
    </row>
    <row r="103" spans="1:3">
      <c r="B103" s="810"/>
      <c r="C103" s="811"/>
    </row>
    <row r="104" spans="1:3">
      <c r="B104" s="810"/>
      <c r="C104" s="811"/>
    </row>
    <row r="105" spans="1:3">
      <c r="B105" s="810"/>
      <c r="C105" s="811"/>
    </row>
    <row r="106" spans="1:3">
      <c r="B106" s="810"/>
      <c r="C106" s="811"/>
    </row>
    <row r="107" spans="1:3">
      <c r="B107" s="810"/>
      <c r="C107" s="811"/>
    </row>
    <row r="108" spans="1:3">
      <c r="B108" s="812"/>
      <c r="C108" s="813"/>
    </row>
    <row r="111" spans="1:3">
      <c r="A111" s="635" t="s">
        <v>416</v>
      </c>
    </row>
    <row r="113" spans="1:3">
      <c r="B113" s="808" t="s">
        <v>417</v>
      </c>
      <c r="C113" s="809"/>
    </row>
    <row r="114" spans="1:3">
      <c r="B114" s="810"/>
      <c r="C114" s="811"/>
    </row>
    <row r="115" spans="1:3">
      <c r="B115" s="810"/>
      <c r="C115" s="811"/>
    </row>
    <row r="116" spans="1:3">
      <c r="B116" s="810"/>
      <c r="C116" s="811"/>
    </row>
    <row r="117" spans="1:3">
      <c r="B117" s="810"/>
      <c r="C117" s="811"/>
    </row>
    <row r="118" spans="1:3">
      <c r="B118" s="810"/>
      <c r="C118" s="811"/>
    </row>
    <row r="119" spans="1:3">
      <c r="B119" s="810"/>
      <c r="C119" s="811"/>
    </row>
    <row r="120" spans="1:3">
      <c r="B120" s="810"/>
      <c r="C120" s="811"/>
    </row>
    <row r="121" spans="1:3">
      <c r="B121" s="810"/>
      <c r="C121" s="811"/>
    </row>
    <row r="122" spans="1:3">
      <c r="B122" s="810"/>
      <c r="C122" s="811"/>
    </row>
    <row r="123" spans="1:3">
      <c r="B123" s="812"/>
      <c r="C123" s="813"/>
    </row>
    <row r="125" spans="1:3">
      <c r="A125" s="635" t="s">
        <v>418</v>
      </c>
    </row>
    <row r="127" spans="1:3">
      <c r="B127" s="808" t="s">
        <v>419</v>
      </c>
      <c r="C127" s="809"/>
    </row>
    <row r="128" spans="1:3">
      <c r="B128" s="810"/>
      <c r="C128" s="811"/>
    </row>
    <row r="129" spans="1:3">
      <c r="B129" s="810"/>
      <c r="C129" s="811"/>
    </row>
    <row r="130" spans="1:3">
      <c r="B130" s="810"/>
      <c r="C130" s="811"/>
    </row>
    <row r="131" spans="1:3">
      <c r="B131" s="810"/>
      <c r="C131" s="811"/>
    </row>
    <row r="132" spans="1:3">
      <c r="B132" s="810"/>
      <c r="C132" s="811"/>
    </row>
    <row r="133" spans="1:3">
      <c r="B133" s="810"/>
      <c r="C133" s="811"/>
    </row>
    <row r="134" spans="1:3">
      <c r="B134" s="810"/>
      <c r="C134" s="811"/>
    </row>
    <row r="135" spans="1:3">
      <c r="B135" s="810"/>
      <c r="C135" s="811"/>
    </row>
    <row r="136" spans="1:3">
      <c r="B136" s="810"/>
      <c r="C136" s="811"/>
    </row>
    <row r="137" spans="1:3">
      <c r="B137" s="812"/>
      <c r="C137" s="813"/>
    </row>
    <row r="144" spans="1:3">
      <c r="A144" s="635" t="s">
        <v>68</v>
      </c>
    </row>
    <row r="145" spans="1:1">
      <c r="A145" s="636" t="s">
        <v>420</v>
      </c>
    </row>
    <row r="147" spans="1:1">
      <c r="A147" s="636" t="s">
        <v>421</v>
      </c>
    </row>
    <row r="148" spans="1:1">
      <c r="A148" s="636" t="s">
        <v>422</v>
      </c>
    </row>
    <row r="150" spans="1:1">
      <c r="A150" s="636" t="s">
        <v>423</v>
      </c>
    </row>
  </sheetData>
  <mergeCells count="9">
    <mergeCell ref="B98:C108"/>
    <mergeCell ref="B113:C123"/>
    <mergeCell ref="B127:C137"/>
    <mergeCell ref="B5:C15"/>
    <mergeCell ref="B20:C30"/>
    <mergeCell ref="B35:C45"/>
    <mergeCell ref="B49:C59"/>
    <mergeCell ref="B64:C74"/>
    <mergeCell ref="B78:C88"/>
  </mergeCells>
  <phoneticPr fontId="12" type="noConversion"/>
  <pageMargins left="0.75" right="0.75" top="1" bottom="1" header="0.5" footer="0.5"/>
  <pageSetup paperSize="9" scale="94" orientation="portrait" horizontalDpi="4294967292" verticalDpi="4294967292"/>
  <rowBreaks count="2" manualBreakCount="2">
    <brk id="46" max="2" man="1"/>
    <brk id="94" max="2"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enableFormatConditionsCalculation="0">
    <pageSetUpPr fitToPage="1"/>
  </sheetPr>
  <dimension ref="A1:I56"/>
  <sheetViews>
    <sheetView showGridLines="0" showRowColHeaders="0" tabSelected="1" workbookViewId="0">
      <selection activeCell="E46" sqref="E46"/>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10"/>
    </row>
    <row r="3" spans="4:6" ht="20">
      <c r="E3" s="410" t="s">
        <v>283</v>
      </c>
    </row>
    <row r="4" spans="4:6" ht="20">
      <c r="E4" s="410"/>
    </row>
    <row r="5" spans="4:6" ht="20">
      <c r="E5" s="410" t="s">
        <v>284</v>
      </c>
    </row>
    <row r="6" spans="4:6" ht="20">
      <c r="E6" s="410" t="s">
        <v>365</v>
      </c>
    </row>
    <row r="7" spans="4:6" ht="20">
      <c r="E7" s="410" t="s">
        <v>66</v>
      </c>
    </row>
    <row r="8" spans="4:6" ht="13"/>
    <row r="9" spans="4:6" ht="20">
      <c r="E9" s="410" t="s">
        <v>425</v>
      </c>
    </row>
    <row r="10" spans="4:6" ht="13"/>
    <row r="11" spans="4:6" ht="13"/>
    <row r="12" spans="4:6" ht="18">
      <c r="D12" s="505"/>
      <c r="E12" s="506" t="str">
        <f>'1.0-Contractblad'!E6</f>
        <v>[NAAM LEVERANCIER]</v>
      </c>
      <c r="F12" s="505"/>
    </row>
    <row r="13" spans="4:6" ht="13"/>
    <row r="14" spans="4:6" ht="13"/>
    <row r="15" spans="4:6" ht="13">
      <c r="D15" s="645" t="s">
        <v>8</v>
      </c>
      <c r="E15" s="646">
        <v>42917</v>
      </c>
    </row>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c r="E45" s="784" t="s">
        <v>401</v>
      </c>
    </row>
    <row r="46" spans="5:5" ht="13">
      <c r="E46" s="547" t="s">
        <v>1519</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enableFormatConditionsCalculation="0">
    <pageSetUpPr fitToPage="1"/>
  </sheetPr>
  <dimension ref="C1:Z96"/>
  <sheetViews>
    <sheetView showGridLines="0" showRowColHeaders="0" showZeros="0" topLeftCell="C16" workbookViewId="0">
      <selection activeCell="E59" sqref="E59:L65"/>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11" t="str">
        <f>'1.0-Contractblad'!D2</f>
        <v>Naam opdrachtgever</v>
      </c>
      <c r="E2" s="157"/>
      <c r="F2" s="411" t="str">
        <f>'1.0-Contractblad'!E2</f>
        <v>Stichting Altra - Horizon</v>
      </c>
      <c r="G2" s="157"/>
    </row>
    <row r="3" spans="4:13" ht="16">
      <c r="D3" s="411" t="str">
        <f>'1.0-Contractblad'!D4</f>
        <v>Adres/plaats</v>
      </c>
      <c r="E3" s="157"/>
      <c r="F3" s="411" t="str">
        <f>'1.0-Contractblad'!E4</f>
        <v>Regio Noord Holland</v>
      </c>
      <c r="G3" s="157"/>
    </row>
    <row r="4" spans="4:13" ht="16">
      <c r="D4" s="411" t="str">
        <f>'1.0-Contractblad'!D5</f>
        <v>Besteknummer</v>
      </c>
      <c r="E4" s="157"/>
      <c r="F4" s="411" t="str">
        <f>'1.0-Contractblad'!E5</f>
        <v>180417 V2</v>
      </c>
      <c r="G4" s="157"/>
    </row>
    <row r="5" spans="4:13" ht="13"/>
    <row r="6" spans="4:13" ht="13">
      <c r="D6" s="412"/>
      <c r="E6" s="412"/>
    </row>
    <row r="7" spans="4:13" ht="18">
      <c r="D7" s="197" t="s">
        <v>33</v>
      </c>
      <c r="E7" s="176"/>
      <c r="F7" s="15"/>
      <c r="G7" s="15"/>
      <c r="H7" s="15"/>
      <c r="I7" s="5"/>
      <c r="J7" s="5"/>
      <c r="K7" s="5"/>
    </row>
    <row r="8" spans="4:13" ht="18">
      <c r="D8" s="197" t="s">
        <v>224</v>
      </c>
      <c r="E8" s="15"/>
      <c r="F8" s="15"/>
      <c r="G8" s="15"/>
      <c r="H8" s="15"/>
      <c r="I8" s="13"/>
      <c r="J8" s="12"/>
      <c r="K8" s="5"/>
    </row>
    <row r="9" spans="4:13" ht="13"/>
    <row r="10" spans="4:13" ht="13"/>
    <row r="11" spans="4:13" ht="13"/>
    <row r="12" spans="4:13" ht="16">
      <c r="D12" s="156" t="s">
        <v>285</v>
      </c>
      <c r="E12" s="413"/>
      <c r="F12" s="413"/>
      <c r="G12" s="413"/>
      <c r="H12" s="413"/>
      <c r="I12" s="413"/>
      <c r="J12" s="413"/>
      <c r="K12" s="413"/>
    </row>
    <row r="13" spans="4:13" ht="13">
      <c r="D13" s="413"/>
      <c r="E13" s="413"/>
      <c r="F13" s="413"/>
      <c r="G13" s="413"/>
      <c r="H13" s="413"/>
      <c r="I13" s="413"/>
      <c r="J13" s="413"/>
      <c r="K13" s="413"/>
    </row>
    <row r="14" spans="4:13" ht="15.75" customHeight="1">
      <c r="D14" s="414">
        <v>1</v>
      </c>
      <c r="E14" s="156" t="s">
        <v>286</v>
      </c>
      <c r="F14" s="3"/>
      <c r="G14" s="413"/>
      <c r="H14" s="413"/>
      <c r="I14" s="413"/>
      <c r="J14" s="413"/>
      <c r="K14" s="413"/>
    </row>
    <row r="15" spans="4:13" ht="13">
      <c r="D15" s="413"/>
      <c r="E15" s="155" t="s">
        <v>137</v>
      </c>
      <c r="F15" s="272"/>
      <c r="G15" s="413"/>
      <c r="H15" s="413"/>
      <c r="I15" s="413"/>
      <c r="J15" s="413"/>
      <c r="K15" s="413"/>
      <c r="M15" s="369" t="s">
        <v>32</v>
      </c>
    </row>
    <row r="16" spans="4:13" ht="13">
      <c r="D16" s="413"/>
      <c r="E16" s="413"/>
      <c r="F16" s="413"/>
      <c r="G16" s="413"/>
      <c r="H16" s="413"/>
      <c r="I16" s="413"/>
      <c r="J16" s="413"/>
      <c r="K16" s="413"/>
    </row>
    <row r="17" spans="4:13" ht="13">
      <c r="D17" s="413"/>
      <c r="E17" s="413"/>
      <c r="F17" s="413"/>
      <c r="G17" s="413"/>
      <c r="H17" s="413"/>
      <c r="I17" s="413"/>
      <c r="J17" s="413"/>
      <c r="K17" s="413"/>
    </row>
    <row r="18" spans="4:13" ht="15.75" customHeight="1">
      <c r="D18" s="414">
        <v>2</v>
      </c>
      <c r="E18" s="156" t="s">
        <v>287</v>
      </c>
      <c r="F18" s="4"/>
      <c r="G18" s="4"/>
      <c r="H18" s="4"/>
      <c r="I18" s="13"/>
      <c r="J18" s="12"/>
      <c r="K18" s="5"/>
    </row>
    <row r="19" spans="4:13" ht="15.75" customHeight="1">
      <c r="D19" s="19"/>
      <c r="E19" s="814" t="s">
        <v>288</v>
      </c>
      <c r="F19" s="814"/>
      <c r="G19" s="814"/>
      <c r="H19" s="814"/>
      <c r="I19" s="814"/>
      <c r="J19" s="814"/>
      <c r="K19" s="814"/>
      <c r="L19" s="814"/>
      <c r="M19" s="369" t="s">
        <v>32</v>
      </c>
    </row>
    <row r="20" spans="4:13" ht="16">
      <c r="D20" s="19"/>
      <c r="E20" s="814"/>
      <c r="F20" s="814"/>
      <c r="G20" s="814"/>
      <c r="H20" s="814"/>
      <c r="I20" s="814"/>
      <c r="J20" s="814"/>
      <c r="K20" s="814"/>
      <c r="L20" s="814"/>
      <c r="M20" s="415" t="s">
        <v>289</v>
      </c>
    </row>
    <row r="21" spans="4:13" ht="15.75" customHeight="1">
      <c r="D21" s="19"/>
      <c r="E21" s="814"/>
      <c r="F21" s="814"/>
      <c r="G21" s="814"/>
      <c r="H21" s="814"/>
      <c r="I21" s="814"/>
      <c r="J21" s="814"/>
      <c r="K21" s="814"/>
      <c r="L21" s="814"/>
    </row>
    <row r="22" spans="4:13" ht="16">
      <c r="D22" s="19"/>
      <c r="E22" s="416"/>
      <c r="F22" s="416"/>
      <c r="G22" s="416"/>
      <c r="H22" s="416"/>
      <c r="I22" s="416"/>
      <c r="J22" s="416"/>
      <c r="K22" s="416"/>
    </row>
    <row r="23" spans="4:13" ht="16">
      <c r="D23" s="414">
        <v>3</v>
      </c>
      <c r="E23" s="156" t="s">
        <v>290</v>
      </c>
      <c r="F23" s="4"/>
      <c r="G23" s="4"/>
      <c r="H23" s="4"/>
      <c r="I23" s="13"/>
      <c r="J23" s="12"/>
      <c r="K23" s="5"/>
    </row>
    <row r="24" spans="4:13" ht="26" customHeight="1">
      <c r="D24" s="19"/>
      <c r="E24" s="814" t="s">
        <v>291</v>
      </c>
      <c r="F24" s="814"/>
      <c r="G24" s="814"/>
      <c r="H24" s="814"/>
      <c r="I24" s="814"/>
      <c r="J24" s="814"/>
      <c r="K24" s="814"/>
      <c r="L24" s="814"/>
      <c r="M24" s="369" t="s">
        <v>32</v>
      </c>
    </row>
    <row r="25" spans="4:13" ht="16">
      <c r="D25" s="19"/>
      <c r="E25" s="814"/>
      <c r="F25" s="814"/>
      <c r="G25" s="814"/>
      <c r="H25" s="814"/>
      <c r="I25" s="814"/>
      <c r="J25" s="814"/>
      <c r="K25" s="814"/>
      <c r="L25" s="814"/>
      <c r="M25" s="417" t="s">
        <v>32</v>
      </c>
    </row>
    <row r="26" spans="4:13" ht="15.75" customHeight="1">
      <c r="D26" s="19"/>
      <c r="E26" s="814"/>
      <c r="F26" s="814"/>
      <c r="G26" s="814"/>
      <c r="H26" s="814"/>
      <c r="I26" s="814"/>
      <c r="J26" s="814"/>
      <c r="K26" s="814"/>
      <c r="L26" s="814"/>
      <c r="M26" s="415" t="s">
        <v>289</v>
      </c>
    </row>
    <row r="27" spans="4:13" ht="16">
      <c r="D27" s="19"/>
      <c r="E27" s="416"/>
      <c r="F27" s="416"/>
      <c r="G27" s="416"/>
      <c r="H27" s="416"/>
      <c r="I27" s="416"/>
      <c r="J27" s="416"/>
      <c r="K27" s="416"/>
    </row>
    <row r="28" spans="4:13" ht="15.75" customHeight="1">
      <c r="D28" s="414">
        <v>4</v>
      </c>
      <c r="E28" s="826" t="s">
        <v>292</v>
      </c>
      <c r="F28" s="826"/>
      <c r="G28" s="826"/>
      <c r="H28" s="826"/>
      <c r="I28" s="826"/>
      <c r="J28" s="826"/>
      <c r="K28" s="826"/>
      <c r="L28" s="826"/>
    </row>
    <row r="29" spans="4:13" ht="15.75" customHeight="1">
      <c r="E29" s="826"/>
      <c r="F29" s="826"/>
      <c r="G29" s="826"/>
      <c r="H29" s="826"/>
      <c r="I29" s="826"/>
      <c r="J29" s="826"/>
      <c r="K29" s="826"/>
      <c r="L29" s="826"/>
      <c r="M29" s="369" t="s">
        <v>32</v>
      </c>
    </row>
    <row r="30" spans="4:13" ht="15.75" customHeight="1">
      <c r="E30" s="814" t="s">
        <v>293</v>
      </c>
      <c r="F30" s="814"/>
      <c r="G30" s="814"/>
      <c r="H30" s="814"/>
      <c r="I30" s="814"/>
      <c r="J30" s="814"/>
      <c r="K30" s="814"/>
      <c r="L30" s="814"/>
    </row>
    <row r="31" spans="4:13" ht="15.75" customHeight="1">
      <c r="E31" s="814"/>
      <c r="F31" s="814"/>
      <c r="G31" s="814"/>
      <c r="H31" s="814"/>
      <c r="I31" s="814"/>
      <c r="J31" s="814"/>
      <c r="K31" s="814"/>
      <c r="L31" s="814"/>
    </row>
    <row r="32" spans="4:13" ht="12.75" customHeight="1">
      <c r="E32" s="814"/>
      <c r="F32" s="814"/>
      <c r="G32" s="814"/>
      <c r="H32" s="814"/>
      <c r="I32" s="814"/>
      <c r="J32" s="814"/>
      <c r="K32" s="814"/>
      <c r="L32" s="814"/>
    </row>
    <row r="33" spans="4:13" ht="16">
      <c r="E33" s="156" t="s">
        <v>294</v>
      </c>
      <c r="F33" s="418"/>
      <c r="G33" s="418"/>
      <c r="H33" s="418"/>
      <c r="I33" s="418"/>
      <c r="J33" s="418"/>
      <c r="K33" s="418"/>
    </row>
    <row r="34" spans="4:13" ht="16">
      <c r="E34" s="156"/>
      <c r="F34" s="418"/>
      <c r="G34" s="418"/>
      <c r="H34" s="418"/>
      <c r="I34" s="418"/>
      <c r="J34" s="418"/>
      <c r="K34" s="418"/>
    </row>
    <row r="35" spans="4:13" ht="13">
      <c r="E35" s="419">
        <v>0</v>
      </c>
      <c r="F35" s="418"/>
      <c r="G35" s="420">
        <f>E35</f>
        <v>0</v>
      </c>
      <c r="H35" s="247"/>
      <c r="I35" s="418"/>
      <c r="J35" s="418"/>
      <c r="K35" s="418"/>
    </row>
    <row r="36" spans="4:13" ht="16">
      <c r="E36" s="156"/>
      <c r="F36" s="418"/>
      <c r="G36" s="418"/>
      <c r="H36" s="418"/>
      <c r="I36" s="418"/>
      <c r="J36" s="418"/>
      <c r="K36" s="418"/>
    </row>
    <row r="37" spans="4:13" ht="13">
      <c r="E37" s="814" t="s">
        <v>295</v>
      </c>
      <c r="F37" s="814"/>
      <c r="G37" s="814"/>
      <c r="H37" s="814"/>
      <c r="I37" s="814"/>
      <c r="J37" s="814"/>
      <c r="K37" s="814"/>
      <c r="L37" s="814"/>
    </row>
    <row r="38" spans="4:13" ht="13">
      <c r="E38" s="814"/>
      <c r="F38" s="814"/>
      <c r="G38" s="814"/>
      <c r="H38" s="814"/>
      <c r="I38" s="814"/>
      <c r="J38" s="814"/>
      <c r="K38" s="814"/>
      <c r="L38" s="814"/>
    </row>
    <row r="39" spans="4:13" ht="12.75" customHeight="1">
      <c r="E39" s="814"/>
      <c r="F39" s="814"/>
      <c r="G39" s="814"/>
      <c r="H39" s="814"/>
      <c r="I39" s="814"/>
      <c r="J39" s="814"/>
      <c r="K39" s="814"/>
      <c r="L39" s="814"/>
    </row>
    <row r="40" spans="4:13" ht="16">
      <c r="D40" s="19"/>
      <c r="E40" s="421" t="s">
        <v>296</v>
      </c>
      <c r="F40" s="422"/>
      <c r="G40" s="422"/>
      <c r="H40" s="422"/>
      <c r="I40" s="422"/>
      <c r="J40" s="422"/>
      <c r="K40" s="422"/>
    </row>
    <row r="41" spans="4:13" ht="9" customHeight="1">
      <c r="D41" s="19"/>
      <c r="E41" s="418"/>
      <c r="F41" s="418"/>
      <c r="G41" s="418"/>
      <c r="H41" s="418"/>
      <c r="I41" s="418"/>
      <c r="J41" s="418"/>
      <c r="K41" s="418"/>
    </row>
    <row r="42" spans="4:13" ht="16">
      <c r="D42" s="414">
        <v>5</v>
      </c>
      <c r="E42" s="156" t="s">
        <v>297</v>
      </c>
    </row>
    <row r="43" spans="4:13" ht="38" customHeight="1">
      <c r="D43" s="19"/>
      <c r="E43" s="824" t="s">
        <v>303</v>
      </c>
      <c r="F43" s="824"/>
      <c r="G43" s="824"/>
      <c r="H43" s="824"/>
      <c r="I43" s="824"/>
      <c r="J43" s="824"/>
      <c r="K43" s="824"/>
      <c r="L43" s="825"/>
      <c r="M43" s="369" t="s">
        <v>32</v>
      </c>
    </row>
    <row r="44" spans="4:13" ht="16">
      <c r="D44" s="19"/>
      <c r="E44" s="824" t="s">
        <v>304</v>
      </c>
      <c r="F44" s="824"/>
      <c r="G44" s="824"/>
      <c r="H44" s="824"/>
      <c r="I44" s="824"/>
      <c r="J44" s="824"/>
      <c r="K44" s="824"/>
      <c r="L44" s="824"/>
      <c r="M44" s="423"/>
    </row>
    <row r="45" spans="4:13" ht="16">
      <c r="D45" s="19"/>
      <c r="E45" s="416"/>
      <c r="F45" s="416"/>
      <c r="G45" s="416"/>
      <c r="H45" s="416"/>
      <c r="I45" s="416"/>
      <c r="J45" s="416"/>
      <c r="K45" s="416"/>
    </row>
    <row r="46" spans="4:13" ht="16">
      <c r="D46" s="414">
        <v>6</v>
      </c>
      <c r="E46" s="156" t="s">
        <v>300</v>
      </c>
    </row>
    <row r="47" spans="4:13" ht="16">
      <c r="D47" s="156"/>
      <c r="E47" s="155" t="s">
        <v>301</v>
      </c>
      <c r="F47" s="4"/>
      <c r="G47" s="4"/>
      <c r="H47" s="4"/>
      <c r="I47" s="13"/>
      <c r="J47" s="12"/>
      <c r="K47" s="5"/>
      <c r="M47" s="369" t="s">
        <v>32</v>
      </c>
    </row>
    <row r="48" spans="4:13" ht="16">
      <c r="D48" s="156"/>
      <c r="E48" s="155"/>
      <c r="F48" s="4"/>
      <c r="G48" s="4"/>
      <c r="H48" s="4"/>
      <c r="I48" s="13"/>
      <c r="J48" s="12"/>
      <c r="K48" s="5"/>
    </row>
    <row r="49" spans="4:13" ht="16">
      <c r="D49" s="156"/>
      <c r="E49" s="155"/>
      <c r="F49" s="4"/>
      <c r="G49" s="4"/>
      <c r="H49" s="4"/>
      <c r="I49" s="13"/>
      <c r="J49" s="12"/>
      <c r="K49" s="5"/>
    </row>
    <row r="50" spans="4:13" ht="15.75" customHeight="1">
      <c r="D50" s="414">
        <v>7</v>
      </c>
      <c r="E50" s="156" t="s">
        <v>302</v>
      </c>
    </row>
    <row r="51" spans="4:13" ht="16">
      <c r="D51" s="19"/>
      <c r="E51" s="814" t="s">
        <v>298</v>
      </c>
      <c r="F51" s="814"/>
      <c r="G51" s="814"/>
      <c r="H51" s="814"/>
      <c r="I51" s="814"/>
      <c r="J51" s="814"/>
      <c r="K51" s="814"/>
      <c r="L51" s="814"/>
      <c r="M51" s="369" t="s">
        <v>299</v>
      </c>
    </row>
    <row r="52" spans="4:13" ht="13">
      <c r="E52" s="814"/>
      <c r="F52" s="814"/>
      <c r="G52" s="814"/>
      <c r="H52" s="814"/>
      <c r="I52" s="814"/>
      <c r="J52" s="814"/>
      <c r="K52" s="814"/>
      <c r="L52" s="814"/>
    </row>
    <row r="53" spans="4:13" ht="13">
      <c r="D53" s="61"/>
      <c r="E53" s="814"/>
      <c r="F53" s="814"/>
      <c r="G53" s="814"/>
      <c r="H53" s="814"/>
      <c r="I53" s="814"/>
      <c r="J53" s="814"/>
      <c r="K53" s="814"/>
      <c r="L53" s="814"/>
    </row>
    <row r="54" spans="4:13" ht="16">
      <c r="D54" s="414">
        <v>8</v>
      </c>
      <c r="E54" s="156" t="s">
        <v>218</v>
      </c>
      <c r="F54" s="156"/>
      <c r="G54" s="156"/>
      <c r="H54" s="156"/>
      <c r="I54" s="156"/>
      <c r="J54" s="156"/>
      <c r="K54" s="156"/>
      <c r="L54" s="156"/>
      <c r="M54" s="156"/>
    </row>
    <row r="55" spans="4:13" ht="16">
      <c r="D55" s="156"/>
      <c r="F55" s="4"/>
      <c r="G55" s="4"/>
      <c r="H55" s="4"/>
      <c r="I55" s="13"/>
      <c r="J55" s="12"/>
      <c r="K55" s="5"/>
    </row>
    <row r="56" spans="4:13" ht="16">
      <c r="D56" s="414">
        <v>9</v>
      </c>
      <c r="E56" s="156" t="s">
        <v>60</v>
      </c>
    </row>
    <row r="57" spans="4:13" ht="12.75" customHeight="1">
      <c r="D57" s="156"/>
    </row>
    <row r="58" spans="4:13" ht="14" thickBot="1"/>
    <row r="59" spans="4:13" ht="14" thickTop="1">
      <c r="E59" s="815" t="s">
        <v>330</v>
      </c>
      <c r="F59" s="816"/>
      <c r="G59" s="816"/>
      <c r="H59" s="816"/>
      <c r="I59" s="816"/>
      <c r="J59" s="816"/>
      <c r="K59" s="816"/>
      <c r="L59" s="817"/>
    </row>
    <row r="60" spans="4:13" ht="13">
      <c r="E60" s="818"/>
      <c r="F60" s="819"/>
      <c r="G60" s="819"/>
      <c r="H60" s="819"/>
      <c r="I60" s="819"/>
      <c r="J60" s="819"/>
      <c r="K60" s="819"/>
      <c r="L60" s="820"/>
    </row>
    <row r="61" spans="4:13" ht="16">
      <c r="D61" s="19"/>
      <c r="E61" s="818"/>
      <c r="F61" s="819"/>
      <c r="G61" s="819"/>
      <c r="H61" s="819"/>
      <c r="I61" s="819"/>
      <c r="J61" s="819"/>
      <c r="K61" s="819"/>
      <c r="L61" s="820"/>
    </row>
    <row r="62" spans="4:13" ht="13">
      <c r="E62" s="818"/>
      <c r="F62" s="819"/>
      <c r="G62" s="819"/>
      <c r="H62" s="819"/>
      <c r="I62" s="819"/>
      <c r="J62" s="819"/>
      <c r="K62" s="819"/>
      <c r="L62" s="820"/>
    </row>
    <row r="63" spans="4:13" ht="16">
      <c r="D63" s="19"/>
      <c r="E63" s="818"/>
      <c r="F63" s="819"/>
      <c r="G63" s="819"/>
      <c r="H63" s="819"/>
      <c r="I63" s="819"/>
      <c r="J63" s="819"/>
      <c r="K63" s="819"/>
      <c r="L63" s="820"/>
    </row>
    <row r="64" spans="4:13" ht="15.75" customHeight="1">
      <c r="D64" s="156"/>
      <c r="E64" s="818"/>
      <c r="F64" s="819"/>
      <c r="G64" s="819"/>
      <c r="H64" s="819"/>
      <c r="I64" s="819"/>
      <c r="J64" s="819"/>
      <c r="K64" s="819"/>
      <c r="L64" s="820"/>
    </row>
    <row r="65" spans="4:12" ht="14" thickBot="1">
      <c r="E65" s="821"/>
      <c r="F65" s="822"/>
      <c r="G65" s="822"/>
      <c r="H65" s="822"/>
      <c r="I65" s="822"/>
      <c r="J65" s="822"/>
      <c r="K65" s="822"/>
      <c r="L65" s="823"/>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7"/>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72"/>
      <c r="M81" s="272"/>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9">
    <mergeCell ref="E51:L53"/>
    <mergeCell ref="E59:L65"/>
    <mergeCell ref="E43:L43"/>
    <mergeCell ref="E44:L44"/>
    <mergeCell ref="E19:L21"/>
    <mergeCell ref="E24:L26"/>
    <mergeCell ref="E28:L29"/>
    <mergeCell ref="E30:L32"/>
    <mergeCell ref="E37:L39"/>
  </mergeCells>
  <phoneticPr fontId="12" type="noConversion"/>
  <conditionalFormatting sqref="M25">
    <cfRule type="cellIs" dxfId="136" priority="1" stopIfTrue="1" operator="lessThanOrEqual">
      <formula>0</formula>
    </cfRule>
  </conditionalFormatting>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enableFormatConditionsCalculation="0"/>
  <dimension ref="A1:IV65536"/>
  <sheetViews>
    <sheetView showGridLines="0" showZeros="0" showOutlineSymbols="0" zoomScaleSheetLayoutView="75" workbookViewId="0">
      <selection activeCell="A113" sqref="A113"/>
    </sheetView>
  </sheetViews>
  <sheetFormatPr baseColWidth="10" defaultColWidth="10.7109375" defaultRowHeight="13" zeroHeight="1" x14ac:dyDescent="0"/>
  <cols>
    <col min="1" max="1" width="13.85546875" style="252" customWidth="1"/>
    <col min="2" max="2" width="0.7109375" style="252" customWidth="1"/>
    <col min="3" max="3" width="1.42578125" style="220" customWidth="1"/>
    <col min="4" max="4" width="32.85546875" style="35" customWidth="1"/>
    <col min="5" max="5" width="12.7109375" style="27" customWidth="1"/>
    <col min="6" max="6" width="16" style="27" bestFit="1" customWidth="1"/>
    <col min="7" max="8" width="12.7109375" style="27" customWidth="1"/>
    <col min="9" max="9" width="16.7109375" style="27" bestFit="1" customWidth="1"/>
    <col min="10" max="10" width="17.140625" style="27" bestFit="1" customWidth="1"/>
    <col min="11" max="11" width="6" style="261" customWidth="1"/>
    <col min="12" max="12" width="15.85546875" style="27" customWidth="1"/>
    <col min="13" max="13" width="14.42578125" style="27" customWidth="1"/>
    <col min="14" max="14" width="9.28515625" style="27" customWidth="1"/>
    <col min="15" max="15" width="11.85546875" style="27" customWidth="1"/>
    <col min="16" max="16384" width="10.7109375" style="27"/>
  </cols>
  <sheetData>
    <row r="1" spans="1:11" ht="6" customHeight="1">
      <c r="D1" s="28"/>
      <c r="E1" s="26"/>
    </row>
    <row r="2" spans="1:11" s="33" customFormat="1" ht="16">
      <c r="A2" s="253"/>
      <c r="B2" s="252"/>
      <c r="C2" s="256"/>
      <c r="D2" s="225" t="s">
        <v>160</v>
      </c>
      <c r="E2" s="226" t="s">
        <v>427</v>
      </c>
      <c r="F2" s="31"/>
      <c r="G2" s="31"/>
      <c r="H2" s="32"/>
      <c r="I2" s="31"/>
      <c r="J2" s="31"/>
      <c r="K2" s="262"/>
    </row>
    <row r="3" spans="1:11" s="33" customFormat="1" ht="16">
      <c r="A3" s="253"/>
      <c r="B3" s="252"/>
      <c r="C3" s="256"/>
      <c r="D3" s="225" t="s">
        <v>42</v>
      </c>
      <c r="E3" s="504" t="s">
        <v>181</v>
      </c>
      <c r="F3" s="31"/>
      <c r="G3" s="31"/>
      <c r="H3" s="31"/>
      <c r="I3" s="31"/>
      <c r="J3" s="31"/>
      <c r="K3" s="262"/>
    </row>
    <row r="4" spans="1:11" s="33" customFormat="1" ht="16">
      <c r="A4" s="253"/>
      <c r="B4" s="252"/>
      <c r="C4" s="256"/>
      <c r="D4" s="225" t="s">
        <v>52</v>
      </c>
      <c r="E4" s="226" t="s">
        <v>428</v>
      </c>
      <c r="F4" s="31"/>
      <c r="G4" s="31"/>
      <c r="H4" s="31"/>
      <c r="I4" s="31"/>
      <c r="J4" s="31"/>
      <c r="K4" s="262"/>
    </row>
    <row r="5" spans="1:11" s="33" customFormat="1" ht="16">
      <c r="A5" s="253"/>
      <c r="B5" s="252"/>
      <c r="C5" s="256"/>
      <c r="D5" s="225" t="s">
        <v>217</v>
      </c>
      <c r="E5" s="226" t="str">
        <f>Voorblad!E46</f>
        <v>180417 V2</v>
      </c>
      <c r="F5" s="31"/>
      <c r="G5" s="31"/>
      <c r="H5" s="31"/>
      <c r="I5" s="31"/>
      <c r="J5" s="31"/>
      <c r="K5" s="262"/>
    </row>
    <row r="6" spans="1:11" s="33" customFormat="1" ht="16">
      <c r="A6" s="253"/>
      <c r="B6" s="252"/>
      <c r="C6" s="256"/>
      <c r="D6" s="225" t="s">
        <v>158</v>
      </c>
      <c r="E6" s="226" t="s">
        <v>382</v>
      </c>
      <c r="F6" s="31"/>
      <c r="G6" s="31"/>
      <c r="H6" s="31"/>
      <c r="I6" s="31"/>
      <c r="J6" s="31"/>
      <c r="K6" s="262"/>
    </row>
    <row r="7" spans="1:11" s="33" customFormat="1" ht="16">
      <c r="A7" s="253"/>
      <c r="B7" s="252"/>
      <c r="C7" s="256"/>
      <c r="D7" s="225" t="s">
        <v>8</v>
      </c>
      <c r="E7" s="227">
        <v>42736</v>
      </c>
      <c r="F7" s="31"/>
      <c r="G7" s="31"/>
      <c r="H7" s="31"/>
      <c r="I7" s="31"/>
      <c r="J7" s="31"/>
      <c r="K7" s="262"/>
    </row>
    <row r="8" spans="1:11" s="33" customFormat="1" ht="16">
      <c r="A8" s="253"/>
      <c r="B8" s="252"/>
      <c r="C8" s="256"/>
      <c r="D8" s="225" t="s">
        <v>41</v>
      </c>
      <c r="E8" s="504" t="s">
        <v>1518</v>
      </c>
      <c r="F8" s="31"/>
      <c r="G8" s="31"/>
      <c r="H8" s="31"/>
      <c r="I8" s="544">
        <f>Voorblad!$E$15</f>
        <v>42917</v>
      </c>
      <c r="J8" s="31"/>
      <c r="K8" s="262"/>
    </row>
    <row r="9" spans="1:11" s="33" customFormat="1" ht="24" customHeight="1">
      <c r="A9" s="253"/>
      <c r="B9" s="252"/>
      <c r="C9" s="256"/>
      <c r="D9" s="29"/>
      <c r="K9" s="262"/>
    </row>
    <row r="10" spans="1:11" s="33" customFormat="1" ht="16">
      <c r="A10" s="253"/>
      <c r="B10" s="252"/>
      <c r="C10" s="256"/>
      <c r="D10" s="28"/>
      <c r="F10" s="34"/>
      <c r="K10" s="262"/>
    </row>
    <row r="11" spans="1:11" s="33" customFormat="1" ht="16">
      <c r="A11" s="253"/>
      <c r="B11" s="252"/>
      <c r="C11" s="256"/>
      <c r="D11" s="218" t="s">
        <v>204</v>
      </c>
      <c r="E11" s="218"/>
      <c r="F11" s="218"/>
      <c r="G11" s="218"/>
      <c r="H11" s="218"/>
      <c r="I11" s="218"/>
      <c r="J11" s="219"/>
      <c r="K11" s="262"/>
    </row>
    <row r="12" spans="1:11">
      <c r="E12" s="220"/>
      <c r="F12" s="220"/>
      <c r="G12" s="220"/>
      <c r="H12" s="220"/>
      <c r="I12" s="220"/>
      <c r="J12" s="220"/>
    </row>
    <row r="13" spans="1:11" s="221" customFormat="1" ht="26">
      <c r="A13" s="254"/>
      <c r="B13" s="252"/>
      <c r="C13" s="257"/>
      <c r="D13" s="222" t="s">
        <v>211</v>
      </c>
      <c r="E13" s="223" t="s">
        <v>129</v>
      </c>
      <c r="F13" s="224" t="s">
        <v>113</v>
      </c>
      <c r="G13" s="224" t="s">
        <v>243</v>
      </c>
      <c r="H13" s="224" t="s">
        <v>209</v>
      </c>
      <c r="I13" s="224" t="s">
        <v>63</v>
      </c>
      <c r="J13" s="224" t="s">
        <v>90</v>
      </c>
      <c r="K13" s="263"/>
    </row>
    <row r="14" spans="1:11" s="62" customFormat="1" ht="21" customHeight="1">
      <c r="A14" s="255"/>
      <c r="B14" s="252"/>
      <c r="C14" s="258"/>
      <c r="D14" s="230" t="s">
        <v>26</v>
      </c>
      <c r="E14" s="231"/>
      <c r="F14" s="231"/>
      <c r="G14" s="232"/>
      <c r="H14" s="232"/>
      <c r="I14" s="232"/>
      <c r="J14" s="232"/>
      <c r="K14" s="264"/>
    </row>
    <row r="15" spans="1:11" s="62" customFormat="1" ht="39.75" customHeight="1">
      <c r="A15" s="260">
        <v>0</v>
      </c>
      <c r="B15" s="259"/>
      <c r="C15" s="258"/>
      <c r="D15" s="247">
        <f>VLOOKUP(A15,'1.5 Opbouw uurtarieven'!$A$12:$C$36,2,FALSE)</f>
        <v>0</v>
      </c>
      <c r="J15" s="248"/>
      <c r="K15" s="264"/>
    </row>
    <row r="16" spans="1:11">
      <c r="D16" s="38" t="s">
        <v>219</v>
      </c>
      <c r="E16" s="154">
        <v>0</v>
      </c>
      <c r="F16" s="39">
        <f>H16/G16</f>
        <v>0</v>
      </c>
      <c r="G16" s="40">
        <v>255</v>
      </c>
      <c r="H16" s="39">
        <f>$H$29*E16</f>
        <v>0</v>
      </c>
      <c r="I16" s="41">
        <f>(VLOOKUP(A15,'1.5 Opbouw uurtarieven'!$A$12:$AU$44,41,FALSE))</f>
        <v>0</v>
      </c>
      <c r="J16" s="42">
        <f>I16*H16</f>
        <v>0</v>
      </c>
    </row>
    <row r="17" spans="1:256">
      <c r="D17" s="38"/>
      <c r="E17" s="38"/>
      <c r="F17" s="38"/>
      <c r="G17" s="38"/>
      <c r="H17" s="38"/>
      <c r="I17" s="38"/>
      <c r="J17" s="38"/>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60">
        <v>0</v>
      </c>
      <c r="B18" s="259"/>
      <c r="C18" s="258"/>
      <c r="D18" s="247">
        <f>VLOOKUP(A18,'1.5 Opbouw uurtarieven'!$A$12:$C$36,2,FALSE)</f>
        <v>0</v>
      </c>
      <c r="J18" s="248"/>
      <c r="K18" s="264"/>
    </row>
    <row r="19" spans="1:256">
      <c r="D19" s="38" t="s">
        <v>219</v>
      </c>
      <c r="E19" s="154">
        <v>0</v>
      </c>
      <c r="F19" s="39">
        <f>H19/G19</f>
        <v>0</v>
      </c>
      <c r="G19" s="40">
        <v>255</v>
      </c>
      <c r="H19" s="39">
        <f>$H$29*E19</f>
        <v>0</v>
      </c>
      <c r="I19" s="41">
        <f>(VLOOKUP(A18,'1.5 Opbouw uurtarieven'!$A$12:$AU$44,41,FALSE))</f>
        <v>0</v>
      </c>
      <c r="J19" s="42">
        <f>I19*H19</f>
        <v>0</v>
      </c>
    </row>
    <row r="20" spans="1:256">
      <c r="D20" s="38"/>
      <c r="E20" s="38"/>
      <c r="F20" s="38"/>
      <c r="G20" s="38"/>
      <c r="H20" s="38"/>
      <c r="I20" s="38"/>
      <c r="J20" s="38"/>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60">
        <v>0</v>
      </c>
      <c r="B21" s="259"/>
      <c r="C21" s="258"/>
      <c r="D21" s="247">
        <f>VLOOKUP(A21,'1.5 Opbouw uurtarieven'!$A$12:$C$36,2,FALSE)</f>
        <v>0</v>
      </c>
      <c r="J21" s="248"/>
      <c r="K21" s="264"/>
    </row>
    <row r="22" spans="1:256">
      <c r="D22" s="38" t="s">
        <v>219</v>
      </c>
      <c r="E22" s="154">
        <v>0</v>
      </c>
      <c r="F22" s="39">
        <f>H22/G22</f>
        <v>0</v>
      </c>
      <c r="G22" s="40">
        <v>255</v>
      </c>
      <c r="H22" s="39">
        <f>$H$29*E22</f>
        <v>0</v>
      </c>
      <c r="I22" s="41">
        <f>(VLOOKUP(A21,'1.5 Opbouw uurtarieven'!$A$12:$AU$44,41,FALSE))</f>
        <v>0</v>
      </c>
      <c r="J22" s="42">
        <f>I22*H22</f>
        <v>0</v>
      </c>
    </row>
    <row r="23" spans="1:256">
      <c r="D23" s="38"/>
      <c r="E23" s="38"/>
      <c r="F23" s="38"/>
      <c r="G23" s="38"/>
      <c r="H23" s="38"/>
      <c r="I23" s="38"/>
      <c r="J23" s="38"/>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60">
        <v>0</v>
      </c>
      <c r="B24" s="252"/>
      <c r="C24" s="258"/>
      <c r="D24" s="247">
        <f>VLOOKUP(A24,'1.5 Opbouw uurtarieven'!$A$12:$C$36,2,FALSE)</f>
        <v>0</v>
      </c>
      <c r="J24" s="248"/>
      <c r="K24" s="264"/>
    </row>
    <row r="25" spans="1:256">
      <c r="D25" s="38" t="s">
        <v>219</v>
      </c>
      <c r="E25" s="154"/>
      <c r="F25" s="39">
        <f>H25/G25</f>
        <v>0</v>
      </c>
      <c r="G25" s="40">
        <v>255</v>
      </c>
      <c r="H25" s="39">
        <f>$H$29*E25</f>
        <v>0</v>
      </c>
      <c r="I25" s="41">
        <f>(VLOOKUP(A24,'1.5 Opbouw uurtarieven'!$A$12:$AU$44,41,FALSE))</f>
        <v>0</v>
      </c>
      <c r="J25" s="42">
        <f>I25*H25</f>
        <v>0</v>
      </c>
    </row>
    <row r="26" spans="1:256">
      <c r="D26" s="38"/>
      <c r="E26" s="38"/>
      <c r="F26" s="38"/>
      <c r="G26" s="38"/>
      <c r="H26" s="38"/>
      <c r="I26" s="38"/>
      <c r="J26" s="38"/>
      <c r="K26" s="265"/>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60">
        <v>0</v>
      </c>
      <c r="B27" s="252"/>
      <c r="C27" s="258"/>
      <c r="D27" s="247">
        <f>VLOOKUP(A27,'1.5 Opbouw uurtarieven'!$A$12:$C$36,2,FALSE)</f>
        <v>0</v>
      </c>
      <c r="J27" s="248"/>
      <c r="K27" s="264"/>
    </row>
    <row r="28" spans="1:256">
      <c r="D28" s="38" t="s">
        <v>219</v>
      </c>
      <c r="E28" s="193">
        <v>0</v>
      </c>
      <c r="F28" s="44">
        <f>H28/G28</f>
        <v>0</v>
      </c>
      <c r="G28" s="40">
        <v>255</v>
      </c>
      <c r="H28" s="44">
        <f>$H$29*E28</f>
        <v>0</v>
      </c>
      <c r="I28" s="41">
        <f>(VLOOKUP(A27,'1.5 Opbouw uurtarieven'!$A$12:$AU$44,41,FALSE))</f>
        <v>0</v>
      </c>
      <c r="J28" s="45">
        <f>I28*H28</f>
        <v>0</v>
      </c>
    </row>
    <row r="29" spans="1:256" s="62" customFormat="1" ht="18" customHeight="1">
      <c r="A29" s="827">
        <f>IF(E29&gt;=100%,"Totaal productie-uren, maximaal 100%",0)</f>
        <v>0</v>
      </c>
      <c r="B29" s="252"/>
      <c r="C29" s="258"/>
      <c r="D29" s="230"/>
      <c r="E29" s="235">
        <f>E28+E25+E22+E19+E16</f>
        <v>0</v>
      </c>
      <c r="F29" s="236">
        <f>SUM(F16:F28)</f>
        <v>0</v>
      </c>
      <c r="G29" s="232"/>
      <c r="H29" s="236">
        <f>SUM('1.3-Basis ruimtestaat'!Q:R)</f>
        <v>0</v>
      </c>
      <c r="I29" s="231"/>
      <c r="J29" s="237">
        <f>SUM(J16:J28)</f>
        <v>0</v>
      </c>
      <c r="K29" s="264"/>
      <c r="L29" s="212">
        <f>IF(H29=0,0,J29/H29)</f>
        <v>0</v>
      </c>
    </row>
    <row r="30" spans="1:256" s="62" customFormat="1" ht="21" customHeight="1">
      <c r="A30" s="828"/>
      <c r="B30" s="252"/>
      <c r="C30" s="258"/>
      <c r="D30" s="230" t="s">
        <v>94</v>
      </c>
      <c r="G30" s="232"/>
      <c r="H30" s="232"/>
      <c r="I30" s="232"/>
      <c r="J30" s="232"/>
      <c r="K30" s="264"/>
      <c r="L30" s="233"/>
    </row>
    <row r="31" spans="1:256" s="62" customFormat="1">
      <c r="A31" s="260">
        <v>0</v>
      </c>
      <c r="B31" s="252"/>
      <c r="C31" s="258"/>
      <c r="D31" s="247">
        <f>VLOOKUP(A31,'1.5 Opbouw uurtarieven'!$A$12:$C$36,2,FALSE)</f>
        <v>0</v>
      </c>
      <c r="J31" s="248"/>
      <c r="K31" s="264"/>
      <c r="L31" s="249"/>
    </row>
    <row r="32" spans="1:256">
      <c r="D32" s="229" t="s">
        <v>219</v>
      </c>
      <c r="E32" s="154">
        <v>0</v>
      </c>
      <c r="F32" s="39">
        <f>H32/G32</f>
        <v>0</v>
      </c>
      <c r="G32" s="40">
        <v>255</v>
      </c>
      <c r="H32" s="39">
        <f>E32*$H$29</f>
        <v>0</v>
      </c>
      <c r="I32" s="41">
        <f>(VLOOKUP(A31,'1.5 Opbouw uurtarieven'!$A$12:$AU$44,41,FALSE))</f>
        <v>0</v>
      </c>
      <c r="J32" s="42">
        <f>I32*H32</f>
        <v>0</v>
      </c>
    </row>
    <row r="33" spans="1:256">
      <c r="D33" s="229"/>
      <c r="E33" s="62"/>
      <c r="F33" s="39"/>
      <c r="G33" s="40"/>
      <c r="H33" s="39"/>
      <c r="I33" s="41"/>
      <c r="J33" s="42"/>
    </row>
    <row r="34" spans="1:256" s="62" customFormat="1" ht="39.75" customHeight="1">
      <c r="A34" s="260">
        <v>0</v>
      </c>
      <c r="B34" s="252"/>
      <c r="C34" s="258"/>
      <c r="D34" s="247">
        <f>VLOOKUP(A34,'1.5 Opbouw uurtarieven'!$A$12:$C$36,2,FALSE)</f>
        <v>0</v>
      </c>
      <c r="J34" s="248"/>
      <c r="K34" s="264"/>
      <c r="L34" s="249"/>
    </row>
    <row r="35" spans="1:256">
      <c r="D35" s="229" t="s">
        <v>219</v>
      </c>
      <c r="E35" s="154">
        <v>0</v>
      </c>
      <c r="F35" s="39">
        <f>H35/G35</f>
        <v>0</v>
      </c>
      <c r="G35" s="40">
        <v>255</v>
      </c>
      <c r="H35" s="39">
        <f>E35*$H$29</f>
        <v>0</v>
      </c>
      <c r="I35" s="41">
        <f>(VLOOKUP(A34,'1.5 Opbouw uurtarieven'!$A$12:$AU$44,41,FALSE))</f>
        <v>0</v>
      </c>
      <c r="J35" s="42">
        <f>I35*H35</f>
        <v>0</v>
      </c>
    </row>
    <row r="36" spans="1:256">
      <c r="D36" s="229"/>
      <c r="E36" s="38"/>
      <c r="F36" s="38"/>
      <c r="G36" s="38"/>
      <c r="H36" s="38"/>
      <c r="I36" s="38"/>
      <c r="J36" s="38"/>
      <c r="K36" s="265"/>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60">
        <v>0</v>
      </c>
      <c r="B37" s="252"/>
      <c r="C37" s="258"/>
      <c r="D37" s="247">
        <f>VLOOKUP(A37,'1.5 Opbouw uurtarieven'!$A$12:$C$36,2,FALSE)</f>
        <v>0</v>
      </c>
      <c r="J37" s="248"/>
      <c r="K37" s="264"/>
    </row>
    <row r="38" spans="1:256">
      <c r="D38" s="229" t="s">
        <v>219</v>
      </c>
      <c r="E38" s="193">
        <v>0</v>
      </c>
      <c r="F38" s="44">
        <f>H38/G38</f>
        <v>0</v>
      </c>
      <c r="G38" s="40">
        <v>255</v>
      </c>
      <c r="H38" s="44">
        <f>E38*H29</f>
        <v>0</v>
      </c>
      <c r="I38" s="41">
        <f>(VLOOKUP(A37,'1.5 Opbouw uurtarieven'!$A$12:$AU$44,41,FALSE))</f>
        <v>0</v>
      </c>
      <c r="J38" s="45">
        <f>I38*H38</f>
        <v>0</v>
      </c>
    </row>
    <row r="39" spans="1:256">
      <c r="D39" s="229"/>
      <c r="E39" s="47">
        <f>E38+E35+E32</f>
        <v>0</v>
      </c>
      <c r="F39" s="48">
        <f>SUM(F32:F38)</f>
        <v>0</v>
      </c>
      <c r="G39" s="37"/>
      <c r="H39" s="48">
        <f>SUM(H32:H38)</f>
        <v>0</v>
      </c>
      <c r="I39" s="38"/>
      <c r="J39" s="50">
        <f>SUM(J32:J38)</f>
        <v>0</v>
      </c>
      <c r="K39" s="38"/>
      <c r="L39" s="212">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55"/>
      <c r="B40" s="252"/>
      <c r="C40" s="258"/>
      <c r="D40" s="230" t="s">
        <v>69</v>
      </c>
      <c r="E40" s="231"/>
      <c r="F40" s="231"/>
      <c r="G40" s="232"/>
      <c r="H40" s="232"/>
      <c r="I40" s="232"/>
      <c r="J40" s="232"/>
      <c r="K40" s="264"/>
      <c r="L40" s="234"/>
    </row>
    <row r="41" spans="1:256" s="62" customFormat="1" ht="78" hidden="1">
      <c r="A41" s="260" t="s">
        <v>272</v>
      </c>
      <c r="B41" s="252"/>
      <c r="C41" s="258"/>
      <c r="D41" s="247" t="str">
        <f>VLOOKUP(A41,'1.5 Opbouw uurtarieven'!$A$12:$C$36,2,FALSE)</f>
        <v>11.01 Werknemer algemeen schoonmaakonderhoud 0 t/m 7 jaar</v>
      </c>
      <c r="J41" s="248"/>
      <c r="K41" s="264"/>
    </row>
    <row r="42" spans="1:256" hidden="1">
      <c r="D42" s="229" t="s">
        <v>47</v>
      </c>
      <c r="E42" s="154">
        <v>0</v>
      </c>
      <c r="F42" s="39">
        <f>IF(H42=0,0,H42/G42)</f>
        <v>0</v>
      </c>
      <c r="G42" s="40">
        <f>364-G38-G68</f>
        <v>109</v>
      </c>
      <c r="H42" s="39">
        <f>$H$49*E42</f>
        <v>0</v>
      </c>
      <c r="I42" s="41">
        <f>(VLOOKUP(A41,'1.5 Opbouw uurtarieven'!$A$12:$AU$36,42,FALSE)*'1.1a-Jaarprijzen'!H174)+(VLOOKUP(A41,'1.5 Opbouw uurtarieven'!$A$12:$AU$36,42,FALSE))</f>
        <v>0</v>
      </c>
      <c r="J42" s="42">
        <f>I42*H42</f>
        <v>0</v>
      </c>
      <c r="K42" s="266"/>
    </row>
    <row r="43" spans="1:256" hidden="1">
      <c r="D43" s="229"/>
      <c r="E43" s="38"/>
      <c r="F43" s="38"/>
      <c r="G43" s="38"/>
      <c r="H43" s="38"/>
      <c r="I43" s="38"/>
      <c r="J43" s="38"/>
      <c r="K43" s="265"/>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78" hidden="1">
      <c r="A44" s="260" t="s">
        <v>273</v>
      </c>
      <c r="B44" s="252"/>
      <c r="C44" s="258"/>
      <c r="D44" s="247" t="str">
        <f>VLOOKUP(A44,'1.5 Opbouw uurtarieven'!$A$12:$C$36,2,FALSE)</f>
        <v>11.01 Werknemer algemeen schoonmaakonderhoud 8 jaar en meer</v>
      </c>
      <c r="E44" s="62">
        <v>0</v>
      </c>
      <c r="J44" s="248"/>
      <c r="K44" s="264"/>
    </row>
    <row r="45" spans="1:256" hidden="1">
      <c r="D45" s="229" t="s">
        <v>47</v>
      </c>
      <c r="E45" s="154">
        <v>0</v>
      </c>
      <c r="F45" s="39">
        <f>IF(H45=0,0,H45/G45)</f>
        <v>0</v>
      </c>
      <c r="G45" s="40">
        <f>$G$42</f>
        <v>109</v>
      </c>
      <c r="H45" s="39">
        <f>$H$49*E45</f>
        <v>0</v>
      </c>
      <c r="I45" s="41">
        <f>(VLOOKUP(A44,'1.5 Opbouw uurtarieven'!$A$12:$AU$36,42,FALSE)*'1.1a-Jaarprijzen'!H177)+(VLOOKUP(A44,'1.5 Opbouw uurtarieven'!$A$12:$AU$36,42,FALSE))</f>
        <v>0</v>
      </c>
      <c r="J45" s="42">
        <f>I45*H45</f>
        <v>0</v>
      </c>
      <c r="K45" s="266"/>
    </row>
    <row r="46" spans="1:256" hidden="1">
      <c r="D46" s="229"/>
      <c r="E46" s="38"/>
      <c r="F46" s="38"/>
      <c r="G46" s="38"/>
      <c r="H46" s="38"/>
      <c r="I46" s="38"/>
      <c r="J46" s="38"/>
      <c r="K46" s="265"/>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60"/>
      <c r="B47" s="252"/>
      <c r="C47" s="258"/>
      <c r="D47" s="247">
        <f>VLOOKUP(A47,'1.5 Opbouw uurtarieven'!$A$12:$C$36,2,FALSE)</f>
        <v>0</v>
      </c>
      <c r="G47" s="250"/>
      <c r="H47" s="250"/>
      <c r="J47" s="251"/>
      <c r="K47" s="264"/>
    </row>
    <row r="48" spans="1:256" hidden="1">
      <c r="D48" s="229" t="s">
        <v>47</v>
      </c>
      <c r="E48" s="193">
        <v>0</v>
      </c>
      <c r="F48" s="44">
        <f>IF(H48=0,0,H48/G48)</f>
        <v>0</v>
      </c>
      <c r="G48" s="40">
        <f>$G$42</f>
        <v>109</v>
      </c>
      <c r="H48" s="44">
        <f>$H$49*E48</f>
        <v>0</v>
      </c>
      <c r="I48" s="41">
        <f>(VLOOKUP(A47,'1.5 Opbouw uurtarieven'!$A$12:$AU$36,42,FALSE)*'1.1a-Jaarprijzen'!H180)+(VLOOKUP(A47,'1.5 Opbouw uurtarieven'!$A$12:$AU$36,42,FALSE))</f>
        <v>0</v>
      </c>
      <c r="J48" s="45">
        <f>I48*H48</f>
        <v>0</v>
      </c>
      <c r="K48" s="266"/>
    </row>
    <row r="49" spans="1:12" hidden="1">
      <c r="A49" s="827">
        <f>IF(E49&gt;=100%,"Totaal productie-uren, maximaal 100%",0)</f>
        <v>0</v>
      </c>
      <c r="D49" s="228"/>
      <c r="E49" s="47">
        <f>E48+E45+E42</f>
        <v>0</v>
      </c>
      <c r="F49" s="48">
        <f>SUM(F42:F48)</f>
        <v>0</v>
      </c>
      <c r="G49" s="37"/>
      <c r="H49" s="48">
        <f>SUM('1.3-Basis ruimtestaat'!S:S)/(G42+G68)*G42</f>
        <v>0</v>
      </c>
      <c r="I49" s="49"/>
      <c r="J49" s="50">
        <f>SUM(J42:J48)</f>
        <v>0</v>
      </c>
      <c r="L49" s="212">
        <f>IF(H49=0,0,J49/H49)</f>
        <v>0</v>
      </c>
    </row>
    <row r="50" spans="1:12" s="62" customFormat="1" hidden="1">
      <c r="A50" s="828"/>
      <c r="B50" s="252"/>
      <c r="C50" s="258"/>
      <c r="D50" s="230" t="s">
        <v>107</v>
      </c>
      <c r="E50" s="231"/>
      <c r="F50" s="231"/>
      <c r="G50" s="232"/>
      <c r="H50" s="232"/>
      <c r="I50" s="232"/>
      <c r="J50" s="232"/>
      <c r="K50" s="264"/>
    </row>
    <row r="51" spans="1:12" s="62" customFormat="1" hidden="1">
      <c r="A51" s="260"/>
      <c r="B51" s="252"/>
      <c r="C51" s="258"/>
      <c r="D51" s="247">
        <f>VLOOKUP(A51,'1.5 Opbouw uurtarieven'!$A$12:$C$36,2,FALSE)</f>
        <v>0</v>
      </c>
      <c r="J51" s="248"/>
      <c r="K51" s="264"/>
    </row>
    <row r="52" spans="1:12" hidden="1">
      <c r="D52" s="229" t="s">
        <v>47</v>
      </c>
      <c r="E52" s="154">
        <v>0</v>
      </c>
      <c r="F52" s="39">
        <f>IF(H52=0,0,H52/G52)</f>
        <v>0</v>
      </c>
      <c r="G52" s="40">
        <f>$G$42</f>
        <v>109</v>
      </c>
      <c r="H52" s="39">
        <f>E52*$H$49</f>
        <v>0</v>
      </c>
      <c r="I52" s="41">
        <f>(VLOOKUP(A51,'1.5 Opbouw uurtarieven'!$A$12:$AU$36,42,FALSE)*'1.1a-Jaarprijzen'!H184)+(VLOOKUP(A51,'1.5 Opbouw uurtarieven'!$A$12:$AU$36,42,FALSE))</f>
        <v>0</v>
      </c>
      <c r="J52" s="42">
        <f>I52*H52</f>
        <v>0</v>
      </c>
      <c r="K52" s="266"/>
    </row>
    <row r="53" spans="1:12" hidden="1">
      <c r="D53" s="229"/>
      <c r="E53" s="62"/>
      <c r="F53" s="39"/>
      <c r="G53" s="40"/>
      <c r="H53" s="153"/>
      <c r="I53" s="38"/>
      <c r="J53" s="42"/>
      <c r="K53" s="266"/>
    </row>
    <row r="54" spans="1:12" s="62" customFormat="1" hidden="1">
      <c r="A54" s="260"/>
      <c r="B54" s="252"/>
      <c r="C54" s="258"/>
      <c r="D54" s="247">
        <f>VLOOKUP(A54,'1.5 Opbouw uurtarieven'!$A$12:$C$36,2,FALSE)</f>
        <v>0</v>
      </c>
      <c r="J54" s="251"/>
      <c r="K54" s="264"/>
    </row>
    <row r="55" spans="1:12" hidden="1">
      <c r="D55" s="229" t="s">
        <v>47</v>
      </c>
      <c r="E55" s="154">
        <v>0</v>
      </c>
      <c r="F55" s="39">
        <f>IF(H55=0,0,H55/G55)</f>
        <v>0</v>
      </c>
      <c r="G55" s="40">
        <f>$G$42</f>
        <v>109</v>
      </c>
      <c r="H55" s="39">
        <f>E55*$H$49</f>
        <v>0</v>
      </c>
      <c r="I55" s="41">
        <f>(VLOOKUP(A54,'1.5 Opbouw uurtarieven'!$A$12:$AU$36,42,FALSE)*'1.1a-Jaarprijzen'!H187)+(VLOOKUP(A54,'1.5 Opbouw uurtarieven'!$A$12:$AU$36,42,FALSE))</f>
        <v>0</v>
      </c>
      <c r="J55" s="42">
        <f>I55*H55</f>
        <v>0</v>
      </c>
      <c r="K55" s="266"/>
    </row>
    <row r="56" spans="1:12" hidden="1">
      <c r="D56" s="229"/>
      <c r="E56" s="38"/>
      <c r="F56" s="39"/>
      <c r="G56" s="40"/>
      <c r="H56" s="153"/>
      <c r="I56" s="41"/>
      <c r="J56" s="42"/>
      <c r="K56" s="266"/>
    </row>
    <row r="57" spans="1:12" s="62" customFormat="1" ht="65" hidden="1">
      <c r="A57" s="260" t="s">
        <v>263</v>
      </c>
      <c r="B57" s="252"/>
      <c r="C57" s="258"/>
      <c r="D57" s="247" t="str">
        <f>VLOOKUP(A57,'1.5 Opbouw uurtarieven'!$A$12:$C$36,2,FALSE)</f>
        <v xml:space="preserve">21.01 Objectleider (algemeen schoonmaakonderhoud) </v>
      </c>
      <c r="J57" s="251"/>
      <c r="K57" s="264"/>
    </row>
    <row r="58" spans="1:12" hidden="1">
      <c r="D58" s="229" t="s">
        <v>47</v>
      </c>
      <c r="E58" s="193">
        <v>0</v>
      </c>
      <c r="F58" s="44">
        <f>IF(H58=0,0,H58/G58)</f>
        <v>0</v>
      </c>
      <c r="G58" s="40">
        <f>$G$42</f>
        <v>109</v>
      </c>
      <c r="H58" s="39">
        <f>E58*$H$49</f>
        <v>0</v>
      </c>
      <c r="I58" s="41">
        <f>(VLOOKUP(A57,'1.5 Opbouw uurtarieven'!$A$12:$AU$36,42,FALSE)*'1.1a-Jaarprijzen'!H190)+(VLOOKUP(A57,'1.5 Opbouw uurtarieven'!$A$12:$AU$36,42,FALSE))</f>
        <v>0</v>
      </c>
      <c r="J58" s="45">
        <f>I58*H58</f>
        <v>0</v>
      </c>
      <c r="K58" s="266"/>
    </row>
    <row r="59" spans="1:12" hidden="1">
      <c r="D59" s="228"/>
      <c r="E59" s="47">
        <f>E58+E55+E52</f>
        <v>0</v>
      </c>
      <c r="F59" s="48">
        <f>SUM(F52:F58)</f>
        <v>0</v>
      </c>
      <c r="G59" s="37"/>
      <c r="H59" s="48">
        <f>SUM(H52:H58)</f>
        <v>0</v>
      </c>
      <c r="I59" s="49"/>
      <c r="L59" s="212">
        <f>IF(H59=0,0,J60/H59)</f>
        <v>0</v>
      </c>
    </row>
    <row r="60" spans="1:12" hidden="1">
      <c r="D60" s="228"/>
      <c r="E60" s="47"/>
      <c r="F60" s="48"/>
      <c r="G60" s="37"/>
      <c r="H60" s="48"/>
      <c r="J60" s="50">
        <f>SUM(J52:J58)</f>
        <v>0</v>
      </c>
      <c r="L60" s="212"/>
    </row>
    <row r="61" spans="1:12">
      <c r="D61" s="228"/>
      <c r="E61" s="47"/>
      <c r="F61" s="48"/>
      <c r="G61" s="37"/>
      <c r="H61" s="48"/>
      <c r="I61" s="49"/>
      <c r="J61" s="50"/>
      <c r="L61" s="212"/>
    </row>
    <row r="62" spans="1:12">
      <c r="D62" s="228"/>
      <c r="E62" s="47"/>
      <c r="F62" s="48"/>
      <c r="G62" s="37"/>
      <c r="H62" s="48"/>
      <c r="I62" s="48" t="s">
        <v>95</v>
      </c>
      <c r="J62" s="50">
        <f>J60+J49+J39+J29</f>
        <v>0</v>
      </c>
      <c r="L62" s="212"/>
    </row>
    <row r="63" spans="1:12">
      <c r="D63" s="228"/>
      <c r="E63" s="47"/>
      <c r="F63" s="48"/>
      <c r="G63" s="37"/>
      <c r="H63" s="48"/>
      <c r="I63" s="49"/>
      <c r="J63" s="50"/>
      <c r="L63" s="212"/>
    </row>
    <row r="64" spans="1:12" hidden="1">
      <c r="D64" s="228"/>
      <c r="E64" s="47"/>
      <c r="F64" s="48"/>
      <c r="G64" s="37"/>
      <c r="H64" s="48"/>
      <c r="I64" s="49"/>
      <c r="J64" s="50"/>
      <c r="L64" s="212"/>
    </row>
    <row r="65" spans="1:12" hidden="1">
      <c r="D65" s="228"/>
      <c r="E65" s="47"/>
      <c r="F65" s="48"/>
      <c r="G65" s="37"/>
      <c r="H65" s="48"/>
      <c r="I65" s="49" t="s">
        <v>264</v>
      </c>
      <c r="J65" s="50">
        <f>J62</f>
        <v>0</v>
      </c>
      <c r="L65" s="212"/>
    </row>
    <row r="66" spans="1:12" s="62" customFormat="1" ht="21" hidden="1" customHeight="1">
      <c r="A66" s="255"/>
      <c r="B66" s="252"/>
      <c r="C66" s="258"/>
      <c r="D66" s="230" t="s">
        <v>70</v>
      </c>
      <c r="E66" s="231"/>
      <c r="F66" s="231"/>
      <c r="G66" s="232"/>
      <c r="H66" s="232"/>
      <c r="I66" s="232"/>
      <c r="J66" s="232"/>
      <c r="K66" s="264"/>
    </row>
    <row r="67" spans="1:12" s="62" customFormat="1" ht="39.75" hidden="1" customHeight="1">
      <c r="A67" s="260" t="s">
        <v>272</v>
      </c>
      <c r="B67" s="252"/>
      <c r="C67" s="258"/>
      <c r="D67" s="247" t="str">
        <f>VLOOKUP(A67,'1.5 Opbouw uurtarieven'!$A$12:$C$36,2,FALSE)</f>
        <v>11.01 Werknemer algemeen schoonmaakonderhoud 0 t/m 7 jaar</v>
      </c>
      <c r="J67" s="248"/>
      <c r="K67" s="264"/>
    </row>
    <row r="68" spans="1:12" hidden="1">
      <c r="D68" s="229" t="s">
        <v>168</v>
      </c>
      <c r="E68" s="154">
        <v>0</v>
      </c>
      <c r="F68" s="39">
        <f>IF(H68=0,0,H68/G68)</f>
        <v>0</v>
      </c>
      <c r="G68" s="40">
        <f>'1.4-Premies en opslagen'!$C$56</f>
        <v>0</v>
      </c>
      <c r="H68" s="39">
        <f>$H$75*E68</f>
        <v>0</v>
      </c>
      <c r="I68" s="41">
        <f>(VLOOKUP(A67,'1.5 Opbouw uurtarieven'!$A$12:$AU$36,44,FALSE)*'1.1a-Jaarprijzen'!H200)+(VLOOKUP(A67,'1.5 Opbouw uurtarieven'!$A$12:$AU$36,44,FALSE))</f>
        <v>0</v>
      </c>
      <c r="J68" s="42">
        <f>I68*H68</f>
        <v>0</v>
      </c>
      <c r="K68" s="266"/>
      <c r="L68" s="53"/>
    </row>
    <row r="69" spans="1:12" hidden="1">
      <c r="D69" s="229"/>
      <c r="E69" s="38"/>
      <c r="F69" s="39"/>
      <c r="G69" s="40"/>
      <c r="H69" s="153"/>
      <c r="I69" s="41"/>
      <c r="J69" s="42"/>
      <c r="K69" s="266"/>
      <c r="L69" s="53"/>
    </row>
    <row r="70" spans="1:12" s="62" customFormat="1" ht="39.75" hidden="1" customHeight="1">
      <c r="A70" s="260" t="s">
        <v>273</v>
      </c>
      <c r="B70" s="252"/>
      <c r="C70" s="258"/>
      <c r="D70" s="247" t="str">
        <f>VLOOKUP(A70,'1.5 Opbouw uurtarieven'!$A$12:$C$36,2,FALSE)</f>
        <v>11.01 Werknemer algemeen schoonmaakonderhoud 8 jaar en meer</v>
      </c>
      <c r="J70" s="248"/>
      <c r="K70" s="264"/>
      <c r="L70" s="249"/>
    </row>
    <row r="71" spans="1:12" hidden="1">
      <c r="D71" s="229" t="s">
        <v>168</v>
      </c>
      <c r="E71" s="154">
        <v>0</v>
      </c>
      <c r="F71" s="39">
        <f>IF(H71=0,0,H71/G71)</f>
        <v>0</v>
      </c>
      <c r="G71" s="40">
        <f>'1.4-Premies en opslagen'!$C$56</f>
        <v>0</v>
      </c>
      <c r="H71" s="39">
        <f>$H$75*E71</f>
        <v>0</v>
      </c>
      <c r="I71" s="41">
        <f>(VLOOKUP(A70,'1.5 Opbouw uurtarieven'!$A$12:$AU$36,44,FALSE)*'1.1a-Jaarprijzen'!H203)+(VLOOKUP(A70,'1.5 Opbouw uurtarieven'!$A$12:$AU$36,44,FALSE))</f>
        <v>0</v>
      </c>
      <c r="J71" s="42">
        <f>I71*H71</f>
        <v>0</v>
      </c>
      <c r="K71" s="266"/>
    </row>
    <row r="72" spans="1:12" hidden="1">
      <c r="D72" s="229"/>
      <c r="E72" s="38"/>
      <c r="F72" s="39"/>
      <c r="G72" s="40"/>
      <c r="H72" s="153"/>
      <c r="I72" s="41"/>
      <c r="J72" s="42"/>
      <c r="K72" s="266"/>
    </row>
    <row r="73" spans="1:12" s="62" customFormat="1" ht="39.75" hidden="1" customHeight="1">
      <c r="A73" s="260" t="s">
        <v>262</v>
      </c>
      <c r="B73" s="252"/>
      <c r="C73" s="258"/>
      <c r="D73" s="247" t="e">
        <f>VLOOKUP(A73,'1.5 Opbouw uurtarieven'!$A$12:$C$36,2,FALSE)</f>
        <v>#N/A</v>
      </c>
      <c r="J73" s="248"/>
      <c r="K73" s="264"/>
      <c r="L73" s="249"/>
    </row>
    <row r="74" spans="1:12" hidden="1">
      <c r="D74" s="229" t="s">
        <v>168</v>
      </c>
      <c r="E74" s="193">
        <v>0</v>
      </c>
      <c r="F74" s="44">
        <f>IF(H74=0,0,H74/G74)</f>
        <v>0</v>
      </c>
      <c r="G74" s="40">
        <f>'1.4-Premies en opslagen'!$C$56</f>
        <v>0</v>
      </c>
      <c r="H74" s="44">
        <f>$H$75*E74</f>
        <v>0</v>
      </c>
      <c r="I74" s="41" t="e">
        <f>(VLOOKUP(A73,'1.5 Opbouw uurtarieven'!$A$12:$AU$36,44,FALSE)*'1.1a-Jaarprijzen'!H206)+(VLOOKUP(A73,'1.5 Opbouw uurtarieven'!$A$12:$AU$36,44,FALSE))</f>
        <v>#N/A</v>
      </c>
      <c r="J74" s="45" t="e">
        <f>I74*H74</f>
        <v>#N/A</v>
      </c>
      <c r="K74" s="266"/>
    </row>
    <row r="75" spans="1:12" ht="12.75" hidden="1" customHeight="1">
      <c r="A75" s="827">
        <f>IF(E75&gt;=100%,"Totaal productie-uren, maximaal 100%",0)</f>
        <v>0</v>
      </c>
      <c r="D75" s="228"/>
      <c r="E75" s="47">
        <f>E74+E71+E68</f>
        <v>0</v>
      </c>
      <c r="F75" s="48">
        <f>SUM(F68:F74)</f>
        <v>0</v>
      </c>
      <c r="G75" s="37"/>
      <c r="H75" s="48">
        <f>SUM('1.3-Basis ruimtestaat'!S:S)/(G42+G68)*G68</f>
        <v>0</v>
      </c>
      <c r="I75" s="49"/>
      <c r="J75" s="50" t="e">
        <f>SUM(J68:J74)</f>
        <v>#N/A</v>
      </c>
      <c r="L75" s="212">
        <f>IF(H75=0,0,J75/H75)</f>
        <v>0</v>
      </c>
    </row>
    <row r="76" spans="1:12" s="62" customFormat="1" ht="21" hidden="1" customHeight="1">
      <c r="A76" s="828"/>
      <c r="B76" s="252"/>
      <c r="C76" s="258"/>
      <c r="D76" s="230" t="s">
        <v>167</v>
      </c>
      <c r="E76" s="231"/>
      <c r="F76" s="231"/>
      <c r="G76" s="232"/>
      <c r="H76" s="232"/>
      <c r="I76" s="232"/>
      <c r="J76" s="232"/>
      <c r="K76" s="264"/>
    </row>
    <row r="77" spans="1:12" s="62" customFormat="1" ht="39.75" hidden="1" customHeight="1">
      <c r="A77" s="260" t="s">
        <v>274</v>
      </c>
      <c r="B77" s="252"/>
      <c r="C77" s="258"/>
      <c r="D77" s="247" t="e">
        <f>VLOOKUP(A77,'1.5 Opbouw uurtarieven'!$A$12:$C$36,2,FALSE)</f>
        <v>#N/A</v>
      </c>
      <c r="J77" s="248"/>
      <c r="K77" s="264"/>
      <c r="L77" s="249"/>
    </row>
    <row r="78" spans="1:12" hidden="1">
      <c r="D78" s="229" t="s">
        <v>168</v>
      </c>
      <c r="E78" s="154">
        <v>0</v>
      </c>
      <c r="F78" s="39">
        <f>IF(H78=0,0,H78/G78)</f>
        <v>0</v>
      </c>
      <c r="G78" s="40">
        <f>'1.4-Premies en opslagen'!$C$56</f>
        <v>0</v>
      </c>
      <c r="H78" s="39">
        <f>E78*$H$75</f>
        <v>0</v>
      </c>
      <c r="I78" s="41" t="e">
        <f>(VLOOKUP(A77,'1.5 Opbouw uurtarieven'!$A$12:$AU$36,44,FALSE)*'1.1a-Jaarprijzen'!H210)+(VLOOKUP(A77,'1.5 Opbouw uurtarieven'!$A$12:$AU$36,44,FALSE))</f>
        <v>#N/A</v>
      </c>
      <c r="J78" s="42" t="e">
        <f>I78*H78</f>
        <v>#N/A</v>
      </c>
      <c r="K78" s="264"/>
    </row>
    <row r="79" spans="1:12" hidden="1">
      <c r="D79" s="229"/>
      <c r="E79" s="62"/>
      <c r="F79" s="39"/>
      <c r="G79" s="40"/>
      <c r="H79" s="153"/>
      <c r="I79" s="41"/>
      <c r="J79" s="42"/>
      <c r="K79" s="264"/>
    </row>
    <row r="80" spans="1:12" s="62" customFormat="1" ht="39.75" hidden="1" customHeight="1">
      <c r="A80" s="260"/>
      <c r="B80" s="252"/>
      <c r="C80" s="258"/>
      <c r="D80" s="247">
        <f>VLOOKUP(A80,'1.5 Opbouw uurtarieven'!$A$12:$C$36,2,FALSE)</f>
        <v>0</v>
      </c>
      <c r="J80" s="248"/>
      <c r="K80" s="264"/>
      <c r="L80" s="249"/>
    </row>
    <row r="81" spans="1:12" hidden="1">
      <c r="D81" s="229" t="s">
        <v>168</v>
      </c>
      <c r="E81" s="154">
        <v>0</v>
      </c>
      <c r="F81" s="39">
        <f>IF(H81=0,0,H81/G81)</f>
        <v>0</v>
      </c>
      <c r="G81" s="40">
        <f>'1.4-Premies en opslagen'!$C$56</f>
        <v>0</v>
      </c>
      <c r="H81" s="39">
        <f>E81*$H$75</f>
        <v>0</v>
      </c>
      <c r="I81" s="41">
        <f>(VLOOKUP(A80,'1.5 Opbouw uurtarieven'!$A$12:$AU$36,44,FALSE)*'1.1a-Jaarprijzen'!H213)+(VLOOKUP(A80,'1.5 Opbouw uurtarieven'!$A$12:$AU$36,44,FALSE))</f>
        <v>0</v>
      </c>
      <c r="J81" s="42">
        <f>I81*H81</f>
        <v>0</v>
      </c>
      <c r="K81" s="264"/>
    </row>
    <row r="82" spans="1:12" hidden="1">
      <c r="D82" s="229"/>
      <c r="E82" s="38"/>
      <c r="F82" s="39"/>
      <c r="G82" s="40"/>
      <c r="H82" s="153"/>
      <c r="I82" s="41"/>
      <c r="J82" s="42"/>
      <c r="K82" s="264"/>
    </row>
    <row r="83" spans="1:12" s="62" customFormat="1" ht="39.75" hidden="1" customHeight="1">
      <c r="A83" s="260" t="s">
        <v>263</v>
      </c>
      <c r="B83" s="252"/>
      <c r="C83" s="258"/>
      <c r="D83" s="247" t="str">
        <f>VLOOKUP(A83,'1.5 Opbouw uurtarieven'!$A$12:$C$36,2,FALSE)</f>
        <v xml:space="preserve">21.01 Objectleider (algemeen schoonmaakonderhoud) </v>
      </c>
      <c r="J83" s="248"/>
      <c r="K83" s="264"/>
      <c r="L83" s="249"/>
    </row>
    <row r="84" spans="1:12" hidden="1">
      <c r="D84" s="229" t="s">
        <v>168</v>
      </c>
      <c r="E84" s="193">
        <v>0</v>
      </c>
      <c r="F84" s="44">
        <f>IF(H84=0,0,H84/G84)</f>
        <v>0</v>
      </c>
      <c r="G84" s="40">
        <f>'1.4-Premies en opslagen'!$C$56</f>
        <v>0</v>
      </c>
      <c r="H84" s="44">
        <f>E84*$H$75</f>
        <v>0</v>
      </c>
      <c r="I84" s="41">
        <f>(VLOOKUP(A83,'1.5 Opbouw uurtarieven'!$A$12:$AU$36,44,FALSE)*'1.1a-Jaarprijzen'!H216)+(VLOOKUP(A83,'1.5 Opbouw uurtarieven'!$A$12:$AU$36,44,FALSE))</f>
        <v>0</v>
      </c>
      <c r="J84" s="45">
        <f>I84*H84</f>
        <v>0</v>
      </c>
      <c r="K84" s="264"/>
    </row>
    <row r="85" spans="1:12" hidden="1">
      <c r="D85" s="228"/>
      <c r="E85" s="47">
        <f>E84+E81+E78</f>
        <v>0</v>
      </c>
      <c r="F85" s="48">
        <f>SUM(F78:F84)</f>
        <v>0</v>
      </c>
      <c r="G85" s="37"/>
      <c r="H85" s="48">
        <f>SUM(H78:H84)</f>
        <v>0</v>
      </c>
      <c r="I85" s="49"/>
      <c r="J85" s="50" t="e">
        <f>SUM(J78:J84)</f>
        <v>#N/A</v>
      </c>
      <c r="K85" s="264"/>
      <c r="L85" s="212">
        <f>IF(H85=0,0,J85/H85)</f>
        <v>0</v>
      </c>
    </row>
    <row r="86" spans="1:12">
      <c r="D86" s="228"/>
      <c r="E86" s="52"/>
      <c r="F86" s="48"/>
      <c r="G86" s="37"/>
      <c r="H86" s="48"/>
      <c r="I86" s="49"/>
      <c r="J86" s="194"/>
      <c r="K86" s="264"/>
      <c r="L86" s="43"/>
    </row>
    <row r="87" spans="1:12">
      <c r="D87" s="228" t="s">
        <v>192</v>
      </c>
      <c r="E87" s="52"/>
      <c r="F87" s="48"/>
      <c r="G87" s="37"/>
      <c r="H87" s="48"/>
      <c r="I87" s="49"/>
      <c r="J87" s="50">
        <f>'1.6-Machine-investeringskosten'!E152</f>
        <v>0</v>
      </c>
      <c r="L87" s="43"/>
    </row>
    <row r="88" spans="1:12">
      <c r="D88" s="228"/>
      <c r="E88" s="52"/>
      <c r="F88" s="48"/>
      <c r="G88" s="37"/>
      <c r="H88" s="48"/>
      <c r="I88" s="49"/>
      <c r="J88" s="50"/>
    </row>
    <row r="89" spans="1:12">
      <c r="D89" s="228"/>
      <c r="E89" s="52"/>
      <c r="F89" s="48"/>
      <c r="G89" s="37"/>
      <c r="I89" s="48" t="s">
        <v>322</v>
      </c>
      <c r="J89" s="50">
        <f>J62+J87</f>
        <v>0</v>
      </c>
      <c r="L89" s="545" t="e">
        <f>J89/H29</f>
        <v>#DIV/0!</v>
      </c>
    </row>
    <row r="90" spans="1:12">
      <c r="D90" s="228"/>
      <c r="E90" s="52"/>
      <c r="F90" s="48"/>
      <c r="G90" s="37"/>
      <c r="H90" s="48"/>
      <c r="I90" s="49"/>
      <c r="J90" s="50"/>
    </row>
    <row r="91" spans="1:12">
      <c r="D91" s="228" t="s">
        <v>239</v>
      </c>
      <c r="E91" s="52"/>
      <c r="F91" s="48"/>
      <c r="G91" s="37"/>
      <c r="H91" s="48"/>
      <c r="I91" s="49"/>
      <c r="J91" s="50"/>
    </row>
    <row r="92" spans="1:12">
      <c r="D92" s="228"/>
      <c r="E92" s="52"/>
      <c r="F92" s="48"/>
      <c r="G92" s="37"/>
      <c r="H92" s="48"/>
      <c r="I92" s="49"/>
      <c r="J92" s="50"/>
    </row>
    <row r="93" spans="1:12" s="33" customFormat="1" ht="16">
      <c r="A93" s="253"/>
      <c r="B93" s="252"/>
      <c r="C93" s="256"/>
      <c r="D93" s="218" t="s">
        <v>265</v>
      </c>
      <c r="E93" s="218"/>
      <c r="F93" s="218"/>
      <c r="G93" s="218"/>
      <c r="H93" s="218"/>
      <c r="I93" s="218"/>
      <c r="J93" s="219"/>
      <c r="K93" s="262"/>
    </row>
    <row r="94" spans="1:12">
      <c r="D94" s="228"/>
      <c r="E94" s="49"/>
      <c r="F94" s="209"/>
      <c r="G94" s="195"/>
      <c r="H94" s="209"/>
      <c r="I94" s="49"/>
      <c r="J94" s="49"/>
    </row>
    <row r="95" spans="1:12">
      <c r="D95" s="228"/>
      <c r="E95" s="49"/>
      <c r="F95" s="209" t="s">
        <v>240</v>
      </c>
      <c r="G95" s="195"/>
      <c r="H95" s="209" t="s">
        <v>275</v>
      </c>
      <c r="I95" s="49"/>
      <c r="J95" s="49"/>
      <c r="L95" s="43"/>
    </row>
    <row r="96" spans="1:12">
      <c r="D96" s="229" t="s">
        <v>315</v>
      </c>
      <c r="E96" s="49"/>
      <c r="F96" s="408"/>
      <c r="G96" s="54"/>
      <c r="H96" s="42"/>
      <c r="I96" s="42"/>
      <c r="J96" s="42"/>
      <c r="L96" s="545" t="e">
        <f>J87/H29</f>
        <v>#DIV/0!</v>
      </c>
    </row>
    <row r="97" spans="1:15">
      <c r="D97" s="38" t="s">
        <v>316</v>
      </c>
      <c r="E97" s="49"/>
      <c r="F97" s="408"/>
      <c r="G97" s="54"/>
      <c r="H97" s="42"/>
      <c r="I97" s="55"/>
      <c r="J97" s="42"/>
      <c r="L97" s="545"/>
    </row>
    <row r="98" spans="1:15">
      <c r="D98" s="38" t="s">
        <v>317</v>
      </c>
      <c r="E98" s="49"/>
      <c r="F98" s="36"/>
      <c r="G98" s="40"/>
      <c r="H98" s="55"/>
      <c r="I98" s="55"/>
      <c r="J98" s="42">
        <v>0</v>
      </c>
      <c r="L98" s="545" t="e">
        <f>J89/H29</f>
        <v>#DIV/0!</v>
      </c>
      <c r="M98" s="201"/>
      <c r="N98" s="43"/>
      <c r="O98" s="201"/>
    </row>
    <row r="99" spans="1:15"/>
    <row r="100" spans="1:15">
      <c r="D100" s="46"/>
      <c r="E100" s="49"/>
      <c r="F100" s="49"/>
      <c r="G100" s="49"/>
      <c r="H100" s="49"/>
      <c r="I100" s="49"/>
      <c r="J100" s="49"/>
    </row>
    <row r="101" spans="1:15">
      <c r="D101" s="46"/>
      <c r="E101" s="49"/>
      <c r="F101" s="49"/>
      <c r="G101" s="49"/>
      <c r="H101" s="49"/>
      <c r="I101" s="49"/>
      <c r="J101" s="49"/>
    </row>
    <row r="102" spans="1:15">
      <c r="G102" s="56" t="s">
        <v>6</v>
      </c>
      <c r="I102" s="57"/>
      <c r="J102" s="58">
        <f>SUM(J89:J100)</f>
        <v>0</v>
      </c>
      <c r="M102" s="201"/>
      <c r="O102" s="43"/>
    </row>
    <row r="103" spans="1:15">
      <c r="G103" s="35" t="s">
        <v>7</v>
      </c>
      <c r="I103" s="59">
        <v>0.21</v>
      </c>
      <c r="J103" s="45">
        <f>I103*J102</f>
        <v>0</v>
      </c>
    </row>
    <row r="104" spans="1:15">
      <c r="G104" s="35" t="s">
        <v>177</v>
      </c>
      <c r="I104" s="27" t="s">
        <v>190</v>
      </c>
      <c r="J104" s="42">
        <f>J103+J102</f>
        <v>0</v>
      </c>
      <c r="M104" s="201"/>
      <c r="N104" s="43"/>
      <c r="O104" s="43"/>
    </row>
    <row r="105" spans="1:15">
      <c r="D105" s="46"/>
      <c r="E105" s="49"/>
      <c r="F105" s="49"/>
      <c r="G105" s="49"/>
      <c r="H105" s="49"/>
      <c r="I105" s="49"/>
      <c r="J105" s="42"/>
    </row>
    <row r="106" spans="1:15">
      <c r="J106" s="53"/>
    </row>
    <row r="107" spans="1:15"/>
    <row r="108" spans="1:15" s="33" customFormat="1" ht="16">
      <c r="A108" s="253"/>
      <c r="B108" s="252"/>
      <c r="C108" s="256"/>
      <c r="D108" s="218" t="s">
        <v>266</v>
      </c>
      <c r="E108" s="218"/>
      <c r="F108" s="218"/>
      <c r="G108" s="218"/>
      <c r="H108" s="218"/>
      <c r="I108" s="218"/>
      <c r="J108" s="219"/>
      <c r="K108" s="262"/>
    </row>
    <row r="109" spans="1:15"/>
    <row r="110" spans="1:15"/>
    <row r="111" spans="1:15" s="221" customFormat="1" ht="39">
      <c r="A111" s="254"/>
      <c r="B111" s="252"/>
      <c r="C111" s="257"/>
      <c r="D111" s="222" t="s">
        <v>211</v>
      </c>
      <c r="E111" s="223" t="s">
        <v>129</v>
      </c>
      <c r="F111" s="224" t="s">
        <v>364</v>
      </c>
      <c r="G111" s="224" t="s">
        <v>243</v>
      </c>
      <c r="H111" s="224" t="s">
        <v>209</v>
      </c>
      <c r="I111" s="224" t="s">
        <v>63</v>
      </c>
      <c r="J111" s="224" t="s">
        <v>90</v>
      </c>
      <c r="K111" s="263"/>
    </row>
    <row r="112" spans="1:15" s="62" customFormat="1" ht="21" customHeight="1">
      <c r="A112" s="255"/>
      <c r="B112" s="252"/>
      <c r="C112" s="258"/>
      <c r="D112" s="230" t="s">
        <v>26</v>
      </c>
      <c r="E112" s="231"/>
      <c r="F112" s="231"/>
      <c r="G112" s="232"/>
      <c r="H112" s="232"/>
      <c r="I112" s="232"/>
      <c r="J112" s="232"/>
      <c r="K112" s="264"/>
    </row>
    <row r="113" spans="1:256" s="62" customFormat="1" ht="39.75" customHeight="1">
      <c r="A113" s="260">
        <v>0</v>
      </c>
      <c r="B113" s="259"/>
      <c r="C113" s="258"/>
      <c r="D113" s="247">
        <f>VLOOKUP(A113,'1.5 Opbouw uurtarieven'!$A$12:$C$46,2,FALSE)</f>
        <v>0</v>
      </c>
      <c r="J113" s="248"/>
      <c r="K113" s="264"/>
    </row>
    <row r="114" spans="1:256">
      <c r="D114" s="38" t="s">
        <v>219</v>
      </c>
      <c r="E114" s="154">
        <v>0</v>
      </c>
      <c r="F114" s="39">
        <f>H114/G114</f>
        <v>0</v>
      </c>
      <c r="G114" s="40">
        <v>2</v>
      </c>
      <c r="H114" s="39">
        <f>$H$127*E114</f>
        <v>0</v>
      </c>
      <c r="I114" s="41">
        <f>(VLOOKUP(A113,'1.5 Opbouw uurtarieven'!$A$12:$AU$46,41,FALSE)*'1.1a-Jaarprijzen'!$C$149)+(VLOOKUP(A113,'1.5 Opbouw uurtarieven'!$A$12:$AU$46,41,FALSE))</f>
        <v>0</v>
      </c>
      <c r="J114" s="42">
        <f>I114*H114</f>
        <v>0</v>
      </c>
    </row>
    <row r="115" spans="1:256">
      <c r="D115" s="38"/>
      <c r="E115" s="38"/>
      <c r="F115" s="38"/>
      <c r="G115" s="38"/>
      <c r="H115" s="38"/>
      <c r="I115" s="38"/>
      <c r="J115" s="38"/>
      <c r="K115" s="265"/>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row>
    <row r="116" spans="1:256" s="62" customFormat="1" ht="39.75" customHeight="1">
      <c r="A116" s="260">
        <v>0</v>
      </c>
      <c r="B116" s="259"/>
      <c r="C116" s="258"/>
      <c r="D116" s="247">
        <f>VLOOKUP(A116,'1.5 Opbouw uurtarieven'!$A$12:$C$46,2,FALSE)</f>
        <v>0</v>
      </c>
      <c r="J116" s="248"/>
      <c r="K116" s="264"/>
    </row>
    <row r="117" spans="1:256">
      <c r="D117" s="38" t="s">
        <v>219</v>
      </c>
      <c r="E117" s="154">
        <v>0</v>
      </c>
      <c r="F117" s="39">
        <f>H117/G117</f>
        <v>0</v>
      </c>
      <c r="G117" s="40">
        <v>2</v>
      </c>
      <c r="H117" s="39">
        <f>$H$127*E117</f>
        <v>0</v>
      </c>
      <c r="I117" s="41">
        <f>(VLOOKUP(A116,'1.5 Opbouw uurtarieven'!$A$12:$AU$46,41,FALSE)*'1.1a-Jaarprijzen'!$C$149)+(VLOOKUP(A116,'1.5 Opbouw uurtarieven'!$A$12:$AU$46,41,FALSE))</f>
        <v>0</v>
      </c>
      <c r="J117" s="42">
        <f>I117*H117</f>
        <v>0</v>
      </c>
    </row>
    <row r="118" spans="1:256">
      <c r="D118" s="38"/>
      <c r="E118" s="38"/>
      <c r="F118" s="38"/>
      <c r="G118" s="38"/>
      <c r="H118" s="38"/>
      <c r="I118" s="38"/>
      <c r="J118" s="38"/>
      <c r="K118" s="265"/>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62" customFormat="1" ht="39.75" customHeight="1">
      <c r="A119" s="260">
        <v>0</v>
      </c>
      <c r="B119" s="259"/>
      <c r="C119" s="258"/>
      <c r="D119" s="247">
        <f>VLOOKUP(A119,'1.5 Opbouw uurtarieven'!$A$12:$C$46,2,FALSE)</f>
        <v>0</v>
      </c>
      <c r="J119" s="248"/>
      <c r="K119" s="264"/>
    </row>
    <row r="120" spans="1:256">
      <c r="D120" s="38" t="s">
        <v>219</v>
      </c>
      <c r="E120" s="154">
        <v>0</v>
      </c>
      <c r="F120" s="39">
        <f>H120/G120</f>
        <v>0</v>
      </c>
      <c r="G120" s="40">
        <v>2</v>
      </c>
      <c r="H120" s="39">
        <f>$H$127*E120</f>
        <v>0</v>
      </c>
      <c r="I120" s="41">
        <f>(VLOOKUP(A119,'1.5 Opbouw uurtarieven'!$A$12:$AU$46,41,FALSE)*'1.1a-Jaarprijzen'!$C$149)+(VLOOKUP(A119,'1.5 Opbouw uurtarieven'!$A$12:$AU$46,41,FALSE))</f>
        <v>0</v>
      </c>
      <c r="J120" s="42">
        <f>I120*H120</f>
        <v>0</v>
      </c>
    </row>
    <row r="121" spans="1:256">
      <c r="D121" s="38"/>
      <c r="E121" s="38"/>
      <c r="F121" s="38"/>
      <c r="G121" s="38"/>
      <c r="H121" s="38"/>
      <c r="I121" s="38"/>
      <c r="J121" s="38"/>
      <c r="K121" s="265"/>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row>
    <row r="122" spans="1:256" s="62" customFormat="1" ht="39.75" customHeight="1">
      <c r="A122" s="260">
        <v>0</v>
      </c>
      <c r="B122" s="252"/>
      <c r="C122" s="258"/>
      <c r="D122" s="247">
        <f>VLOOKUP(A122,'1.5 Opbouw uurtarieven'!$A$12:$C$46,2,FALSE)</f>
        <v>0</v>
      </c>
      <c r="J122" s="248"/>
      <c r="K122" s="264"/>
    </row>
    <row r="123" spans="1:256">
      <c r="D123" s="38" t="s">
        <v>219</v>
      </c>
      <c r="E123" s="154"/>
      <c r="F123" s="39">
        <f>H123/G123</f>
        <v>0</v>
      </c>
      <c r="G123" s="40">
        <v>2</v>
      </c>
      <c r="H123" s="39">
        <f>$H$127*E123</f>
        <v>0</v>
      </c>
      <c r="I123" s="41">
        <f>(VLOOKUP(A122,'1.5 Opbouw uurtarieven'!$A$12:$AU$46,41,FALSE)*'1.1a-Jaarprijzen'!$C$149)+(VLOOKUP(A122,'1.5 Opbouw uurtarieven'!$A$12:$AU$46,41,FALSE))</f>
        <v>0</v>
      </c>
      <c r="J123" s="42">
        <f>I123*H123</f>
        <v>0</v>
      </c>
    </row>
    <row r="124" spans="1:256">
      <c r="D124" s="38"/>
      <c r="E124" s="38"/>
      <c r="F124" s="38"/>
      <c r="G124" s="38"/>
      <c r="H124" s="38"/>
      <c r="I124" s="38"/>
      <c r="J124" s="38"/>
      <c r="K124" s="265"/>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row>
    <row r="125" spans="1:256" s="62" customFormat="1" ht="39.75" customHeight="1">
      <c r="A125" s="260">
        <v>0</v>
      </c>
      <c r="B125" s="252"/>
      <c r="C125" s="258"/>
      <c r="D125" s="247">
        <f>VLOOKUP(A125,'1.5 Opbouw uurtarieven'!$A$12:$C$46,2,FALSE)</f>
        <v>0</v>
      </c>
      <c r="J125" s="248"/>
      <c r="K125" s="264"/>
    </row>
    <row r="126" spans="1:256">
      <c r="D126" s="38" t="s">
        <v>219</v>
      </c>
      <c r="E126" s="193">
        <v>0</v>
      </c>
      <c r="F126" s="44">
        <f>H126/G126</f>
        <v>0</v>
      </c>
      <c r="G126" s="40">
        <v>2</v>
      </c>
      <c r="H126" s="39">
        <f>$H$127*E126</f>
        <v>0</v>
      </c>
      <c r="I126" s="41">
        <f>(VLOOKUP(A125,'1.5 Opbouw uurtarieven'!$A$12:$AU$46,41,FALSE)*'1.1a-Jaarprijzen'!$C$149)+(VLOOKUP(A125,'1.5 Opbouw uurtarieven'!$A$12:$AU$46,41,FALSE))</f>
        <v>0</v>
      </c>
      <c r="J126" s="45">
        <f>I126*H126</f>
        <v>0</v>
      </c>
    </row>
    <row r="127" spans="1:256" s="62" customFormat="1" ht="18" customHeight="1">
      <c r="A127" s="827">
        <f>IF(E127&gt;=100%,"Totaal productie-uren, maximaal 100%",0)</f>
        <v>0</v>
      </c>
      <c r="B127" s="252"/>
      <c r="C127" s="258"/>
      <c r="D127" s="230"/>
      <c r="E127" s="235">
        <f>E126+E123+E120+E117+E114</f>
        <v>0</v>
      </c>
      <c r="F127" s="236">
        <f>SUM(F114:F126)</f>
        <v>0</v>
      </c>
      <c r="G127" s="232"/>
      <c r="H127" s="803">
        <f>SUM('1.9-Glasbewassing'!Q16:T93)</f>
        <v>0</v>
      </c>
      <c r="I127" s="231">
        <v>0</v>
      </c>
      <c r="J127" s="237">
        <f>SUM(J114:J126)</f>
        <v>0</v>
      </c>
      <c r="K127" s="264"/>
      <c r="L127" s="498">
        <f>IF(H127=0,0,J127/H127)</f>
        <v>0</v>
      </c>
    </row>
    <row r="128" spans="1:256" s="62" customFormat="1" ht="21" customHeight="1">
      <c r="A128" s="828"/>
      <c r="B128" s="252"/>
      <c r="C128" s="258"/>
      <c r="D128" s="230" t="s">
        <v>94</v>
      </c>
      <c r="G128" s="232"/>
      <c r="H128" s="232"/>
      <c r="I128" s="232"/>
      <c r="J128" s="232"/>
      <c r="K128" s="264"/>
      <c r="L128" s="233"/>
    </row>
    <row r="129" spans="1:256" s="62" customFormat="1" ht="39.75" customHeight="1">
      <c r="A129" s="260">
        <v>0</v>
      </c>
      <c r="B129" s="252"/>
      <c r="C129" s="258"/>
      <c r="D129" s="247">
        <f>VLOOKUP(A129,'1.5 Opbouw uurtarieven'!$A$12:$C$46,2,FALSE)</f>
        <v>0</v>
      </c>
      <c r="J129" s="248"/>
      <c r="K129" s="264"/>
      <c r="L129" s="249"/>
    </row>
    <row r="130" spans="1:256">
      <c r="D130" s="229" t="s">
        <v>219</v>
      </c>
      <c r="E130" s="154">
        <v>0</v>
      </c>
      <c r="F130" s="39">
        <f>H130/G130</f>
        <v>0</v>
      </c>
      <c r="G130" s="40">
        <v>2</v>
      </c>
      <c r="H130" s="39">
        <f>$H$127*E130</f>
        <v>0</v>
      </c>
      <c r="I130" s="41">
        <f>(VLOOKUP(A129,'1.5 Opbouw uurtarieven'!$A$12:$AU$46,41,FALSE)*'1.1a-Jaarprijzen'!$C$149)+(VLOOKUP(A129,'1.5 Opbouw uurtarieven'!$A$12:$AU$46,41,FALSE))</f>
        <v>0</v>
      </c>
      <c r="J130" s="42">
        <f>I130*H130</f>
        <v>0</v>
      </c>
    </row>
    <row r="131" spans="1:256">
      <c r="D131" s="229"/>
      <c r="E131" s="62"/>
      <c r="F131" s="39"/>
      <c r="G131" s="40"/>
      <c r="H131" s="39"/>
      <c r="I131" s="41"/>
      <c r="J131" s="42"/>
    </row>
    <row r="132" spans="1:256" s="62" customFormat="1" ht="39.75" customHeight="1">
      <c r="A132" s="260">
        <v>0</v>
      </c>
      <c r="B132" s="252"/>
      <c r="C132" s="258"/>
      <c r="D132" s="247">
        <f>VLOOKUP(A132,'1.5 Opbouw uurtarieven'!$A$12:$C$46,2,FALSE)</f>
        <v>0</v>
      </c>
      <c r="J132" s="248"/>
      <c r="K132" s="264"/>
      <c r="L132" s="249"/>
    </row>
    <row r="133" spans="1:256">
      <c r="D133" s="229" t="s">
        <v>219</v>
      </c>
      <c r="E133" s="154">
        <v>0</v>
      </c>
      <c r="F133" s="39">
        <f>H133/G133</f>
        <v>0</v>
      </c>
      <c r="G133" s="40">
        <v>2</v>
      </c>
      <c r="H133" s="39">
        <f>$H$127*E133</f>
        <v>0</v>
      </c>
      <c r="I133" s="41">
        <f>(VLOOKUP(A132,'1.5 Opbouw uurtarieven'!$A$12:$AU$46,41,FALSE)*'1.1a-Jaarprijzen'!$C$149)+(VLOOKUP(A132,'1.5 Opbouw uurtarieven'!$A$12:$AU$46,41,FALSE))</f>
        <v>0</v>
      </c>
      <c r="J133" s="42">
        <f>I133*H133</f>
        <v>0</v>
      </c>
    </row>
    <row r="134" spans="1:256">
      <c r="D134" s="229"/>
      <c r="E134" s="38"/>
      <c r="F134" s="38"/>
      <c r="G134" s="38"/>
      <c r="H134" s="38"/>
      <c r="I134" s="38"/>
      <c r="J134" s="38"/>
      <c r="K134" s="265"/>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row>
    <row r="135" spans="1:256" s="62" customFormat="1" ht="39.75" customHeight="1">
      <c r="A135" s="260">
        <v>0</v>
      </c>
      <c r="B135" s="252"/>
      <c r="C135" s="258"/>
      <c r="D135" s="247">
        <f>VLOOKUP(A135,'1.5 Opbouw uurtarieven'!$A$12:$C$46,2,FALSE)</f>
        <v>0</v>
      </c>
      <c r="J135" s="248"/>
      <c r="K135" s="264"/>
    </row>
    <row r="136" spans="1:256">
      <c r="D136" s="229" t="s">
        <v>219</v>
      </c>
      <c r="E136" s="193"/>
      <c r="F136" s="44">
        <f>H136/G136</f>
        <v>0</v>
      </c>
      <c r="G136" s="40">
        <v>2</v>
      </c>
      <c r="H136" s="39">
        <f>$H$127*E136</f>
        <v>0</v>
      </c>
      <c r="I136" s="41">
        <f>(VLOOKUP(A135,'1.5 Opbouw uurtarieven'!$A$12:$AU$46,41,FALSE)*'1.1a-Jaarprijzen'!$C$149)+(VLOOKUP(A135,'1.5 Opbouw uurtarieven'!$A$12:$AU$46,41,FALSE))</f>
        <v>0</v>
      </c>
      <c r="J136" s="45">
        <f>I136*H136</f>
        <v>0</v>
      </c>
    </row>
    <row r="137" spans="1:256">
      <c r="D137" s="229"/>
      <c r="E137" s="47">
        <f>E136+E133+E130</f>
        <v>0</v>
      </c>
      <c r="F137" s="48">
        <f>SUM(F130:F136)</f>
        <v>0</v>
      </c>
      <c r="G137" s="37"/>
      <c r="H137" s="804">
        <f>SUM(H130:H136)</f>
        <v>0</v>
      </c>
      <c r="I137" s="38"/>
      <c r="J137" s="50">
        <f>SUM(J130:J136)</f>
        <v>0</v>
      </c>
      <c r="K137" s="38"/>
      <c r="L137" s="498">
        <f>IF(H127=0,0,J139/H127)</f>
        <v>0</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row>
    <row r="138" spans="1:256">
      <c r="D138" s="229"/>
      <c r="E138" s="47"/>
      <c r="F138" s="48"/>
      <c r="G138" s="37"/>
      <c r="H138" s="48"/>
      <c r="I138" s="38"/>
      <c r="J138" s="50"/>
      <c r="K138" s="38"/>
      <c r="L138" s="49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row>
    <row r="139" spans="1:256">
      <c r="D139" s="229"/>
      <c r="E139" s="47"/>
      <c r="F139" s="48"/>
      <c r="G139" s="37"/>
      <c r="H139" s="48"/>
      <c r="I139" s="38"/>
      <c r="J139" s="50">
        <f>J137+J127</f>
        <v>0</v>
      </c>
      <c r="K139" s="38"/>
      <c r="L139" s="49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row>
    <row r="140" spans="1:256">
      <c r="D140" s="229"/>
      <c r="E140" s="47"/>
      <c r="F140" s="48"/>
      <c r="G140" s="37"/>
      <c r="H140" s="48"/>
      <c r="I140" s="38"/>
      <c r="J140" s="50"/>
      <c r="K140" s="38"/>
      <c r="L140" s="49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row>
    <row r="141" spans="1:256">
      <c r="D141" s="228" t="s">
        <v>362</v>
      </c>
      <c r="E141" s="47"/>
      <c r="F141" s="48"/>
      <c r="G141" s="37"/>
      <c r="H141" s="48"/>
      <c r="I141" s="38"/>
      <c r="J141" s="50"/>
      <c r="K141" s="38"/>
      <c r="L141" s="49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row>
    <row r="142" spans="1:256">
      <c r="D142" s="228"/>
      <c r="E142" s="52"/>
      <c r="F142" s="48"/>
      <c r="G142" s="37"/>
      <c r="H142" s="48"/>
      <c r="I142" s="49"/>
      <c r="J142" s="194"/>
      <c r="K142" s="264"/>
      <c r="L142" s="43"/>
    </row>
    <row r="143" spans="1:256">
      <c r="D143" s="35" t="s">
        <v>363</v>
      </c>
      <c r="E143" s="52"/>
      <c r="G143" s="37"/>
      <c r="H143" s="48"/>
      <c r="I143" s="49"/>
      <c r="J143" s="50">
        <f>SUM('1.9-Glasbewassing'!AD12:AD261)</f>
        <v>0</v>
      </c>
      <c r="L143" s="43"/>
    </row>
    <row r="144" spans="1:256">
      <c r="D144" s="228"/>
      <c r="E144" s="52"/>
      <c r="F144" s="48"/>
      <c r="G144" s="37"/>
      <c r="H144" s="48"/>
      <c r="I144" s="49"/>
      <c r="J144" s="50"/>
    </row>
    <row r="145" spans="1:12">
      <c r="D145" s="829" t="s">
        <v>1446</v>
      </c>
      <c r="F145" s="455">
        <f>SUM('1.9-Glasbewassing'!AH:AH)</f>
        <v>13561</v>
      </c>
      <c r="G145" s="27" t="s">
        <v>323</v>
      </c>
    </row>
    <row r="146" spans="1:12">
      <c r="D146" s="829"/>
    </row>
    <row r="147" spans="1:12">
      <c r="D147" s="407"/>
    </row>
    <row r="148" spans="1:12"/>
    <row r="149" spans="1:12" s="62" customFormat="1">
      <c r="A149" s="255"/>
      <c r="B149" s="252"/>
      <c r="C149" s="258"/>
      <c r="D149" s="35"/>
      <c r="E149" s="27"/>
      <c r="F149" s="27"/>
      <c r="G149" s="56" t="s">
        <v>6</v>
      </c>
      <c r="H149" s="27"/>
      <c r="I149" s="57"/>
      <c r="J149" s="624">
        <f>J143+J139</f>
        <v>0</v>
      </c>
      <c r="K149" s="261"/>
      <c r="L149" s="404">
        <f>SUM('1.9-Glasbewassing'!AD1:AE102)</f>
        <v>0</v>
      </c>
    </row>
    <row r="150" spans="1:12" s="62" customFormat="1">
      <c r="A150" s="255"/>
      <c r="B150" s="252"/>
      <c r="C150" s="258"/>
      <c r="D150" s="35"/>
      <c r="E150" s="27"/>
      <c r="F150" s="27"/>
      <c r="G150" s="35" t="s">
        <v>7</v>
      </c>
      <c r="H150" s="27"/>
      <c r="I150" s="59">
        <v>0.21</v>
      </c>
      <c r="J150" s="45">
        <f>I150*J149</f>
        <v>0</v>
      </c>
      <c r="K150" s="261"/>
      <c r="L150" s="404"/>
    </row>
    <row r="151" spans="1:12">
      <c r="G151" s="35" t="s">
        <v>177</v>
      </c>
      <c r="I151" s="27" t="s">
        <v>190</v>
      </c>
      <c r="J151" s="42">
        <f>J150+L149</f>
        <v>0</v>
      </c>
      <c r="L151" s="404"/>
    </row>
    <row r="152" spans="1:12">
      <c r="L152" s="404"/>
    </row>
    <row r="153" spans="1:12"/>
    <row r="154" spans="1:12"/>
    <row r="155" spans="1:12"/>
    <row r="156" spans="1:12"/>
    <row r="157" spans="1:12"/>
    <row r="158" spans="1:12"/>
    <row r="159" spans="1:12"/>
    <row r="160" spans="1:12"/>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sheetData>
  <mergeCells count="5">
    <mergeCell ref="A29:A30"/>
    <mergeCell ref="A49:A50"/>
    <mergeCell ref="A75:A76"/>
    <mergeCell ref="A127:A128"/>
    <mergeCell ref="D145:D146"/>
  </mergeCells>
  <phoneticPr fontId="11"/>
  <conditionalFormatting sqref="A29">
    <cfRule type="expression" dxfId="135" priority="49" stopIfTrue="1">
      <formula>$E$29&gt;100%</formula>
    </cfRule>
  </conditionalFormatting>
  <conditionalFormatting sqref="E29 E49">
    <cfRule type="cellIs" dxfId="134" priority="50" stopIfTrue="1" operator="greaterThan">
      <formula>1</formula>
    </cfRule>
  </conditionalFormatting>
  <conditionalFormatting sqref="E22 E25">
    <cfRule type="cellIs" dxfId="133" priority="47" stopIfTrue="1" operator="lessThanOrEqual">
      <formula>0</formula>
    </cfRule>
  </conditionalFormatting>
  <conditionalFormatting sqref="E28">
    <cfRule type="cellIs" dxfId="132" priority="46" stopIfTrue="1" operator="lessThanOrEqual">
      <formula>0</formula>
    </cfRule>
  </conditionalFormatting>
  <conditionalFormatting sqref="E35">
    <cfRule type="cellIs" dxfId="131" priority="45" stopIfTrue="1" operator="lessThanOrEqual">
      <formula>0</formula>
    </cfRule>
  </conditionalFormatting>
  <conditionalFormatting sqref="E38">
    <cfRule type="cellIs" dxfId="130" priority="44" stopIfTrue="1" operator="lessThanOrEqual">
      <formula>0</formula>
    </cfRule>
  </conditionalFormatting>
  <conditionalFormatting sqref="E19">
    <cfRule type="cellIs" dxfId="129" priority="43" stopIfTrue="1" operator="lessThanOrEqual">
      <formula>0</formula>
    </cfRule>
  </conditionalFormatting>
  <conditionalFormatting sqref="E16">
    <cfRule type="cellIs" dxfId="128" priority="42" stopIfTrue="1" operator="lessThanOrEqual">
      <formula>0</formula>
    </cfRule>
  </conditionalFormatting>
  <conditionalFormatting sqref="A49">
    <cfRule type="expression" dxfId="127" priority="40" stopIfTrue="1">
      <formula>$E$48&gt;100%</formula>
    </cfRule>
  </conditionalFormatting>
  <conditionalFormatting sqref="E42">
    <cfRule type="cellIs" dxfId="126" priority="37" stopIfTrue="1" operator="lessThanOrEqual">
      <formula>0</formula>
    </cfRule>
  </conditionalFormatting>
  <conditionalFormatting sqref="E45">
    <cfRule type="cellIs" dxfId="125" priority="36" stopIfTrue="1" operator="lessThanOrEqual">
      <formula>0</formula>
    </cfRule>
  </conditionalFormatting>
  <conditionalFormatting sqref="E48">
    <cfRule type="cellIs" dxfId="124" priority="35" stopIfTrue="1" operator="lessThanOrEqual">
      <formula>0</formula>
    </cfRule>
  </conditionalFormatting>
  <conditionalFormatting sqref="E32">
    <cfRule type="cellIs" dxfId="123" priority="22" stopIfTrue="1" operator="lessThanOrEqual">
      <formula>0</formula>
    </cfRule>
  </conditionalFormatting>
  <conditionalFormatting sqref="E55">
    <cfRule type="cellIs" dxfId="122" priority="21" stopIfTrue="1" operator="lessThanOrEqual">
      <formula>0</formula>
    </cfRule>
  </conditionalFormatting>
  <conditionalFormatting sqref="E58">
    <cfRule type="cellIs" dxfId="121" priority="20" stopIfTrue="1" operator="lessThanOrEqual">
      <formula>0</formula>
    </cfRule>
  </conditionalFormatting>
  <conditionalFormatting sqref="E59:E65">
    <cfRule type="cellIs" dxfId="120" priority="24" stopIfTrue="1" operator="greaterThan">
      <formula>1</formula>
    </cfRule>
  </conditionalFormatting>
  <conditionalFormatting sqref="E52">
    <cfRule type="cellIs" dxfId="119" priority="19" stopIfTrue="1" operator="lessThanOrEqual">
      <formula>0</formula>
    </cfRule>
  </conditionalFormatting>
  <conditionalFormatting sqref="E85">
    <cfRule type="cellIs" dxfId="118" priority="18" stopIfTrue="1" operator="greaterThan">
      <formula>1</formula>
    </cfRule>
  </conditionalFormatting>
  <conditionalFormatting sqref="A75">
    <cfRule type="expression" dxfId="117" priority="17" stopIfTrue="1">
      <formula>$E$48&gt;100%</formula>
    </cfRule>
  </conditionalFormatting>
  <conditionalFormatting sqref="E75">
    <cfRule type="cellIs" dxfId="116" priority="16" stopIfTrue="1" operator="greaterThan">
      <formula>1</formula>
    </cfRule>
  </conditionalFormatting>
  <conditionalFormatting sqref="E68">
    <cfRule type="cellIs" dxfId="115" priority="15" stopIfTrue="1" operator="lessThanOrEqual">
      <formula>0</formula>
    </cfRule>
  </conditionalFormatting>
  <conditionalFormatting sqref="E71">
    <cfRule type="cellIs" dxfId="114" priority="14" stopIfTrue="1" operator="lessThanOrEqual">
      <formula>0</formula>
    </cfRule>
  </conditionalFormatting>
  <conditionalFormatting sqref="E74">
    <cfRule type="cellIs" dxfId="113" priority="13" stopIfTrue="1" operator="lessThanOrEqual">
      <formula>0</formula>
    </cfRule>
  </conditionalFormatting>
  <conditionalFormatting sqref="E84">
    <cfRule type="cellIs" dxfId="112" priority="11" stopIfTrue="1" operator="lessThanOrEqual">
      <formula>0</formula>
    </cfRule>
  </conditionalFormatting>
  <conditionalFormatting sqref="E81">
    <cfRule type="cellIs" dxfId="111" priority="12" stopIfTrue="1" operator="lessThanOrEqual">
      <formula>0</formula>
    </cfRule>
  </conditionalFormatting>
  <conditionalFormatting sqref="E78">
    <cfRule type="cellIs" dxfId="110" priority="10" stopIfTrue="1" operator="lessThanOrEqual">
      <formula>0</formula>
    </cfRule>
  </conditionalFormatting>
  <conditionalFormatting sqref="A127">
    <cfRule type="expression" dxfId="109" priority="8" stopIfTrue="1">
      <formula>$E$29&gt;100%</formula>
    </cfRule>
  </conditionalFormatting>
  <conditionalFormatting sqref="E127">
    <cfRule type="cellIs" dxfId="108" priority="9" stopIfTrue="1" operator="greaterThan">
      <formula>1</formula>
    </cfRule>
  </conditionalFormatting>
  <conditionalFormatting sqref="E120 E123">
    <cfRule type="cellIs" dxfId="107" priority="7" stopIfTrue="1" operator="lessThanOrEqual">
      <formula>0</formula>
    </cfRule>
  </conditionalFormatting>
  <conditionalFormatting sqref="E126">
    <cfRule type="cellIs" dxfId="106" priority="6" stopIfTrue="1" operator="lessThanOrEqual">
      <formula>0</formula>
    </cfRule>
  </conditionalFormatting>
  <conditionalFormatting sqref="E133">
    <cfRule type="cellIs" dxfId="105" priority="5" stopIfTrue="1" operator="lessThanOrEqual">
      <formula>0</formula>
    </cfRule>
  </conditionalFormatting>
  <conditionalFormatting sqref="E136">
    <cfRule type="cellIs" dxfId="104" priority="4" stopIfTrue="1" operator="lessThanOrEqual">
      <formula>0</formula>
    </cfRule>
  </conditionalFormatting>
  <conditionalFormatting sqref="E117">
    <cfRule type="cellIs" dxfId="103" priority="3" stopIfTrue="1" operator="lessThanOrEqual">
      <formula>0</formula>
    </cfRule>
  </conditionalFormatting>
  <conditionalFormatting sqref="E114">
    <cfRule type="cellIs" dxfId="102" priority="2" stopIfTrue="1" operator="lessThanOrEqual">
      <formula>0</formula>
    </cfRule>
  </conditionalFormatting>
  <conditionalFormatting sqref="E130">
    <cfRule type="cellIs" dxfId="101" priority="1" stopIfTrue="1" operator="lessThanOrEqual">
      <formula>0</formula>
    </cfRule>
  </conditionalFormatting>
  <dataValidations count="1">
    <dataValidation type="list" allowBlank="1" showInputMessage="1" showErrorMessage="1" sqref="A135 A18 A21 A15 A24 A27 A31 A34 A37 A113 A116 A122 A129 A125 A132 A119">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06" min="2" max="9"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enableFormatConditionsCalculation="0"/>
  <dimension ref="A1:U377"/>
  <sheetViews>
    <sheetView showGridLines="0" showZeros="0" showOutlineSymbols="0" topLeftCell="A97" zoomScaleSheetLayoutView="75" workbookViewId="0">
      <selection activeCell="I326" sqref="I326:K352"/>
    </sheetView>
  </sheetViews>
  <sheetFormatPr baseColWidth="10" defaultColWidth="0" defaultRowHeight="13" zeroHeight="1" x14ac:dyDescent="0"/>
  <cols>
    <col min="1" max="1" width="3.42578125" customWidth="1"/>
    <col min="2" max="2" width="38.7109375" style="1" bestFit="1" customWidth="1"/>
    <col min="3" max="3" width="22.5703125" style="1" customWidth="1"/>
    <col min="4" max="4" width="16.5703125" style="1" customWidth="1"/>
    <col min="5" max="5" width="12.7109375" style="1" customWidth="1"/>
    <col min="6" max="6" width="15.5703125" style="1" bestFit="1" customWidth="1"/>
    <col min="7" max="7" width="14.42578125" style="1" bestFit="1" customWidth="1"/>
    <col min="8" max="8" width="14" style="1" customWidth="1"/>
    <col min="9" max="9" width="20.7109375" style="1" bestFit="1" customWidth="1"/>
    <col min="10" max="10" width="15.42578125" style="1" customWidth="1"/>
    <col min="11" max="11" width="12.140625" style="1" customWidth="1"/>
    <col min="12" max="12" width="14.7109375" style="1" customWidth="1"/>
    <col min="13" max="13" width="17.5703125" style="1" customWidth="1"/>
    <col min="14" max="14" width="11.140625" style="1" customWidth="1"/>
    <col min="15" max="15" width="12" style="1" hidden="1" customWidth="1"/>
    <col min="16" max="16" width="7" style="1" hidden="1" customWidth="1"/>
    <col min="17" max="17" width="18.5703125" style="1" hidden="1" customWidth="1"/>
    <col min="18" max="18" width="8.42578125" style="1" hidden="1" customWidth="1"/>
    <col min="19" max="19" width="8.42578125" hidden="1" customWidth="1"/>
    <col min="20" max="20" width="7.85546875" hidden="1" customWidth="1"/>
    <col min="21" max="21" width="13" hidden="1" customWidth="1"/>
    <col min="22" max="16384" width="11.42578125" hidden="1"/>
  </cols>
  <sheetData>
    <row r="1" spans="1:20"/>
    <row r="2" spans="1:20" ht="16">
      <c r="B2" s="72" t="str">
        <f>'1.0-Contractblad'!D2</f>
        <v>Naam opdrachtgever</v>
      </c>
      <c r="C2" s="30" t="str">
        <f>'1.0-Contractblad'!E2</f>
        <v>Stichting Altra - Horizon</v>
      </c>
      <c r="D2" s="33"/>
    </row>
    <row r="3" spans="1:20" ht="16">
      <c r="B3" s="72" t="str">
        <f>'1.0-Contractblad'!D3</f>
        <v>Omschrijving blad</v>
      </c>
      <c r="C3" s="72" t="s">
        <v>43</v>
      </c>
      <c r="D3" s="33"/>
    </row>
    <row r="4" spans="1:20" ht="16">
      <c r="B4" s="72" t="str">
        <f>'1.0-Contractblad'!D4</f>
        <v>Adres/plaats</v>
      </c>
      <c r="C4" s="30" t="str">
        <f>'1.0-Contractblad'!E4</f>
        <v>Regio Noord Holland</v>
      </c>
      <c r="D4" s="33"/>
    </row>
    <row r="5" spans="1:20" ht="16">
      <c r="B5" s="72" t="str">
        <f>'1.0-Contractblad'!D5</f>
        <v>Besteknummer</v>
      </c>
      <c r="C5" s="30" t="str">
        <f>'1.0-Contractblad'!E5</f>
        <v>180417 V2</v>
      </c>
      <c r="D5" s="33"/>
    </row>
    <row r="6" spans="1:20" ht="16">
      <c r="B6" s="72" t="str">
        <f>'1.0-Contractblad'!D6</f>
        <v>Naam leverancier</v>
      </c>
      <c r="C6" s="30" t="str">
        <f>'1.0-Contractblad'!E6</f>
        <v>[NAAM LEVERANCIER]</v>
      </c>
      <c r="D6" s="33"/>
      <c r="F6" s="544">
        <f>Voorblad!$E$15</f>
        <v>42917</v>
      </c>
    </row>
    <row r="7" spans="1:20"/>
    <row r="8" spans="1:20" ht="2" customHeight="1"/>
    <row r="9" spans="1:20">
      <c r="S9" s="1"/>
      <c r="T9" s="1"/>
    </row>
    <row r="10" spans="1:20" s="273" customFormat="1" ht="26">
      <c r="A10" s="788"/>
      <c r="B10" s="267" t="s">
        <v>206</v>
      </c>
      <c r="C10" s="267" t="s">
        <v>171</v>
      </c>
      <c r="D10" s="267" t="s">
        <v>432</v>
      </c>
      <c r="E10" s="267" t="s">
        <v>235</v>
      </c>
      <c r="F10" s="267" t="s">
        <v>182</v>
      </c>
      <c r="G10" s="271" t="s">
        <v>121</v>
      </c>
      <c r="H10" s="268" t="s">
        <v>318</v>
      </c>
      <c r="I10" s="268" t="s">
        <v>319</v>
      </c>
      <c r="J10" s="268" t="s">
        <v>388</v>
      </c>
      <c r="K10" s="268" t="s">
        <v>183</v>
      </c>
      <c r="L10" s="268" t="s">
        <v>395</v>
      </c>
      <c r="M10" s="268" t="s">
        <v>394</v>
      </c>
      <c r="N10" s="268"/>
      <c r="O10" s="1"/>
      <c r="P10" s="272"/>
      <c r="Q10" s="272"/>
      <c r="R10" s="272"/>
    </row>
    <row r="11" spans="1:20" hidden="1">
      <c r="A11" s="789"/>
      <c r="B11" s="770"/>
      <c r="C11" s="755"/>
      <c r="D11" s="756"/>
      <c r="E11" s="757"/>
      <c r="F11" s="757"/>
      <c r="G11" s="758"/>
      <c r="H11" s="759"/>
      <c r="I11" s="759"/>
      <c r="J11" s="759"/>
      <c r="K11" s="760"/>
      <c r="L11" s="761"/>
      <c r="M11" s="756"/>
      <c r="N11" s="768"/>
      <c r="O11" s="412"/>
      <c r="P11" s="200"/>
      <c r="Q11" s="200"/>
      <c r="R11" s="200"/>
      <c r="S11" s="520"/>
    </row>
    <row r="12" spans="1:20" hidden="1">
      <c r="A12" s="789"/>
      <c r="B12" s="769"/>
      <c r="C12" s="762"/>
      <c r="D12" s="763"/>
      <c r="E12" s="757"/>
      <c r="F12" s="757"/>
      <c r="G12" s="764"/>
      <c r="H12" s="759"/>
      <c r="I12" s="759"/>
      <c r="J12" s="759"/>
      <c r="K12" s="766"/>
      <c r="L12" s="761"/>
      <c r="M12" s="763"/>
      <c r="N12" s="768"/>
      <c r="O12" s="412"/>
      <c r="P12" s="200"/>
      <c r="Q12" s="200"/>
      <c r="R12" s="200"/>
      <c r="S12" s="520"/>
    </row>
    <row r="13" spans="1:20" hidden="1">
      <c r="A13" s="789"/>
      <c r="B13" s="769"/>
      <c r="C13" s="762"/>
      <c r="D13" s="763"/>
      <c r="E13" s="757"/>
      <c r="F13" s="757"/>
      <c r="G13" s="764"/>
      <c r="H13" s="759"/>
      <c r="I13" s="759"/>
      <c r="J13" s="759"/>
      <c r="K13" s="766"/>
      <c r="L13" s="761"/>
      <c r="M13" s="763"/>
      <c r="N13" s="768"/>
      <c r="O13" s="412"/>
      <c r="P13" s="200"/>
      <c r="Q13" s="200"/>
      <c r="R13" s="200"/>
      <c r="S13" s="520"/>
    </row>
    <row r="14" spans="1:20" hidden="1">
      <c r="A14" s="789"/>
      <c r="B14" s="769"/>
      <c r="C14" s="762"/>
      <c r="D14" s="763"/>
      <c r="E14" s="757"/>
      <c r="F14" s="757"/>
      <c r="G14" s="764"/>
      <c r="H14" s="759"/>
      <c r="I14" s="759"/>
      <c r="J14" s="759"/>
      <c r="K14" s="766"/>
      <c r="L14" s="761"/>
      <c r="M14" s="763"/>
      <c r="N14" s="768"/>
      <c r="O14" s="412"/>
      <c r="P14" s="200"/>
      <c r="Q14" s="200"/>
      <c r="R14" s="200"/>
      <c r="S14" s="520"/>
    </row>
    <row r="15" spans="1:20" hidden="1">
      <c r="A15" s="789"/>
      <c r="B15" s="769"/>
      <c r="C15" s="762"/>
      <c r="D15" s="763"/>
      <c r="E15" s="757"/>
      <c r="F15" s="757"/>
      <c r="G15" s="764"/>
      <c r="H15" s="759"/>
      <c r="I15" s="759"/>
      <c r="J15" s="759"/>
      <c r="K15" s="766"/>
      <c r="L15" s="761"/>
      <c r="M15" s="763"/>
      <c r="N15" s="768"/>
      <c r="O15" s="412"/>
      <c r="P15" s="200"/>
      <c r="Q15" s="200"/>
      <c r="R15" s="200"/>
      <c r="S15" s="520"/>
    </row>
    <row r="16" spans="1:20" hidden="1">
      <c r="A16" s="789"/>
      <c r="B16" s="769"/>
      <c r="C16" s="762"/>
      <c r="D16" s="763"/>
      <c r="E16" s="757"/>
      <c r="F16" s="757"/>
      <c r="G16" s="764"/>
      <c r="H16" s="759"/>
      <c r="I16" s="759"/>
      <c r="J16" s="759"/>
      <c r="K16" s="766"/>
      <c r="L16" s="761"/>
      <c r="M16" s="763"/>
      <c r="N16" s="768"/>
      <c r="O16" s="412"/>
      <c r="P16" s="200"/>
      <c r="Q16" s="200"/>
      <c r="R16" s="200"/>
      <c r="S16" s="520"/>
    </row>
    <row r="17" spans="1:19" hidden="1">
      <c r="A17" s="789"/>
      <c r="B17" s="769"/>
      <c r="C17" s="762"/>
      <c r="D17" s="763"/>
      <c r="E17" s="757"/>
      <c r="F17" s="757"/>
      <c r="G17" s="764"/>
      <c r="H17" s="759"/>
      <c r="I17" s="759"/>
      <c r="J17" s="759"/>
      <c r="K17" s="766"/>
      <c r="L17" s="761"/>
      <c r="M17" s="763"/>
      <c r="N17" s="768"/>
      <c r="O17" s="412"/>
      <c r="P17" s="200"/>
      <c r="Q17" s="200"/>
      <c r="R17" s="200"/>
      <c r="S17" s="520"/>
    </row>
    <row r="18" spans="1:19" hidden="1">
      <c r="A18" s="789"/>
      <c r="B18" s="769"/>
      <c r="C18" s="762"/>
      <c r="D18" s="763"/>
      <c r="E18" s="757"/>
      <c r="F18" s="757"/>
      <c r="G18" s="764"/>
      <c r="H18" s="759"/>
      <c r="I18" s="759"/>
      <c r="J18" s="759"/>
      <c r="K18" s="766"/>
      <c r="L18" s="761"/>
      <c r="M18" s="763"/>
      <c r="N18" s="768"/>
      <c r="O18" s="412"/>
      <c r="P18" s="200"/>
      <c r="Q18" s="200"/>
    </row>
    <row r="19" spans="1:19" hidden="1">
      <c r="A19" s="789"/>
      <c r="B19" s="769"/>
      <c r="C19" s="762"/>
      <c r="D19" s="763"/>
      <c r="E19" s="757"/>
      <c r="F19" s="757"/>
      <c r="G19" s="764"/>
      <c r="H19" s="759"/>
      <c r="I19" s="759"/>
      <c r="J19" s="759"/>
      <c r="K19" s="766"/>
      <c r="L19" s="761"/>
      <c r="M19" s="763"/>
      <c r="N19" s="768"/>
      <c r="O19" s="412"/>
      <c r="P19" s="200"/>
      <c r="Q19" s="200"/>
      <c r="R19" s="200"/>
      <c r="S19" s="520"/>
    </row>
    <row r="20" spans="1:19" hidden="1">
      <c r="A20" s="789"/>
      <c r="B20" s="769"/>
      <c r="C20" s="762"/>
      <c r="D20" s="763"/>
      <c r="E20" s="757"/>
      <c r="F20" s="757"/>
      <c r="G20" s="764"/>
      <c r="H20" s="759"/>
      <c r="I20" s="759"/>
      <c r="J20" s="759"/>
      <c r="K20" s="766"/>
      <c r="L20" s="761"/>
      <c r="M20" s="763"/>
      <c r="N20" s="768"/>
      <c r="O20" s="412"/>
      <c r="P20" s="200"/>
      <c r="Q20" s="200"/>
      <c r="R20" s="200"/>
      <c r="S20" s="520"/>
    </row>
    <row r="21" spans="1:19" hidden="1">
      <c r="A21" s="789"/>
      <c r="B21" s="769"/>
      <c r="C21" s="762"/>
      <c r="D21" s="763"/>
      <c r="E21" s="757"/>
      <c r="F21" s="757"/>
      <c r="G21" s="764"/>
      <c r="H21" s="759"/>
      <c r="I21" s="759"/>
      <c r="J21" s="759"/>
      <c r="K21" s="766"/>
      <c r="L21" s="761"/>
      <c r="M21" s="763"/>
      <c r="N21" s="768"/>
      <c r="O21" s="412"/>
      <c r="P21" s="200"/>
      <c r="Q21" s="200"/>
      <c r="R21" s="200"/>
      <c r="S21" s="520"/>
    </row>
    <row r="22" spans="1:19" hidden="1">
      <c r="A22" s="789"/>
      <c r="B22" s="769"/>
      <c r="C22" s="762"/>
      <c r="D22" s="763"/>
      <c r="E22" s="757"/>
      <c r="F22" s="757"/>
      <c r="G22" s="764"/>
      <c r="H22" s="759"/>
      <c r="I22" s="759"/>
      <c r="J22" s="759"/>
      <c r="K22" s="766"/>
      <c r="L22" s="761"/>
      <c r="M22" s="763"/>
      <c r="N22" s="768"/>
      <c r="O22" s="412"/>
      <c r="P22" s="200"/>
      <c r="Q22" s="200"/>
      <c r="R22" s="200"/>
      <c r="S22" s="520"/>
    </row>
    <row r="23" spans="1:19" hidden="1">
      <c r="A23" s="789"/>
      <c r="B23" s="769"/>
      <c r="C23" s="762"/>
      <c r="D23" s="763"/>
      <c r="E23" s="757"/>
      <c r="F23" s="757"/>
      <c r="G23" s="764"/>
      <c r="H23" s="759"/>
      <c r="I23" s="759"/>
      <c r="J23" s="759"/>
      <c r="K23" s="766"/>
      <c r="L23" s="761"/>
      <c r="M23" s="763"/>
      <c r="N23" s="768"/>
      <c r="O23" s="412"/>
      <c r="P23" s="200"/>
      <c r="Q23" s="200"/>
      <c r="R23" s="200"/>
      <c r="S23" s="520"/>
    </row>
    <row r="24" spans="1:19">
      <c r="A24" s="789">
        <f t="shared" ref="A24" si="0">G24</f>
        <v>3</v>
      </c>
      <c r="B24" s="769" t="s">
        <v>1476</v>
      </c>
      <c r="C24" s="762" t="s">
        <v>1413</v>
      </c>
      <c r="D24" s="763" t="s">
        <v>1484</v>
      </c>
      <c r="E24" s="757">
        <f ca="1">SUMIF('1.3-Basis ruimtestaat'!$D$10:$J$825,'1.1a-Jaarprijzen'!B24,'1.3-Basis ruimtestaat'!$J$10:$J$825)</f>
        <v>1960.8000000000006</v>
      </c>
      <c r="F24" s="757">
        <f ca="1">SUMIF('1.3-Basis ruimtestaat'!D:K,'1.1a-Jaarprijzen'!B24,'1.3-Basis ruimtestaat'!K:K)</f>
        <v>0</v>
      </c>
      <c r="G24" s="764">
        <v>3</v>
      </c>
      <c r="H24" s="759">
        <f t="shared" ref="H24:H43" ca="1" si="1">SUMIF(Totaal2,$B24,UREMAVR)</f>
        <v>0</v>
      </c>
      <c r="I24" s="759">
        <f t="shared" ref="I24:I43" ca="1" si="2">SUMIF(Totaal2,$B24,URENNALOOP)</f>
        <v>0</v>
      </c>
      <c r="J24" s="765">
        <f t="shared" ref="J24" ca="1" si="3">H24/200</f>
        <v>0</v>
      </c>
      <c r="K24" s="766">
        <f ca="1">(H24+I24)*'1.0-Contractblad'!$E$39</f>
        <v>0</v>
      </c>
      <c r="L24" s="761">
        <f>SUMIF('1.9-Glasbewassing'!B:B,'1.1a-Jaarprijzen'!B24,'1.9-Glasbewassing'!AH:AH)</f>
        <v>11494</v>
      </c>
      <c r="M24" s="763" t="s">
        <v>1414</v>
      </c>
      <c r="N24" s="768"/>
      <c r="O24" s="412"/>
      <c r="P24" s="200"/>
      <c r="Q24" s="200"/>
      <c r="R24" s="200"/>
      <c r="S24" s="520"/>
    </row>
    <row r="25" spans="1:19">
      <c r="A25" s="789">
        <f t="shared" ref="A25:A43" si="4">G25</f>
        <v>3</v>
      </c>
      <c r="B25" s="769" t="s">
        <v>1470</v>
      </c>
      <c r="C25" s="762" t="s">
        <v>1413</v>
      </c>
      <c r="D25" s="763" t="s">
        <v>1485</v>
      </c>
      <c r="E25" s="757">
        <f ca="1">SUMIF('1.3-Basis ruimtestaat'!$D$10:$J$825,'1.1a-Jaarprijzen'!B25,'1.3-Basis ruimtestaat'!$J$10:$J$825)</f>
        <v>320.7</v>
      </c>
      <c r="F25" s="757">
        <f ca="1">SUMIF('1.3-Basis ruimtestaat'!D:K,'1.1a-Jaarprijzen'!B25,'1.3-Basis ruimtestaat'!K:K)</f>
        <v>0</v>
      </c>
      <c r="G25" s="764">
        <v>3</v>
      </c>
      <c r="H25" s="759">
        <f t="shared" ca="1" si="1"/>
        <v>0</v>
      </c>
      <c r="I25" s="759">
        <f t="shared" ca="1" si="2"/>
        <v>0</v>
      </c>
      <c r="J25" s="765">
        <f t="shared" ref="J25:J32" ca="1" si="5">H25/200</f>
        <v>0</v>
      </c>
      <c r="K25" s="766">
        <f ca="1">(H25+I25)*'1.0-Contractblad'!$E$39</f>
        <v>0</v>
      </c>
      <c r="L25" s="761">
        <f>SUMIF('1.9-Glasbewassing'!B:B,'1.1a-Jaarprijzen'!B25,'1.9-Glasbewassing'!AH:AH)</f>
        <v>0</v>
      </c>
      <c r="M25" s="763" t="s">
        <v>1414</v>
      </c>
      <c r="N25" s="768"/>
      <c r="O25" s="412"/>
      <c r="P25" s="200"/>
      <c r="Q25" s="200"/>
      <c r="R25" s="200"/>
      <c r="S25" s="520"/>
    </row>
    <row r="26" spans="1:19">
      <c r="A26" s="789">
        <f t="shared" si="4"/>
        <v>3</v>
      </c>
      <c r="B26" s="769" t="s">
        <v>1474</v>
      </c>
      <c r="C26" s="762" t="s">
        <v>1413</v>
      </c>
      <c r="D26" s="763" t="s">
        <v>1485</v>
      </c>
      <c r="E26" s="757">
        <f ca="1">SUMIF('1.3-Basis ruimtestaat'!$D$10:$J$825,'1.1a-Jaarprijzen'!B26,'1.3-Basis ruimtestaat'!$J$10:$J$825)</f>
        <v>292.3</v>
      </c>
      <c r="F26" s="757">
        <f ca="1">SUMIF('1.3-Basis ruimtestaat'!D:K,'1.1a-Jaarprijzen'!B26,'1.3-Basis ruimtestaat'!K:K)</f>
        <v>0</v>
      </c>
      <c r="G26" s="764">
        <v>3</v>
      </c>
      <c r="H26" s="759">
        <f t="shared" ca="1" si="1"/>
        <v>0</v>
      </c>
      <c r="I26" s="759">
        <f t="shared" ca="1" si="2"/>
        <v>0</v>
      </c>
      <c r="J26" s="765">
        <f t="shared" ca="1" si="5"/>
        <v>0</v>
      </c>
      <c r="K26" s="766">
        <f ca="1">(H26+I26)*'1.0-Contractblad'!$E$39</f>
        <v>0</v>
      </c>
      <c r="L26" s="761">
        <f>SUMIF('1.9-Glasbewassing'!B:B,'1.1a-Jaarprijzen'!B26,'1.9-Glasbewassing'!AH:AH)</f>
        <v>0</v>
      </c>
      <c r="M26" s="763" t="s">
        <v>1414</v>
      </c>
      <c r="N26" s="768"/>
      <c r="O26" s="412"/>
      <c r="P26" s="200"/>
      <c r="Q26" s="200"/>
      <c r="R26" s="200"/>
      <c r="S26" s="520"/>
    </row>
    <row r="27" spans="1:19">
      <c r="A27" s="789">
        <f t="shared" si="4"/>
        <v>3</v>
      </c>
      <c r="B27" s="771" t="s">
        <v>1466</v>
      </c>
      <c r="C27" s="762" t="s">
        <v>1413</v>
      </c>
      <c r="D27" s="763" t="s">
        <v>1485</v>
      </c>
      <c r="E27" s="757">
        <f ca="1">SUMIF('1.3-Basis ruimtestaat'!$D$10:$J$825,'1.1a-Jaarprijzen'!B27,'1.3-Basis ruimtestaat'!$J$10:$J$825)</f>
        <v>338.09999999999997</v>
      </c>
      <c r="F27" s="757">
        <f ca="1">SUMIF('1.3-Basis ruimtestaat'!D:K,'1.1a-Jaarprijzen'!B27,'1.3-Basis ruimtestaat'!K:K)</f>
        <v>0</v>
      </c>
      <c r="G27" s="764">
        <v>3</v>
      </c>
      <c r="H27" s="759">
        <f t="shared" ca="1" si="1"/>
        <v>0</v>
      </c>
      <c r="I27" s="759">
        <f t="shared" ca="1" si="2"/>
        <v>0</v>
      </c>
      <c r="J27" s="765">
        <f t="shared" ca="1" si="5"/>
        <v>0</v>
      </c>
      <c r="K27" s="766">
        <f ca="1">(H27+I27)*'1.0-Contractblad'!$E$39</f>
        <v>0</v>
      </c>
      <c r="L27" s="761">
        <f>SUMIF('1.9-Glasbewassing'!B:B,'1.1a-Jaarprijzen'!B27,'1.9-Glasbewassing'!AH:AH)</f>
        <v>564</v>
      </c>
      <c r="M27" s="763" t="s">
        <v>1414</v>
      </c>
      <c r="N27" s="768"/>
      <c r="O27" s="412"/>
      <c r="P27" s="200"/>
      <c r="Q27" s="200"/>
      <c r="R27" s="200"/>
      <c r="S27" s="520"/>
    </row>
    <row r="28" spans="1:19">
      <c r="A28" s="789">
        <f t="shared" si="4"/>
        <v>3</v>
      </c>
      <c r="B28" s="769" t="s">
        <v>1473</v>
      </c>
      <c r="C28" s="762" t="s">
        <v>1413</v>
      </c>
      <c r="D28" s="763" t="s">
        <v>1485</v>
      </c>
      <c r="E28" s="757">
        <f ca="1">SUMIF('1.3-Basis ruimtestaat'!$D$10:$J$825,'1.1a-Jaarprijzen'!B28,'1.3-Basis ruimtestaat'!$J$10:$J$825)</f>
        <v>315.39999999999992</v>
      </c>
      <c r="F28" s="757">
        <f ca="1">SUMIF('1.3-Basis ruimtestaat'!D:K,'1.1a-Jaarprijzen'!B28,'1.3-Basis ruimtestaat'!K:K)</f>
        <v>0</v>
      </c>
      <c r="G28" s="764">
        <v>3</v>
      </c>
      <c r="H28" s="759">
        <f t="shared" ca="1" si="1"/>
        <v>0</v>
      </c>
      <c r="I28" s="759">
        <f t="shared" ca="1" si="2"/>
        <v>0</v>
      </c>
      <c r="J28" s="765">
        <f t="shared" ca="1" si="5"/>
        <v>0</v>
      </c>
      <c r="K28" s="766">
        <f ca="1">(H28+I28)*'1.0-Contractblad'!$E$39</f>
        <v>0</v>
      </c>
      <c r="L28" s="761">
        <f>SUMIF('1.9-Glasbewassing'!B:B,'1.1a-Jaarprijzen'!B28,'1.9-Glasbewassing'!AH:AH)</f>
        <v>0</v>
      </c>
      <c r="M28" s="763" t="s">
        <v>1414</v>
      </c>
      <c r="N28" s="768"/>
      <c r="O28" s="412"/>
      <c r="P28" s="200"/>
      <c r="Q28" s="200"/>
      <c r="R28" s="200"/>
      <c r="S28" s="520"/>
    </row>
    <row r="29" spans="1:19">
      <c r="A29" s="789">
        <f t="shared" si="4"/>
        <v>3</v>
      </c>
      <c r="B29" s="771" t="s">
        <v>1467</v>
      </c>
      <c r="C29" s="762" t="s">
        <v>1413</v>
      </c>
      <c r="D29" s="763" t="s">
        <v>1485</v>
      </c>
      <c r="E29" s="757">
        <f ca="1">SUMIF('1.3-Basis ruimtestaat'!$D$10:$J$825,'1.1a-Jaarprijzen'!B29,'1.3-Basis ruimtestaat'!$J$10:$J$825)</f>
        <v>318.5</v>
      </c>
      <c r="F29" s="757">
        <f ca="1">SUMIF('1.3-Basis ruimtestaat'!D:K,'1.1a-Jaarprijzen'!B29,'1.3-Basis ruimtestaat'!K:K)</f>
        <v>0</v>
      </c>
      <c r="G29" s="764">
        <v>3</v>
      </c>
      <c r="H29" s="759">
        <f t="shared" ca="1" si="1"/>
        <v>0</v>
      </c>
      <c r="I29" s="759">
        <f t="shared" ca="1" si="2"/>
        <v>0</v>
      </c>
      <c r="J29" s="765">
        <f t="shared" ca="1" si="5"/>
        <v>0</v>
      </c>
      <c r="K29" s="766">
        <f ca="1">(H29+I29)*'1.0-Contractblad'!$E$39</f>
        <v>0</v>
      </c>
      <c r="L29" s="761">
        <f>SUMIF('1.9-Glasbewassing'!B:B,'1.1a-Jaarprijzen'!B29,'1.9-Glasbewassing'!AH:AH)</f>
        <v>0</v>
      </c>
      <c r="M29" s="763" t="s">
        <v>1414</v>
      </c>
      <c r="N29" s="768"/>
      <c r="O29" s="412"/>
      <c r="P29" s="200"/>
      <c r="Q29" s="200"/>
      <c r="R29" s="200"/>
      <c r="S29" s="520"/>
    </row>
    <row r="30" spans="1:19">
      <c r="A30" s="789">
        <f t="shared" si="4"/>
        <v>3</v>
      </c>
      <c r="B30" s="769" t="s">
        <v>1468</v>
      </c>
      <c r="C30" s="762" t="s">
        <v>1413</v>
      </c>
      <c r="D30" s="763" t="s">
        <v>1485</v>
      </c>
      <c r="E30" s="757">
        <f ca="1">SUMIF('1.3-Basis ruimtestaat'!$D$10:$J$825,'1.1a-Jaarprijzen'!B30,'1.3-Basis ruimtestaat'!$J$10:$J$825)</f>
        <v>309.60000000000002</v>
      </c>
      <c r="F30" s="757">
        <f ca="1">SUMIF('1.3-Basis ruimtestaat'!D:K,'1.1a-Jaarprijzen'!B30,'1.3-Basis ruimtestaat'!K:K)</f>
        <v>0</v>
      </c>
      <c r="G30" s="764">
        <v>3</v>
      </c>
      <c r="H30" s="759">
        <f t="shared" ca="1" si="1"/>
        <v>0</v>
      </c>
      <c r="I30" s="759">
        <f t="shared" ca="1" si="2"/>
        <v>0</v>
      </c>
      <c r="J30" s="765">
        <f t="shared" ca="1" si="5"/>
        <v>0</v>
      </c>
      <c r="K30" s="766">
        <f ca="1">(H30+I30)*'1.0-Contractblad'!$E$39</f>
        <v>0</v>
      </c>
      <c r="L30" s="761">
        <f>SUMIF('1.9-Glasbewassing'!B:B,'1.1a-Jaarprijzen'!B30,'1.9-Glasbewassing'!AH:AH)</f>
        <v>0</v>
      </c>
      <c r="M30" s="763" t="s">
        <v>1414</v>
      </c>
      <c r="N30" s="768"/>
      <c r="O30" s="412"/>
      <c r="P30" s="200"/>
      <c r="Q30" s="200"/>
      <c r="R30" s="200"/>
      <c r="S30" s="520"/>
    </row>
    <row r="31" spans="1:19">
      <c r="A31" s="789">
        <f t="shared" si="4"/>
        <v>3</v>
      </c>
      <c r="B31" s="769" t="s">
        <v>1471</v>
      </c>
      <c r="C31" s="762" t="s">
        <v>1413</v>
      </c>
      <c r="D31" s="763" t="s">
        <v>1485</v>
      </c>
      <c r="E31" s="757">
        <f ca="1">SUMIF('1.3-Basis ruimtestaat'!$D$10:$J$825,'1.1a-Jaarprijzen'!B31,'1.3-Basis ruimtestaat'!$J$10:$J$825)</f>
        <v>318.5</v>
      </c>
      <c r="F31" s="757">
        <f ca="1">SUMIF('1.3-Basis ruimtestaat'!D:K,'1.1a-Jaarprijzen'!B31,'1.3-Basis ruimtestaat'!K:K)</f>
        <v>0</v>
      </c>
      <c r="G31" s="764">
        <v>3</v>
      </c>
      <c r="H31" s="759">
        <f t="shared" ca="1" si="1"/>
        <v>0</v>
      </c>
      <c r="I31" s="759">
        <f t="shared" ca="1" si="2"/>
        <v>0</v>
      </c>
      <c r="J31" s="765">
        <f t="shared" ca="1" si="5"/>
        <v>0</v>
      </c>
      <c r="K31" s="766">
        <f ca="1">(H31+I31)*'1.0-Contractblad'!$E$39</f>
        <v>0</v>
      </c>
      <c r="L31" s="761">
        <f>SUMIF('1.9-Glasbewassing'!B:B,'1.1a-Jaarprijzen'!B31,'1.9-Glasbewassing'!AH:AH)</f>
        <v>0</v>
      </c>
      <c r="M31" s="763" t="s">
        <v>1414</v>
      </c>
      <c r="N31" s="768"/>
      <c r="O31" s="412"/>
      <c r="P31" s="200"/>
      <c r="Q31" s="200"/>
      <c r="R31" s="200"/>
      <c r="S31" s="520"/>
    </row>
    <row r="32" spans="1:19">
      <c r="A32" s="789">
        <f t="shared" si="4"/>
        <v>3</v>
      </c>
      <c r="B32" s="769" t="s">
        <v>1475</v>
      </c>
      <c r="C32" s="762" t="s">
        <v>1413</v>
      </c>
      <c r="D32" s="763" t="s">
        <v>1485</v>
      </c>
      <c r="E32" s="757">
        <f ca="1">SUMIF('1.3-Basis ruimtestaat'!$D$10:$J$825,'1.1a-Jaarprijzen'!B32,'1.3-Basis ruimtestaat'!$J$10:$J$825)</f>
        <v>290.40000000000003</v>
      </c>
      <c r="F32" s="757">
        <f ca="1">SUMIF('1.3-Basis ruimtestaat'!D:K,'1.1a-Jaarprijzen'!B32,'1.3-Basis ruimtestaat'!K:K)</f>
        <v>0</v>
      </c>
      <c r="G32" s="764">
        <v>3</v>
      </c>
      <c r="H32" s="759">
        <f t="shared" ca="1" si="1"/>
        <v>0</v>
      </c>
      <c r="I32" s="759">
        <f t="shared" ca="1" si="2"/>
        <v>0</v>
      </c>
      <c r="J32" s="765">
        <f t="shared" ca="1" si="5"/>
        <v>0</v>
      </c>
      <c r="K32" s="766">
        <f ca="1">(H32+I32)*'1.0-Contractblad'!$E$39</f>
        <v>0</v>
      </c>
      <c r="L32" s="761">
        <f>SUMIF('1.9-Glasbewassing'!B:B,'1.1a-Jaarprijzen'!B32,'1.9-Glasbewassing'!AH:AH)</f>
        <v>0</v>
      </c>
      <c r="M32" s="763" t="s">
        <v>1414</v>
      </c>
      <c r="N32" s="768"/>
      <c r="O32" s="412"/>
      <c r="P32" s="200"/>
      <c r="Q32" s="200"/>
      <c r="R32" s="200"/>
      <c r="S32" s="520"/>
    </row>
    <row r="33" spans="1:19">
      <c r="A33" s="789">
        <f t="shared" si="4"/>
        <v>3</v>
      </c>
      <c r="B33" s="769" t="s">
        <v>1469</v>
      </c>
      <c r="C33" s="762" t="s">
        <v>1413</v>
      </c>
      <c r="D33" s="763" t="s">
        <v>1484</v>
      </c>
      <c r="E33" s="757">
        <f ca="1">SUMIF('1.3-Basis ruimtestaat'!$D$10:$J$825,'1.1a-Jaarprijzen'!B33,'1.3-Basis ruimtestaat'!$J$10:$J$825)</f>
        <v>801.3000000000003</v>
      </c>
      <c r="F33" s="757">
        <f ca="1">SUMIF('1.3-Basis ruimtestaat'!D:K,'1.1a-Jaarprijzen'!B33,'1.3-Basis ruimtestaat'!K:K)</f>
        <v>0</v>
      </c>
      <c r="G33" s="764">
        <v>3</v>
      </c>
      <c r="H33" s="759">
        <f t="shared" ca="1" si="1"/>
        <v>0</v>
      </c>
      <c r="I33" s="759">
        <f t="shared" ca="1" si="2"/>
        <v>0</v>
      </c>
      <c r="J33" s="765">
        <f t="shared" ref="J33:J43" ca="1" si="6">H33/200</f>
        <v>0</v>
      </c>
      <c r="K33" s="766">
        <f ca="1">(H33+I33)*'1.0-Contractblad'!$E$39</f>
        <v>0</v>
      </c>
      <c r="L33" s="761">
        <f>SUMIF('1.9-Glasbewassing'!B:B,'1.1a-Jaarprijzen'!B33,'1.9-Glasbewassing'!AH:AH)</f>
        <v>0</v>
      </c>
      <c r="M33" s="763" t="s">
        <v>1414</v>
      </c>
      <c r="N33" s="768"/>
      <c r="O33" s="412"/>
      <c r="P33" s="200"/>
      <c r="Q33" s="200"/>
      <c r="R33" s="200"/>
      <c r="S33" s="520"/>
    </row>
    <row r="34" spans="1:19">
      <c r="A34" s="789">
        <f t="shared" si="4"/>
        <v>3</v>
      </c>
      <c r="B34" s="769" t="s">
        <v>1472</v>
      </c>
      <c r="C34" s="762" t="s">
        <v>1413</v>
      </c>
      <c r="D34" s="763" t="s">
        <v>1484</v>
      </c>
      <c r="E34" s="757">
        <f ca="1">SUMIF('1.3-Basis ruimtestaat'!$D$10:$J$825,'1.1a-Jaarprijzen'!B34,'1.3-Basis ruimtestaat'!$J$10:$J$825)</f>
        <v>20.5</v>
      </c>
      <c r="F34" s="757">
        <f ca="1">SUMIF('1.3-Basis ruimtestaat'!D:K,'1.1a-Jaarprijzen'!B34,'1.3-Basis ruimtestaat'!K:K)</f>
        <v>0</v>
      </c>
      <c r="G34" s="764">
        <v>3</v>
      </c>
      <c r="H34" s="759">
        <f t="shared" ca="1" si="1"/>
        <v>0</v>
      </c>
      <c r="I34" s="759">
        <f t="shared" ca="1" si="2"/>
        <v>0</v>
      </c>
      <c r="J34" s="765">
        <f t="shared" ca="1" si="6"/>
        <v>0</v>
      </c>
      <c r="K34" s="766">
        <f ca="1">(H34+I34)*'1.0-Contractblad'!$E$39</f>
        <v>0</v>
      </c>
      <c r="L34" s="761">
        <f>SUMIF('1.9-Glasbewassing'!B:B,'1.1a-Jaarprijzen'!B34,'1.9-Glasbewassing'!AH:AH)</f>
        <v>0</v>
      </c>
      <c r="M34" s="763" t="s">
        <v>1414</v>
      </c>
      <c r="N34" s="768"/>
      <c r="O34" s="412"/>
      <c r="P34" s="200"/>
      <c r="Q34" s="200"/>
      <c r="R34" s="200"/>
      <c r="S34" s="520"/>
    </row>
    <row r="35" spans="1:19">
      <c r="A35" s="789">
        <f t="shared" si="4"/>
        <v>3</v>
      </c>
      <c r="B35" s="771" t="s">
        <v>1487</v>
      </c>
      <c r="C35" s="762" t="s">
        <v>1413</v>
      </c>
      <c r="D35" s="763" t="s">
        <v>1415</v>
      </c>
      <c r="E35" s="757">
        <f ca="1">SUMIF('1.3-Basis ruimtestaat'!$D$10:$J$825,'1.1a-Jaarprijzen'!B35,'1.3-Basis ruimtestaat'!$J$10:$J$825)</f>
        <v>41.03</v>
      </c>
      <c r="F35" s="757">
        <f ca="1">SUMIF('1.3-Basis ruimtestaat'!D:K,'1.1a-Jaarprijzen'!B35,'1.3-Basis ruimtestaat'!K:K)</f>
        <v>141.44</v>
      </c>
      <c r="G35" s="764">
        <v>3</v>
      </c>
      <c r="H35" s="759">
        <f t="shared" ca="1" si="1"/>
        <v>0</v>
      </c>
      <c r="I35" s="759">
        <f t="shared" ca="1" si="2"/>
        <v>0</v>
      </c>
      <c r="J35" s="765">
        <f t="shared" ca="1" si="6"/>
        <v>0</v>
      </c>
      <c r="K35" s="766">
        <f ca="1">(H35+I35)*'1.0-Contractblad'!$E$39</f>
        <v>0</v>
      </c>
      <c r="L35" s="761">
        <f>SUMIF('1.9-Glasbewassing'!B:B,'1.1a-Jaarprijzen'!B35,'1.9-Glasbewassing'!AH:AH)</f>
        <v>0</v>
      </c>
      <c r="M35" s="763" t="s">
        <v>1414</v>
      </c>
      <c r="N35" s="768"/>
      <c r="O35" s="412"/>
      <c r="P35" s="200"/>
      <c r="Q35" s="200"/>
      <c r="R35" s="200"/>
      <c r="S35" s="520"/>
    </row>
    <row r="36" spans="1:19">
      <c r="A36" s="789">
        <f t="shared" si="4"/>
        <v>3</v>
      </c>
      <c r="B36" s="771" t="s">
        <v>1477</v>
      </c>
      <c r="C36" s="762" t="s">
        <v>1413</v>
      </c>
      <c r="D36" s="763" t="s">
        <v>1485</v>
      </c>
      <c r="E36" s="757">
        <f ca="1">SUMIF('1.3-Basis ruimtestaat'!$D$10:$J$825,'1.1a-Jaarprijzen'!B36,'1.3-Basis ruimtestaat'!$J$10:$J$825)</f>
        <v>345.50000000000011</v>
      </c>
      <c r="F36" s="757">
        <f ca="1">SUMIF('1.3-Basis ruimtestaat'!D:K,'1.1a-Jaarprijzen'!B36,'1.3-Basis ruimtestaat'!K:K)</f>
        <v>0</v>
      </c>
      <c r="G36" s="764">
        <v>3</v>
      </c>
      <c r="H36" s="759">
        <f t="shared" ca="1" si="1"/>
        <v>0</v>
      </c>
      <c r="I36" s="759">
        <f t="shared" ca="1" si="2"/>
        <v>0</v>
      </c>
      <c r="J36" s="765">
        <f t="shared" ca="1" si="6"/>
        <v>0</v>
      </c>
      <c r="K36" s="766">
        <f ca="1">(H36+I36)*'1.0-Contractblad'!$E$39</f>
        <v>0</v>
      </c>
      <c r="L36" s="761">
        <f>SUMIF('1.9-Glasbewassing'!B:B,'1.1a-Jaarprijzen'!B36,'1.9-Glasbewassing'!AH:AH)</f>
        <v>0</v>
      </c>
      <c r="M36" s="763" t="s">
        <v>1414</v>
      </c>
      <c r="N36" s="768"/>
      <c r="O36" s="412"/>
      <c r="P36" s="200"/>
      <c r="Q36" s="200"/>
      <c r="R36" s="200"/>
      <c r="S36" s="520"/>
    </row>
    <row r="37" spans="1:19">
      <c r="A37" s="789">
        <f t="shared" si="4"/>
        <v>3</v>
      </c>
      <c r="B37" s="771" t="s">
        <v>1478</v>
      </c>
      <c r="C37" s="762" t="s">
        <v>1413</v>
      </c>
      <c r="D37" s="763" t="s">
        <v>1485</v>
      </c>
      <c r="E37" s="757">
        <f ca="1">SUMIF('1.3-Basis ruimtestaat'!$D$10:$J$825,'1.1a-Jaarprijzen'!B37,'1.3-Basis ruimtestaat'!$J$10:$J$825)</f>
        <v>292.80000000000007</v>
      </c>
      <c r="F37" s="757">
        <f ca="1">SUMIF('1.3-Basis ruimtestaat'!D:K,'1.1a-Jaarprijzen'!B37,'1.3-Basis ruimtestaat'!K:K)</f>
        <v>0</v>
      </c>
      <c r="G37" s="764">
        <v>3</v>
      </c>
      <c r="H37" s="759">
        <f t="shared" ca="1" si="1"/>
        <v>0</v>
      </c>
      <c r="I37" s="759">
        <f t="shared" ca="1" si="2"/>
        <v>0</v>
      </c>
      <c r="J37" s="765">
        <f t="shared" ca="1" si="6"/>
        <v>0</v>
      </c>
      <c r="K37" s="766">
        <f ca="1">(H37+I37)*'1.0-Contractblad'!$E$39</f>
        <v>0</v>
      </c>
      <c r="L37" s="761">
        <f>SUMIF('1.9-Glasbewassing'!B:B,'1.1a-Jaarprijzen'!B37,'1.9-Glasbewassing'!AH:AH)</f>
        <v>581</v>
      </c>
      <c r="M37" s="763" t="s">
        <v>1414</v>
      </c>
      <c r="N37" s="768"/>
      <c r="O37" s="412"/>
      <c r="P37" s="200"/>
      <c r="Q37" s="200"/>
      <c r="R37" s="200"/>
      <c r="S37" s="520"/>
    </row>
    <row r="38" spans="1:19">
      <c r="A38" s="789">
        <f t="shared" si="4"/>
        <v>3</v>
      </c>
      <c r="B38" s="769" t="s">
        <v>1481</v>
      </c>
      <c r="C38" s="762" t="s">
        <v>1413</v>
      </c>
      <c r="D38" s="763" t="s">
        <v>1484</v>
      </c>
      <c r="E38" s="757">
        <f ca="1">SUMIF('1.3-Basis ruimtestaat'!$D$10:$J$825,'1.1a-Jaarprijzen'!B38,'1.3-Basis ruimtestaat'!$J$10:$J$825)</f>
        <v>330.30000000000007</v>
      </c>
      <c r="F38" s="757">
        <f ca="1">SUMIF('1.3-Basis ruimtestaat'!D:K,'1.1a-Jaarprijzen'!B38,'1.3-Basis ruimtestaat'!K:K)</f>
        <v>258.2</v>
      </c>
      <c r="G38" s="764">
        <v>3</v>
      </c>
      <c r="H38" s="759">
        <f t="shared" ca="1" si="1"/>
        <v>0</v>
      </c>
      <c r="I38" s="759">
        <f t="shared" ca="1" si="2"/>
        <v>0</v>
      </c>
      <c r="J38" s="765">
        <f t="shared" ca="1" si="6"/>
        <v>0</v>
      </c>
      <c r="K38" s="766">
        <f ca="1">(H38+I38)*'1.0-Contractblad'!$E$39</f>
        <v>0</v>
      </c>
      <c r="L38" s="761">
        <f>SUMIF('1.9-Glasbewassing'!B:B,'1.1a-Jaarprijzen'!B38,'1.9-Glasbewassing'!AH:AH)</f>
        <v>0</v>
      </c>
      <c r="M38" s="763" t="s">
        <v>1414</v>
      </c>
      <c r="N38" s="768"/>
      <c r="O38" s="412"/>
      <c r="P38" s="200"/>
      <c r="Q38" s="200"/>
      <c r="R38" s="200"/>
      <c r="S38" s="520"/>
    </row>
    <row r="39" spans="1:19">
      <c r="A39" s="789">
        <f t="shared" si="4"/>
        <v>3</v>
      </c>
      <c r="B39" s="771" t="s">
        <v>1479</v>
      </c>
      <c r="C39" s="762" t="s">
        <v>1413</v>
      </c>
      <c r="D39" s="763" t="s">
        <v>1485</v>
      </c>
      <c r="E39" s="757">
        <f ca="1">SUMIF('1.3-Basis ruimtestaat'!$D$10:$J$825,'1.1a-Jaarprijzen'!B39,'1.3-Basis ruimtestaat'!$J$10:$J$825)</f>
        <v>196.23999999999995</v>
      </c>
      <c r="F39" s="757">
        <f ca="1">SUMIF('1.3-Basis ruimtestaat'!D:K,'1.1a-Jaarprijzen'!B39,'1.3-Basis ruimtestaat'!K:K)</f>
        <v>1177.1300000000001</v>
      </c>
      <c r="G39" s="764">
        <v>3</v>
      </c>
      <c r="H39" s="759">
        <f t="shared" ca="1" si="1"/>
        <v>0</v>
      </c>
      <c r="I39" s="759">
        <f t="shared" ca="1" si="2"/>
        <v>0</v>
      </c>
      <c r="J39" s="765">
        <f ca="1">H39/153</f>
        <v>0</v>
      </c>
      <c r="K39" s="766">
        <f ca="1">(H39+I39)*'1.0-Contractblad'!$E$39</f>
        <v>0</v>
      </c>
      <c r="L39" s="761">
        <f>SUMIF('1.9-Glasbewassing'!B:B,'1.1a-Jaarprijzen'!B39,'1.9-Glasbewassing'!AH:AH)</f>
        <v>0</v>
      </c>
      <c r="M39" s="763" t="s">
        <v>1414</v>
      </c>
      <c r="N39" s="768"/>
      <c r="O39" s="412"/>
      <c r="P39" s="200"/>
      <c r="Q39" s="200"/>
      <c r="R39" s="200"/>
      <c r="S39" s="520"/>
    </row>
    <row r="40" spans="1:19">
      <c r="A40" s="789">
        <f t="shared" si="4"/>
        <v>3</v>
      </c>
      <c r="B40" s="771" t="s">
        <v>1482</v>
      </c>
      <c r="C40" s="762" t="s">
        <v>1413</v>
      </c>
      <c r="D40" s="763" t="s">
        <v>1415</v>
      </c>
      <c r="E40" s="757">
        <f ca="1">SUMIF('1.3-Basis ruimtestaat'!$D$10:$J$825,'1.1a-Jaarprijzen'!B40,'1.3-Basis ruimtestaat'!$J$10:$J$825)</f>
        <v>38.5</v>
      </c>
      <c r="F40" s="757">
        <f ca="1">SUMIF('1.3-Basis ruimtestaat'!D:K,'1.1a-Jaarprijzen'!B40,'1.3-Basis ruimtestaat'!K:K)</f>
        <v>0</v>
      </c>
      <c r="G40" s="764">
        <v>3</v>
      </c>
      <c r="H40" s="759">
        <f t="shared" ca="1" si="1"/>
        <v>0</v>
      </c>
      <c r="I40" s="759">
        <f t="shared" ca="1" si="2"/>
        <v>0</v>
      </c>
      <c r="J40" s="765">
        <f t="shared" ca="1" si="6"/>
        <v>0</v>
      </c>
      <c r="K40" s="766">
        <f ca="1">(H40+I40)*'1.0-Contractblad'!$E$39</f>
        <v>0</v>
      </c>
      <c r="L40" s="761">
        <f>SUMIF('1.9-Glasbewassing'!B:B,'1.1a-Jaarprijzen'!B40,'1.9-Glasbewassing'!AH:AH)</f>
        <v>0</v>
      </c>
      <c r="M40" s="763" t="s">
        <v>1414</v>
      </c>
      <c r="N40" s="768"/>
      <c r="P40" s="200"/>
      <c r="Q40" s="200"/>
      <c r="R40" s="200"/>
      <c r="S40" s="520"/>
    </row>
    <row r="41" spans="1:19">
      <c r="A41" s="789">
        <f t="shared" si="4"/>
        <v>3</v>
      </c>
      <c r="B41" s="771" t="s">
        <v>1480</v>
      </c>
      <c r="C41" s="762" t="s">
        <v>1413</v>
      </c>
      <c r="D41" s="763" t="s">
        <v>1485</v>
      </c>
      <c r="E41" s="757">
        <f ca="1">SUMIF('1.3-Basis ruimtestaat'!$D$10:$J$825,'1.1a-Jaarprijzen'!B41,'1.3-Basis ruimtestaat'!$J$10:$J$825)</f>
        <v>193.59999999999997</v>
      </c>
      <c r="F41" s="757">
        <f ca="1">SUMIF('1.3-Basis ruimtestaat'!D:K,'1.1a-Jaarprijzen'!B41,'1.3-Basis ruimtestaat'!K:K)</f>
        <v>106.99999999999999</v>
      </c>
      <c r="G41" s="764">
        <v>3</v>
      </c>
      <c r="H41" s="759">
        <f t="shared" ca="1" si="1"/>
        <v>0</v>
      </c>
      <c r="I41" s="759">
        <f t="shared" ca="1" si="2"/>
        <v>0</v>
      </c>
      <c r="J41" s="765">
        <f t="shared" ca="1" si="6"/>
        <v>0</v>
      </c>
      <c r="K41" s="766">
        <f ca="1">(H41+I41)*'1.0-Contractblad'!$E$39</f>
        <v>0</v>
      </c>
      <c r="L41" s="761">
        <f>SUMIF('1.9-Glasbewassing'!B:B,'1.1a-Jaarprijzen'!B41,'1.9-Glasbewassing'!AH:AH)</f>
        <v>246</v>
      </c>
      <c r="M41" s="763" t="s">
        <v>1414</v>
      </c>
      <c r="N41" s="768"/>
      <c r="O41" s="412"/>
      <c r="P41" s="200"/>
      <c r="Q41" s="200"/>
      <c r="R41" s="200"/>
      <c r="S41" s="520"/>
    </row>
    <row r="42" spans="1:19">
      <c r="A42" s="789">
        <f t="shared" si="4"/>
        <v>3</v>
      </c>
      <c r="B42" s="771" t="s">
        <v>1483</v>
      </c>
      <c r="C42" s="762" t="s">
        <v>1413</v>
      </c>
      <c r="D42" s="763" t="s">
        <v>1423</v>
      </c>
      <c r="E42" s="757">
        <f ca="1">SUMIF('1.3-Basis ruimtestaat'!$D$10:$J$825,'1.1a-Jaarprijzen'!B42,'1.3-Basis ruimtestaat'!$J$10:$J$825)</f>
        <v>822.59999999999991</v>
      </c>
      <c r="F42" s="757">
        <f ca="1">SUMIF('1.3-Basis ruimtestaat'!D:K,'1.1a-Jaarprijzen'!B42,'1.3-Basis ruimtestaat'!K:K)</f>
        <v>0</v>
      </c>
      <c r="G42" s="764">
        <v>3</v>
      </c>
      <c r="H42" s="759">
        <f t="shared" ca="1" si="1"/>
        <v>0</v>
      </c>
      <c r="I42" s="759">
        <f t="shared" ca="1" si="2"/>
        <v>0</v>
      </c>
      <c r="J42" s="765">
        <f ca="1">H42/153</f>
        <v>0</v>
      </c>
      <c r="K42" s="766">
        <f ca="1">(H42+I42)*'1.0-Contractblad'!$E$39</f>
        <v>0</v>
      </c>
      <c r="L42" s="761">
        <f>SUMIF('1.9-Glasbewassing'!B:B,'1.1a-Jaarprijzen'!B42,'1.9-Glasbewassing'!AH:AH)</f>
        <v>0</v>
      </c>
      <c r="M42" s="763" t="s">
        <v>1414</v>
      </c>
      <c r="N42" s="768"/>
      <c r="O42" s="412"/>
      <c r="P42" s="200"/>
      <c r="Q42" s="200"/>
      <c r="R42" s="200"/>
      <c r="S42" s="520"/>
    </row>
    <row r="43" spans="1:19">
      <c r="A43" s="789">
        <f t="shared" si="4"/>
        <v>3</v>
      </c>
      <c r="B43" s="762" t="s">
        <v>1493</v>
      </c>
      <c r="C43" s="762" t="s">
        <v>1413</v>
      </c>
      <c r="D43" s="763" t="s">
        <v>1485</v>
      </c>
      <c r="E43" s="757">
        <f ca="1">SUMIF('1.3-Basis ruimtestaat'!$D$10:$J$825,'1.1a-Jaarprijzen'!B43,'1.3-Basis ruimtestaat'!$J$10:$J$825)</f>
        <v>817.10000000000014</v>
      </c>
      <c r="F43" s="757">
        <f ca="1">SUMIF('1.3-Basis ruimtestaat'!D:K,'1.1a-Jaarprijzen'!B43,'1.3-Basis ruimtestaat'!K:K)</f>
        <v>0</v>
      </c>
      <c r="G43" s="764">
        <v>3</v>
      </c>
      <c r="H43" s="759">
        <f t="shared" ca="1" si="1"/>
        <v>0</v>
      </c>
      <c r="I43" s="759">
        <f t="shared" ca="1" si="2"/>
        <v>0</v>
      </c>
      <c r="J43" s="765">
        <f t="shared" ca="1" si="6"/>
        <v>0</v>
      </c>
      <c r="K43" s="766">
        <f ca="1">(H43+I43)*'1.0-Contractblad'!$E$39</f>
        <v>0</v>
      </c>
      <c r="L43" s="761">
        <f>SUMIF('1.9-Glasbewassing'!B:B,'1.1a-Jaarprijzen'!B43,'1.9-Glasbewassing'!AH:AH)</f>
        <v>676</v>
      </c>
      <c r="M43" s="763" t="s">
        <v>1414</v>
      </c>
      <c r="N43" s="768"/>
      <c r="O43" s="412"/>
      <c r="P43" s="200"/>
      <c r="Q43" s="200"/>
      <c r="R43" s="200"/>
      <c r="S43" s="520"/>
    </row>
    <row r="44" spans="1:19" hidden="1">
      <c r="A44" s="789"/>
      <c r="B44" s="771"/>
      <c r="C44" s="762"/>
      <c r="D44" s="763"/>
      <c r="E44" s="757"/>
      <c r="F44" s="757"/>
      <c r="G44" s="764"/>
      <c r="H44" s="759"/>
      <c r="I44" s="759"/>
      <c r="J44" s="765"/>
      <c r="K44" s="766"/>
      <c r="L44" s="761"/>
      <c r="M44" s="763"/>
      <c r="N44" s="768"/>
      <c r="O44" s="412"/>
      <c r="P44" s="200"/>
      <c r="Q44" s="200"/>
      <c r="R44" s="200"/>
      <c r="S44" s="520"/>
    </row>
    <row r="45" spans="1:19" hidden="1">
      <c r="A45" s="789"/>
      <c r="B45" s="771"/>
      <c r="C45" s="762"/>
      <c r="D45" s="763"/>
      <c r="E45" s="757"/>
      <c r="F45" s="757"/>
      <c r="G45" s="764"/>
      <c r="H45" s="759"/>
      <c r="I45" s="759"/>
      <c r="J45" s="765"/>
      <c r="K45" s="766"/>
      <c r="L45" s="761"/>
      <c r="M45" s="763"/>
      <c r="N45" s="768"/>
      <c r="O45" s="412"/>
      <c r="P45" s="200"/>
      <c r="Q45" s="200"/>
      <c r="R45" s="200"/>
      <c r="S45" s="520"/>
    </row>
    <row r="46" spans="1:19" hidden="1">
      <c r="A46" s="789"/>
      <c r="B46" s="769"/>
      <c r="C46" s="762"/>
      <c r="D46" s="763"/>
      <c r="E46" s="757"/>
      <c r="F46" s="757"/>
      <c r="G46" s="764"/>
      <c r="H46" s="759"/>
      <c r="I46" s="759"/>
      <c r="J46" s="765"/>
      <c r="K46" s="766"/>
      <c r="L46" s="761"/>
      <c r="M46" s="763"/>
      <c r="N46" s="768"/>
      <c r="O46" s="412"/>
      <c r="P46" s="200"/>
      <c r="Q46" s="200"/>
      <c r="R46" s="200"/>
      <c r="S46" s="520"/>
    </row>
    <row r="47" spans="1:19" hidden="1">
      <c r="A47" s="789"/>
      <c r="B47" s="769"/>
      <c r="C47" s="762"/>
      <c r="D47" s="763"/>
      <c r="E47" s="757"/>
      <c r="F47" s="757"/>
      <c r="G47" s="764"/>
      <c r="H47" s="759"/>
      <c r="I47" s="759"/>
      <c r="J47" s="765"/>
      <c r="K47" s="766"/>
      <c r="L47" s="761"/>
      <c r="M47" s="763"/>
      <c r="N47" s="768"/>
      <c r="O47" s="412"/>
      <c r="P47" s="200"/>
      <c r="Q47" s="200"/>
      <c r="R47" s="200"/>
      <c r="S47" s="520"/>
    </row>
    <row r="48" spans="1:19" hidden="1">
      <c r="A48" s="789"/>
      <c r="B48" s="769"/>
      <c r="C48" s="762"/>
      <c r="D48" s="763"/>
      <c r="E48" s="757"/>
      <c r="F48" s="757"/>
      <c r="G48" s="764"/>
      <c r="H48" s="759"/>
      <c r="I48" s="759"/>
      <c r="J48" s="765"/>
      <c r="K48" s="766"/>
      <c r="L48" s="761"/>
      <c r="M48" s="763"/>
      <c r="N48" s="768"/>
      <c r="O48" s="412"/>
      <c r="P48" s="200"/>
      <c r="Q48" s="200"/>
      <c r="R48" s="200"/>
      <c r="S48" s="520"/>
    </row>
    <row r="49" spans="1:19" hidden="1">
      <c r="A49" s="789"/>
      <c r="B49" s="769"/>
      <c r="C49" s="762"/>
      <c r="D49" s="763"/>
      <c r="E49" s="757"/>
      <c r="F49" s="757"/>
      <c r="G49" s="764"/>
      <c r="H49" s="759"/>
      <c r="I49" s="759"/>
      <c r="J49" s="765"/>
      <c r="K49" s="766"/>
      <c r="L49" s="780"/>
      <c r="M49" s="763"/>
      <c r="N49" s="768"/>
      <c r="O49" s="412"/>
      <c r="P49" s="200"/>
      <c r="Q49" s="200"/>
      <c r="R49" s="200"/>
      <c r="S49" s="520"/>
    </row>
    <row r="50" spans="1:19" hidden="1">
      <c r="A50" s="789"/>
      <c r="B50" s="769"/>
      <c r="C50" s="762"/>
      <c r="D50" s="763"/>
      <c r="E50" s="757"/>
      <c r="F50" s="757"/>
      <c r="G50" s="764"/>
      <c r="H50" s="759"/>
      <c r="I50" s="759"/>
      <c r="J50" s="765"/>
      <c r="K50" s="766"/>
      <c r="L50" s="761"/>
      <c r="M50" s="763"/>
      <c r="N50" s="768"/>
      <c r="O50" s="412"/>
      <c r="P50" s="200"/>
      <c r="Q50" s="200"/>
      <c r="R50" s="200"/>
      <c r="S50" s="520"/>
    </row>
    <row r="51" spans="1:19" hidden="1">
      <c r="A51" s="789"/>
      <c r="B51" s="769"/>
      <c r="C51" s="762"/>
      <c r="D51" s="763"/>
      <c r="E51" s="757"/>
      <c r="F51" s="757"/>
      <c r="G51" s="764"/>
      <c r="H51" s="759"/>
      <c r="I51" s="759"/>
      <c r="J51" s="765"/>
      <c r="K51" s="766"/>
      <c r="L51" s="761"/>
      <c r="M51" s="763"/>
      <c r="N51" s="768"/>
      <c r="O51" s="412"/>
      <c r="P51" s="200"/>
      <c r="Q51" s="200"/>
      <c r="R51" s="200"/>
      <c r="S51" s="520"/>
    </row>
    <row r="52" spans="1:19" hidden="1">
      <c r="A52" s="789"/>
      <c r="B52" s="769"/>
      <c r="C52" s="762"/>
      <c r="D52" s="763"/>
      <c r="E52" s="757"/>
      <c r="F52" s="757"/>
      <c r="G52" s="764"/>
      <c r="H52" s="759"/>
      <c r="I52" s="759"/>
      <c r="J52" s="765"/>
      <c r="K52" s="766"/>
      <c r="L52" s="761"/>
      <c r="M52" s="763"/>
      <c r="N52" s="768"/>
      <c r="O52" s="412"/>
      <c r="P52" s="200"/>
      <c r="Q52" s="200"/>
      <c r="R52" s="200"/>
      <c r="S52" s="520"/>
    </row>
    <row r="53" spans="1:19" hidden="1">
      <c r="A53" s="789"/>
      <c r="B53" s="769"/>
      <c r="C53" s="762"/>
      <c r="D53" s="763"/>
      <c r="E53" s="757"/>
      <c r="F53" s="757"/>
      <c r="G53" s="764"/>
      <c r="H53" s="759"/>
      <c r="I53" s="759"/>
      <c r="J53" s="765"/>
      <c r="K53" s="766"/>
      <c r="L53" s="761"/>
      <c r="M53" s="763"/>
      <c r="N53" s="768"/>
      <c r="O53" s="412"/>
      <c r="P53" s="200"/>
      <c r="Q53" s="200"/>
      <c r="R53" s="200"/>
      <c r="S53" s="520"/>
    </row>
    <row r="54" spans="1:19" hidden="1">
      <c r="A54" s="789"/>
      <c r="B54" s="769"/>
      <c r="C54" s="762"/>
      <c r="D54" s="763"/>
      <c r="E54" s="757"/>
      <c r="F54" s="757"/>
      <c r="G54" s="764"/>
      <c r="H54" s="759"/>
      <c r="I54" s="759"/>
      <c r="J54" s="765"/>
      <c r="K54" s="766"/>
      <c r="L54" s="761"/>
      <c r="M54" s="763"/>
      <c r="N54" s="768"/>
      <c r="O54" s="412"/>
      <c r="P54" s="200"/>
      <c r="Q54" s="200"/>
      <c r="R54" s="200"/>
      <c r="S54" s="520"/>
    </row>
    <row r="55" spans="1:19" hidden="1">
      <c r="A55" s="789"/>
      <c r="B55" s="769"/>
      <c r="C55" s="762"/>
      <c r="D55" s="763"/>
      <c r="E55" s="757"/>
      <c r="F55" s="757"/>
      <c r="G55" s="764"/>
      <c r="H55" s="759"/>
      <c r="I55" s="759"/>
      <c r="J55" s="765"/>
      <c r="K55" s="766"/>
      <c r="L55" s="761"/>
      <c r="M55" s="763"/>
      <c r="N55" s="768"/>
      <c r="O55" s="412"/>
      <c r="P55" s="200"/>
      <c r="Q55" s="200"/>
      <c r="R55" s="200"/>
      <c r="S55" s="520"/>
    </row>
    <row r="56" spans="1:19" hidden="1">
      <c r="A56" s="789"/>
      <c r="B56" s="769"/>
      <c r="C56" s="762"/>
      <c r="D56" s="763"/>
      <c r="E56" s="757"/>
      <c r="F56" s="757"/>
      <c r="G56" s="764"/>
      <c r="H56" s="759"/>
      <c r="I56" s="759"/>
      <c r="J56" s="765"/>
      <c r="K56" s="766"/>
      <c r="L56" s="761"/>
      <c r="M56" s="763"/>
      <c r="N56" s="768"/>
      <c r="O56" s="412"/>
      <c r="P56" s="200"/>
      <c r="Q56" s="200"/>
      <c r="R56" s="200"/>
      <c r="S56" s="520"/>
    </row>
    <row r="57" spans="1:19" hidden="1">
      <c r="A57" s="789"/>
      <c r="B57" s="769"/>
      <c r="C57" s="762"/>
      <c r="D57" s="763"/>
      <c r="E57" s="757"/>
      <c r="F57" s="757"/>
      <c r="G57" s="764"/>
      <c r="H57" s="759"/>
      <c r="I57" s="759"/>
      <c r="J57" s="765"/>
      <c r="K57" s="766"/>
      <c r="L57" s="761"/>
      <c r="M57" s="763"/>
      <c r="N57" s="768"/>
      <c r="O57" s="412"/>
      <c r="P57" s="200"/>
      <c r="Q57" s="200"/>
      <c r="R57" s="200"/>
      <c r="S57" s="520"/>
    </row>
    <row r="58" spans="1:19" hidden="1">
      <c r="A58" s="789"/>
      <c r="B58" s="769"/>
      <c r="C58" s="762"/>
      <c r="D58" s="763"/>
      <c r="E58" s="757"/>
      <c r="F58" s="757"/>
      <c r="G58" s="764"/>
      <c r="H58" s="759"/>
      <c r="I58" s="759"/>
      <c r="J58" s="765"/>
      <c r="K58" s="766"/>
      <c r="L58" s="761"/>
      <c r="M58" s="763"/>
      <c r="N58" s="768"/>
      <c r="O58" s="412"/>
      <c r="P58" s="200"/>
      <c r="Q58" s="200"/>
      <c r="R58" s="200"/>
      <c r="S58" s="520"/>
    </row>
    <row r="59" spans="1:19" hidden="1">
      <c r="A59" s="789"/>
      <c r="B59" s="769"/>
      <c r="C59" s="762"/>
      <c r="D59" s="763"/>
      <c r="E59" s="757"/>
      <c r="F59" s="757"/>
      <c r="G59" s="764"/>
      <c r="H59" s="759"/>
      <c r="I59" s="759"/>
      <c r="J59" s="765"/>
      <c r="K59" s="766"/>
      <c r="L59" s="761"/>
      <c r="M59" s="763"/>
      <c r="N59" s="768"/>
      <c r="O59" s="412"/>
      <c r="P59" s="200"/>
      <c r="Q59" s="200"/>
      <c r="R59" s="200"/>
      <c r="S59" s="520"/>
    </row>
    <row r="60" spans="1:19" hidden="1">
      <c r="A60" s="789"/>
      <c r="B60" s="769"/>
      <c r="C60" s="767"/>
      <c r="D60" s="763"/>
      <c r="E60" s="757"/>
      <c r="F60" s="757"/>
      <c r="G60" s="764"/>
      <c r="H60" s="759"/>
      <c r="I60" s="759"/>
      <c r="J60" s="765"/>
      <c r="K60" s="766"/>
      <c r="L60" s="761"/>
      <c r="M60" s="763"/>
      <c r="N60" s="768"/>
      <c r="O60" s="412"/>
      <c r="P60" s="200"/>
      <c r="Q60" s="200"/>
      <c r="R60" s="200"/>
      <c r="S60" s="520"/>
    </row>
    <row r="61" spans="1:19" hidden="1">
      <c r="A61" s="789"/>
      <c r="B61" s="769"/>
      <c r="C61" s="762"/>
      <c r="D61" s="763"/>
      <c r="E61" s="757"/>
      <c r="F61" s="757"/>
      <c r="G61" s="764"/>
      <c r="H61" s="759"/>
      <c r="I61" s="759"/>
      <c r="J61" s="765"/>
      <c r="K61" s="766"/>
      <c r="L61" s="761"/>
      <c r="M61" s="763"/>
      <c r="N61" s="768"/>
      <c r="O61" s="412"/>
      <c r="P61" s="200"/>
      <c r="Q61" s="200"/>
      <c r="R61" s="200"/>
      <c r="S61" s="520"/>
    </row>
    <row r="62" spans="1:19" hidden="1">
      <c r="A62" s="754"/>
      <c r="B62" s="769"/>
      <c r="C62" s="762"/>
      <c r="D62" s="763"/>
      <c r="E62" s="757"/>
      <c r="F62" s="757"/>
      <c r="G62" s="764"/>
      <c r="H62" s="759"/>
      <c r="I62" s="759"/>
      <c r="J62" s="765"/>
      <c r="K62" s="766"/>
      <c r="L62" s="761"/>
      <c r="M62" s="763"/>
      <c r="N62" s="768"/>
      <c r="O62" s="412"/>
      <c r="P62" s="200"/>
      <c r="Q62" s="200"/>
      <c r="R62" s="200"/>
      <c r="S62" s="520"/>
    </row>
    <row r="63" spans="1:19" hidden="1">
      <c r="A63" s="754"/>
      <c r="B63" s="769"/>
      <c r="C63" s="762"/>
      <c r="D63" s="763"/>
      <c r="E63" s="757"/>
      <c r="F63" s="757"/>
      <c r="G63" s="764"/>
      <c r="H63" s="759"/>
      <c r="I63" s="759"/>
      <c r="J63" s="765"/>
      <c r="K63" s="766"/>
      <c r="L63" s="761"/>
      <c r="M63" s="763"/>
      <c r="N63" s="768"/>
      <c r="O63" s="412"/>
      <c r="P63" s="200"/>
      <c r="Q63" s="200"/>
      <c r="R63" s="200"/>
      <c r="S63" s="520"/>
    </row>
    <row r="64" spans="1:19" hidden="1">
      <c r="A64" s="515"/>
      <c r="B64" s="458"/>
      <c r="C64" s="298"/>
      <c r="D64" s="299"/>
      <c r="E64" s="612"/>
      <c r="F64" s="612"/>
      <c r="G64" s="460"/>
      <c r="H64" s="610"/>
      <c r="I64" s="610"/>
      <c r="J64" s="610"/>
      <c r="K64" s="611"/>
      <c r="L64" s="726"/>
      <c r="M64" s="299"/>
      <c r="N64" s="768"/>
      <c r="P64" s="200"/>
      <c r="Q64" s="200"/>
      <c r="R64" s="200"/>
      <c r="S64" s="520"/>
    </row>
    <row r="65" spans="1:21">
      <c r="A65" s="516"/>
      <c r="B65" s="213"/>
      <c r="C65" s="214"/>
      <c r="D65" s="214"/>
      <c r="E65" s="215"/>
      <c r="F65" s="215"/>
      <c r="G65" s="216"/>
      <c r="H65" s="447"/>
      <c r="I65" s="447"/>
      <c r="J65" s="198"/>
      <c r="K65" s="217"/>
      <c r="L65" s="217"/>
      <c r="M65" s="217"/>
      <c r="N65" s="217"/>
    </row>
    <row r="66" spans="1:21" hidden="1">
      <c r="A66" s="516"/>
      <c r="B66" s="213"/>
      <c r="C66" s="214"/>
      <c r="D66" s="214"/>
      <c r="E66" s="215"/>
      <c r="F66" s="215"/>
      <c r="G66" s="216"/>
      <c r="H66" s="198"/>
      <c r="I66" s="198"/>
      <c r="J66" s="217"/>
      <c r="K66" s="217"/>
    </row>
    <row r="67" spans="1:21" hidden="1">
      <c r="A67" s="516"/>
      <c r="E67" s="200"/>
      <c r="F67" s="200"/>
      <c r="H67" s="533">
        <f>'1.0-Contractblad'!$L$29</f>
        <v>0</v>
      </c>
      <c r="I67" s="533">
        <f>H67</f>
        <v>0</v>
      </c>
      <c r="J67" s="533">
        <f>'1.0-Contractblad'!$L$75</f>
        <v>0</v>
      </c>
      <c r="K67" s="533">
        <f>'1.0-Contractblad'!$L$39</f>
        <v>0</v>
      </c>
      <c r="L67" s="199">
        <f>'1.0-Contractblad'!$L$59</f>
        <v>0</v>
      </c>
      <c r="M67" s="199">
        <f>'1.0-Contractblad'!$L$85</f>
        <v>0</v>
      </c>
      <c r="N67" s="199"/>
      <c r="P67" s="199"/>
      <c r="Q67" s="199"/>
      <c r="S67" s="1"/>
      <c r="T67" s="1"/>
      <c r="U67" s="202"/>
    </row>
    <row r="68" spans="1:21">
      <c r="A68" s="516"/>
      <c r="D68" s="204"/>
      <c r="E68" s="205"/>
      <c r="F68" s="205"/>
      <c r="G68" s="204"/>
      <c r="H68" s="204"/>
      <c r="S68" s="1"/>
      <c r="T68" s="1"/>
      <c r="U68" s="1"/>
    </row>
    <row r="69" spans="1:21" s="270" customFormat="1" ht="39">
      <c r="A69" s="517">
        <f t="shared" ref="A69:A96" si="7">A10</f>
        <v>0</v>
      </c>
      <c r="B69" s="267" t="s">
        <v>206</v>
      </c>
      <c r="C69" s="267" t="s">
        <v>171</v>
      </c>
      <c r="D69" s="267" t="s">
        <v>270</v>
      </c>
      <c r="E69" s="268" t="s">
        <v>143</v>
      </c>
      <c r="F69" s="268" t="s">
        <v>64</v>
      </c>
      <c r="G69" s="268" t="s">
        <v>65</v>
      </c>
      <c r="H69" s="268" t="s">
        <v>229</v>
      </c>
      <c r="I69" s="268" t="s">
        <v>40</v>
      </c>
      <c r="J69" s="268" t="s">
        <v>157</v>
      </c>
      <c r="K69" s="268" t="s">
        <v>156</v>
      </c>
      <c r="L69" s="268" t="s">
        <v>66</v>
      </c>
      <c r="M69" s="268" t="s">
        <v>198</v>
      </c>
      <c r="N69" s="268"/>
      <c r="O69" s="1"/>
      <c r="P69" s="269"/>
      <c r="Q69" s="269"/>
      <c r="R69" s="269"/>
      <c r="S69" s="269"/>
      <c r="T69" s="269"/>
      <c r="U69" s="269"/>
    </row>
    <row r="70" spans="1:21" hidden="1">
      <c r="A70" s="517"/>
      <c r="B70" s="299"/>
      <c r="C70" s="299"/>
      <c r="D70" s="406"/>
      <c r="E70" s="301"/>
      <c r="F70" s="301"/>
      <c r="G70" s="301"/>
      <c r="H70" s="301"/>
      <c r="I70" s="301"/>
      <c r="J70" s="466"/>
      <c r="K70" s="467"/>
      <c r="L70" s="301"/>
      <c r="M70" s="302"/>
      <c r="N70" s="752"/>
      <c r="O70" s="728"/>
      <c r="P70" s="203"/>
      <c r="R70" s="425"/>
      <c r="S70" s="1"/>
      <c r="T70" s="1"/>
      <c r="U70" s="1"/>
    </row>
    <row r="71" spans="1:21" hidden="1">
      <c r="A71" s="517"/>
      <c r="B71" s="299"/>
      <c r="C71" s="299"/>
      <c r="D71" s="406"/>
      <c r="E71" s="301"/>
      <c r="F71" s="301"/>
      <c r="G71" s="301"/>
      <c r="H71" s="301"/>
      <c r="I71" s="301"/>
      <c r="J71" s="466"/>
      <c r="K71" s="467"/>
      <c r="L71" s="301"/>
      <c r="M71" s="302"/>
      <c r="N71" s="752"/>
      <c r="O71" s="728"/>
      <c r="P71" s="203"/>
      <c r="R71" s="425"/>
      <c r="S71" s="1"/>
      <c r="T71" s="1"/>
      <c r="U71" s="1"/>
    </row>
    <row r="72" spans="1:21" hidden="1">
      <c r="A72" s="517"/>
      <c r="B72" s="299"/>
      <c r="C72" s="299"/>
      <c r="D72" s="406"/>
      <c r="E72" s="301"/>
      <c r="F72" s="301"/>
      <c r="G72" s="301"/>
      <c r="H72" s="301"/>
      <c r="I72" s="301"/>
      <c r="J72" s="466"/>
      <c r="K72" s="467"/>
      <c r="L72" s="301"/>
      <c r="M72" s="302"/>
      <c r="N72" s="752"/>
      <c r="O72" s="728"/>
      <c r="P72" s="203"/>
      <c r="R72" s="425"/>
      <c r="S72" s="1"/>
      <c r="T72" s="1"/>
      <c r="U72" s="1"/>
    </row>
    <row r="73" spans="1:21" hidden="1">
      <c r="A73" s="517"/>
      <c r="B73" s="299"/>
      <c r="C73" s="299"/>
      <c r="D73" s="406"/>
      <c r="E73" s="301"/>
      <c r="F73" s="301"/>
      <c r="G73" s="301"/>
      <c r="H73" s="301"/>
      <c r="I73" s="301"/>
      <c r="J73" s="466"/>
      <c r="K73" s="467"/>
      <c r="L73" s="301"/>
      <c r="M73" s="302"/>
      <c r="N73" s="752"/>
      <c r="O73" s="728"/>
      <c r="P73" s="203"/>
      <c r="R73" s="425"/>
      <c r="S73" s="1"/>
      <c r="T73" s="1"/>
      <c r="U73" s="1"/>
    </row>
    <row r="74" spans="1:21" hidden="1">
      <c r="A74" s="517"/>
      <c r="B74" s="299"/>
      <c r="C74" s="299"/>
      <c r="D74" s="406"/>
      <c r="E74" s="301"/>
      <c r="F74" s="301"/>
      <c r="G74" s="301"/>
      <c r="H74" s="301"/>
      <c r="I74" s="301"/>
      <c r="J74" s="466"/>
      <c r="K74" s="467"/>
      <c r="L74" s="301"/>
      <c r="M74" s="302"/>
      <c r="N74" s="752"/>
      <c r="O74" s="728"/>
      <c r="P74" s="203"/>
      <c r="R74" s="425"/>
      <c r="S74" s="1"/>
      <c r="T74" s="1"/>
      <c r="U74" s="1"/>
    </row>
    <row r="75" spans="1:21" hidden="1">
      <c r="A75" s="517"/>
      <c r="B75" s="299"/>
      <c r="C75" s="299"/>
      <c r="D75" s="406"/>
      <c r="E75" s="301"/>
      <c r="F75" s="301"/>
      <c r="G75" s="301"/>
      <c r="H75" s="301"/>
      <c r="I75" s="301"/>
      <c r="J75" s="466"/>
      <c r="K75" s="467"/>
      <c r="L75" s="301"/>
      <c r="M75" s="302"/>
      <c r="N75" s="752"/>
      <c r="O75" s="728"/>
      <c r="P75" s="203"/>
      <c r="R75" s="425"/>
      <c r="S75" s="1"/>
      <c r="T75" s="1"/>
      <c r="U75" s="1"/>
    </row>
    <row r="76" spans="1:21" hidden="1">
      <c r="A76" s="517"/>
      <c r="B76" s="299"/>
      <c r="C76" s="299"/>
      <c r="D76" s="406"/>
      <c r="E76" s="301"/>
      <c r="F76" s="301"/>
      <c r="G76" s="301"/>
      <c r="H76" s="301"/>
      <c r="I76" s="301"/>
      <c r="J76" s="466"/>
      <c r="K76" s="467"/>
      <c r="L76" s="301"/>
      <c r="M76" s="302"/>
      <c r="N76" s="752"/>
      <c r="O76" s="728"/>
      <c r="P76" s="203"/>
      <c r="R76" s="425"/>
      <c r="S76" s="1"/>
      <c r="T76" s="1"/>
      <c r="U76" s="1"/>
    </row>
    <row r="77" spans="1:21" hidden="1">
      <c r="A77" s="517"/>
      <c r="B77" s="299"/>
      <c r="C77" s="299"/>
      <c r="D77" s="406"/>
      <c r="E77" s="301"/>
      <c r="F77" s="301"/>
      <c r="G77" s="301"/>
      <c r="H77" s="301"/>
      <c r="I77" s="301"/>
      <c r="J77" s="466"/>
      <c r="K77" s="467"/>
      <c r="L77" s="301"/>
      <c r="M77" s="302"/>
      <c r="N77" s="753"/>
      <c r="O77" s="728"/>
      <c r="P77" s="203"/>
      <c r="R77" s="425"/>
      <c r="S77" s="1"/>
      <c r="T77" s="1"/>
      <c r="U77" s="1"/>
    </row>
    <row r="78" spans="1:21" hidden="1">
      <c r="A78" s="517"/>
      <c r="B78" s="299"/>
      <c r="C78" s="299"/>
      <c r="D78" s="406"/>
      <c r="E78" s="301"/>
      <c r="F78" s="301"/>
      <c r="G78" s="301"/>
      <c r="H78" s="301"/>
      <c r="I78" s="301"/>
      <c r="J78" s="466"/>
      <c r="K78" s="467"/>
      <c r="L78" s="301"/>
      <c r="M78" s="302"/>
      <c r="N78" s="752"/>
      <c r="O78" s="728"/>
      <c r="P78" s="203"/>
      <c r="R78" s="425"/>
      <c r="S78" s="1"/>
      <c r="T78" s="1"/>
      <c r="U78" s="1"/>
    </row>
    <row r="79" spans="1:21" hidden="1">
      <c r="A79" s="517"/>
      <c r="B79" s="299"/>
      <c r="C79" s="299"/>
      <c r="D79" s="406"/>
      <c r="E79" s="301"/>
      <c r="F79" s="301"/>
      <c r="G79" s="301"/>
      <c r="H79" s="301"/>
      <c r="I79" s="301"/>
      <c r="J79" s="466"/>
      <c r="K79" s="467"/>
      <c r="L79" s="301"/>
      <c r="M79" s="302"/>
      <c r="N79" s="752"/>
      <c r="O79" s="728"/>
      <c r="P79" s="203"/>
      <c r="R79" s="425"/>
      <c r="S79" s="1"/>
      <c r="T79" s="1"/>
      <c r="U79" s="1"/>
    </row>
    <row r="80" spans="1:21" hidden="1">
      <c r="A80" s="517"/>
      <c r="B80" s="299"/>
      <c r="C80" s="299"/>
      <c r="D80" s="406"/>
      <c r="E80" s="301"/>
      <c r="F80" s="301"/>
      <c r="G80" s="301"/>
      <c r="H80" s="301"/>
      <c r="I80" s="301"/>
      <c r="J80" s="466"/>
      <c r="K80" s="467"/>
      <c r="L80" s="301"/>
      <c r="M80" s="302"/>
      <c r="N80" s="752"/>
      <c r="O80" s="728"/>
      <c r="P80" s="203"/>
      <c r="R80" s="425"/>
      <c r="S80" s="1"/>
      <c r="T80" s="1"/>
      <c r="U80" s="1"/>
    </row>
    <row r="81" spans="1:21" hidden="1">
      <c r="A81" s="517"/>
      <c r="B81" s="299"/>
      <c r="C81" s="299"/>
      <c r="D81" s="406"/>
      <c r="E81" s="301"/>
      <c r="F81" s="301"/>
      <c r="G81" s="301"/>
      <c r="H81" s="301"/>
      <c r="I81" s="301"/>
      <c r="J81" s="466"/>
      <c r="K81" s="467"/>
      <c r="L81" s="301"/>
      <c r="M81" s="302"/>
      <c r="N81" s="752"/>
      <c r="O81" s="728"/>
      <c r="P81" s="203"/>
      <c r="R81" s="425"/>
      <c r="S81" s="1"/>
      <c r="T81" s="1"/>
      <c r="U81" s="1"/>
    </row>
    <row r="82" spans="1:21" hidden="1">
      <c r="A82" s="517"/>
      <c r="B82" s="299"/>
      <c r="C82" s="299"/>
      <c r="D82" s="406"/>
      <c r="E82" s="301"/>
      <c r="F82" s="301"/>
      <c r="G82" s="301"/>
      <c r="H82" s="301"/>
      <c r="I82" s="301"/>
      <c r="J82" s="466"/>
      <c r="K82" s="467"/>
      <c r="L82" s="301"/>
      <c r="M82" s="302"/>
      <c r="N82" s="752"/>
      <c r="O82" s="728"/>
      <c r="P82" s="203"/>
      <c r="R82" s="425"/>
      <c r="S82" s="1"/>
      <c r="T82" s="1"/>
      <c r="U82" s="1"/>
    </row>
    <row r="83" spans="1:21">
      <c r="A83" s="517">
        <f t="shared" si="7"/>
        <v>3</v>
      </c>
      <c r="B83" s="299" t="str">
        <f t="shared" ref="B83:B96" si="8">B24</f>
        <v>Horizon Anker A gebouw A</v>
      </c>
      <c r="C83" s="299" t="str">
        <f t="shared" ref="C83:C96" si="9">D24</f>
        <v>Horizon Onderwijs</v>
      </c>
      <c r="D83" s="406"/>
      <c r="E83" s="301">
        <f>VLOOKUP($B24,'1.6-Machine-investeringskosten'!$B$97:$E$149,4,FALSE)</f>
        <v>0</v>
      </c>
      <c r="F83" s="301">
        <f t="shared" ref="F83:F87" ca="1" si="10">$H$67*H24+$I$67*I24</f>
        <v>0</v>
      </c>
      <c r="G83" s="301">
        <f t="shared" ref="G83:G87" ca="1" si="11">$K$67*K24</f>
        <v>0</v>
      </c>
      <c r="H83" s="301"/>
      <c r="I83" s="301">
        <f t="shared" ref="I83:I87" ca="1" si="12">E83+F83+G83+D83+H83</f>
        <v>0</v>
      </c>
      <c r="J83" s="466">
        <f>SUMIF('1.3a-Mutaties'!E:E,'1.1a-Jaarprijzen'!B83,'1.3a-Mutaties'!Z:Z)</f>
        <v>0</v>
      </c>
      <c r="K83" s="467"/>
      <c r="L83" s="301">
        <f>SUMIF('1.9-Glasbewassing'!$B$15:$B$117,'1.1a-Jaarprijzen'!B83,'1.9-Glasbewassing'!$AD$15:$AD$117)+SUMIF('1.9-Glasbewassing'!$B$15:$B$117,'1.1a-Jaarprijzen'!B83,'1.9-Glasbewassing'!$AE$15:$AE$117)</f>
        <v>0</v>
      </c>
      <c r="M83" s="302">
        <f t="shared" ref="M83:M96" ca="1" si="13">IF(K83="Ja",L83+I83,I83+J83+L83)</f>
        <v>0</v>
      </c>
      <c r="N83" s="752"/>
      <c r="O83" s="728">
        <f t="shared" ref="O83:O96" ca="1" si="14">L83/E24</f>
        <v>0</v>
      </c>
      <c r="P83" s="203">
        <f t="shared" ref="P83:P96" ca="1" si="15">L83/(E24+F24)</f>
        <v>0</v>
      </c>
      <c r="R83" s="425"/>
      <c r="S83" s="1"/>
      <c r="T83" s="1"/>
      <c r="U83" s="1"/>
    </row>
    <row r="84" spans="1:21">
      <c r="A84" s="517">
        <f t="shared" si="7"/>
        <v>3</v>
      </c>
      <c r="B84" s="299" t="str">
        <f t="shared" si="8"/>
        <v>Horizon Anker Einder 1 gebouw A</v>
      </c>
      <c r="C84" s="299" t="str">
        <f t="shared" si="9"/>
        <v>Horizon Zorg</v>
      </c>
      <c r="D84" s="406"/>
      <c r="E84" s="301">
        <f>VLOOKUP($B25,'1.6-Machine-investeringskosten'!$B$97:$E$149,4,FALSE)</f>
        <v>0</v>
      </c>
      <c r="F84" s="301">
        <f t="shared" ca="1" si="10"/>
        <v>0</v>
      </c>
      <c r="G84" s="301">
        <f t="shared" ca="1" si="11"/>
        <v>0</v>
      </c>
      <c r="H84" s="301"/>
      <c r="I84" s="301">
        <f t="shared" ca="1" si="12"/>
        <v>0</v>
      </c>
      <c r="J84" s="466">
        <f>SUMIF('1.3a-Mutaties'!E:E,'1.1a-Jaarprijzen'!B84,'1.3a-Mutaties'!Z:Z)</f>
        <v>0</v>
      </c>
      <c r="K84" s="467"/>
      <c r="L84" s="301">
        <f>SUMIF('1.9-Glasbewassing'!$B$15:$B$117,'1.1a-Jaarprijzen'!B84,'1.9-Glasbewassing'!$AD$15:$AD$117)+SUMIF('1.9-Glasbewassing'!$B$15:$B$117,'1.1a-Jaarprijzen'!B84,'1.9-Glasbewassing'!$AE$15:$AE$117)</f>
        <v>0</v>
      </c>
      <c r="M84" s="302">
        <f t="shared" ca="1" si="13"/>
        <v>0</v>
      </c>
      <c r="N84" s="752"/>
      <c r="O84" s="728">
        <f t="shared" ca="1" si="14"/>
        <v>0</v>
      </c>
      <c r="P84" s="203">
        <f t="shared" ca="1" si="15"/>
        <v>0</v>
      </c>
      <c r="R84" s="425"/>
      <c r="S84" s="1"/>
      <c r="T84" s="1"/>
      <c r="U84" s="1"/>
    </row>
    <row r="85" spans="1:21">
      <c r="A85" s="517">
        <f t="shared" si="7"/>
        <v>3</v>
      </c>
      <c r="B85" s="299" t="str">
        <f t="shared" si="8"/>
        <v>Horizon Anker Einder 2 gebouw A</v>
      </c>
      <c r="C85" s="299" t="str">
        <f t="shared" si="9"/>
        <v>Horizon Zorg</v>
      </c>
      <c r="D85" s="406"/>
      <c r="E85" s="301">
        <f>VLOOKUP($B26,'1.6-Machine-investeringskosten'!$B$97:$E$149,4,FALSE)</f>
        <v>0</v>
      </c>
      <c r="F85" s="301">
        <f t="shared" ca="1" si="10"/>
        <v>0</v>
      </c>
      <c r="G85" s="301">
        <f t="shared" ca="1" si="11"/>
        <v>0</v>
      </c>
      <c r="H85" s="301"/>
      <c r="I85" s="301">
        <f t="shared" ca="1" si="12"/>
        <v>0</v>
      </c>
      <c r="J85" s="466">
        <f>SUMIF('1.3a-Mutaties'!E:E,'1.1a-Jaarprijzen'!B85,'1.3a-Mutaties'!Z:Z)</f>
        <v>0</v>
      </c>
      <c r="K85" s="467"/>
      <c r="L85" s="301">
        <f>SUMIF('1.9-Glasbewassing'!$B$15:$B$117,'1.1a-Jaarprijzen'!B85,'1.9-Glasbewassing'!$AD$15:$AD$117)+SUMIF('1.9-Glasbewassing'!$B$15:$B$117,'1.1a-Jaarprijzen'!B85,'1.9-Glasbewassing'!$AE$15:$AE$117)</f>
        <v>0</v>
      </c>
      <c r="M85" s="302">
        <f t="shared" ca="1" si="13"/>
        <v>0</v>
      </c>
      <c r="N85" s="752"/>
      <c r="O85" s="728">
        <f t="shared" ca="1" si="14"/>
        <v>0</v>
      </c>
      <c r="P85" s="203">
        <f t="shared" ca="1" si="15"/>
        <v>0</v>
      </c>
      <c r="R85" s="425"/>
      <c r="S85" s="1"/>
      <c r="T85" s="1"/>
      <c r="U85" s="1"/>
    </row>
    <row r="86" spans="1:21">
      <c r="A86" s="517">
        <f t="shared" si="7"/>
        <v>3</v>
      </c>
      <c r="B86" s="299" t="str">
        <f t="shared" si="8"/>
        <v>Horizon Anker Kompas 1 gebouw A</v>
      </c>
      <c r="C86" s="299" t="str">
        <f t="shared" si="9"/>
        <v>Horizon Zorg</v>
      </c>
      <c r="D86" s="406"/>
      <c r="E86" s="301">
        <f>VLOOKUP($B27,'1.6-Machine-investeringskosten'!$B$97:$E$149,4,FALSE)</f>
        <v>0</v>
      </c>
      <c r="F86" s="301">
        <f t="shared" ca="1" si="10"/>
        <v>0</v>
      </c>
      <c r="G86" s="301">
        <f t="shared" ca="1" si="11"/>
        <v>0</v>
      </c>
      <c r="H86" s="301"/>
      <c r="I86" s="301">
        <f t="shared" ca="1" si="12"/>
        <v>0</v>
      </c>
      <c r="J86" s="466">
        <f>SUMIF('1.3a-Mutaties'!E:E,'1.1a-Jaarprijzen'!B86,'1.3a-Mutaties'!Z:Z)</f>
        <v>0</v>
      </c>
      <c r="K86" s="467"/>
      <c r="L86" s="301">
        <f>SUMIF('1.9-Glasbewassing'!$B$15:$B$117,'1.1a-Jaarprijzen'!B86,'1.9-Glasbewassing'!$AD$15:$AD$117)+SUMIF('1.9-Glasbewassing'!$B$15:$B$117,'1.1a-Jaarprijzen'!B86,'1.9-Glasbewassing'!$AE$15:$AE$117)</f>
        <v>0</v>
      </c>
      <c r="M86" s="302">
        <f t="shared" ca="1" si="13"/>
        <v>0</v>
      </c>
      <c r="N86" s="752"/>
      <c r="O86" s="728">
        <f t="shared" ca="1" si="14"/>
        <v>0</v>
      </c>
      <c r="P86" s="203">
        <f t="shared" ca="1" si="15"/>
        <v>0</v>
      </c>
      <c r="R86" s="425"/>
      <c r="S86" s="1"/>
      <c r="T86" s="1"/>
      <c r="U86" s="1"/>
    </row>
    <row r="87" spans="1:21">
      <c r="A87" s="517">
        <f t="shared" si="7"/>
        <v>3</v>
      </c>
      <c r="B87" s="299" t="str">
        <f t="shared" si="8"/>
        <v>Horizon Anker Kompas 2 gebouw A</v>
      </c>
      <c r="C87" s="299" t="str">
        <f t="shared" si="9"/>
        <v>Horizon Zorg</v>
      </c>
      <c r="D87" s="406"/>
      <c r="E87" s="301">
        <f>VLOOKUP($B28,'1.6-Machine-investeringskosten'!$B$97:$E$149,4,FALSE)</f>
        <v>0</v>
      </c>
      <c r="F87" s="301">
        <f t="shared" ca="1" si="10"/>
        <v>0</v>
      </c>
      <c r="G87" s="301">
        <f t="shared" ca="1" si="11"/>
        <v>0</v>
      </c>
      <c r="H87" s="301"/>
      <c r="I87" s="301">
        <f t="shared" ca="1" si="12"/>
        <v>0</v>
      </c>
      <c r="J87" s="466">
        <f>SUMIF('1.3a-Mutaties'!E:E,'1.1a-Jaarprijzen'!B87,'1.3a-Mutaties'!Z:Z)</f>
        <v>0</v>
      </c>
      <c r="K87" s="467"/>
      <c r="L87" s="301">
        <f>SUMIF('1.9-Glasbewassing'!$B$15:$B$117,'1.1a-Jaarprijzen'!B87,'1.9-Glasbewassing'!$AD$15:$AD$117)+SUMIF('1.9-Glasbewassing'!$B$15:$B$117,'1.1a-Jaarprijzen'!B87,'1.9-Glasbewassing'!$AE$15:$AE$117)</f>
        <v>0</v>
      </c>
      <c r="M87" s="302">
        <f t="shared" ca="1" si="13"/>
        <v>0</v>
      </c>
      <c r="N87" s="752"/>
      <c r="O87" s="728">
        <f t="shared" ca="1" si="14"/>
        <v>0</v>
      </c>
      <c r="P87" s="203">
        <f t="shared" ca="1" si="15"/>
        <v>0</v>
      </c>
      <c r="R87" s="425"/>
      <c r="S87" s="1"/>
      <c r="T87" s="1"/>
      <c r="U87" s="1"/>
    </row>
    <row r="88" spans="1:21">
      <c r="A88" s="517">
        <f t="shared" si="7"/>
        <v>3</v>
      </c>
      <c r="B88" s="299" t="str">
        <f t="shared" si="8"/>
        <v>Horizon Anker Lagune 1 gebouw A</v>
      </c>
      <c r="C88" s="299" t="str">
        <f t="shared" si="9"/>
        <v>Horizon Zorg</v>
      </c>
      <c r="D88" s="406"/>
      <c r="E88" s="301">
        <f>VLOOKUP($B29,'1.6-Machine-investeringskosten'!$B$97:$E$149,4,FALSE)</f>
        <v>0</v>
      </c>
      <c r="F88" s="301">
        <f t="shared" ref="F88:F102" ca="1" si="16">$H$67*H29+$I$67*I29</f>
        <v>0</v>
      </c>
      <c r="G88" s="301">
        <f t="shared" ref="G88:G102" ca="1" si="17">$K$67*K29</f>
        <v>0</v>
      </c>
      <c r="H88" s="301"/>
      <c r="I88" s="301">
        <f t="shared" ref="I88:I102" ca="1" si="18">E88+F88+G88+D88+H88</f>
        <v>0</v>
      </c>
      <c r="J88" s="466">
        <f>SUMIF('1.3a-Mutaties'!E:E,'1.1a-Jaarprijzen'!B88,'1.3a-Mutaties'!Z:Z)</f>
        <v>0</v>
      </c>
      <c r="K88" s="467"/>
      <c r="L88" s="301">
        <f>SUMIF('1.9-Glasbewassing'!$B$15:$B$117,'1.1a-Jaarprijzen'!B88,'1.9-Glasbewassing'!$AD$15:$AD$117)+SUMIF('1.9-Glasbewassing'!$B$15:$B$117,'1.1a-Jaarprijzen'!B88,'1.9-Glasbewassing'!$AE$15:$AE$117)</f>
        <v>0</v>
      </c>
      <c r="M88" s="302">
        <f t="shared" ca="1" si="13"/>
        <v>0</v>
      </c>
      <c r="N88" s="752"/>
      <c r="O88" s="728">
        <f t="shared" ca="1" si="14"/>
        <v>0</v>
      </c>
      <c r="P88" s="203">
        <f t="shared" ca="1" si="15"/>
        <v>0</v>
      </c>
      <c r="R88" s="425"/>
      <c r="S88" s="1"/>
      <c r="T88" s="1"/>
      <c r="U88" s="1"/>
    </row>
    <row r="89" spans="1:21">
      <c r="A89" s="517">
        <f t="shared" si="7"/>
        <v>3</v>
      </c>
      <c r="B89" s="299" t="str">
        <f t="shared" si="8"/>
        <v>Horizon Anker Lagune 2 gebouw A</v>
      </c>
      <c r="C89" s="299" t="str">
        <f t="shared" si="9"/>
        <v>Horizon Zorg</v>
      </c>
      <c r="D89" s="406"/>
      <c r="E89" s="301">
        <f>VLOOKUP($B30,'1.6-Machine-investeringskosten'!$B$97:$E$149,4,FALSE)</f>
        <v>0</v>
      </c>
      <c r="F89" s="301">
        <f t="shared" ca="1" si="16"/>
        <v>0</v>
      </c>
      <c r="G89" s="301">
        <f t="shared" ca="1" si="17"/>
        <v>0</v>
      </c>
      <c r="H89" s="301"/>
      <c r="I89" s="301">
        <f t="shared" ca="1" si="18"/>
        <v>0</v>
      </c>
      <c r="J89" s="466">
        <f>SUMIF('1.3a-Mutaties'!E:E,'1.1a-Jaarprijzen'!B89,'1.3a-Mutaties'!Z:Z)</f>
        <v>0</v>
      </c>
      <c r="K89" s="467"/>
      <c r="L89" s="301">
        <f>SUMIF('1.9-Glasbewassing'!$B$15:$B$117,'1.1a-Jaarprijzen'!B89,'1.9-Glasbewassing'!$AD$15:$AD$117)+SUMIF('1.9-Glasbewassing'!$B$15:$B$117,'1.1a-Jaarprijzen'!B89,'1.9-Glasbewassing'!$AE$15:$AE$117)</f>
        <v>0</v>
      </c>
      <c r="M89" s="302">
        <f t="shared" ca="1" si="13"/>
        <v>0</v>
      </c>
      <c r="N89" s="752"/>
      <c r="O89" s="728">
        <f t="shared" ca="1" si="14"/>
        <v>0</v>
      </c>
      <c r="P89" s="203">
        <f t="shared" ca="1" si="15"/>
        <v>0</v>
      </c>
      <c r="R89" s="425"/>
      <c r="S89" s="1"/>
      <c r="T89" s="1"/>
      <c r="U89" s="1"/>
    </row>
    <row r="90" spans="1:21">
      <c r="A90" s="517">
        <f t="shared" si="7"/>
        <v>3</v>
      </c>
      <c r="B90" s="299" t="str">
        <f t="shared" si="8"/>
        <v>Horizon Anker Meander 1 gebouw A</v>
      </c>
      <c r="C90" s="299" t="str">
        <f t="shared" si="9"/>
        <v>Horizon Zorg</v>
      </c>
      <c r="D90" s="406"/>
      <c r="E90" s="301">
        <f>VLOOKUP($B31,'1.6-Machine-investeringskosten'!$B$97:$E$149,4,FALSE)</f>
        <v>0</v>
      </c>
      <c r="F90" s="301">
        <f t="shared" ca="1" si="16"/>
        <v>0</v>
      </c>
      <c r="G90" s="301">
        <f t="shared" ca="1" si="17"/>
        <v>0</v>
      </c>
      <c r="H90" s="301"/>
      <c r="I90" s="301">
        <f t="shared" ca="1" si="18"/>
        <v>0</v>
      </c>
      <c r="J90" s="466">
        <f>SUMIF('1.3a-Mutaties'!E:E,'1.1a-Jaarprijzen'!B90,'1.3a-Mutaties'!Z:Z)</f>
        <v>0</v>
      </c>
      <c r="K90" s="467"/>
      <c r="L90" s="301">
        <f>SUMIF('1.9-Glasbewassing'!$B$15:$B$117,'1.1a-Jaarprijzen'!B90,'1.9-Glasbewassing'!$AD$15:$AD$117)+SUMIF('1.9-Glasbewassing'!$B$15:$B$117,'1.1a-Jaarprijzen'!B90,'1.9-Glasbewassing'!$AE$15:$AE$117)</f>
        <v>0</v>
      </c>
      <c r="M90" s="302">
        <f t="shared" ca="1" si="13"/>
        <v>0</v>
      </c>
      <c r="N90" s="752"/>
      <c r="O90" s="728">
        <f t="shared" ca="1" si="14"/>
        <v>0</v>
      </c>
      <c r="P90" s="203">
        <f t="shared" ca="1" si="15"/>
        <v>0</v>
      </c>
      <c r="R90" s="425"/>
      <c r="S90" s="1"/>
      <c r="T90" s="1"/>
      <c r="U90" s="1"/>
    </row>
    <row r="91" spans="1:21">
      <c r="A91" s="517">
        <f t="shared" si="7"/>
        <v>3</v>
      </c>
      <c r="B91" s="299" t="str">
        <f t="shared" si="8"/>
        <v>Horizon Anker Meander 2 gebouw A</v>
      </c>
      <c r="C91" s="299" t="str">
        <f t="shared" si="9"/>
        <v>Horizon Zorg</v>
      </c>
      <c r="D91" s="406"/>
      <c r="E91" s="301">
        <f>VLOOKUP($B32,'1.6-Machine-investeringskosten'!$B$97:$E$149,4,FALSE)</f>
        <v>0</v>
      </c>
      <c r="F91" s="301">
        <f t="shared" ca="1" si="16"/>
        <v>0</v>
      </c>
      <c r="G91" s="301">
        <f t="shared" ca="1" si="17"/>
        <v>0</v>
      </c>
      <c r="H91" s="301"/>
      <c r="I91" s="301">
        <f t="shared" ca="1" si="18"/>
        <v>0</v>
      </c>
      <c r="J91" s="466">
        <f>SUMIF('1.3a-Mutaties'!E:E,'1.1a-Jaarprijzen'!B91,'1.3a-Mutaties'!Z:Z)</f>
        <v>0</v>
      </c>
      <c r="K91" s="467"/>
      <c r="L91" s="301">
        <f>SUMIF('1.9-Glasbewassing'!$B$15:$B$117,'1.1a-Jaarprijzen'!B91,'1.9-Glasbewassing'!$AD$15:$AD$117)+SUMIF('1.9-Glasbewassing'!$B$15:$B$117,'1.1a-Jaarprijzen'!B91,'1.9-Glasbewassing'!$AE$15:$AE$117)</f>
        <v>0</v>
      </c>
      <c r="M91" s="302">
        <f t="shared" ca="1" si="13"/>
        <v>0</v>
      </c>
      <c r="N91" s="752"/>
      <c r="O91" s="728">
        <f t="shared" ca="1" si="14"/>
        <v>0</v>
      </c>
      <c r="P91" s="203">
        <f t="shared" ca="1" si="15"/>
        <v>0</v>
      </c>
      <c r="R91" s="425"/>
      <c r="S91" s="1"/>
      <c r="T91" s="1"/>
      <c r="U91" s="1"/>
    </row>
    <row r="92" spans="1:21">
      <c r="A92" s="517">
        <f t="shared" si="7"/>
        <v>3</v>
      </c>
      <c r="B92" s="299" t="str">
        <f t="shared" si="8"/>
        <v>Horizon Anker Openbare ruimte gebouw A</v>
      </c>
      <c r="C92" s="299" t="str">
        <f t="shared" si="9"/>
        <v>Horizon Onderwijs</v>
      </c>
      <c r="D92" s="406"/>
      <c r="E92" s="301">
        <f>VLOOKUP($B33,'1.6-Machine-investeringskosten'!$B$97:$E$149,4,FALSE)</f>
        <v>0</v>
      </c>
      <c r="F92" s="301">
        <f t="shared" ca="1" si="16"/>
        <v>0</v>
      </c>
      <c r="G92" s="301">
        <f t="shared" ca="1" si="17"/>
        <v>0</v>
      </c>
      <c r="H92" s="301"/>
      <c r="I92" s="301">
        <f t="shared" ca="1" si="18"/>
        <v>0</v>
      </c>
      <c r="J92" s="466">
        <f>SUMIF('1.3a-Mutaties'!E:E,'1.1a-Jaarprijzen'!B92,'1.3a-Mutaties'!Z:Z)</f>
        <v>0</v>
      </c>
      <c r="K92" s="467"/>
      <c r="L92" s="301">
        <f>SUMIF('1.9-Glasbewassing'!$B$15:$B$117,'1.1a-Jaarprijzen'!B92,'1.9-Glasbewassing'!$AD$15:$AD$117)+SUMIF('1.9-Glasbewassing'!$B$15:$B$117,'1.1a-Jaarprijzen'!B92,'1.9-Glasbewassing'!$AE$15:$AE$117)</f>
        <v>0</v>
      </c>
      <c r="M92" s="302">
        <f t="shared" ca="1" si="13"/>
        <v>0</v>
      </c>
      <c r="N92" s="752"/>
      <c r="O92" s="728">
        <f t="shared" ca="1" si="14"/>
        <v>0</v>
      </c>
      <c r="P92" s="203">
        <f t="shared" ca="1" si="15"/>
        <v>0</v>
      </c>
      <c r="R92" s="425"/>
      <c r="S92" s="1"/>
      <c r="T92" s="1"/>
      <c r="U92" s="1"/>
    </row>
    <row r="93" spans="1:21">
      <c r="A93" s="517">
        <f t="shared" si="7"/>
        <v>3</v>
      </c>
      <c r="B93" s="299" t="str">
        <f t="shared" si="8"/>
        <v>Horizon Anker School gebouw A</v>
      </c>
      <c r="C93" s="299" t="str">
        <f t="shared" si="9"/>
        <v>Horizon Onderwijs</v>
      </c>
      <c r="D93" s="406"/>
      <c r="E93" s="301">
        <f>VLOOKUP($B34,'1.6-Machine-investeringskosten'!$B$97:$E$149,4,FALSE)</f>
        <v>0</v>
      </c>
      <c r="F93" s="301">
        <f t="shared" ca="1" si="16"/>
        <v>0</v>
      </c>
      <c r="G93" s="301">
        <f t="shared" ca="1" si="17"/>
        <v>0</v>
      </c>
      <c r="H93" s="301"/>
      <c r="I93" s="301">
        <f t="shared" ca="1" si="18"/>
        <v>0</v>
      </c>
      <c r="J93" s="466">
        <f>SUMIF('1.3a-Mutaties'!E:E,'1.1a-Jaarprijzen'!B93,'1.3a-Mutaties'!Z:Z)</f>
        <v>0</v>
      </c>
      <c r="K93" s="467"/>
      <c r="L93" s="301">
        <f>SUMIF('1.9-Glasbewassing'!$B$15:$B$117,'1.1a-Jaarprijzen'!B93,'1.9-Glasbewassing'!$AD$15:$AD$117)+SUMIF('1.9-Glasbewassing'!$B$15:$B$117,'1.1a-Jaarprijzen'!B93,'1.9-Glasbewassing'!$AE$15:$AE$117)</f>
        <v>0</v>
      </c>
      <c r="M93" s="302">
        <f t="shared" ca="1" si="13"/>
        <v>0</v>
      </c>
      <c r="N93" s="752"/>
      <c r="O93" s="728">
        <f t="shared" ca="1" si="14"/>
        <v>0</v>
      </c>
      <c r="P93" s="203">
        <f t="shared" ca="1" si="15"/>
        <v>0</v>
      </c>
      <c r="R93" s="425"/>
      <c r="S93" s="1"/>
      <c r="T93" s="1"/>
      <c r="U93" s="1"/>
    </row>
    <row r="94" spans="1:21">
      <c r="A94" s="517">
        <f t="shared" si="7"/>
        <v>3</v>
      </c>
      <c r="B94" s="299" t="str">
        <f t="shared" si="8"/>
        <v>Horizon Anker Tuinkantoor gebouw S</v>
      </c>
      <c r="C94" s="299" t="str">
        <f t="shared" si="9"/>
        <v>Horizon Kantoor</v>
      </c>
      <c r="D94" s="406"/>
      <c r="E94" s="786" t="s">
        <v>1450</v>
      </c>
      <c r="F94" s="785"/>
      <c r="G94" s="785"/>
      <c r="H94" s="785"/>
      <c r="I94" s="785"/>
      <c r="J94" s="466">
        <f>SUMIF('1.3a-Mutaties'!E:E,'1.1a-Jaarprijzen'!B94,'1.3a-Mutaties'!Z:Z)</f>
        <v>0</v>
      </c>
      <c r="K94" s="467"/>
      <c r="L94" s="301">
        <f>SUMIF('1.9-Glasbewassing'!$B$15:$B$117,'1.1a-Jaarprijzen'!B94,'1.9-Glasbewassing'!$AD$15:$AD$117)+SUMIF('1.9-Glasbewassing'!$B$15:$B$117,'1.1a-Jaarprijzen'!B94,'1.9-Glasbewassing'!$AE$15:$AE$117)</f>
        <v>0</v>
      </c>
      <c r="M94" s="302">
        <f t="shared" si="13"/>
        <v>0</v>
      </c>
      <c r="N94" s="752"/>
      <c r="O94" s="728">
        <f t="shared" ca="1" si="14"/>
        <v>0</v>
      </c>
      <c r="P94" s="203">
        <f t="shared" ca="1" si="15"/>
        <v>0</v>
      </c>
      <c r="R94" s="425"/>
      <c r="S94" s="1"/>
      <c r="T94" s="1"/>
      <c r="U94" s="1"/>
    </row>
    <row r="95" spans="1:21">
      <c r="A95" s="517">
        <f t="shared" si="7"/>
        <v>3</v>
      </c>
      <c r="B95" s="299" t="str">
        <f t="shared" si="8"/>
        <v>Horizon Prisma Atlantis 1 gebouw C</v>
      </c>
      <c r="C95" s="299" t="str">
        <f t="shared" si="9"/>
        <v>Horizon Zorg</v>
      </c>
      <c r="D95" s="406"/>
      <c r="E95" s="301">
        <f>VLOOKUP($B36,'1.6-Machine-investeringskosten'!$B$97:$E$149,4,FALSE)</f>
        <v>0</v>
      </c>
      <c r="F95" s="301">
        <f t="shared" ca="1" si="16"/>
        <v>0</v>
      </c>
      <c r="G95" s="301">
        <f t="shared" ca="1" si="17"/>
        <v>0</v>
      </c>
      <c r="H95" s="301"/>
      <c r="I95" s="301">
        <f t="shared" ca="1" si="18"/>
        <v>0</v>
      </c>
      <c r="J95" s="466">
        <f>SUMIF('1.3a-Mutaties'!E:E,'1.1a-Jaarprijzen'!B95,'1.3a-Mutaties'!Z:Z)</f>
        <v>0</v>
      </c>
      <c r="K95" s="467"/>
      <c r="L95" s="301">
        <f>SUMIF('1.9-Glasbewassing'!$B$15:$B$117,'1.1a-Jaarprijzen'!B95,'1.9-Glasbewassing'!$AD$15:$AD$117)+SUMIF('1.9-Glasbewassing'!$B$15:$B$117,'1.1a-Jaarprijzen'!B95,'1.9-Glasbewassing'!$AE$15:$AE$117)</f>
        <v>0</v>
      </c>
      <c r="M95" s="302">
        <f t="shared" ca="1" si="13"/>
        <v>0</v>
      </c>
      <c r="N95" s="752"/>
      <c r="O95" s="728">
        <f t="shared" ca="1" si="14"/>
        <v>0</v>
      </c>
      <c r="P95" s="203">
        <f t="shared" ca="1" si="15"/>
        <v>0</v>
      </c>
      <c r="R95" s="425"/>
      <c r="S95" s="1"/>
      <c r="T95" s="1"/>
      <c r="U95" s="1"/>
    </row>
    <row r="96" spans="1:21">
      <c r="A96" s="517">
        <f t="shared" si="7"/>
        <v>3</v>
      </c>
      <c r="B96" s="299" t="str">
        <f t="shared" si="8"/>
        <v>Horizon Prisma Atlantis 2 gebouw C</v>
      </c>
      <c r="C96" s="299" t="str">
        <f t="shared" si="9"/>
        <v>Horizon Zorg</v>
      </c>
      <c r="D96" s="406"/>
      <c r="E96" s="301">
        <f>VLOOKUP($B37,'1.6-Machine-investeringskosten'!$B$97:$E$149,4,FALSE)</f>
        <v>0</v>
      </c>
      <c r="F96" s="301">
        <f t="shared" ca="1" si="16"/>
        <v>0</v>
      </c>
      <c r="G96" s="301">
        <f t="shared" ca="1" si="17"/>
        <v>0</v>
      </c>
      <c r="H96" s="301"/>
      <c r="I96" s="301">
        <f t="shared" ca="1" si="18"/>
        <v>0</v>
      </c>
      <c r="J96" s="466">
        <f>SUMIF('1.3a-Mutaties'!E:E,'1.1a-Jaarprijzen'!B96,'1.3a-Mutaties'!Z:Z)</f>
        <v>0</v>
      </c>
      <c r="K96" s="467"/>
      <c r="L96" s="301">
        <f>SUMIF('1.9-Glasbewassing'!$B$15:$B$117,'1.1a-Jaarprijzen'!B96,'1.9-Glasbewassing'!$AD$15:$AD$117)+SUMIF('1.9-Glasbewassing'!$B$15:$B$117,'1.1a-Jaarprijzen'!B96,'1.9-Glasbewassing'!$AE$15:$AE$117)</f>
        <v>0</v>
      </c>
      <c r="M96" s="302">
        <f t="shared" ca="1" si="13"/>
        <v>0</v>
      </c>
      <c r="N96" s="752"/>
      <c r="O96" s="728">
        <f t="shared" ca="1" si="14"/>
        <v>0</v>
      </c>
      <c r="P96" s="203">
        <f t="shared" ca="1" si="15"/>
        <v>0</v>
      </c>
      <c r="R96" s="425"/>
      <c r="S96" s="1"/>
      <c r="T96" s="1"/>
      <c r="U96" s="1"/>
    </row>
    <row r="97" spans="1:21">
      <c r="A97" s="517">
        <f t="shared" ref="A97:B97" si="19">A38</f>
        <v>3</v>
      </c>
      <c r="B97" s="299" t="str">
        <f t="shared" si="19"/>
        <v>Horizon Prisma Boerderij gebouw D</v>
      </c>
      <c r="C97" s="299" t="str">
        <f t="shared" ref="C97:C102" si="20">D38</f>
        <v>Horizon Onderwijs</v>
      </c>
      <c r="D97" s="406"/>
      <c r="E97" s="301">
        <f>VLOOKUP($B38,'1.6-Machine-investeringskosten'!$B$97:$E$149,4,FALSE)</f>
        <v>0</v>
      </c>
      <c r="F97" s="301">
        <f t="shared" ca="1" si="16"/>
        <v>0</v>
      </c>
      <c r="G97" s="301">
        <f t="shared" ca="1" si="17"/>
        <v>0</v>
      </c>
      <c r="H97" s="301"/>
      <c r="I97" s="301">
        <f t="shared" ca="1" si="18"/>
        <v>0</v>
      </c>
      <c r="J97" s="466">
        <f>SUMIF('1.3a-Mutaties'!E:E,'1.1a-Jaarprijzen'!B97,'1.3a-Mutaties'!Z:Z)</f>
        <v>0</v>
      </c>
      <c r="K97" s="467"/>
      <c r="L97" s="301">
        <f>SUMIF('1.9-Glasbewassing'!$B$15:$B$117,'1.1a-Jaarprijzen'!B97,'1.9-Glasbewassing'!$AD$15:$AD$117)+SUMIF('1.9-Glasbewassing'!$B$15:$B$117,'1.1a-Jaarprijzen'!B97,'1.9-Glasbewassing'!$AE$15:$AE$117)</f>
        <v>0</v>
      </c>
      <c r="M97" s="302">
        <f t="shared" ref="M97:M102" ca="1" si="21">IF(K97="Ja",L97+I97,I97+J97+L97)</f>
        <v>0</v>
      </c>
      <c r="N97" s="752"/>
      <c r="O97" s="728">
        <f t="shared" ref="O97:O102" ca="1" si="22">L97/E38</f>
        <v>0</v>
      </c>
      <c r="P97" s="203">
        <f t="shared" ref="P97:P102" ca="1" si="23">L97/(E38+F38)</f>
        <v>0</v>
      </c>
      <c r="R97" s="425"/>
      <c r="S97" s="1"/>
      <c r="T97" s="1"/>
      <c r="U97" s="1"/>
    </row>
    <row r="98" spans="1:21">
      <c r="A98" s="517">
        <f t="shared" ref="A98:B98" si="24">A39</f>
        <v>3</v>
      </c>
      <c r="B98" s="299" t="str">
        <f t="shared" si="24"/>
        <v>Horizon Prisma Delta gebouw B</v>
      </c>
      <c r="C98" s="299" t="str">
        <f t="shared" si="20"/>
        <v>Horizon Zorg</v>
      </c>
      <c r="D98" s="406"/>
      <c r="E98" s="301">
        <f>VLOOKUP($B39,'1.6-Machine-investeringskosten'!$B$97:$E$149,4,FALSE)</f>
        <v>0</v>
      </c>
      <c r="F98" s="301">
        <f t="shared" ca="1" si="16"/>
        <v>0</v>
      </c>
      <c r="G98" s="301">
        <f t="shared" ca="1" si="17"/>
        <v>0</v>
      </c>
      <c r="H98" s="301"/>
      <c r="I98" s="301">
        <f t="shared" ca="1" si="18"/>
        <v>0</v>
      </c>
      <c r="J98" s="466">
        <f>SUMIF('1.3a-Mutaties'!E:E,'1.1a-Jaarprijzen'!B98,'1.3a-Mutaties'!Z:Z)</f>
        <v>0</v>
      </c>
      <c r="K98" s="467"/>
      <c r="L98" s="301">
        <f>SUMIF('1.9-Glasbewassing'!$B$15:$B$117,'1.1a-Jaarprijzen'!B98,'1.9-Glasbewassing'!$AD$15:$AD$117)+SUMIF('1.9-Glasbewassing'!$B$15:$B$117,'1.1a-Jaarprijzen'!B98,'1.9-Glasbewassing'!$AE$15:$AE$117)</f>
        <v>0</v>
      </c>
      <c r="M98" s="302">
        <f t="shared" ca="1" si="21"/>
        <v>0</v>
      </c>
      <c r="N98" s="752"/>
      <c r="O98" s="728">
        <f t="shared" ca="1" si="22"/>
        <v>0</v>
      </c>
      <c r="P98" s="203">
        <f t="shared" ca="1" si="23"/>
        <v>0</v>
      </c>
      <c r="R98" s="425"/>
      <c r="S98" s="1"/>
      <c r="T98" s="1"/>
      <c r="U98" s="1"/>
    </row>
    <row r="99" spans="1:21">
      <c r="A99" s="517">
        <f t="shared" ref="A99:B99" si="25">A40</f>
        <v>3</v>
      </c>
      <c r="B99" s="299" t="str">
        <f t="shared" si="25"/>
        <v>Horizon Prisma Gebouw Onderhoud gebouw G</v>
      </c>
      <c r="C99" s="299" t="str">
        <f t="shared" si="20"/>
        <v>Horizon Kantoor</v>
      </c>
      <c r="D99" s="406"/>
      <c r="E99" s="301">
        <f>VLOOKUP($B40,'1.6-Machine-investeringskosten'!$B$97:$E$149,4,FALSE)</f>
        <v>0</v>
      </c>
      <c r="F99" s="301">
        <f t="shared" ca="1" si="16"/>
        <v>0</v>
      </c>
      <c r="G99" s="301">
        <f t="shared" ca="1" si="17"/>
        <v>0</v>
      </c>
      <c r="H99" s="301"/>
      <c r="I99" s="301">
        <f t="shared" ca="1" si="18"/>
        <v>0</v>
      </c>
      <c r="J99" s="466">
        <f>SUMIF('1.3a-Mutaties'!E:E,'1.1a-Jaarprijzen'!B99,'1.3a-Mutaties'!Z:Z)</f>
        <v>0</v>
      </c>
      <c r="K99" s="467"/>
      <c r="L99" s="301">
        <f>SUMIF('1.9-Glasbewassing'!$B$15:$B$117,'1.1a-Jaarprijzen'!B99,'1.9-Glasbewassing'!$AD$15:$AD$117)+SUMIF('1.9-Glasbewassing'!$B$15:$B$117,'1.1a-Jaarprijzen'!B99,'1.9-Glasbewassing'!$AE$15:$AE$117)</f>
        <v>0</v>
      </c>
      <c r="M99" s="302">
        <f t="shared" ca="1" si="21"/>
        <v>0</v>
      </c>
      <c r="N99" s="752"/>
      <c r="O99" s="728">
        <f t="shared" ca="1" si="22"/>
        <v>0</v>
      </c>
      <c r="P99" s="203">
        <f t="shared" ca="1" si="23"/>
        <v>0</v>
      </c>
      <c r="R99" s="425"/>
      <c r="S99" s="1"/>
      <c r="T99" s="1"/>
      <c r="U99" s="1"/>
    </row>
    <row r="100" spans="1:21">
      <c r="A100" s="517">
        <f t="shared" ref="A100:B100" si="26">A41</f>
        <v>3</v>
      </c>
      <c r="B100" s="299" t="str">
        <f t="shared" si="26"/>
        <v>Horizon Prisma Lichtboei gebouw E</v>
      </c>
      <c r="C100" s="299" t="str">
        <f t="shared" si="20"/>
        <v>Horizon Zorg</v>
      </c>
      <c r="D100" s="406"/>
      <c r="E100" s="301">
        <f>VLOOKUP($B41,'1.6-Machine-investeringskosten'!$B$97:$E$149,4,FALSE)</f>
        <v>0</v>
      </c>
      <c r="F100" s="301">
        <f t="shared" ca="1" si="16"/>
        <v>0</v>
      </c>
      <c r="G100" s="301">
        <f t="shared" ca="1" si="17"/>
        <v>0</v>
      </c>
      <c r="H100" s="301"/>
      <c r="I100" s="301">
        <f t="shared" ca="1" si="18"/>
        <v>0</v>
      </c>
      <c r="J100" s="466">
        <f>SUMIF('1.3a-Mutaties'!E:E,'1.1a-Jaarprijzen'!B100,'1.3a-Mutaties'!Z:Z)</f>
        <v>0</v>
      </c>
      <c r="K100" s="467"/>
      <c r="L100" s="301">
        <f>SUMIF('1.9-Glasbewassing'!$B$15:$B$117,'1.1a-Jaarprijzen'!B100,'1.9-Glasbewassing'!$AD$15:$AD$117)+SUMIF('1.9-Glasbewassing'!$B$15:$B$117,'1.1a-Jaarprijzen'!B100,'1.9-Glasbewassing'!$AE$15:$AE$117)</f>
        <v>0</v>
      </c>
      <c r="M100" s="302">
        <f t="shared" ca="1" si="21"/>
        <v>0</v>
      </c>
      <c r="N100" s="752"/>
      <c r="O100" s="728">
        <f t="shared" ca="1" si="22"/>
        <v>0</v>
      </c>
      <c r="P100" s="203">
        <f t="shared" ca="1" si="23"/>
        <v>0</v>
      </c>
      <c r="R100" s="425"/>
      <c r="S100" s="1"/>
      <c r="T100" s="1"/>
      <c r="U100" s="1"/>
    </row>
    <row r="101" spans="1:21">
      <c r="A101" s="517">
        <f t="shared" ref="A101:B101" si="27">A42</f>
        <v>3</v>
      </c>
      <c r="B101" s="299" t="str">
        <f t="shared" si="27"/>
        <v>Horizon Prisma Multifunctioneel gebouw F</v>
      </c>
      <c r="C101" s="299" t="str">
        <f t="shared" si="20"/>
        <v>Horizon Sportzaal</v>
      </c>
      <c r="D101" s="406"/>
      <c r="E101" s="301">
        <f>VLOOKUP($B42,'1.6-Machine-investeringskosten'!$B$97:$E$149,4,FALSE)</f>
        <v>0</v>
      </c>
      <c r="F101" s="301">
        <f t="shared" ca="1" si="16"/>
        <v>0</v>
      </c>
      <c r="G101" s="301">
        <f t="shared" ca="1" si="17"/>
        <v>0</v>
      </c>
      <c r="H101" s="301"/>
      <c r="I101" s="301">
        <f t="shared" ca="1" si="18"/>
        <v>0</v>
      </c>
      <c r="J101" s="466">
        <f>SUMIF('1.3a-Mutaties'!E:E,'1.1a-Jaarprijzen'!B101,'1.3a-Mutaties'!Z:Z)</f>
        <v>0</v>
      </c>
      <c r="K101" s="467"/>
      <c r="L101" s="301">
        <f>SUMIF('1.9-Glasbewassing'!$B$15:$B$117,'1.1a-Jaarprijzen'!B101,'1.9-Glasbewassing'!$AD$15:$AD$117)+SUMIF('1.9-Glasbewassing'!$B$15:$B$117,'1.1a-Jaarprijzen'!B101,'1.9-Glasbewassing'!$AE$15:$AE$117)</f>
        <v>0</v>
      </c>
      <c r="M101" s="302">
        <f t="shared" ca="1" si="21"/>
        <v>0</v>
      </c>
      <c r="N101" s="752"/>
      <c r="O101" s="728">
        <f t="shared" ca="1" si="22"/>
        <v>0</v>
      </c>
      <c r="P101" s="203">
        <f t="shared" ca="1" si="23"/>
        <v>0</v>
      </c>
      <c r="R101" s="425"/>
      <c r="S101" s="1"/>
      <c r="T101" s="1"/>
      <c r="U101" s="1"/>
    </row>
    <row r="102" spans="1:21">
      <c r="A102" s="517">
        <f t="shared" ref="A102:B102" si="28">A43</f>
        <v>3</v>
      </c>
      <c r="B102" s="299" t="str">
        <f t="shared" si="28"/>
        <v>Horizon Prisma Omega gebouw L</v>
      </c>
      <c r="C102" s="299" t="str">
        <f t="shared" si="20"/>
        <v>Horizon Zorg</v>
      </c>
      <c r="D102" s="406"/>
      <c r="E102" s="301">
        <f>VLOOKUP($B43,'1.6-Machine-investeringskosten'!$B$97:$E$149,4,FALSE)</f>
        <v>0</v>
      </c>
      <c r="F102" s="301">
        <f t="shared" ca="1" si="16"/>
        <v>0</v>
      </c>
      <c r="G102" s="301">
        <f t="shared" ca="1" si="17"/>
        <v>0</v>
      </c>
      <c r="H102" s="301"/>
      <c r="I102" s="301">
        <f t="shared" ca="1" si="18"/>
        <v>0</v>
      </c>
      <c r="J102" s="466">
        <f>SUMIF('1.3a-Mutaties'!E:E,'1.1a-Jaarprijzen'!B102,'1.3a-Mutaties'!Z:Z)</f>
        <v>0</v>
      </c>
      <c r="K102" s="467"/>
      <c r="L102" s="301">
        <f>SUMIF('1.9-Glasbewassing'!$B$15:$B$117,'1.1a-Jaarprijzen'!B102,'1.9-Glasbewassing'!$AD$15:$AD$117)+SUMIF('1.9-Glasbewassing'!$B$15:$B$117,'1.1a-Jaarprijzen'!B102,'1.9-Glasbewassing'!$AE$15:$AE$117)</f>
        <v>0</v>
      </c>
      <c r="M102" s="302">
        <f t="shared" ca="1" si="21"/>
        <v>0</v>
      </c>
      <c r="N102" s="752"/>
      <c r="O102" s="728">
        <f t="shared" ca="1" si="22"/>
        <v>0</v>
      </c>
      <c r="P102" s="203">
        <f t="shared" ca="1" si="23"/>
        <v>0</v>
      </c>
      <c r="R102" s="425"/>
      <c r="S102" s="1"/>
      <c r="T102" s="1"/>
      <c r="U102" s="1"/>
    </row>
    <row r="103" spans="1:21" s="801" customFormat="1" hidden="1">
      <c r="A103" s="790"/>
      <c r="B103" s="298"/>
      <c r="C103" s="298"/>
      <c r="D103" s="791"/>
      <c r="E103" s="792"/>
      <c r="F103" s="792"/>
      <c r="G103" s="792"/>
      <c r="H103" s="792"/>
      <c r="I103" s="792"/>
      <c r="J103" s="793"/>
      <c r="K103" s="794"/>
      <c r="L103" s="792"/>
      <c r="M103" s="795"/>
      <c r="N103" s="796"/>
      <c r="O103" s="797"/>
      <c r="P103" s="798"/>
      <c r="Q103" s="799"/>
      <c r="R103" s="800"/>
      <c r="S103" s="799"/>
      <c r="T103" s="799"/>
      <c r="U103" s="799"/>
    </row>
    <row r="104" spans="1:21" s="801" customFormat="1" hidden="1">
      <c r="A104" s="790"/>
      <c r="B104" s="298"/>
      <c r="C104" s="298"/>
      <c r="D104" s="791"/>
      <c r="E104" s="792"/>
      <c r="F104" s="792"/>
      <c r="G104" s="792"/>
      <c r="H104" s="792"/>
      <c r="I104" s="792"/>
      <c r="J104" s="793"/>
      <c r="K104" s="794"/>
      <c r="L104" s="792"/>
      <c r="M104" s="795"/>
      <c r="N104" s="796"/>
      <c r="O104" s="797"/>
      <c r="P104" s="798"/>
      <c r="Q104" s="799"/>
      <c r="R104" s="800"/>
      <c r="S104" s="799"/>
      <c r="T104" s="799"/>
      <c r="U104" s="799"/>
    </row>
    <row r="105" spans="1:21" s="801" customFormat="1" hidden="1">
      <c r="A105" s="790"/>
      <c r="B105" s="298"/>
      <c r="C105" s="298"/>
      <c r="D105" s="791"/>
      <c r="E105" s="792"/>
      <c r="F105" s="792"/>
      <c r="G105" s="792"/>
      <c r="H105" s="792"/>
      <c r="I105" s="792"/>
      <c r="J105" s="793"/>
      <c r="K105" s="794"/>
      <c r="L105" s="792"/>
      <c r="M105" s="795"/>
      <c r="N105" s="796"/>
      <c r="O105" s="797"/>
      <c r="P105" s="798"/>
      <c r="Q105" s="799"/>
      <c r="R105" s="800"/>
      <c r="S105" s="799"/>
      <c r="T105" s="799"/>
      <c r="U105" s="799"/>
    </row>
    <row r="106" spans="1:21" s="801" customFormat="1" hidden="1">
      <c r="A106" s="790"/>
      <c r="B106" s="298"/>
      <c r="C106" s="298"/>
      <c r="D106" s="791"/>
      <c r="E106" s="792"/>
      <c r="F106" s="792"/>
      <c r="G106" s="792"/>
      <c r="H106" s="792"/>
      <c r="I106" s="792"/>
      <c r="J106" s="793"/>
      <c r="K106" s="794"/>
      <c r="L106" s="792"/>
      <c r="M106" s="795"/>
      <c r="N106" s="796"/>
      <c r="O106" s="797"/>
      <c r="P106" s="798"/>
      <c r="Q106" s="799"/>
      <c r="R106" s="800"/>
      <c r="S106" s="799"/>
      <c r="T106" s="799"/>
      <c r="U106" s="799"/>
    </row>
    <row r="107" spans="1:21" s="801" customFormat="1" hidden="1">
      <c r="A107" s="790"/>
      <c r="B107" s="298"/>
      <c r="C107" s="298"/>
      <c r="D107" s="791"/>
      <c r="E107" s="792"/>
      <c r="F107" s="792"/>
      <c r="G107" s="792"/>
      <c r="H107" s="792"/>
      <c r="I107" s="792"/>
      <c r="J107" s="793"/>
      <c r="K107" s="794"/>
      <c r="L107" s="792"/>
      <c r="M107" s="795"/>
      <c r="N107" s="796"/>
      <c r="O107" s="797"/>
      <c r="P107" s="798"/>
      <c r="Q107" s="799"/>
      <c r="R107" s="800"/>
      <c r="S107" s="799"/>
      <c r="T107" s="799"/>
      <c r="U107" s="799"/>
    </row>
    <row r="108" spans="1:21" s="801" customFormat="1" hidden="1">
      <c r="A108" s="790"/>
      <c r="B108" s="298"/>
      <c r="C108" s="298"/>
      <c r="D108" s="791"/>
      <c r="E108" s="792"/>
      <c r="F108" s="792"/>
      <c r="G108" s="792"/>
      <c r="H108" s="792"/>
      <c r="I108" s="792"/>
      <c r="J108" s="793"/>
      <c r="K108" s="794"/>
      <c r="L108" s="792"/>
      <c r="M108" s="795"/>
      <c r="N108" s="796"/>
      <c r="O108" s="797"/>
      <c r="P108" s="798"/>
      <c r="Q108" s="799"/>
      <c r="R108" s="800"/>
      <c r="S108" s="799"/>
      <c r="T108" s="799"/>
      <c r="U108" s="799"/>
    </row>
    <row r="109" spans="1:21" s="801" customFormat="1" hidden="1">
      <c r="A109" s="790"/>
      <c r="B109" s="298"/>
      <c r="C109" s="298"/>
      <c r="D109" s="791"/>
      <c r="E109" s="792"/>
      <c r="F109" s="792"/>
      <c r="G109" s="792"/>
      <c r="H109" s="792"/>
      <c r="I109" s="792"/>
      <c r="J109" s="793"/>
      <c r="K109" s="794"/>
      <c r="L109" s="792"/>
      <c r="M109" s="795"/>
      <c r="N109" s="796"/>
      <c r="O109" s="797"/>
      <c r="P109" s="798"/>
      <c r="Q109" s="799"/>
      <c r="R109" s="800"/>
      <c r="S109" s="799"/>
      <c r="T109" s="799"/>
      <c r="U109" s="799"/>
    </row>
    <row r="110" spans="1:21" s="801" customFormat="1" hidden="1">
      <c r="A110" s="790"/>
      <c r="B110" s="298"/>
      <c r="C110" s="298"/>
      <c r="D110" s="791"/>
      <c r="E110" s="792"/>
      <c r="F110" s="792"/>
      <c r="G110" s="792"/>
      <c r="H110" s="792"/>
      <c r="I110" s="792"/>
      <c r="J110" s="793"/>
      <c r="K110" s="794"/>
      <c r="L110" s="792"/>
      <c r="M110" s="795"/>
      <c r="N110" s="796"/>
      <c r="O110" s="797"/>
      <c r="P110" s="798"/>
      <c r="Q110" s="799"/>
      <c r="R110" s="800"/>
      <c r="S110" s="799"/>
      <c r="T110" s="799"/>
      <c r="U110" s="799"/>
    </row>
    <row r="111" spans="1:21" s="801" customFormat="1" hidden="1">
      <c r="A111" s="790"/>
      <c r="B111" s="298"/>
      <c r="C111" s="298"/>
      <c r="D111" s="791"/>
      <c r="E111" s="792"/>
      <c r="F111" s="792"/>
      <c r="G111" s="792"/>
      <c r="H111" s="792"/>
      <c r="I111" s="792"/>
      <c r="J111" s="793"/>
      <c r="K111" s="794"/>
      <c r="L111" s="792"/>
      <c r="M111" s="795"/>
      <c r="N111" s="796"/>
      <c r="O111" s="797"/>
      <c r="P111" s="798"/>
      <c r="Q111" s="799"/>
      <c r="R111" s="800"/>
      <c r="S111" s="799"/>
      <c r="T111" s="799"/>
      <c r="U111" s="799"/>
    </row>
    <row r="112" spans="1:21" s="801" customFormat="1" hidden="1">
      <c r="A112" s="790"/>
      <c r="B112" s="298"/>
      <c r="C112" s="298"/>
      <c r="D112" s="791"/>
      <c r="E112" s="792"/>
      <c r="F112" s="792"/>
      <c r="G112" s="792"/>
      <c r="H112" s="792"/>
      <c r="I112" s="792"/>
      <c r="J112" s="793"/>
      <c r="K112" s="794"/>
      <c r="L112" s="792"/>
      <c r="M112" s="795"/>
      <c r="N112" s="796"/>
      <c r="O112" s="797"/>
      <c r="P112" s="798"/>
      <c r="Q112" s="799"/>
      <c r="R112" s="800"/>
      <c r="S112" s="799"/>
      <c r="T112" s="799"/>
      <c r="U112" s="799"/>
    </row>
    <row r="113" spans="1:21" s="801" customFormat="1" hidden="1">
      <c r="A113" s="790"/>
      <c r="B113" s="298"/>
      <c r="C113" s="298"/>
      <c r="D113" s="791"/>
      <c r="E113" s="792"/>
      <c r="F113" s="792"/>
      <c r="G113" s="792"/>
      <c r="H113" s="792"/>
      <c r="I113" s="792"/>
      <c r="J113" s="793"/>
      <c r="K113" s="794"/>
      <c r="L113" s="792"/>
      <c r="M113" s="795"/>
      <c r="N113" s="796"/>
      <c r="O113" s="797"/>
      <c r="P113" s="798"/>
      <c r="Q113" s="799"/>
      <c r="R113" s="800"/>
      <c r="S113" s="799"/>
      <c r="T113" s="799"/>
      <c r="U113" s="799"/>
    </row>
    <row r="114" spans="1:21" s="801" customFormat="1" hidden="1">
      <c r="A114" s="790"/>
      <c r="B114" s="298"/>
      <c r="C114" s="298"/>
      <c r="D114" s="791"/>
      <c r="E114" s="792"/>
      <c r="F114" s="792"/>
      <c r="G114" s="792"/>
      <c r="H114" s="792"/>
      <c r="I114" s="792"/>
      <c r="J114" s="793"/>
      <c r="K114" s="794"/>
      <c r="L114" s="792"/>
      <c r="M114" s="795"/>
      <c r="N114" s="796"/>
      <c r="O114" s="797"/>
      <c r="P114" s="798"/>
      <c r="Q114" s="799"/>
      <c r="R114" s="800"/>
      <c r="S114" s="799"/>
      <c r="T114" s="799"/>
      <c r="U114" s="799"/>
    </row>
    <row r="115" spans="1:21" s="801" customFormat="1" hidden="1">
      <c r="A115" s="790"/>
      <c r="B115" s="298"/>
      <c r="C115" s="298"/>
      <c r="D115" s="791"/>
      <c r="E115" s="792"/>
      <c r="F115" s="792"/>
      <c r="G115" s="792"/>
      <c r="H115" s="792"/>
      <c r="I115" s="792"/>
      <c r="J115" s="793"/>
      <c r="K115" s="794"/>
      <c r="L115" s="792"/>
      <c r="M115" s="795"/>
      <c r="N115" s="796"/>
      <c r="O115" s="797"/>
      <c r="P115" s="798"/>
      <c r="Q115" s="799"/>
      <c r="R115" s="800"/>
      <c r="S115" s="799"/>
      <c r="T115" s="799"/>
      <c r="U115" s="799"/>
    </row>
    <row r="116" spans="1:21" s="801" customFormat="1" hidden="1">
      <c r="A116" s="790"/>
      <c r="B116" s="298"/>
      <c r="C116" s="298"/>
      <c r="D116" s="791"/>
      <c r="E116" s="792"/>
      <c r="F116" s="792"/>
      <c r="G116" s="792"/>
      <c r="H116" s="792"/>
      <c r="I116" s="792"/>
      <c r="J116" s="793"/>
      <c r="K116" s="794"/>
      <c r="L116" s="792"/>
      <c r="M116" s="795"/>
      <c r="N116" s="796"/>
      <c r="O116" s="797"/>
      <c r="P116" s="798"/>
      <c r="Q116" s="799"/>
      <c r="R116" s="800"/>
      <c r="S116" s="799"/>
      <c r="T116" s="799"/>
      <c r="U116" s="799"/>
    </row>
    <row r="117" spans="1:21" s="801" customFormat="1" hidden="1">
      <c r="A117" s="790"/>
      <c r="B117" s="298"/>
      <c r="C117" s="298"/>
      <c r="D117" s="791"/>
      <c r="E117" s="792"/>
      <c r="F117" s="792"/>
      <c r="G117" s="792"/>
      <c r="H117" s="792"/>
      <c r="I117" s="792"/>
      <c r="J117" s="793"/>
      <c r="K117" s="794"/>
      <c r="L117" s="792"/>
      <c r="M117" s="795"/>
      <c r="N117" s="796"/>
      <c r="O117" s="797"/>
      <c r="P117" s="798"/>
      <c r="Q117" s="799"/>
      <c r="R117" s="800"/>
      <c r="S117" s="799"/>
      <c r="T117" s="799"/>
      <c r="U117" s="799"/>
    </row>
    <row r="118" spans="1:21" s="801" customFormat="1" hidden="1">
      <c r="A118" s="790"/>
      <c r="B118" s="298"/>
      <c r="C118" s="298"/>
      <c r="D118" s="791"/>
      <c r="E118" s="792"/>
      <c r="F118" s="792"/>
      <c r="G118" s="792"/>
      <c r="H118" s="792"/>
      <c r="I118" s="792"/>
      <c r="J118" s="793"/>
      <c r="K118" s="794"/>
      <c r="L118" s="792"/>
      <c r="M118" s="795"/>
      <c r="N118" s="796"/>
      <c r="O118" s="797"/>
      <c r="P118" s="798"/>
      <c r="Q118" s="799"/>
      <c r="R118" s="800"/>
      <c r="S118" s="799"/>
      <c r="T118" s="799"/>
      <c r="U118" s="799"/>
    </row>
    <row r="119" spans="1:21" s="801" customFormat="1" hidden="1">
      <c r="A119" s="790"/>
      <c r="B119" s="298"/>
      <c r="C119" s="298"/>
      <c r="D119" s="791"/>
      <c r="E119" s="792"/>
      <c r="F119" s="792"/>
      <c r="G119" s="792"/>
      <c r="H119" s="792"/>
      <c r="I119" s="792"/>
      <c r="J119" s="793"/>
      <c r="K119" s="794"/>
      <c r="L119" s="792"/>
      <c r="M119" s="795"/>
      <c r="N119" s="796"/>
      <c r="O119" s="797"/>
      <c r="P119" s="798"/>
      <c r="Q119" s="799"/>
      <c r="R119" s="800"/>
      <c r="S119" s="799"/>
      <c r="T119" s="799"/>
      <c r="U119" s="799"/>
    </row>
    <row r="120" spans="1:21" s="801" customFormat="1" hidden="1">
      <c r="A120" s="790"/>
      <c r="B120" s="298"/>
      <c r="C120" s="298"/>
      <c r="D120" s="791"/>
      <c r="E120" s="802"/>
      <c r="F120" s="792"/>
      <c r="G120" s="792"/>
      <c r="H120" s="792"/>
      <c r="I120" s="792"/>
      <c r="J120" s="793"/>
      <c r="K120" s="794"/>
      <c r="L120" s="792"/>
      <c r="M120" s="795"/>
      <c r="N120" s="796"/>
      <c r="O120" s="797"/>
      <c r="P120" s="798"/>
      <c r="Q120" s="799"/>
      <c r="R120" s="800"/>
      <c r="S120" s="799"/>
      <c r="T120" s="799"/>
      <c r="U120" s="799"/>
    </row>
    <row r="121" spans="1:21" hidden="1">
      <c r="A121" s="517">
        <f>A63</f>
        <v>0</v>
      </c>
      <c r="B121" s="299">
        <f>B63</f>
        <v>0</v>
      </c>
      <c r="C121" s="299">
        <f>D63</f>
        <v>0</v>
      </c>
      <c r="D121" s="406"/>
      <c r="E121" s="301"/>
      <c r="F121" s="301"/>
      <c r="G121" s="301"/>
      <c r="H121" s="301"/>
      <c r="I121" s="301"/>
      <c r="J121" s="466"/>
      <c r="K121" s="467"/>
      <c r="L121" s="301"/>
      <c r="M121" s="302"/>
      <c r="N121" s="656"/>
      <c r="O121" s="728" t="e">
        <f t="shared" ref="O121" si="29">L121/E63</f>
        <v>#DIV/0!</v>
      </c>
      <c r="P121" s="203" t="e">
        <f t="shared" ref="P121" si="30">L121/(E63+F63)</f>
        <v>#DIV/0!</v>
      </c>
      <c r="R121" s="425"/>
      <c r="S121" s="1"/>
      <c r="T121" s="1"/>
      <c r="U121" s="1"/>
    </row>
    <row r="122" spans="1:21" hidden="1">
      <c r="A122" s="517"/>
      <c r="B122" s="299"/>
      <c r="C122" s="299"/>
      <c r="D122" s="406"/>
      <c r="E122" s="301"/>
      <c r="F122" s="301"/>
      <c r="G122" s="301"/>
      <c r="H122" s="301"/>
      <c r="I122" s="301"/>
      <c r="J122" s="466"/>
      <c r="K122" s="467"/>
      <c r="L122" s="301"/>
      <c r="M122" s="302"/>
      <c r="N122" s="656"/>
      <c r="O122" s="728"/>
      <c r="P122" s="203"/>
      <c r="R122" s="425"/>
      <c r="S122" s="1"/>
      <c r="T122" s="1"/>
      <c r="U122" s="1"/>
    </row>
    <row r="123" spans="1:21">
      <c r="A123" s="517"/>
      <c r="B123" s="214"/>
      <c r="C123" s="214"/>
      <c r="D123" s="655"/>
      <c r="E123" s="656"/>
      <c r="F123" s="656"/>
      <c r="G123" s="656"/>
      <c r="H123" s="656"/>
      <c r="I123" s="656"/>
      <c r="J123" s="657"/>
      <c r="K123" s="658"/>
      <c r="L123" s="656"/>
      <c r="M123" s="656"/>
      <c r="N123" s="656"/>
      <c r="P123" s="203"/>
      <c r="R123" s="425"/>
      <c r="S123" s="1"/>
      <c r="T123" s="1"/>
      <c r="U123" s="1"/>
    </row>
    <row r="124" spans="1:21" s="273" customFormat="1" ht="16">
      <c r="B124" s="272"/>
      <c r="C124" s="272"/>
      <c r="D124" s="272"/>
      <c r="E124" s="274"/>
      <c r="F124" s="405"/>
      <c r="G124" s="405"/>
      <c r="H124" s="303"/>
      <c r="I124" s="275"/>
      <c r="J124" s="275"/>
      <c r="K124" s="303"/>
      <c r="L124" s="276"/>
      <c r="M124" s="276"/>
      <c r="N124" s="276"/>
      <c r="O124" s="1"/>
      <c r="P124" s="277"/>
      <c r="Q124" s="272"/>
      <c r="R124" s="272"/>
      <c r="S124" s="272"/>
    </row>
    <row r="125" spans="1:21">
      <c r="E125" s="200"/>
      <c r="F125" s="200"/>
      <c r="M125" s="203"/>
      <c r="N125" s="203"/>
      <c r="O125" s="272"/>
      <c r="S125" s="1"/>
    </row>
    <row r="126" spans="1:21" s="270" customFormat="1" ht="39">
      <c r="B126" s="271" t="s">
        <v>121</v>
      </c>
      <c r="C126" s="271"/>
      <c r="D126" s="267" t="s">
        <v>270</v>
      </c>
      <c r="E126" s="268" t="s">
        <v>143</v>
      </c>
      <c r="F126" s="268" t="s">
        <v>64</v>
      </c>
      <c r="G126" s="268" t="s">
        <v>65</v>
      </c>
      <c r="H126" s="268" t="s">
        <v>229</v>
      </c>
      <c r="I126" s="268" t="s">
        <v>40</v>
      </c>
      <c r="J126" s="268" t="s">
        <v>157</v>
      </c>
      <c r="K126" s="268" t="s">
        <v>156</v>
      </c>
      <c r="L126" s="268" t="s">
        <v>66</v>
      </c>
      <c r="M126" s="268" t="s">
        <v>198</v>
      </c>
      <c r="N126" s="268"/>
      <c r="O126" s="1"/>
      <c r="P126" s="269"/>
      <c r="Q126" s="269"/>
      <c r="R126" s="269"/>
      <c r="S126" s="269"/>
      <c r="T126" s="269"/>
      <c r="U126" s="269"/>
    </row>
    <row r="127" spans="1:21">
      <c r="B127" s="450"/>
      <c r="E127" s="200"/>
      <c r="F127" s="200"/>
      <c r="O127" s="269"/>
      <c r="S127" s="1"/>
    </row>
    <row r="128" spans="1:21">
      <c r="B128" s="518">
        <v>1</v>
      </c>
      <c r="C128" s="451">
        <f ca="1">SUMIF($G$11:$P$42,$B128,$P$11:$P$42)</f>
        <v>0</v>
      </c>
      <c r="D128" s="425">
        <f ca="1">SUMIF($A$70:$M$122,$B128,$D$70:$D$122)</f>
        <v>0</v>
      </c>
      <c r="E128" s="425">
        <f ca="1">SUMIF($A$70:$M$122,$B128,$E$70:$E$122)</f>
        <v>0</v>
      </c>
      <c r="F128" s="425">
        <f ca="1">SUMIF($A$70:$M$122,$B128,$F$70:$F$122)</f>
        <v>0</v>
      </c>
      <c r="G128" s="425">
        <f ca="1">SUMIF($A$70:$M$122,$B128,$G$70:$G$122)</f>
        <v>0</v>
      </c>
      <c r="H128" s="425">
        <f ca="1">SUMIF($A$70:$M$122,$B128,$H$70:$H$122)</f>
        <v>0</v>
      </c>
      <c r="I128" s="425">
        <f ca="1">SUMIF($A$70:$M$122,$B128,$I$70:$I$122)</f>
        <v>0</v>
      </c>
      <c r="J128" s="425">
        <f ca="1">SUMIF($A$70:$M$122,$B128,$J$70:$J$122)</f>
        <v>0</v>
      </c>
      <c r="K128" s="425"/>
      <c r="L128" s="425">
        <f ca="1">SUMIF($A$70:$M$122,$B128,$L$70:$L$122)</f>
        <v>0</v>
      </c>
      <c r="M128" s="425">
        <f ca="1">SUMIF($A$70:$M$122,$B128,$M$70:$M$122)</f>
        <v>0</v>
      </c>
      <c r="N128" s="425"/>
      <c r="S128" s="1"/>
    </row>
    <row r="129" spans="2:21">
      <c r="B129" s="518">
        <v>2</v>
      </c>
      <c r="C129" s="451">
        <f ca="1">SUMIF($G$11:$P$42,$B129,$P$11:$P$42)</f>
        <v>0</v>
      </c>
      <c r="D129" s="425">
        <f ca="1">SUMIF($A$70:$M$122,$B129,$D$70:$D$122)</f>
        <v>0</v>
      </c>
      <c r="E129" s="425">
        <f ca="1">SUMIF($A$70:$M$122,$B129,$E$70:$E$122)</f>
        <v>0</v>
      </c>
      <c r="F129" s="425">
        <f ca="1">SUMIF($A$70:$M$122,$B129,$F$70:$F$122)</f>
        <v>0</v>
      </c>
      <c r="G129" s="425">
        <f ca="1">SUMIF($A$70:$M$122,$B129,$G$70:$G$122)</f>
        <v>0</v>
      </c>
      <c r="H129" s="425">
        <f ca="1">SUMIF($A$70:$M$122,$B129,$H$70:$H$122)</f>
        <v>0</v>
      </c>
      <c r="I129" s="425">
        <f ca="1">SUMIF($A$70:$M$122,$B129,$I$70:$I$122)</f>
        <v>0</v>
      </c>
      <c r="J129" s="425">
        <f ca="1">SUMIF($A$70:$M$122,$B129,$J$70:$J$122)</f>
        <v>0</v>
      </c>
      <c r="K129" s="425"/>
      <c r="L129" s="425">
        <f ca="1">SUMIF($A$70:$M$122,$B129,$L$70:$L$122)</f>
        <v>0</v>
      </c>
      <c r="M129" s="425">
        <f ca="1">SUMIF($A$70:$M$122,$B129,$M$70:$M$122)</f>
        <v>0</v>
      </c>
      <c r="N129" s="425"/>
      <c r="S129" s="1"/>
    </row>
    <row r="130" spans="2:21">
      <c r="B130" s="518">
        <v>3</v>
      </c>
      <c r="C130" s="451">
        <f ca="1">SUMIF($G$11:$P$42,$B130,$P$11:$P$42)</f>
        <v>0</v>
      </c>
      <c r="D130" s="425">
        <f ca="1">SUMIF($A$70:$M$122,$B130,$D$70:$D$122)</f>
        <v>0</v>
      </c>
      <c r="E130" s="425">
        <f ca="1">SUMIF($A$70:$M$122,$B130,$E$70:$E$122)</f>
        <v>0</v>
      </c>
      <c r="F130" s="425">
        <f ca="1">SUMIF($A$70:$M$122,$B130,$F$70:$F$122)</f>
        <v>0</v>
      </c>
      <c r="G130" s="425">
        <f ca="1">SUMIF($A$70:$M$122,$B130,$G$70:$G$122)</f>
        <v>0</v>
      </c>
      <c r="H130" s="425">
        <f ca="1">SUMIF($A$70:$M$122,$B130,$H$70:$H$122)</f>
        <v>0</v>
      </c>
      <c r="I130" s="425">
        <f ca="1">SUMIF($A$70:$M$122,$B130,$I$70:$I$122)</f>
        <v>0</v>
      </c>
      <c r="J130" s="425">
        <f ca="1">SUMIF($A$70:$M$122,$B130,$J$70:$J$122)</f>
        <v>0</v>
      </c>
      <c r="K130" s="425"/>
      <c r="L130" s="425">
        <f ca="1">SUMIF($A$70:$M$122,$B130,$L$70:$L$122)</f>
        <v>0</v>
      </c>
      <c r="M130" s="425">
        <f ca="1">SUMIF($A$70:$M$122,$B130,$M$70:$M$122)</f>
        <v>0</v>
      </c>
      <c r="N130" s="425"/>
      <c r="S130" s="1"/>
    </row>
    <row r="131" spans="2:21">
      <c r="B131" s="518">
        <v>4</v>
      </c>
      <c r="C131" s="451">
        <f ca="1">SUMIF($G$11:$P$42,$B131,$P$11:$P$42)</f>
        <v>0</v>
      </c>
      <c r="D131" s="425">
        <f ca="1">SUMIF($A$70:$M$122,$B131,$D$70:$D$122)</f>
        <v>0</v>
      </c>
      <c r="E131" s="425">
        <f ca="1">SUMIF($A$70:$M$122,$B131,$E$70:$E$122)</f>
        <v>0</v>
      </c>
      <c r="F131" s="425">
        <f ca="1">SUMIF($A$70:$M$122,$B131,$F$70:$F$122)</f>
        <v>0</v>
      </c>
      <c r="G131" s="425">
        <f ca="1">SUMIF($A$70:$M$122,$B131,$G$70:$G$122)</f>
        <v>0</v>
      </c>
      <c r="H131" s="425">
        <f ca="1">SUMIF($A$70:$M$122,$B131,$H$70:$H$122)</f>
        <v>0</v>
      </c>
      <c r="I131" s="425">
        <f ca="1">SUMIF($A$70:$M$122,$B131,$I$70:$I$122)</f>
        <v>0</v>
      </c>
      <c r="J131" s="425">
        <f ca="1">SUMIF($A$70:$M$122,$B131,$J$70:$J$122)</f>
        <v>0</v>
      </c>
      <c r="K131" s="425"/>
      <c r="L131" s="425">
        <f ca="1">SUMIF($A$70:$M$122,$B131,$L$70:$L$122)</f>
        <v>0</v>
      </c>
      <c r="M131" s="425">
        <f ca="1">SUMIF($A$70:$M$122,$B131,$M$70:$M$122)</f>
        <v>0</v>
      </c>
      <c r="N131" s="425"/>
      <c r="S131" s="1"/>
    </row>
    <row r="132" spans="2:21">
      <c r="B132" s="450"/>
      <c r="E132" s="200"/>
      <c r="F132" s="200"/>
      <c r="S132" s="1"/>
    </row>
    <row r="133" spans="2:21" s="273" customFormat="1" ht="23" customHeight="1">
      <c r="B133" s="272"/>
      <c r="C133" s="272"/>
      <c r="D133" s="272"/>
      <c r="E133" s="274"/>
      <c r="F133" s="405"/>
      <c r="G133" s="405"/>
      <c r="H133" s="303" t="s">
        <v>267</v>
      </c>
      <c r="I133" s="275">
        <f ca="1">SUM(I128:I132)</f>
        <v>0</v>
      </c>
      <c r="J133" s="275">
        <f ca="1">SUM(J128:J132)</f>
        <v>0</v>
      </c>
      <c r="K133" s="303" t="s">
        <v>267</v>
      </c>
      <c r="L133" s="276">
        <f ca="1">SUM(L128:L132)</f>
        <v>0</v>
      </c>
      <c r="M133" s="276">
        <f ca="1">SUM(M128:M132)</f>
        <v>0</v>
      </c>
      <c r="N133" s="276"/>
      <c r="O133" s="1"/>
      <c r="P133" s="277"/>
      <c r="Q133" s="272"/>
      <c r="R133" s="272"/>
      <c r="S133" s="272"/>
    </row>
    <row r="134" spans="2:21" s="270" customFormat="1" ht="39">
      <c r="B134" s="271" t="s">
        <v>121</v>
      </c>
      <c r="C134" s="271" t="s">
        <v>1496</v>
      </c>
      <c r="D134" s="271" t="s">
        <v>318</v>
      </c>
      <c r="E134" s="268" t="s">
        <v>319</v>
      </c>
      <c r="F134" s="268" t="s">
        <v>183</v>
      </c>
      <c r="G134" s="268" t="s">
        <v>397</v>
      </c>
      <c r="H134" s="268"/>
      <c r="I134" s="832"/>
      <c r="J134" s="832"/>
      <c r="K134" s="832"/>
      <c r="L134" s="832"/>
      <c r="M134" s="832"/>
      <c r="N134" s="832"/>
      <c r="O134" s="272"/>
      <c r="P134" s="269"/>
      <c r="Q134" s="269"/>
      <c r="R134" s="269"/>
      <c r="S134" s="269"/>
      <c r="T134" s="269"/>
      <c r="U134" s="269"/>
    </row>
    <row r="135" spans="2:21">
      <c r="B135" s="281"/>
      <c r="E135" s="200"/>
      <c r="F135" s="200"/>
      <c r="O135" s="269"/>
      <c r="S135" s="1"/>
    </row>
    <row r="136" spans="2:21">
      <c r="B136" s="518">
        <v>1</v>
      </c>
      <c r="C136" s="613">
        <f>SUMIF($A$11:$A$64,$B136,$E$11:$E$64)+SUMIF($A$11:$A$64,$B136,$F$11:$F$64)</f>
        <v>0</v>
      </c>
      <c r="D136" s="616">
        <f>SUMIF($A$11:$A$64,$B136,$H$11:$H$64)</f>
        <v>0</v>
      </c>
      <c r="E136" s="616">
        <f>SUMIF($A$11:$A$64,$B136,$I$11:$I$64)</f>
        <v>0</v>
      </c>
      <c r="F136" s="616">
        <f>SUMIF($A$11:$A$64,B136,$K$11:$K$64)</f>
        <v>0</v>
      </c>
      <c r="G136" s="616">
        <f>SUMIF($A$11:$A$64,$B136,$L$11:$L$64)</f>
        <v>0</v>
      </c>
      <c r="H136" s="456"/>
      <c r="I136" s="456"/>
      <c r="J136" s="456"/>
      <c r="K136" s="456"/>
      <c r="L136" s="456"/>
      <c r="M136" s="456"/>
      <c r="N136" s="456"/>
      <c r="S136" s="1"/>
    </row>
    <row r="137" spans="2:21">
      <c r="B137" s="518">
        <v>2</v>
      </c>
      <c r="C137" s="613">
        <f>SUMIF($A$11:$A$64,$B137,$E$11:$E$64)+SUMIF($A$11:$A$64,$B137,$F$11:$F$64)</f>
        <v>0</v>
      </c>
      <c r="D137" s="616">
        <f>SUMIF($A$11:$A$64,$B137,$H$11:$H$64)</f>
        <v>0</v>
      </c>
      <c r="E137" s="616">
        <f>SUMIF($A$11:$A$64,$B137,$I$11:$I$64)</f>
        <v>0</v>
      </c>
      <c r="F137" s="616">
        <f>SUMIF($A$11:$A$64,B137,$K$11:$K$64)</f>
        <v>0</v>
      </c>
      <c r="G137" s="616">
        <f>SUMIF($A$11:$A$64,$B137,$L$11:$L$64)</f>
        <v>0</v>
      </c>
      <c r="H137" s="456"/>
      <c r="I137" s="456"/>
      <c r="J137" s="456"/>
      <c r="K137" s="456"/>
      <c r="L137" s="456"/>
      <c r="M137" s="456"/>
      <c r="N137" s="456"/>
      <c r="S137" s="1"/>
    </row>
    <row r="138" spans="2:21">
      <c r="B138" s="518">
        <v>3</v>
      </c>
      <c r="C138" s="613">
        <f ca="1">SUMIF($A$11:$A$64,$B138,$E$11:$E$64)+SUMIF($A$11:$A$64,$B138,$F$11:$F$64)</f>
        <v>10047.540000000001</v>
      </c>
      <c r="D138" s="616">
        <f ca="1">SUMIF($A$11:$A$64,$B138,$H$11:$H$64)</f>
        <v>0</v>
      </c>
      <c r="E138" s="616">
        <f ca="1">SUMIF($A$11:$A$64,$B138,$I$11:$I$64)</f>
        <v>0</v>
      </c>
      <c r="F138" s="616">
        <f ca="1">SUMIF($A$11:$A$64,B138,$K$11:$K$64)</f>
        <v>0</v>
      </c>
      <c r="G138" s="616">
        <f>SUMIF($A$11:$A$64,$B138,$L$11:$L$64)</f>
        <v>13561</v>
      </c>
      <c r="S138" s="1"/>
    </row>
    <row r="139" spans="2:21">
      <c r="B139" s="518">
        <v>4</v>
      </c>
      <c r="C139" s="613">
        <f>SUMIF($A$11:$A$64,$B139,$E$11:$E$64)+SUMIF($A$11:$A$64,$B139,$F$11:$F$64)</f>
        <v>0</v>
      </c>
      <c r="D139" s="616">
        <f>SUMIF($A$11:$A$64,$B139,$H$11:$H$64)</f>
        <v>0</v>
      </c>
      <c r="E139" s="616">
        <f>SUMIF($A$11:$A$64,$B139,$I$11:$I$64)</f>
        <v>0</v>
      </c>
      <c r="F139" s="616">
        <f>SUMIF($A$11:$A$64,B139,$K$11:$K$64)</f>
        <v>0</v>
      </c>
      <c r="G139" s="616">
        <f>SUMIF($A$11:$A$64,$B139,$L$11:$L$64)</f>
        <v>0</v>
      </c>
      <c r="S139" s="1"/>
    </row>
    <row r="140" spans="2:21" ht="14" thickBot="1">
      <c r="B140" s="281"/>
      <c r="C140" s="614"/>
      <c r="D140" s="200"/>
      <c r="E140" s="200"/>
      <c r="F140" s="200"/>
      <c r="S140" s="1"/>
    </row>
    <row r="141" spans="2:21" ht="15" thickTop="1" thickBot="1">
      <c r="B141" s="281"/>
      <c r="C141" s="615">
        <f ca="1">SUM(C136:C139)</f>
        <v>10047.540000000001</v>
      </c>
      <c r="D141" s="830">
        <f ca="1">SUM(D136:E139)</f>
        <v>0</v>
      </c>
      <c r="E141" s="831"/>
      <c r="F141" s="617">
        <f ca="1">SUM(F136:F139)</f>
        <v>0</v>
      </c>
      <c r="G141" s="617">
        <f>SUM(G136:H139)</f>
        <v>13561</v>
      </c>
      <c r="S141" s="1"/>
    </row>
    <row r="142" spans="2:21" ht="14" thickTop="1">
      <c r="B142" s="281"/>
      <c r="D142" s="456"/>
      <c r="E142" s="200"/>
      <c r="F142" s="200"/>
      <c r="S142" s="1"/>
    </row>
    <row r="143" spans="2:21">
      <c r="B143" s="282"/>
      <c r="C143" s="279"/>
      <c r="D143" s="279"/>
      <c r="E143" s="279"/>
      <c r="F143" s="279"/>
      <c r="G143" s="279"/>
      <c r="H143" s="279"/>
      <c r="I143" s="278"/>
      <c r="J143" s="278"/>
      <c r="K143" s="278"/>
      <c r="L143" s="403"/>
      <c r="M143" s="278"/>
      <c r="N143" s="278"/>
      <c r="S143" s="1"/>
    </row>
    <row r="144" spans="2:21">
      <c r="B144" s="283"/>
      <c r="C144" s="290" t="s">
        <v>236</v>
      </c>
      <c r="D144" s="290" t="s">
        <v>236</v>
      </c>
      <c r="E144" s="290" t="s">
        <v>236</v>
      </c>
      <c r="F144" s="290" t="s">
        <v>236</v>
      </c>
      <c r="G144" s="290" t="s">
        <v>236</v>
      </c>
      <c r="H144" s="280"/>
      <c r="I144" s="278"/>
      <c r="J144" s="278"/>
      <c r="K144" s="278"/>
      <c r="L144" s="278"/>
      <c r="M144" s="278"/>
      <c r="N144" s="278"/>
      <c r="S144" s="1"/>
    </row>
    <row r="145" spans="2:19">
      <c r="B145" s="283"/>
      <c r="C145" s="459">
        <v>2018</v>
      </c>
      <c r="D145" s="459">
        <f>C145+1</f>
        <v>2019</v>
      </c>
      <c r="E145" s="459">
        <f>D145+1</f>
        <v>2020</v>
      </c>
      <c r="F145" s="459">
        <f>E145+1</f>
        <v>2021</v>
      </c>
      <c r="G145" s="459">
        <f>F145+1</f>
        <v>2022</v>
      </c>
      <c r="H145" s="280"/>
      <c r="I145" s="278"/>
      <c r="J145" s="278"/>
      <c r="K145" s="278"/>
      <c r="L145" s="278"/>
      <c r="M145" s="278"/>
      <c r="N145" s="278"/>
      <c r="S145" s="1"/>
    </row>
    <row r="146" spans="2:19" s="273" customFormat="1" ht="18" customHeight="1">
      <c r="B146" s="292" t="s">
        <v>237</v>
      </c>
      <c r="C146" s="293"/>
      <c r="D146" s="293"/>
      <c r="E146" s="293"/>
      <c r="F146" s="293"/>
      <c r="G146" s="294"/>
      <c r="H146" s="295"/>
      <c r="I146" s="296"/>
      <c r="J146" s="296"/>
      <c r="K146" s="296"/>
      <c r="L146" s="296"/>
      <c r="M146" s="296"/>
      <c r="N146" s="296"/>
      <c r="O146" s="1"/>
      <c r="P146" s="272"/>
      <c r="Q146" s="272"/>
      <c r="R146" s="272"/>
      <c r="S146" s="272"/>
    </row>
    <row r="147" spans="2:19" ht="21" customHeight="1">
      <c r="B147" s="284" t="s">
        <v>238</v>
      </c>
      <c r="C147" s="297"/>
      <c r="D147" s="297"/>
      <c r="E147" s="297"/>
      <c r="F147" s="297"/>
      <c r="G147" s="297"/>
      <c r="H147" s="280"/>
      <c r="I147" s="278"/>
      <c r="J147" s="278"/>
      <c r="K147" s="278"/>
      <c r="L147" s="278"/>
      <c r="M147" s="278"/>
      <c r="N147" s="278"/>
      <c r="O147" s="272"/>
      <c r="S147" s="1"/>
    </row>
    <row r="148" spans="2:19" hidden="1">
      <c r="B148" s="285">
        <v>1</v>
      </c>
      <c r="C148" s="291">
        <f>B148*C147+B148</f>
        <v>1</v>
      </c>
      <c r="D148" s="291">
        <f>C148*D147+C148</f>
        <v>1</v>
      </c>
      <c r="E148" s="291">
        <f>D148*E147+D148</f>
        <v>1</v>
      </c>
      <c r="F148" s="291">
        <f>E148*F147+E148</f>
        <v>1</v>
      </c>
      <c r="G148" s="291">
        <f>F148*G147+F148</f>
        <v>1</v>
      </c>
      <c r="H148" s="280"/>
      <c r="I148" s="278"/>
      <c r="J148" s="278"/>
      <c r="K148" s="278"/>
      <c r="L148" s="278"/>
      <c r="M148" s="278"/>
      <c r="N148" s="278"/>
      <c r="S148" s="1"/>
    </row>
    <row r="149" spans="2:19" hidden="1">
      <c r="B149" s="283"/>
      <c r="C149" s="286">
        <f>MAX(B148:G148)-1</f>
        <v>0</v>
      </c>
      <c r="D149" s="288"/>
      <c r="E149" s="288"/>
      <c r="F149" s="288"/>
      <c r="G149" s="288"/>
      <c r="H149" s="280"/>
      <c r="I149" s="278"/>
      <c r="J149" s="278"/>
      <c r="K149" s="278"/>
      <c r="L149" s="278"/>
      <c r="M149" s="278"/>
      <c r="N149" s="278"/>
      <c r="S149" s="1"/>
    </row>
    <row r="150" spans="2:19">
      <c r="B150" s="281"/>
      <c r="C150" s="278"/>
      <c r="D150" s="278"/>
      <c r="E150" s="289"/>
      <c r="F150" s="289"/>
      <c r="G150" s="278"/>
      <c r="H150" s="287"/>
      <c r="I150" s="278"/>
      <c r="J150" s="278"/>
      <c r="K150" s="278"/>
      <c r="L150" s="278"/>
      <c r="M150" s="278"/>
      <c r="N150" s="278"/>
      <c r="S150" s="1"/>
    </row>
    <row r="151" spans="2:19">
      <c r="B151" s="281"/>
      <c r="E151" s="200"/>
      <c r="F151" s="200"/>
      <c r="H151" s="278"/>
      <c r="I151" s="278"/>
      <c r="J151" s="278"/>
      <c r="K151" s="278"/>
      <c r="L151" s="278"/>
      <c r="M151" s="278"/>
      <c r="N151" s="278"/>
      <c r="S151" s="1"/>
    </row>
    <row r="152" spans="2:19" hidden="1">
      <c r="E152" s="200"/>
      <c r="F152" s="200"/>
      <c r="S152" s="1"/>
    </row>
    <row r="153" spans="2:19" hidden="1">
      <c r="E153" s="200"/>
      <c r="F153" s="200"/>
      <c r="S153" s="1"/>
    </row>
    <row r="154" spans="2:19" hidden="1">
      <c r="E154" s="200"/>
      <c r="F154" s="200"/>
      <c r="S154" s="1"/>
    </row>
    <row r="155" spans="2:19" hidden="1">
      <c r="E155" s="200"/>
      <c r="F155" s="200"/>
      <c r="S155" s="1"/>
    </row>
    <row r="156" spans="2:19" hidden="1">
      <c r="E156" s="200"/>
      <c r="F156" s="200"/>
      <c r="S156" s="1"/>
    </row>
    <row r="157" spans="2:19" hidden="1">
      <c r="E157" s="200"/>
      <c r="F157" s="200"/>
      <c r="S157" s="1"/>
    </row>
    <row r="158" spans="2:19" hidden="1">
      <c r="E158" s="200"/>
      <c r="F158" s="200"/>
      <c r="S158" s="1"/>
    </row>
    <row r="159" spans="2:19" hidden="1">
      <c r="E159" s="200"/>
      <c r="F159" s="200"/>
      <c r="S159" s="1"/>
    </row>
    <row r="160" spans="2:19" hidden="1">
      <c r="E160" s="200"/>
      <c r="F160" s="200"/>
      <c r="S160" s="1"/>
    </row>
    <row r="161" spans="5:19" hidden="1">
      <c r="E161" s="200"/>
      <c r="F161" s="200"/>
      <c r="S161" s="1"/>
    </row>
    <row r="162" spans="5:19" hidden="1">
      <c r="E162" s="200"/>
      <c r="F162" s="200"/>
      <c r="S162" s="1"/>
    </row>
    <row r="163" spans="5:19" hidden="1">
      <c r="E163" s="200"/>
      <c r="F163" s="200"/>
      <c r="S163" s="1"/>
    </row>
    <row r="164" spans="5:19" hidden="1">
      <c r="E164" s="200"/>
      <c r="F164" s="200"/>
      <c r="S164" s="1"/>
    </row>
    <row r="165" spans="5:19" hidden="1">
      <c r="E165" s="200"/>
      <c r="F165" s="200"/>
      <c r="S165" s="1"/>
    </row>
    <row r="166" spans="5:19" hidden="1">
      <c r="E166" s="200"/>
      <c r="F166" s="200"/>
      <c r="S166" s="1"/>
    </row>
    <row r="167" spans="5:19" hidden="1">
      <c r="E167" s="200"/>
      <c r="F167" s="200"/>
      <c r="S167" s="1"/>
    </row>
    <row r="168" spans="5:19" hidden="1">
      <c r="E168" s="200"/>
      <c r="F168" s="200"/>
      <c r="S168" s="1"/>
    </row>
    <row r="169" spans="5:19" hidden="1">
      <c r="E169" s="200"/>
      <c r="F169" s="200"/>
      <c r="S169" s="1"/>
    </row>
    <row r="170" spans="5:19" hidden="1">
      <c r="E170" s="200"/>
      <c r="F170" s="200"/>
      <c r="S170" s="1"/>
    </row>
    <row r="171" spans="5:19" hidden="1">
      <c r="E171" s="200"/>
      <c r="F171" s="200"/>
      <c r="S171" s="1"/>
    </row>
    <row r="172" spans="5:19" hidden="1">
      <c r="E172" s="200"/>
      <c r="F172" s="200"/>
      <c r="S172" s="1"/>
    </row>
    <row r="173" spans="5:19" hidden="1">
      <c r="E173" s="200"/>
      <c r="F173" s="200"/>
      <c r="S173" s="1"/>
    </row>
    <row r="174" spans="5:19" hidden="1">
      <c r="E174" s="200"/>
      <c r="F174" s="200"/>
      <c r="S174" s="1"/>
    </row>
    <row r="175" spans="5:19" hidden="1">
      <c r="E175" s="200"/>
      <c r="F175" s="200"/>
      <c r="S175" s="1"/>
    </row>
    <row r="176" spans="5:19" hidden="1">
      <c r="E176" s="200"/>
      <c r="F176" s="200"/>
      <c r="S176" s="1"/>
    </row>
    <row r="177" spans="5:19" hidden="1">
      <c r="E177" s="200"/>
      <c r="F177" s="200"/>
      <c r="S177" s="1"/>
    </row>
    <row r="178" spans="5:19" hidden="1">
      <c r="E178" s="200"/>
      <c r="F178" s="200"/>
      <c r="S178" s="1"/>
    </row>
    <row r="179" spans="5:19" hidden="1">
      <c r="E179" s="200"/>
      <c r="F179" s="200"/>
      <c r="S179" s="1"/>
    </row>
    <row r="180" spans="5:19" hidden="1">
      <c r="E180" s="200"/>
      <c r="F180" s="200"/>
      <c r="S180" s="1"/>
    </row>
    <row r="181" spans="5:19" hidden="1">
      <c r="E181" s="200"/>
      <c r="F181" s="200"/>
      <c r="S181" s="1"/>
    </row>
    <row r="182" spans="5:19" hidden="1">
      <c r="E182" s="200"/>
      <c r="F182" s="200"/>
      <c r="S182" s="1"/>
    </row>
    <row r="183" spans="5:19" hidden="1">
      <c r="E183" s="200"/>
      <c r="F183" s="200"/>
      <c r="S183" s="1"/>
    </row>
    <row r="184" spans="5:19" hidden="1">
      <c r="E184" s="200"/>
      <c r="F184" s="200"/>
      <c r="S184" s="1"/>
    </row>
    <row r="185" spans="5:19" hidden="1">
      <c r="E185" s="200"/>
      <c r="F185" s="200"/>
      <c r="S185" s="1"/>
    </row>
    <row r="186" spans="5:19" hidden="1">
      <c r="E186" s="200"/>
      <c r="F186" s="200"/>
      <c r="S186" s="1"/>
    </row>
    <row r="187" spans="5:19" hidden="1">
      <c r="E187" s="200"/>
      <c r="F187" s="200"/>
      <c r="S187" s="1"/>
    </row>
    <row r="188" spans="5:19" hidden="1">
      <c r="E188" s="200"/>
      <c r="F188" s="200"/>
      <c r="S188" s="1"/>
    </row>
    <row r="189" spans="5:19" hidden="1">
      <c r="E189" s="200"/>
      <c r="F189" s="200"/>
      <c r="S189" s="1"/>
    </row>
    <row r="190" spans="5:19" hidden="1">
      <c r="E190" s="200"/>
      <c r="F190" s="200"/>
      <c r="S190" s="1"/>
    </row>
    <row r="191" spans="5:19" hidden="1">
      <c r="E191" s="200"/>
      <c r="F191" s="200"/>
      <c r="S191" s="1"/>
    </row>
    <row r="192" spans="5:19" hidden="1">
      <c r="E192" s="200"/>
      <c r="F192" s="200"/>
      <c r="S192" s="1"/>
    </row>
    <row r="193" spans="5:19" hidden="1">
      <c r="E193" s="200"/>
      <c r="F193" s="200"/>
      <c r="S193" s="1"/>
    </row>
    <row r="194" spans="5:19" hidden="1">
      <c r="E194" s="200"/>
      <c r="F194" s="200"/>
      <c r="S194" s="1"/>
    </row>
    <row r="195" spans="5:19" hidden="1">
      <c r="E195" s="200"/>
      <c r="F195" s="200"/>
      <c r="S195" s="1"/>
    </row>
    <row r="196" spans="5:19" hidden="1">
      <c r="E196" s="200"/>
      <c r="F196" s="200"/>
      <c r="S196" s="1"/>
    </row>
    <row r="197" spans="5:19" hidden="1">
      <c r="E197" s="200"/>
      <c r="F197" s="200"/>
      <c r="S197" s="1"/>
    </row>
    <row r="198" spans="5:19" hidden="1">
      <c r="E198" s="200"/>
      <c r="F198" s="200"/>
      <c r="S198" s="1"/>
    </row>
    <row r="199" spans="5:19" hidden="1">
      <c r="E199" s="200"/>
      <c r="F199" s="200"/>
      <c r="S199" s="1"/>
    </row>
    <row r="200" spans="5:19" hidden="1">
      <c r="E200" s="200"/>
      <c r="F200" s="200"/>
      <c r="S200" s="1"/>
    </row>
    <row r="201" spans="5:19" hidden="1">
      <c r="E201" s="200"/>
      <c r="F201" s="200"/>
      <c r="S201" s="1"/>
    </row>
    <row r="202" spans="5:19" hidden="1">
      <c r="E202" s="200"/>
      <c r="F202" s="200"/>
      <c r="S202" s="1"/>
    </row>
    <row r="203" spans="5:19" hidden="1">
      <c r="E203" s="200"/>
      <c r="F203" s="200"/>
      <c r="S203" s="1"/>
    </row>
    <row r="204" spans="5:19" hidden="1">
      <c r="E204" s="200"/>
      <c r="F204" s="200"/>
      <c r="S204" s="1"/>
    </row>
    <row r="205" spans="5:19" hidden="1">
      <c r="E205" s="200"/>
      <c r="F205" s="200"/>
      <c r="S205" s="1"/>
    </row>
    <row r="206" spans="5:19" hidden="1">
      <c r="E206" s="200"/>
      <c r="F206" s="200"/>
      <c r="S206" s="1"/>
    </row>
    <row r="207" spans="5:19" hidden="1">
      <c r="E207" s="200"/>
      <c r="F207" s="200"/>
      <c r="S207" s="1"/>
    </row>
    <row r="208" spans="5:19" hidden="1">
      <c r="E208" s="200"/>
      <c r="F208" s="200"/>
      <c r="S208" s="1"/>
    </row>
    <row r="209" spans="5:19" hidden="1">
      <c r="E209" s="200"/>
      <c r="F209" s="200"/>
      <c r="S209" s="1"/>
    </row>
    <row r="210" spans="5:19" hidden="1">
      <c r="E210" s="200"/>
      <c r="F210" s="200"/>
      <c r="S210" s="1"/>
    </row>
    <row r="211" spans="5:19" hidden="1">
      <c r="E211" s="200"/>
      <c r="F211" s="200"/>
      <c r="S211" s="1"/>
    </row>
    <row r="212" spans="5:19" hidden="1">
      <c r="E212" s="200"/>
      <c r="F212" s="200"/>
      <c r="S212" s="1"/>
    </row>
    <row r="213" spans="5:19" hidden="1">
      <c r="E213" s="200"/>
      <c r="F213" s="200"/>
      <c r="S213" s="1"/>
    </row>
    <row r="214" spans="5:19" hidden="1">
      <c r="E214" s="200"/>
      <c r="F214" s="200"/>
      <c r="S214" s="1"/>
    </row>
    <row r="215" spans="5:19" hidden="1">
      <c r="E215" s="200"/>
      <c r="F215" s="200"/>
      <c r="S215" s="1"/>
    </row>
    <row r="216" spans="5:19" hidden="1">
      <c r="E216" s="200"/>
      <c r="F216" s="200"/>
      <c r="S216" s="1"/>
    </row>
    <row r="217" spans="5:19" hidden="1">
      <c r="E217" s="200"/>
      <c r="F217" s="200"/>
      <c r="S217" s="1"/>
    </row>
    <row r="218" spans="5:19" hidden="1">
      <c r="E218" s="200"/>
      <c r="F218" s="200"/>
      <c r="S218" s="1"/>
    </row>
    <row r="219" spans="5:19" hidden="1">
      <c r="E219" s="200"/>
      <c r="F219" s="200"/>
      <c r="S219" s="1"/>
    </row>
    <row r="220" spans="5:19" hidden="1">
      <c r="E220" s="200"/>
      <c r="F220" s="200"/>
      <c r="S220" s="1"/>
    </row>
    <row r="221" spans="5:19" hidden="1">
      <c r="E221" s="200"/>
      <c r="F221" s="200"/>
      <c r="S221" s="1"/>
    </row>
    <row r="222" spans="5:19" hidden="1">
      <c r="E222" s="200"/>
      <c r="F222" s="200"/>
      <c r="S222" s="1"/>
    </row>
    <row r="223" spans="5:19" hidden="1">
      <c r="E223" s="200"/>
      <c r="F223" s="200"/>
      <c r="S223" s="1"/>
    </row>
    <row r="224" spans="5:19" hidden="1">
      <c r="E224" s="200"/>
      <c r="F224" s="200"/>
      <c r="S224" s="1"/>
    </row>
    <row r="225" spans="5:19" hidden="1">
      <c r="E225" s="200"/>
      <c r="F225" s="200"/>
      <c r="S225" s="1"/>
    </row>
    <row r="226" spans="5:19" hidden="1">
      <c r="E226" s="200"/>
      <c r="F226" s="200"/>
      <c r="S226" s="1"/>
    </row>
    <row r="227" spans="5:19" hidden="1">
      <c r="E227" s="200"/>
      <c r="F227" s="200"/>
      <c r="S227" s="1"/>
    </row>
    <row r="228" spans="5:19" hidden="1">
      <c r="E228" s="200"/>
      <c r="F228" s="200"/>
      <c r="S228" s="1"/>
    </row>
    <row r="229" spans="5:19" hidden="1">
      <c r="E229" s="200"/>
      <c r="F229" s="200"/>
      <c r="S229" s="1"/>
    </row>
    <row r="230" spans="5:19" hidden="1">
      <c r="E230" s="200"/>
      <c r="F230" s="200"/>
      <c r="S230" s="1"/>
    </row>
    <row r="231" spans="5:19" hidden="1">
      <c r="E231" s="200"/>
      <c r="F231" s="200"/>
      <c r="S231" s="1"/>
    </row>
    <row r="232" spans="5:19" hidden="1">
      <c r="E232" s="200"/>
      <c r="F232" s="200"/>
      <c r="S232" s="1"/>
    </row>
    <row r="233" spans="5:19" hidden="1">
      <c r="E233" s="200"/>
      <c r="F233" s="200"/>
      <c r="S233" s="1"/>
    </row>
    <row r="234" spans="5:19" hidden="1">
      <c r="E234" s="200"/>
      <c r="F234" s="200"/>
      <c r="S234" s="1"/>
    </row>
    <row r="235" spans="5:19" hidden="1">
      <c r="E235" s="200"/>
      <c r="F235" s="200"/>
      <c r="S235" s="1"/>
    </row>
    <row r="236" spans="5:19" hidden="1">
      <c r="E236" s="200"/>
      <c r="F236" s="200"/>
      <c r="S236" s="1"/>
    </row>
    <row r="237" spans="5:19" hidden="1">
      <c r="E237" s="200"/>
      <c r="F237" s="200"/>
      <c r="S237" s="1"/>
    </row>
    <row r="238" spans="5:19" hidden="1">
      <c r="E238" s="200"/>
      <c r="F238" s="200"/>
      <c r="S238" s="1"/>
    </row>
    <row r="239" spans="5:19" hidden="1">
      <c r="E239" s="200"/>
      <c r="F239" s="200"/>
      <c r="S239" s="1"/>
    </row>
    <row r="240" spans="5:19" hidden="1">
      <c r="E240" s="200"/>
      <c r="F240" s="200"/>
      <c r="S240" s="1"/>
    </row>
    <row r="241" spans="5:19" hidden="1">
      <c r="E241" s="200"/>
      <c r="F241" s="200"/>
      <c r="S241" s="1"/>
    </row>
    <row r="242" spans="5:19" hidden="1">
      <c r="E242" s="200"/>
      <c r="F242" s="200"/>
      <c r="S242" s="1"/>
    </row>
    <row r="243" spans="5:19" hidden="1">
      <c r="E243" s="200"/>
      <c r="F243" s="200"/>
      <c r="S243" s="1"/>
    </row>
    <row r="244" spans="5:19" hidden="1">
      <c r="E244" s="200"/>
      <c r="F244" s="200"/>
      <c r="S244" s="1"/>
    </row>
    <row r="245" spans="5:19" hidden="1">
      <c r="E245" s="200"/>
      <c r="F245" s="200"/>
      <c r="S245" s="1"/>
    </row>
    <row r="246" spans="5:19" hidden="1">
      <c r="E246" s="200"/>
      <c r="F246" s="200"/>
      <c r="S246" s="1"/>
    </row>
    <row r="247" spans="5:19" hidden="1">
      <c r="E247" s="200"/>
      <c r="F247" s="200"/>
      <c r="S247" s="1"/>
    </row>
    <row r="248" spans="5:19" hidden="1">
      <c r="E248" s="200"/>
      <c r="F248" s="200"/>
      <c r="S248" s="1"/>
    </row>
    <row r="249" spans="5:19" hidden="1">
      <c r="E249" s="200"/>
      <c r="F249" s="200"/>
      <c r="S249" s="1"/>
    </row>
    <row r="250" spans="5:19" hidden="1">
      <c r="E250" s="200"/>
      <c r="F250" s="200"/>
      <c r="S250" s="1"/>
    </row>
    <row r="251" spans="5:19" hidden="1">
      <c r="E251" s="200"/>
      <c r="F251" s="200"/>
      <c r="S251" s="1"/>
    </row>
    <row r="252" spans="5:19" hidden="1">
      <c r="E252" s="200"/>
      <c r="F252" s="200"/>
      <c r="S252" s="1"/>
    </row>
    <row r="253" spans="5:19" hidden="1">
      <c r="E253" s="200"/>
      <c r="F253" s="200"/>
      <c r="S253" s="1"/>
    </row>
    <row r="254" spans="5:19" hidden="1">
      <c r="E254" s="200"/>
      <c r="F254" s="200"/>
      <c r="S254" s="1"/>
    </row>
    <row r="255" spans="5:19" hidden="1">
      <c r="E255" s="200"/>
      <c r="F255" s="200"/>
      <c r="S255" s="1"/>
    </row>
    <row r="256" spans="5:19" hidden="1">
      <c r="E256" s="200"/>
      <c r="F256" s="200"/>
      <c r="S256" s="1"/>
    </row>
    <row r="257" spans="5:19" hidden="1">
      <c r="E257" s="200"/>
      <c r="F257" s="200"/>
      <c r="S257" s="1"/>
    </row>
    <row r="258" spans="5:19" hidden="1">
      <c r="E258" s="200"/>
      <c r="F258" s="200"/>
      <c r="S258" s="1"/>
    </row>
    <row r="259" spans="5:19" hidden="1">
      <c r="E259" s="200"/>
      <c r="F259" s="200"/>
      <c r="S259" s="1"/>
    </row>
    <row r="260" spans="5:19" hidden="1">
      <c r="E260" s="200"/>
      <c r="F260" s="200"/>
      <c r="S260" s="1"/>
    </row>
    <row r="261" spans="5:19" hidden="1">
      <c r="E261" s="200"/>
      <c r="F261" s="200"/>
      <c r="S261" s="1"/>
    </row>
    <row r="262" spans="5:19" hidden="1">
      <c r="E262" s="200"/>
      <c r="F262" s="200"/>
      <c r="S262" s="1"/>
    </row>
    <row r="263" spans="5:19" hidden="1">
      <c r="E263" s="200"/>
      <c r="F263" s="200"/>
      <c r="S263" s="1"/>
    </row>
    <row r="264" spans="5:19" hidden="1">
      <c r="E264" s="200"/>
      <c r="F264" s="200"/>
    </row>
    <row r="265" spans="5:19" hidden="1">
      <c r="E265" s="200"/>
      <c r="F265" s="200"/>
    </row>
    <row r="266" spans="5:19" hidden="1">
      <c r="E266" s="200"/>
      <c r="F266" s="200"/>
    </row>
    <row r="267" spans="5:19" hidden="1">
      <c r="E267" s="200"/>
      <c r="F267" s="200"/>
    </row>
    <row r="268" spans="5:19" hidden="1">
      <c r="E268" s="200"/>
      <c r="F268" s="200"/>
    </row>
    <row r="269" spans="5:19" hidden="1">
      <c r="E269" s="200"/>
      <c r="F269" s="200"/>
    </row>
    <row r="270" spans="5:19" hidden="1">
      <c r="E270" s="200"/>
      <c r="F270" s="200"/>
    </row>
    <row r="271" spans="5:19" hidden="1">
      <c r="E271" s="200"/>
      <c r="F271" s="200"/>
    </row>
    <row r="272" spans="5:19" hidden="1">
      <c r="E272" s="200"/>
      <c r="F272" s="200"/>
    </row>
    <row r="273" spans="5:6" hidden="1">
      <c r="E273" s="200"/>
      <c r="F273" s="200"/>
    </row>
    <row r="274" spans="5:6" hidden="1">
      <c r="E274" s="200"/>
      <c r="F274" s="200"/>
    </row>
    <row r="275" spans="5:6" hidden="1">
      <c r="E275" s="200"/>
      <c r="F275" s="200"/>
    </row>
    <row r="276" spans="5:6" hidden="1">
      <c r="E276" s="200"/>
      <c r="F276" s="200"/>
    </row>
    <row r="277" spans="5:6" hidden="1">
      <c r="E277" s="200"/>
      <c r="F277" s="200"/>
    </row>
    <row r="278" spans="5:6" hidden="1">
      <c r="E278" s="200"/>
      <c r="F278" s="200"/>
    </row>
    <row r="279" spans="5:6" hidden="1">
      <c r="E279" s="200"/>
      <c r="F279" s="200"/>
    </row>
    <row r="280" spans="5:6" hidden="1">
      <c r="E280" s="200"/>
      <c r="F280" s="200"/>
    </row>
    <row r="281" spans="5:6" hidden="1">
      <c r="E281" s="200"/>
      <c r="F281" s="200"/>
    </row>
    <row r="282" spans="5:6" hidden="1">
      <c r="E282" s="200"/>
      <c r="F282" s="200"/>
    </row>
    <row r="283" spans="5:6" hidden="1">
      <c r="E283" s="200"/>
      <c r="F283" s="200"/>
    </row>
    <row r="284" spans="5:6" hidden="1">
      <c r="E284" s="200"/>
      <c r="F284" s="200"/>
    </row>
    <row r="285" spans="5:6" hidden="1">
      <c r="E285" s="200"/>
      <c r="F285" s="200"/>
    </row>
    <row r="286" spans="5:6" hidden="1">
      <c r="E286" s="200"/>
      <c r="F286" s="200"/>
    </row>
    <row r="287" spans="5:6" hidden="1">
      <c r="E287" s="200"/>
      <c r="F287" s="200"/>
    </row>
    <row r="288" spans="5:6" hidden="1">
      <c r="E288" s="200"/>
      <c r="F288" s="200"/>
    </row>
    <row r="289" spans="5:6" hidden="1">
      <c r="E289" s="200"/>
      <c r="F289" s="200"/>
    </row>
    <row r="290" spans="5:6" hidden="1">
      <c r="E290" s="200"/>
      <c r="F290" s="200"/>
    </row>
    <row r="291" spans="5:6" hidden="1">
      <c r="E291" s="200"/>
      <c r="F291" s="200"/>
    </row>
    <row r="292" spans="5:6" hidden="1">
      <c r="E292" s="200"/>
      <c r="F292" s="200"/>
    </row>
    <row r="293" spans="5:6" hidden="1">
      <c r="E293" s="200"/>
      <c r="F293" s="200"/>
    </row>
    <row r="294" spans="5:6" hidden="1">
      <c r="E294" s="200"/>
      <c r="F294" s="200"/>
    </row>
    <row r="295" spans="5:6" hidden="1">
      <c r="E295" s="200"/>
      <c r="F295" s="200"/>
    </row>
    <row r="296" spans="5:6" hidden="1">
      <c r="E296" s="200"/>
      <c r="F296" s="200"/>
    </row>
    <row r="297" spans="5:6" hidden="1">
      <c r="E297" s="200"/>
      <c r="F297" s="200"/>
    </row>
    <row r="298" spans="5:6" hidden="1">
      <c r="E298" s="200"/>
      <c r="F298" s="200"/>
    </row>
    <row r="299" spans="5:6" hidden="1">
      <c r="E299" s="200"/>
      <c r="F299" s="200"/>
    </row>
    <row r="300" spans="5:6" hidden="1">
      <c r="E300" s="200"/>
      <c r="F300" s="200"/>
    </row>
    <row r="301" spans="5:6" hidden="1">
      <c r="E301" s="200"/>
      <c r="F301" s="200"/>
    </row>
    <row r="302" spans="5:6" hidden="1">
      <c r="E302" s="200"/>
      <c r="F302" s="200"/>
    </row>
    <row r="303" spans="5:6" hidden="1">
      <c r="E303" s="200"/>
      <c r="F303" s="200"/>
    </row>
    <row r="304" spans="5:6" hidden="1">
      <c r="E304" s="200"/>
      <c r="F304" s="200"/>
    </row>
    <row r="305" spans="5:6" hidden="1">
      <c r="E305" s="200"/>
      <c r="F305" s="200"/>
    </row>
    <row r="306" spans="5:6" hidden="1">
      <c r="E306" s="200"/>
      <c r="F306" s="200"/>
    </row>
    <row r="307" spans="5:6" hidden="1">
      <c r="E307" s="200"/>
      <c r="F307" s="200"/>
    </row>
    <row r="308" spans="5:6" hidden="1">
      <c r="E308" s="200"/>
      <c r="F308" s="200"/>
    </row>
    <row r="309" spans="5:6" hidden="1">
      <c r="E309" s="200"/>
      <c r="F309" s="200"/>
    </row>
    <row r="310" spans="5:6" hidden="1">
      <c r="E310" s="200"/>
      <c r="F310" s="200"/>
    </row>
    <row r="311" spans="5:6" hidden="1">
      <c r="E311" s="200"/>
      <c r="F311" s="200"/>
    </row>
    <row r="312" spans="5:6" hidden="1">
      <c r="E312" s="200"/>
      <c r="F312" s="200"/>
    </row>
    <row r="313" spans="5:6" hidden="1">
      <c r="E313" s="200"/>
      <c r="F313" s="200"/>
    </row>
    <row r="314" spans="5:6" hidden="1">
      <c r="E314" s="200"/>
      <c r="F314" s="200"/>
    </row>
    <row r="315" spans="5:6" hidden="1">
      <c r="E315" s="200"/>
      <c r="F315" s="200"/>
    </row>
    <row r="316" spans="5:6" hidden="1">
      <c r="E316" s="200"/>
      <c r="F316" s="200"/>
    </row>
    <row r="317" spans="5:6" hidden="1">
      <c r="E317" s="200"/>
      <c r="F317" s="200"/>
    </row>
    <row r="318" spans="5:6" hidden="1">
      <c r="E318" s="200"/>
      <c r="F318" s="200"/>
    </row>
    <row r="319" spans="5:6" hidden="1">
      <c r="E319" s="200"/>
      <c r="F319" s="200"/>
    </row>
    <row r="320" spans="5:6" hidden="1">
      <c r="E320" s="200"/>
      <c r="F320" s="200"/>
    </row>
    <row r="321"/>
    <row r="322"/>
    <row r="323"/>
    <row r="324"/>
    <row r="325" hidden="1"/>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autoFilter ref="B10:M63"/>
  <sortState ref="A36:U47">
    <sortCondition ref="B36"/>
  </sortState>
  <mergeCells count="2">
    <mergeCell ref="D141:E141"/>
    <mergeCell ref="I134:N134"/>
  </mergeCells>
  <phoneticPr fontId="40"/>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rowBreaks count="2" manualBreakCount="2">
    <brk id="67" min="1" max="13" man="1"/>
    <brk id="122" min="1" max="13" man="1"/>
  </rowBreaks>
  <colBreaks count="1" manualBreakCount="1">
    <brk id="13" min="9" max="147" man="1"/>
  </colBreaks>
  <drawing r:id="rId1"/>
  <legacyDrawing r:id="rId2"/>
  <extLst>
    <ext xmlns:mx="http://schemas.microsoft.com/office/mac/excel/2008/main" uri="{64002731-A6B0-56B0-2670-7721B7C09600}">
      <mx:PLV Mode="0" OnePage="0" WScale="5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enableFormatConditionsCalculation="0">
    <pageSetUpPr autoPageBreaks="0"/>
  </sheetPr>
  <dimension ref="C1:AC119"/>
  <sheetViews>
    <sheetView showGridLines="0" showZeros="0" showOutlineSymbols="0" topLeftCell="B1" zoomScaleSheetLayoutView="75" workbookViewId="0">
      <selection activeCell="D26" sqref="D26"/>
    </sheetView>
  </sheetViews>
  <sheetFormatPr baseColWidth="10" defaultColWidth="10.7109375" defaultRowHeight="13" x14ac:dyDescent="0"/>
  <cols>
    <col min="1" max="1" width="0" style="88" hidden="1" customWidth="1"/>
    <col min="2" max="2" width="2.28515625" style="88" customWidth="1"/>
    <col min="3" max="3" width="12.7109375" style="78" customWidth="1"/>
    <col min="4" max="4" width="12.28515625" style="78" customWidth="1"/>
    <col min="5" max="5" width="10.42578125" style="83" customWidth="1"/>
    <col min="6" max="6" width="44.85546875" style="84" bestFit="1" customWidth="1"/>
    <col min="7" max="7" width="20.7109375" style="711" customWidth="1"/>
    <col min="8" max="8" width="10.85546875" style="86" customWidth="1"/>
    <col min="9" max="9" width="11.7109375" style="86" customWidth="1"/>
    <col min="10" max="10" width="9.85546875" style="86" hidden="1" customWidth="1"/>
    <col min="11" max="11" width="11.85546875" style="87" customWidth="1"/>
    <col min="12" max="12" width="9.7109375" style="81" customWidth="1"/>
    <col min="13" max="13" width="9.28515625" style="81" hidden="1" customWidth="1"/>
    <col min="14" max="14" width="13.5703125" style="82" customWidth="1"/>
    <col min="15" max="15" width="31.85546875" style="82" customWidth="1"/>
    <col min="16" max="16" width="4.5703125" style="82" customWidth="1"/>
    <col min="17" max="17" width="13" style="82" hidden="1"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10.7109375" style="88"/>
  </cols>
  <sheetData>
    <row r="1" spans="3:29" s="71" customFormat="1">
      <c r="C1" s="63"/>
      <c r="D1" s="63"/>
      <c r="E1" s="63"/>
      <c r="F1" s="64"/>
      <c r="G1" s="702"/>
      <c r="H1" s="65"/>
      <c r="I1" s="65"/>
      <c r="J1" s="65"/>
      <c r="K1" s="66"/>
      <c r="L1" s="67"/>
      <c r="M1" s="67"/>
      <c r="N1" s="68"/>
      <c r="O1" s="68"/>
      <c r="P1" s="68"/>
      <c r="Q1" s="68"/>
      <c r="R1" s="68"/>
      <c r="S1" s="68"/>
      <c r="T1" s="69"/>
      <c r="U1" s="70"/>
      <c r="Z1" s="60"/>
    </row>
    <row r="2" spans="3:29" s="71" customFormat="1">
      <c r="C2" s="63"/>
      <c r="D2" s="63"/>
      <c r="E2" s="63"/>
      <c r="F2" s="64"/>
      <c r="G2" s="702"/>
      <c r="H2" s="65"/>
      <c r="I2" s="65"/>
      <c r="J2" s="65"/>
      <c r="K2" s="66"/>
      <c r="L2" s="67"/>
      <c r="M2" s="67"/>
      <c r="N2" s="68"/>
      <c r="O2" s="68"/>
      <c r="P2" s="68"/>
      <c r="Q2" s="68"/>
      <c r="R2" s="68"/>
      <c r="S2" s="68"/>
      <c r="T2" s="69"/>
      <c r="U2" s="70"/>
      <c r="Z2" s="60"/>
    </row>
    <row r="3" spans="3:29" s="33" customFormat="1" ht="16">
      <c r="C3" s="72" t="str">
        <f>'1.1a-Jaarprijzen'!B2</f>
        <v>Naam opdrachtgever</v>
      </c>
      <c r="D3" s="72"/>
      <c r="F3" s="30" t="str">
        <f>'1.1a-Jaarprijzen'!C2</f>
        <v>Stichting Altra - Horizon</v>
      </c>
      <c r="G3" s="703"/>
      <c r="H3" s="65"/>
      <c r="I3" s="65"/>
      <c r="J3" s="65"/>
      <c r="K3" s="66"/>
      <c r="L3" s="74"/>
      <c r="M3" s="74"/>
      <c r="N3" s="75"/>
      <c r="O3" s="75"/>
      <c r="P3" s="75"/>
      <c r="Q3" s="75"/>
      <c r="R3" s="75"/>
      <c r="S3" s="75"/>
    </row>
    <row r="4" spans="3:29" s="33" customFormat="1" ht="16">
      <c r="C4" s="72" t="str">
        <f>'1.1a-Jaarprijzen'!B3</f>
        <v>Omschrijving blad</v>
      </c>
      <c r="D4" s="72"/>
      <c r="F4" s="72" t="s">
        <v>159</v>
      </c>
      <c r="G4" s="704"/>
      <c r="H4" s="65"/>
      <c r="I4" s="65"/>
      <c r="J4" s="65"/>
      <c r="K4" s="66"/>
      <c r="L4" s="74"/>
      <c r="M4" s="74"/>
      <c r="N4" s="75"/>
      <c r="O4" s="75"/>
      <c r="P4" s="75"/>
      <c r="Q4" s="75"/>
      <c r="R4" s="75"/>
      <c r="S4" s="75"/>
    </row>
    <row r="5" spans="3:29" s="33" customFormat="1" ht="16">
      <c r="C5" s="72" t="str">
        <f>'1.1a-Jaarprijzen'!B4</f>
        <v>Adres/plaats</v>
      </c>
      <c r="D5" s="72"/>
      <c r="F5" s="30" t="str">
        <f>'1.1a-Jaarprijzen'!C4</f>
        <v>Regio Noord Holland</v>
      </c>
      <c r="G5" s="705"/>
      <c r="H5" s="77"/>
      <c r="I5" s="77"/>
      <c r="J5" s="77"/>
      <c r="K5" s="74"/>
      <c r="L5" s="74"/>
      <c r="M5" s="74"/>
      <c r="N5" s="75"/>
      <c r="O5" s="75"/>
      <c r="P5" s="75"/>
      <c r="Q5" s="75"/>
      <c r="R5" s="75"/>
      <c r="S5" s="75"/>
    </row>
    <row r="6" spans="3:29" s="33" customFormat="1" ht="16">
      <c r="C6" s="72" t="str">
        <f>'1.1a-Jaarprijzen'!B5</f>
        <v>Besteknummer</v>
      </c>
      <c r="D6" s="72"/>
      <c r="F6" s="30" t="str">
        <f>'1.1a-Jaarprijzen'!C5</f>
        <v>180417 V2</v>
      </c>
      <c r="G6" s="704"/>
      <c r="H6" s="73"/>
      <c r="I6" s="73"/>
      <c r="J6" s="73"/>
      <c r="K6" s="74"/>
      <c r="L6" s="74"/>
      <c r="M6" s="74"/>
      <c r="N6" s="75"/>
      <c r="O6" s="75"/>
      <c r="P6" s="75"/>
      <c r="Q6" s="75"/>
      <c r="R6" s="75"/>
      <c r="S6" s="75"/>
    </row>
    <row r="7" spans="3:29" s="33" customFormat="1" ht="16">
      <c r="C7" s="72" t="str">
        <f>'1.1a-Jaarprijzen'!B6</f>
        <v>Naam leverancier</v>
      </c>
      <c r="D7" s="72"/>
      <c r="F7" s="30" t="str">
        <f>'1.1a-Jaarprijzen'!C6</f>
        <v>[NAAM LEVERANCIER]</v>
      </c>
      <c r="G7" s="706">
        <f>Voorblad!$E$15</f>
        <v>42917</v>
      </c>
      <c r="H7" s="73"/>
      <c r="I7" s="73"/>
      <c r="J7" s="73"/>
      <c r="K7" s="74"/>
      <c r="L7" s="74"/>
      <c r="M7" s="74"/>
      <c r="N7" s="75"/>
      <c r="O7" s="75"/>
      <c r="P7" s="75"/>
      <c r="Q7" s="75"/>
      <c r="R7" s="75"/>
      <c r="S7" s="75"/>
    </row>
    <row r="8" spans="3:29" s="71" customFormat="1">
      <c r="C8" s="78"/>
      <c r="D8" s="78"/>
      <c r="E8" s="79"/>
      <c r="F8" s="80"/>
      <c r="G8" s="707"/>
      <c r="H8" s="65"/>
      <c r="I8" s="65"/>
      <c r="J8" s="65"/>
      <c r="K8" s="66"/>
      <c r="L8" s="67"/>
      <c r="M8" s="67"/>
      <c r="N8" s="68"/>
      <c r="O8" s="68"/>
      <c r="P8" s="68"/>
      <c r="Q8" s="68"/>
      <c r="R8" s="68"/>
      <c r="S8" s="68"/>
      <c r="T8" s="69"/>
      <c r="U8" s="70"/>
      <c r="Z8" s="60"/>
    </row>
    <row r="9" spans="3:29" s="61" customFormat="1" ht="39">
      <c r="C9" s="307" t="s">
        <v>328</v>
      </c>
      <c r="D9" s="307" t="s">
        <v>329</v>
      </c>
      <c r="E9" s="267" t="s">
        <v>38</v>
      </c>
      <c r="F9" s="308" t="s">
        <v>234</v>
      </c>
      <c r="G9" s="309" t="s">
        <v>128</v>
      </c>
      <c r="H9" s="310" t="s">
        <v>313</v>
      </c>
      <c r="I9" s="310" t="s">
        <v>312</v>
      </c>
      <c r="J9" s="310"/>
      <c r="K9" s="311" t="s">
        <v>16</v>
      </c>
      <c r="L9" s="312" t="s">
        <v>142</v>
      </c>
      <c r="M9" s="312" t="s">
        <v>80</v>
      </c>
      <c r="N9" s="313" t="s">
        <v>176</v>
      </c>
      <c r="O9" s="314" t="s">
        <v>83</v>
      </c>
      <c r="P9" s="314" t="s">
        <v>17</v>
      </c>
      <c r="Q9" s="409"/>
      <c r="R9" s="409"/>
    </row>
    <row r="10" spans="3:29" s="71" customFormat="1">
      <c r="C10" s="315">
        <v>0</v>
      </c>
      <c r="D10" s="315"/>
      <c r="E10" s="316">
        <v>0</v>
      </c>
      <c r="F10" s="317">
        <v>0</v>
      </c>
      <c r="G10" s="708">
        <v>0</v>
      </c>
      <c r="H10" s="319">
        <v>0</v>
      </c>
      <c r="I10" s="319">
        <v>0</v>
      </c>
      <c r="J10" s="319">
        <v>0</v>
      </c>
      <c r="K10" s="318">
        <v>0</v>
      </c>
      <c r="L10" s="319">
        <v>0</v>
      </c>
      <c r="M10" s="319"/>
      <c r="N10" s="320">
        <v>0</v>
      </c>
      <c r="O10" s="321"/>
      <c r="P10" s="306"/>
      <c r="U10" s="60"/>
    </row>
    <row r="11" spans="3:29" s="409" customFormat="1">
      <c r="C11" s="729">
        <v>1051</v>
      </c>
      <c r="D11" s="730">
        <v>101</v>
      </c>
      <c r="E11" s="730">
        <v>51</v>
      </c>
      <c r="F11" s="731" t="s">
        <v>334</v>
      </c>
      <c r="G11" s="732" t="s">
        <v>1448</v>
      </c>
      <c r="H11" s="733"/>
      <c r="I11" s="733"/>
      <c r="J11" s="734"/>
      <c r="K11" s="735">
        <f t="shared" ref="K11:K40" si="0">IF(H11=0,0,E11/(H11+I11))</f>
        <v>0</v>
      </c>
      <c r="L11" s="736">
        <f>SUMIF('1.3-Basis ruimtestaat'!L:L,C11,'1.3-Basis ruimtestaat'!J:J)</f>
        <v>0</v>
      </c>
      <c r="M11" s="736">
        <f>SUMIF('1.3-Basis ruimtestaat'!L:L,C11,'1.3-Basis ruimtestaat'!K:K)</f>
        <v>0</v>
      </c>
      <c r="N11" s="737" t="str">
        <f t="shared" ref="N11:N42" si="1">IF(L11=0,"",L11/$L$103)</f>
        <v/>
      </c>
      <c r="O11" s="738"/>
      <c r="P11" s="739" t="s">
        <v>481</v>
      </c>
      <c r="Q11" s="71"/>
      <c r="U11" s="61"/>
      <c r="AC11" s="71"/>
    </row>
    <row r="12" spans="3:29" s="409" customFormat="1">
      <c r="C12" s="729">
        <v>1080</v>
      </c>
      <c r="D12" s="730">
        <v>101</v>
      </c>
      <c r="E12" s="730">
        <v>80</v>
      </c>
      <c r="F12" s="731" t="s">
        <v>334</v>
      </c>
      <c r="G12" s="732" t="s">
        <v>1486</v>
      </c>
      <c r="H12" s="733"/>
      <c r="I12" s="733"/>
      <c r="J12" s="734"/>
      <c r="K12" s="735">
        <f t="shared" ref="K12" si="2">IF(H12=0,0,E12/(H12+I12))</f>
        <v>0</v>
      </c>
      <c r="L12" s="736">
        <f>SUMIF('1.3-Basis ruimtestaat'!L:L,C12,'1.3-Basis ruimtestaat'!J:J)</f>
        <v>0</v>
      </c>
      <c r="M12" s="736">
        <f>SUMIF('1.3-Basis ruimtestaat'!L:L,C12,'1.3-Basis ruimtestaat'!K:K)</f>
        <v>0</v>
      </c>
      <c r="N12" s="737" t="str">
        <f t="shared" si="1"/>
        <v/>
      </c>
      <c r="O12" s="740"/>
      <c r="P12" s="739" t="s">
        <v>481</v>
      </c>
      <c r="Q12" s="71"/>
      <c r="U12" s="61"/>
      <c r="AC12" s="71"/>
    </row>
    <row r="13" spans="3:29" s="409" customFormat="1">
      <c r="C13" s="729">
        <v>1090</v>
      </c>
      <c r="D13" s="730">
        <v>101</v>
      </c>
      <c r="E13" s="730">
        <v>90</v>
      </c>
      <c r="F13" s="731" t="s">
        <v>334</v>
      </c>
      <c r="G13" s="732" t="s">
        <v>1459</v>
      </c>
      <c r="H13" s="733"/>
      <c r="I13" s="733"/>
      <c r="J13" s="734"/>
      <c r="K13" s="735">
        <f t="shared" si="0"/>
        <v>0</v>
      </c>
      <c r="L13" s="736">
        <f>SUMIF('1.3-Basis ruimtestaat'!L:L,C13,'1.3-Basis ruimtestaat'!J:J)</f>
        <v>0</v>
      </c>
      <c r="M13" s="736">
        <f>SUMIF('1.3-Basis ruimtestaat'!L:L,C13,'1.3-Basis ruimtestaat'!K:K)</f>
        <v>0</v>
      </c>
      <c r="N13" s="737" t="str">
        <f t="shared" si="1"/>
        <v/>
      </c>
      <c r="O13" s="740"/>
      <c r="P13" s="739" t="s">
        <v>481</v>
      </c>
      <c r="Q13" s="71"/>
      <c r="U13" s="61"/>
      <c r="AC13" s="71"/>
    </row>
    <row r="14" spans="3:29" s="409" customFormat="1">
      <c r="C14" s="729">
        <v>1102</v>
      </c>
      <c r="D14" s="730">
        <v>101</v>
      </c>
      <c r="E14" s="730">
        <v>102</v>
      </c>
      <c r="F14" s="731" t="s">
        <v>334</v>
      </c>
      <c r="G14" s="732" t="s">
        <v>1430</v>
      </c>
      <c r="H14" s="733"/>
      <c r="I14" s="733"/>
      <c r="J14" s="734"/>
      <c r="K14" s="735">
        <f t="shared" si="0"/>
        <v>0</v>
      </c>
      <c r="L14" s="736">
        <f>SUMIF('1.3-Basis ruimtestaat'!L:L,C14,'1.3-Basis ruimtestaat'!J:J)</f>
        <v>764.86</v>
      </c>
      <c r="M14" s="736">
        <f>SUMIF('1.3-Basis ruimtestaat'!L:L,C14,'1.3-Basis ruimtestaat'!K:K)</f>
        <v>0</v>
      </c>
      <c r="N14" s="737">
        <f t="shared" si="1"/>
        <v>9.1449190974883313E-2</v>
      </c>
      <c r="O14" s="738"/>
      <c r="P14" s="739" t="s">
        <v>481</v>
      </c>
      <c r="Q14" s="71"/>
      <c r="U14" s="61"/>
      <c r="AC14" s="71"/>
    </row>
    <row r="15" spans="3:29" s="409" customFormat="1">
      <c r="C15" s="729">
        <v>1120</v>
      </c>
      <c r="D15" s="730">
        <v>101</v>
      </c>
      <c r="E15" s="730">
        <v>120</v>
      </c>
      <c r="F15" s="731" t="s">
        <v>334</v>
      </c>
      <c r="G15" s="732" t="s">
        <v>1447</v>
      </c>
      <c r="H15" s="733"/>
      <c r="I15" s="733"/>
      <c r="J15" s="734"/>
      <c r="K15" s="735">
        <f t="shared" si="0"/>
        <v>0</v>
      </c>
      <c r="L15" s="736">
        <f>SUMIF('1.3-Basis ruimtestaat'!L:L,C15,'1.3-Basis ruimtestaat'!J:J)</f>
        <v>0</v>
      </c>
      <c r="M15" s="736">
        <f>SUMIF('1.3-Basis ruimtestaat'!L:L,C15,'1.3-Basis ruimtestaat'!K:K)</f>
        <v>0</v>
      </c>
      <c r="N15" s="737" t="str">
        <f t="shared" si="1"/>
        <v/>
      </c>
      <c r="O15" s="738"/>
      <c r="P15" s="739" t="s">
        <v>481</v>
      </c>
      <c r="Q15" s="71"/>
      <c r="U15" s="61"/>
      <c r="AC15" s="71"/>
    </row>
    <row r="16" spans="3:29" s="409" customFormat="1">
      <c r="C16" s="729">
        <v>1153</v>
      </c>
      <c r="D16" s="730">
        <v>101</v>
      </c>
      <c r="E16" s="730">
        <v>153</v>
      </c>
      <c r="F16" s="731" t="s">
        <v>334</v>
      </c>
      <c r="G16" s="732" t="s">
        <v>1431</v>
      </c>
      <c r="H16" s="733"/>
      <c r="I16" s="733"/>
      <c r="J16" s="734"/>
      <c r="K16" s="735">
        <f t="shared" si="0"/>
        <v>0</v>
      </c>
      <c r="L16" s="736">
        <f>SUMIF('1.3-Basis ruimtestaat'!L:L,C16,'1.3-Basis ruimtestaat'!J:J)</f>
        <v>874.28</v>
      </c>
      <c r="M16" s="736">
        <f>SUMIF('1.3-Basis ruimtestaat'!L:L,C16,'1.3-Basis ruimtestaat'!K:K)</f>
        <v>0</v>
      </c>
      <c r="N16" s="737">
        <f t="shared" si="1"/>
        <v>0.10453180802437176</v>
      </c>
      <c r="O16" s="738"/>
      <c r="P16" s="739" t="s">
        <v>481</v>
      </c>
      <c r="Q16" s="71"/>
      <c r="U16" s="61"/>
      <c r="AC16" s="71"/>
    </row>
    <row r="17" spans="3:29" s="409" customFormat="1">
      <c r="C17" s="729">
        <v>1200</v>
      </c>
      <c r="D17" s="730">
        <v>101</v>
      </c>
      <c r="E17" s="730">
        <v>200</v>
      </c>
      <c r="F17" s="731" t="s">
        <v>334</v>
      </c>
      <c r="G17" s="732" t="s">
        <v>335</v>
      </c>
      <c r="H17" s="733"/>
      <c r="I17" s="733"/>
      <c r="J17" s="734"/>
      <c r="K17" s="735">
        <f t="shared" si="0"/>
        <v>0</v>
      </c>
      <c r="L17" s="736">
        <f>SUMIF('1.3-Basis ruimtestaat'!L:L,C17,'1.3-Basis ruimtestaat'!J:J)</f>
        <v>0</v>
      </c>
      <c r="M17" s="736">
        <f>SUMIF('1.3-Basis ruimtestaat'!L:L,C17,'1.3-Basis ruimtestaat'!K:K)</f>
        <v>0</v>
      </c>
      <c r="N17" s="737" t="str">
        <f t="shared" si="1"/>
        <v/>
      </c>
      <c r="O17" s="738"/>
      <c r="P17" s="739" t="s">
        <v>481</v>
      </c>
      <c r="Q17" s="71"/>
      <c r="U17" s="61"/>
      <c r="AC17" s="71"/>
    </row>
    <row r="18" spans="3:29" s="409" customFormat="1">
      <c r="C18" s="729">
        <v>1255</v>
      </c>
      <c r="D18" s="730">
        <v>101</v>
      </c>
      <c r="E18" s="730">
        <v>255</v>
      </c>
      <c r="F18" s="731" t="s">
        <v>334</v>
      </c>
      <c r="G18" s="732" t="s">
        <v>1432</v>
      </c>
      <c r="H18" s="733"/>
      <c r="I18" s="733"/>
      <c r="J18" s="734"/>
      <c r="K18" s="735">
        <f t="shared" si="0"/>
        <v>0</v>
      </c>
      <c r="L18" s="736">
        <f>SUMIF('1.3-Basis ruimtestaat'!L:L,C18,'1.3-Basis ruimtestaat'!J:J)</f>
        <v>0</v>
      </c>
      <c r="M18" s="736">
        <f>SUMIF('1.3-Basis ruimtestaat'!L:L,C18,'1.3-Basis ruimtestaat'!K:K)</f>
        <v>0</v>
      </c>
      <c r="N18" s="737" t="str">
        <f t="shared" si="1"/>
        <v/>
      </c>
      <c r="O18" s="738"/>
      <c r="P18" s="739" t="s">
        <v>481</v>
      </c>
      <c r="Q18" s="71"/>
      <c r="U18" s="61"/>
      <c r="AC18" s="71"/>
    </row>
    <row r="19" spans="3:29" s="409" customFormat="1" ht="26">
      <c r="C19" s="729">
        <v>1236</v>
      </c>
      <c r="D19" s="730">
        <v>101</v>
      </c>
      <c r="E19" s="730">
        <v>236</v>
      </c>
      <c r="F19" s="731" t="s">
        <v>334</v>
      </c>
      <c r="G19" s="732" t="s">
        <v>1495</v>
      </c>
      <c r="H19" s="733"/>
      <c r="I19" s="733"/>
      <c r="J19" s="734"/>
      <c r="K19" s="735">
        <f t="shared" si="0"/>
        <v>0</v>
      </c>
      <c r="L19" s="736">
        <f>SUMIF('1.3-Basis ruimtestaat'!L:L,C19,'1.3-Basis ruimtestaat'!J:J)</f>
        <v>0</v>
      </c>
      <c r="M19" s="736">
        <f>SUMIF('1.3-Basis ruimtestaat'!L:L,C19,'1.3-Basis ruimtestaat'!K:K)</f>
        <v>0</v>
      </c>
      <c r="N19" s="737" t="str">
        <f t="shared" si="1"/>
        <v/>
      </c>
      <c r="O19" s="741" t="s">
        <v>1464</v>
      </c>
      <c r="P19" s="739" t="s">
        <v>481</v>
      </c>
      <c r="Q19" s="71"/>
      <c r="U19" s="61"/>
      <c r="AC19" s="71"/>
    </row>
    <row r="20" spans="3:29" s="409" customFormat="1">
      <c r="C20" s="729">
        <v>2051</v>
      </c>
      <c r="D20" s="730">
        <v>102</v>
      </c>
      <c r="E20" s="730">
        <v>51</v>
      </c>
      <c r="F20" s="731" t="s">
        <v>396</v>
      </c>
      <c r="G20" s="732" t="s">
        <v>1448</v>
      </c>
      <c r="H20" s="733"/>
      <c r="I20" s="733"/>
      <c r="J20" s="734"/>
      <c r="K20" s="735">
        <f t="shared" si="0"/>
        <v>0</v>
      </c>
      <c r="L20" s="736">
        <f>SUMIF('1.3-Basis ruimtestaat'!L:L,C20,'1.3-Basis ruimtestaat'!J:J)</f>
        <v>0</v>
      </c>
      <c r="M20" s="736">
        <f>SUMIF('1.3-Basis ruimtestaat'!L:L,C20,'1.3-Basis ruimtestaat'!K:K)</f>
        <v>0</v>
      </c>
      <c r="N20" s="737" t="str">
        <f t="shared" si="1"/>
        <v/>
      </c>
      <c r="O20" s="738"/>
      <c r="P20" s="739" t="s">
        <v>75</v>
      </c>
      <c r="Q20" s="71"/>
      <c r="U20" s="61"/>
      <c r="AC20" s="71"/>
    </row>
    <row r="21" spans="3:29" s="409" customFormat="1">
      <c r="C21" s="729">
        <v>2080</v>
      </c>
      <c r="D21" s="730">
        <v>102</v>
      </c>
      <c r="E21" s="730">
        <v>80</v>
      </c>
      <c r="F21" s="731" t="s">
        <v>396</v>
      </c>
      <c r="G21" s="732" t="s">
        <v>1486</v>
      </c>
      <c r="H21" s="733"/>
      <c r="I21" s="733"/>
      <c r="J21" s="734"/>
      <c r="K21" s="735">
        <f t="shared" ref="K21" si="3">IF(H21=0,0,E21/(H21+I21))</f>
        <v>0</v>
      </c>
      <c r="L21" s="736">
        <f>SUMIF('1.3-Basis ruimtestaat'!L:L,C21,'1.3-Basis ruimtestaat'!J:J)</f>
        <v>0</v>
      </c>
      <c r="M21" s="736">
        <f>SUMIF('1.3-Basis ruimtestaat'!L:L,C21,'1.3-Basis ruimtestaat'!K:K)</f>
        <v>0</v>
      </c>
      <c r="N21" s="737" t="str">
        <f t="shared" si="1"/>
        <v/>
      </c>
      <c r="O21" s="738"/>
      <c r="P21" s="739" t="s">
        <v>75</v>
      </c>
      <c r="Q21" s="71"/>
      <c r="U21" s="61"/>
      <c r="AC21" s="71"/>
    </row>
    <row r="22" spans="3:29" s="409" customFormat="1">
      <c r="C22" s="729">
        <v>2120</v>
      </c>
      <c r="D22" s="730">
        <v>102</v>
      </c>
      <c r="E22" s="730">
        <v>120</v>
      </c>
      <c r="F22" s="731" t="s">
        <v>396</v>
      </c>
      <c r="G22" s="732" t="s">
        <v>1447</v>
      </c>
      <c r="H22" s="733"/>
      <c r="I22" s="733"/>
      <c r="J22" s="734"/>
      <c r="K22" s="735">
        <f t="shared" si="0"/>
        <v>0</v>
      </c>
      <c r="L22" s="736">
        <f>SUMIF('1.3-Basis ruimtestaat'!L:L,C22,'1.3-Basis ruimtestaat'!J:J)</f>
        <v>0</v>
      </c>
      <c r="M22" s="736">
        <f>SUMIF('1.3-Basis ruimtestaat'!L:L,C22,'1.3-Basis ruimtestaat'!K:K)</f>
        <v>0</v>
      </c>
      <c r="N22" s="737" t="str">
        <f t="shared" si="1"/>
        <v/>
      </c>
      <c r="O22" s="738"/>
      <c r="P22" s="739" t="s">
        <v>75</v>
      </c>
      <c r="U22" s="61"/>
      <c r="AC22" s="71"/>
    </row>
    <row r="23" spans="3:29" s="409" customFormat="1">
      <c r="C23" s="729">
        <v>2153</v>
      </c>
      <c r="D23" s="730">
        <v>102</v>
      </c>
      <c r="E23" s="730">
        <v>153</v>
      </c>
      <c r="F23" s="731" t="s">
        <v>396</v>
      </c>
      <c r="G23" s="732" t="s">
        <v>1431</v>
      </c>
      <c r="H23" s="733"/>
      <c r="I23" s="733"/>
      <c r="J23" s="734"/>
      <c r="K23" s="735">
        <f t="shared" si="0"/>
        <v>0</v>
      </c>
      <c r="L23" s="736">
        <f>SUMIF('1.3-Basis ruimtestaat'!L:L,C23,'1.3-Basis ruimtestaat'!J:J)</f>
        <v>747.30000000000007</v>
      </c>
      <c r="M23" s="736">
        <f>SUMIF('1.3-Basis ruimtestaat'!L:L,C23,'1.3-Basis ruimtestaat'!K:K)</f>
        <v>0</v>
      </c>
      <c r="N23" s="737">
        <f t="shared" si="1"/>
        <v>8.9349659304356746E-2</v>
      </c>
      <c r="O23" s="738"/>
      <c r="P23" s="739" t="s">
        <v>75</v>
      </c>
      <c r="U23" s="61"/>
      <c r="AC23" s="71"/>
    </row>
    <row r="24" spans="3:29" s="409" customFormat="1">
      <c r="C24" s="729">
        <v>2200</v>
      </c>
      <c r="D24" s="730">
        <v>102</v>
      </c>
      <c r="E24" s="730">
        <v>200</v>
      </c>
      <c r="F24" s="731" t="s">
        <v>396</v>
      </c>
      <c r="G24" s="732" t="s">
        <v>335</v>
      </c>
      <c r="H24" s="733"/>
      <c r="I24" s="733"/>
      <c r="J24" s="734"/>
      <c r="K24" s="735">
        <f t="shared" si="0"/>
        <v>0</v>
      </c>
      <c r="L24" s="736">
        <f>SUMIF('1.3-Basis ruimtestaat'!L:L,C24,'1.3-Basis ruimtestaat'!J:J)</f>
        <v>0</v>
      </c>
      <c r="M24" s="736">
        <f>SUMIF('1.3-Basis ruimtestaat'!L:L,C24,'1.3-Basis ruimtestaat'!K:K)</f>
        <v>0</v>
      </c>
      <c r="N24" s="737" t="str">
        <f t="shared" si="1"/>
        <v/>
      </c>
      <c r="O24" s="738"/>
      <c r="P24" s="739" t="s">
        <v>75</v>
      </c>
      <c r="U24" s="61"/>
      <c r="AC24" s="71"/>
    </row>
    <row r="25" spans="3:29" s="409" customFormat="1" ht="26">
      <c r="C25" s="729">
        <v>2236</v>
      </c>
      <c r="D25" s="730">
        <v>102</v>
      </c>
      <c r="E25" s="730">
        <v>236</v>
      </c>
      <c r="F25" s="731" t="s">
        <v>396</v>
      </c>
      <c r="G25" s="732" t="s">
        <v>1495</v>
      </c>
      <c r="H25" s="733"/>
      <c r="I25" s="733"/>
      <c r="J25" s="734"/>
      <c r="K25" s="735">
        <f t="shared" si="0"/>
        <v>0</v>
      </c>
      <c r="L25" s="736">
        <f>SUMIF('1.3-Basis ruimtestaat'!L:L,C25,'1.3-Basis ruimtestaat'!J:J)</f>
        <v>0</v>
      </c>
      <c r="M25" s="736">
        <f>SUMIF('1.3-Basis ruimtestaat'!L:L,C25,'1.3-Basis ruimtestaat'!K:K)</f>
        <v>0</v>
      </c>
      <c r="N25" s="737" t="str">
        <f t="shared" si="1"/>
        <v/>
      </c>
      <c r="O25" s="741" t="s">
        <v>1464</v>
      </c>
      <c r="P25" s="739" t="s">
        <v>75</v>
      </c>
      <c r="U25" s="61"/>
      <c r="AC25" s="71"/>
    </row>
    <row r="26" spans="3:29" s="409" customFormat="1">
      <c r="C26" s="729">
        <v>2255</v>
      </c>
      <c r="D26" s="730">
        <v>102</v>
      </c>
      <c r="E26" s="730">
        <v>255</v>
      </c>
      <c r="F26" s="731" t="s">
        <v>396</v>
      </c>
      <c r="G26" s="732" t="s">
        <v>1432</v>
      </c>
      <c r="H26" s="733"/>
      <c r="I26" s="733"/>
      <c r="J26" s="734"/>
      <c r="K26" s="735">
        <f t="shared" si="0"/>
        <v>0</v>
      </c>
      <c r="L26" s="736">
        <f>SUMIF('1.3-Basis ruimtestaat'!L:L,C26,'1.3-Basis ruimtestaat'!J:J)</f>
        <v>0</v>
      </c>
      <c r="M26" s="736">
        <f>SUMIF('1.3-Basis ruimtestaat'!L:L,C26,'1.3-Basis ruimtestaat'!K:K)</f>
        <v>0</v>
      </c>
      <c r="N26" s="737" t="str">
        <f t="shared" si="1"/>
        <v/>
      </c>
      <c r="O26" s="740"/>
      <c r="P26" s="739" t="s">
        <v>75</v>
      </c>
      <c r="U26" s="61"/>
      <c r="AC26" s="71"/>
    </row>
    <row r="27" spans="3:29" s="409" customFormat="1">
      <c r="C27" s="729">
        <v>3012</v>
      </c>
      <c r="D27" s="730">
        <v>103</v>
      </c>
      <c r="E27" s="730">
        <v>12</v>
      </c>
      <c r="F27" s="731" t="s">
        <v>1412</v>
      </c>
      <c r="G27" s="732" t="s">
        <v>1449</v>
      </c>
      <c r="H27" s="733"/>
      <c r="I27" s="733"/>
      <c r="J27" s="734"/>
      <c r="K27" s="735">
        <f t="shared" si="0"/>
        <v>0</v>
      </c>
      <c r="L27" s="736">
        <f>SUMIF('1.3-Basis ruimtestaat'!L:L,C27,'1.3-Basis ruimtestaat'!J:J)</f>
        <v>0</v>
      </c>
      <c r="M27" s="736">
        <f>SUMIF('1.3-Basis ruimtestaat'!L:L,C27,'1.3-Basis ruimtestaat'!K:K)</f>
        <v>0</v>
      </c>
      <c r="N27" s="737" t="str">
        <f t="shared" si="1"/>
        <v/>
      </c>
      <c r="O27" s="740"/>
      <c r="P27" s="739"/>
      <c r="U27" s="61"/>
      <c r="AC27" s="71"/>
    </row>
    <row r="28" spans="3:29" s="409" customFormat="1">
      <c r="C28" s="729">
        <v>3051</v>
      </c>
      <c r="D28" s="730">
        <v>103</v>
      </c>
      <c r="E28" s="730">
        <v>51</v>
      </c>
      <c r="F28" s="731" t="s">
        <v>1412</v>
      </c>
      <c r="G28" s="732" t="s">
        <v>1448</v>
      </c>
      <c r="H28" s="733"/>
      <c r="I28" s="733"/>
      <c r="J28" s="734"/>
      <c r="K28" s="735">
        <f t="shared" si="0"/>
        <v>0</v>
      </c>
      <c r="L28" s="736">
        <f>SUMIF('1.3-Basis ruimtestaat'!L:L,C28,'1.3-Basis ruimtestaat'!J:J)</f>
        <v>0</v>
      </c>
      <c r="M28" s="736">
        <f>SUMIF('1.3-Basis ruimtestaat'!L:L,C28,'1.3-Basis ruimtestaat'!K:K)</f>
        <v>0</v>
      </c>
      <c r="N28" s="737" t="str">
        <f t="shared" si="1"/>
        <v/>
      </c>
      <c r="O28" s="740"/>
      <c r="P28" s="739" t="s">
        <v>75</v>
      </c>
      <c r="U28" s="61"/>
      <c r="AC28" s="71"/>
    </row>
    <row r="29" spans="3:29" s="409" customFormat="1">
      <c r="C29" s="729">
        <v>3102</v>
      </c>
      <c r="D29" s="730">
        <v>103</v>
      </c>
      <c r="E29" s="730">
        <v>102</v>
      </c>
      <c r="F29" s="731" t="s">
        <v>1412</v>
      </c>
      <c r="G29" s="732" t="s">
        <v>1430</v>
      </c>
      <c r="H29" s="733"/>
      <c r="I29" s="733"/>
      <c r="J29" s="734"/>
      <c r="K29" s="735">
        <f t="shared" si="0"/>
        <v>0</v>
      </c>
      <c r="L29" s="736">
        <f>SUMIF('1.3-Basis ruimtestaat'!L:L,C29,'1.3-Basis ruimtestaat'!J:J)</f>
        <v>5.6999999999999993</v>
      </c>
      <c r="M29" s="736">
        <f>SUMIF('1.3-Basis ruimtestaat'!L:L,C29,'1.3-Basis ruimtestaat'!K:K)</f>
        <v>0</v>
      </c>
      <c r="N29" s="737">
        <f t="shared" si="1"/>
        <v>6.8151084977229146E-4</v>
      </c>
      <c r="O29" s="740"/>
      <c r="P29" s="739" t="s">
        <v>75</v>
      </c>
      <c r="U29" s="61"/>
      <c r="AC29" s="71"/>
    </row>
    <row r="30" spans="3:29" s="409" customFormat="1">
      <c r="C30" s="729">
        <v>3120</v>
      </c>
      <c r="D30" s="730">
        <v>103</v>
      </c>
      <c r="E30" s="730">
        <v>120</v>
      </c>
      <c r="F30" s="731" t="s">
        <v>1412</v>
      </c>
      <c r="G30" s="732" t="s">
        <v>1447</v>
      </c>
      <c r="H30" s="733"/>
      <c r="I30" s="733"/>
      <c r="J30" s="734"/>
      <c r="K30" s="735">
        <f t="shared" si="0"/>
        <v>0</v>
      </c>
      <c r="L30" s="736">
        <f>SUMIF('1.3-Basis ruimtestaat'!L:L,C30,'1.3-Basis ruimtestaat'!J:J)</f>
        <v>0</v>
      </c>
      <c r="M30" s="736">
        <f>SUMIF('1.3-Basis ruimtestaat'!L:L,C30,'1.3-Basis ruimtestaat'!K:K)</f>
        <v>0</v>
      </c>
      <c r="N30" s="737" t="str">
        <f t="shared" si="1"/>
        <v/>
      </c>
      <c r="O30" s="740"/>
      <c r="P30" s="739" t="s">
        <v>75</v>
      </c>
      <c r="U30" s="61"/>
      <c r="AC30" s="71"/>
    </row>
    <row r="31" spans="3:29" s="409" customFormat="1">
      <c r="C31" s="729">
        <v>3153</v>
      </c>
      <c r="D31" s="730">
        <v>103</v>
      </c>
      <c r="E31" s="730">
        <v>153</v>
      </c>
      <c r="F31" s="731" t="s">
        <v>1412</v>
      </c>
      <c r="G31" s="732" t="s">
        <v>1431</v>
      </c>
      <c r="H31" s="733"/>
      <c r="I31" s="733"/>
      <c r="J31" s="734"/>
      <c r="K31" s="735">
        <f t="shared" si="0"/>
        <v>0</v>
      </c>
      <c r="L31" s="736">
        <f>SUMIF('1.3-Basis ruimtestaat'!L:L,C31,'1.3-Basis ruimtestaat'!J:J)</f>
        <v>2882.9000000000019</v>
      </c>
      <c r="M31" s="736">
        <f>SUMIF('1.3-Basis ruimtestaat'!L:L,C31,'1.3-Basis ruimtestaat'!K:K)</f>
        <v>0</v>
      </c>
      <c r="N31" s="737">
        <f t="shared" si="1"/>
        <v>0.34468905768570884</v>
      </c>
      <c r="O31" s="740"/>
      <c r="P31" s="739" t="s">
        <v>75</v>
      </c>
      <c r="U31" s="61"/>
      <c r="AC31" s="71"/>
    </row>
    <row r="32" spans="3:29" s="409" customFormat="1">
      <c r="C32" s="729">
        <v>3200</v>
      </c>
      <c r="D32" s="730">
        <v>103</v>
      </c>
      <c r="E32" s="730">
        <v>200</v>
      </c>
      <c r="F32" s="731" t="s">
        <v>1412</v>
      </c>
      <c r="G32" s="732" t="s">
        <v>335</v>
      </c>
      <c r="H32" s="733"/>
      <c r="I32" s="733"/>
      <c r="J32" s="734"/>
      <c r="K32" s="735">
        <f t="shared" ref="K32" si="4">IF(H32=0,0,E32/(H32+I32))</f>
        <v>0</v>
      </c>
      <c r="L32" s="736">
        <f>SUMIF('1.3-Basis ruimtestaat'!L:L,C32,'1.3-Basis ruimtestaat'!J:J)</f>
        <v>0</v>
      </c>
      <c r="M32" s="736">
        <f>SUMIF('1.3-Basis ruimtestaat'!L:L,C32,'1.3-Basis ruimtestaat'!K:K)</f>
        <v>0</v>
      </c>
      <c r="N32" s="737" t="str">
        <f t="shared" si="1"/>
        <v/>
      </c>
      <c r="O32" s="740"/>
      <c r="P32" s="739" t="s">
        <v>75</v>
      </c>
      <c r="U32" s="61"/>
      <c r="AC32" s="71"/>
    </row>
    <row r="33" spans="3:29" s="409" customFormat="1">
      <c r="C33" s="729">
        <v>3210</v>
      </c>
      <c r="D33" s="730">
        <v>103</v>
      </c>
      <c r="E33" s="730">
        <v>210</v>
      </c>
      <c r="F33" s="731" t="s">
        <v>1412</v>
      </c>
      <c r="G33" s="732" t="s">
        <v>1506</v>
      </c>
      <c r="H33" s="733"/>
      <c r="I33" s="733"/>
      <c r="J33" s="734"/>
      <c r="K33" s="735">
        <f t="shared" si="0"/>
        <v>0</v>
      </c>
      <c r="L33" s="736">
        <f>SUMIF('1.3-Basis ruimtestaat'!L:L,C33,'1.3-Basis ruimtestaat'!J:J)</f>
        <v>0</v>
      </c>
      <c r="M33" s="736">
        <f>SUMIF('1.3-Basis ruimtestaat'!L:L,C33,'1.3-Basis ruimtestaat'!K:K)</f>
        <v>0</v>
      </c>
      <c r="N33" s="737" t="str">
        <f t="shared" si="1"/>
        <v/>
      </c>
      <c r="O33" s="740"/>
      <c r="P33" s="739" t="s">
        <v>75</v>
      </c>
      <c r="U33" s="61"/>
      <c r="AC33" s="71"/>
    </row>
    <row r="34" spans="3:29" s="409" customFormat="1">
      <c r="C34" s="729">
        <v>3225</v>
      </c>
      <c r="D34" s="730">
        <v>103</v>
      </c>
      <c r="E34" s="730">
        <v>225</v>
      </c>
      <c r="F34" s="731" t="s">
        <v>1412</v>
      </c>
      <c r="G34" s="732" t="s">
        <v>1460</v>
      </c>
      <c r="H34" s="733"/>
      <c r="I34" s="733"/>
      <c r="J34" s="734"/>
      <c r="K34" s="735">
        <f t="shared" si="0"/>
        <v>0</v>
      </c>
      <c r="L34" s="736">
        <f>SUMIF('1.3-Basis ruimtestaat'!L:L,C34,'1.3-Basis ruimtestaat'!J:J)</f>
        <v>0</v>
      </c>
      <c r="M34" s="736">
        <f>SUMIF('1.3-Basis ruimtestaat'!L:L,C34,'1.3-Basis ruimtestaat'!K:K)</f>
        <v>0</v>
      </c>
      <c r="N34" s="737" t="str">
        <f t="shared" si="1"/>
        <v/>
      </c>
      <c r="O34" s="740"/>
      <c r="P34" s="739" t="s">
        <v>75</v>
      </c>
      <c r="U34" s="61"/>
      <c r="AC34" s="71"/>
    </row>
    <row r="35" spans="3:29" s="409" customFormat="1" ht="26">
      <c r="C35" s="729">
        <v>3236</v>
      </c>
      <c r="D35" s="730">
        <v>103</v>
      </c>
      <c r="E35" s="730">
        <v>236</v>
      </c>
      <c r="F35" s="731" t="s">
        <v>1412</v>
      </c>
      <c r="G35" s="732" t="s">
        <v>1495</v>
      </c>
      <c r="H35" s="733"/>
      <c r="I35" s="733"/>
      <c r="J35" s="734"/>
      <c r="K35" s="735">
        <f t="shared" si="0"/>
        <v>0</v>
      </c>
      <c r="L35" s="736">
        <f>SUMIF('1.3-Basis ruimtestaat'!L:L,C35,'1.3-Basis ruimtestaat'!J:J)</f>
        <v>0</v>
      </c>
      <c r="M35" s="736">
        <f>SUMIF('1.3-Basis ruimtestaat'!L:L,C35,'1.3-Basis ruimtestaat'!K:K)</f>
        <v>0</v>
      </c>
      <c r="N35" s="737" t="str">
        <f t="shared" si="1"/>
        <v/>
      </c>
      <c r="O35" s="741" t="s">
        <v>1464</v>
      </c>
      <c r="P35" s="739" t="s">
        <v>75</v>
      </c>
      <c r="U35" s="61"/>
      <c r="AC35" s="71"/>
    </row>
    <row r="36" spans="3:29" s="409" customFormat="1">
      <c r="C36" s="729">
        <v>3255</v>
      </c>
      <c r="D36" s="730">
        <v>103</v>
      </c>
      <c r="E36" s="730">
        <v>255</v>
      </c>
      <c r="F36" s="731" t="s">
        <v>1412</v>
      </c>
      <c r="G36" s="732" t="s">
        <v>1432</v>
      </c>
      <c r="H36" s="733"/>
      <c r="I36" s="733"/>
      <c r="J36" s="734"/>
      <c r="K36" s="735">
        <f t="shared" si="0"/>
        <v>0</v>
      </c>
      <c r="L36" s="736">
        <f>SUMIF('1.3-Basis ruimtestaat'!L:L,C36,'1.3-Basis ruimtestaat'!J:J)</f>
        <v>0</v>
      </c>
      <c r="M36" s="736">
        <f>SUMIF('1.3-Basis ruimtestaat'!L:L,C36,'1.3-Basis ruimtestaat'!K:K)</f>
        <v>0</v>
      </c>
      <c r="N36" s="737" t="str">
        <f t="shared" si="1"/>
        <v/>
      </c>
      <c r="O36" s="740"/>
      <c r="P36" s="739" t="s">
        <v>75</v>
      </c>
      <c r="U36" s="61"/>
      <c r="AC36" s="71"/>
    </row>
    <row r="37" spans="3:29" s="409" customFormat="1">
      <c r="C37" s="729">
        <v>4051</v>
      </c>
      <c r="D37" s="730">
        <v>104</v>
      </c>
      <c r="E37" s="730">
        <v>51</v>
      </c>
      <c r="F37" s="731" t="s">
        <v>337</v>
      </c>
      <c r="G37" s="732" t="s">
        <v>1448</v>
      </c>
      <c r="H37" s="733"/>
      <c r="I37" s="733"/>
      <c r="J37" s="734"/>
      <c r="K37" s="735">
        <f t="shared" si="0"/>
        <v>0</v>
      </c>
      <c r="L37" s="736">
        <f>SUMIF('1.3-Basis ruimtestaat'!L:L,C37,'1.3-Basis ruimtestaat'!J:J)</f>
        <v>0</v>
      </c>
      <c r="M37" s="736">
        <f>SUMIF('1.3-Basis ruimtestaat'!L:L,C37,'1.3-Basis ruimtestaat'!K:K)</f>
        <v>0</v>
      </c>
      <c r="N37" s="737" t="str">
        <f t="shared" si="1"/>
        <v/>
      </c>
      <c r="O37" s="740"/>
      <c r="P37" s="739" t="s">
        <v>307</v>
      </c>
      <c r="U37" s="61"/>
      <c r="AC37" s="71"/>
    </row>
    <row r="38" spans="3:29" s="409" customFormat="1">
      <c r="C38" s="729">
        <v>4102</v>
      </c>
      <c r="D38" s="730">
        <v>104</v>
      </c>
      <c r="E38" s="730">
        <v>102</v>
      </c>
      <c r="F38" s="731" t="s">
        <v>337</v>
      </c>
      <c r="G38" s="732" t="s">
        <v>1430</v>
      </c>
      <c r="H38" s="733"/>
      <c r="I38" s="733"/>
      <c r="J38" s="734"/>
      <c r="K38" s="735">
        <f t="shared" si="0"/>
        <v>0</v>
      </c>
      <c r="L38" s="736">
        <f>SUMIF('1.3-Basis ruimtestaat'!L:L,C38,'1.3-Basis ruimtestaat'!J:J)</f>
        <v>17.299999999999997</v>
      </c>
      <c r="M38" s="736">
        <f>SUMIF('1.3-Basis ruimtestaat'!L:L,C38,'1.3-Basis ruimtestaat'!K:K)</f>
        <v>0</v>
      </c>
      <c r="N38" s="737">
        <f t="shared" si="1"/>
        <v>2.0684452107123932E-3</v>
      </c>
      <c r="O38" s="740"/>
      <c r="P38" s="739" t="s">
        <v>307</v>
      </c>
      <c r="U38" s="61"/>
      <c r="AC38" s="71"/>
    </row>
    <row r="39" spans="3:29" s="409" customFormat="1">
      <c r="C39" s="729">
        <v>4153</v>
      </c>
      <c r="D39" s="730">
        <v>104</v>
      </c>
      <c r="E39" s="730">
        <v>153</v>
      </c>
      <c r="F39" s="731" t="s">
        <v>337</v>
      </c>
      <c r="G39" s="732" t="s">
        <v>1431</v>
      </c>
      <c r="H39" s="733"/>
      <c r="I39" s="733"/>
      <c r="J39" s="734"/>
      <c r="K39" s="735">
        <f t="shared" si="0"/>
        <v>0</v>
      </c>
      <c r="L39" s="736">
        <f>SUMIF('1.3-Basis ruimtestaat'!L:L,C39,'1.3-Basis ruimtestaat'!J:J)</f>
        <v>202.4</v>
      </c>
      <c r="M39" s="736">
        <f>SUMIF('1.3-Basis ruimtestaat'!L:L,C39,'1.3-Basis ruimtestaat'!K:K)</f>
        <v>0</v>
      </c>
      <c r="N39" s="737">
        <f t="shared" si="1"/>
        <v>2.4199613332265228E-2</v>
      </c>
      <c r="O39" s="740"/>
      <c r="P39" s="739" t="s">
        <v>307</v>
      </c>
      <c r="U39" s="61"/>
      <c r="AC39" s="71"/>
    </row>
    <row r="40" spans="3:29" s="409" customFormat="1">
      <c r="C40" s="729">
        <v>4200</v>
      </c>
      <c r="D40" s="730">
        <v>104</v>
      </c>
      <c r="E40" s="730">
        <v>200</v>
      </c>
      <c r="F40" s="731" t="s">
        <v>337</v>
      </c>
      <c r="G40" s="732" t="s">
        <v>335</v>
      </c>
      <c r="H40" s="733"/>
      <c r="I40" s="733"/>
      <c r="J40" s="734"/>
      <c r="K40" s="735">
        <f t="shared" si="0"/>
        <v>0</v>
      </c>
      <c r="L40" s="736">
        <f>SUMIF('1.3-Basis ruimtestaat'!L:L,C40,'1.3-Basis ruimtestaat'!J:J)</f>
        <v>0</v>
      </c>
      <c r="M40" s="736">
        <f>SUMIF('1.3-Basis ruimtestaat'!L:L,C40,'1.3-Basis ruimtestaat'!K:K)</f>
        <v>0</v>
      </c>
      <c r="N40" s="737" t="str">
        <f t="shared" si="1"/>
        <v/>
      </c>
      <c r="O40" s="740"/>
      <c r="P40" s="739" t="s">
        <v>307</v>
      </c>
      <c r="U40" s="61"/>
      <c r="AC40" s="71"/>
    </row>
    <row r="41" spans="3:29" s="409" customFormat="1">
      <c r="C41" s="729">
        <v>4210</v>
      </c>
      <c r="D41" s="730">
        <v>104</v>
      </c>
      <c r="E41" s="730">
        <v>210</v>
      </c>
      <c r="F41" s="731" t="s">
        <v>337</v>
      </c>
      <c r="G41" s="732" t="s">
        <v>1506</v>
      </c>
      <c r="H41" s="733"/>
      <c r="I41" s="733"/>
      <c r="J41" s="734"/>
      <c r="K41" s="735">
        <f t="shared" ref="K41:K68" si="5">IF(H41=0,0,E41/(H41+I41))</f>
        <v>0</v>
      </c>
      <c r="L41" s="736">
        <f>SUMIF('1.3-Basis ruimtestaat'!L:L,C41,'1.3-Basis ruimtestaat'!J:J)</f>
        <v>0</v>
      </c>
      <c r="M41" s="736">
        <f>SUMIF('1.3-Basis ruimtestaat'!L:L,C41,'1.3-Basis ruimtestaat'!K:K)</f>
        <v>0</v>
      </c>
      <c r="N41" s="737" t="str">
        <f t="shared" si="1"/>
        <v/>
      </c>
      <c r="O41" s="740"/>
      <c r="P41" s="739" t="s">
        <v>307</v>
      </c>
      <c r="U41" s="61"/>
      <c r="AC41" s="71"/>
    </row>
    <row r="42" spans="3:29" s="409" customFormat="1">
      <c r="C42" s="729">
        <v>4225</v>
      </c>
      <c r="D42" s="730">
        <v>104</v>
      </c>
      <c r="E42" s="730">
        <v>225</v>
      </c>
      <c r="F42" s="731" t="s">
        <v>337</v>
      </c>
      <c r="G42" s="732" t="s">
        <v>1460</v>
      </c>
      <c r="H42" s="733"/>
      <c r="I42" s="733"/>
      <c r="J42" s="734"/>
      <c r="K42" s="735">
        <f t="shared" si="5"/>
        <v>0</v>
      </c>
      <c r="L42" s="736">
        <f>SUMIF('1.3-Basis ruimtestaat'!L:L,C42,'1.3-Basis ruimtestaat'!J:J)</f>
        <v>0</v>
      </c>
      <c r="M42" s="736">
        <f>SUMIF('1.3-Basis ruimtestaat'!L:L,C42,'1.3-Basis ruimtestaat'!K:K)</f>
        <v>0</v>
      </c>
      <c r="N42" s="737" t="str">
        <f t="shared" si="1"/>
        <v/>
      </c>
      <c r="O42" s="740"/>
      <c r="P42" s="739" t="s">
        <v>307</v>
      </c>
      <c r="U42" s="61"/>
      <c r="AC42" s="71"/>
    </row>
    <row r="43" spans="3:29" s="409" customFormat="1" ht="26">
      <c r="C43" s="729">
        <v>4236</v>
      </c>
      <c r="D43" s="730">
        <v>104</v>
      </c>
      <c r="E43" s="730">
        <v>236</v>
      </c>
      <c r="F43" s="731" t="s">
        <v>337</v>
      </c>
      <c r="G43" s="732" t="s">
        <v>1495</v>
      </c>
      <c r="H43" s="733"/>
      <c r="I43" s="733"/>
      <c r="J43" s="734"/>
      <c r="K43" s="735">
        <f t="shared" si="5"/>
        <v>0</v>
      </c>
      <c r="L43" s="736">
        <f>SUMIF('1.3-Basis ruimtestaat'!L:L,C43,'1.3-Basis ruimtestaat'!J:J)</f>
        <v>0</v>
      </c>
      <c r="M43" s="736">
        <f>SUMIF('1.3-Basis ruimtestaat'!L:L,C43,'1.3-Basis ruimtestaat'!K:K)</f>
        <v>0</v>
      </c>
      <c r="N43" s="737" t="str">
        <f t="shared" ref="N43:N74" si="6">IF(L43=0,"",L43/$L$103)</f>
        <v/>
      </c>
      <c r="O43" s="741" t="s">
        <v>1464</v>
      </c>
      <c r="P43" s="739" t="s">
        <v>307</v>
      </c>
      <c r="U43" s="61"/>
      <c r="AC43" s="71"/>
    </row>
    <row r="44" spans="3:29" s="409" customFormat="1">
      <c r="C44" s="729">
        <v>4255</v>
      </c>
      <c r="D44" s="730">
        <v>104</v>
      </c>
      <c r="E44" s="730">
        <v>255</v>
      </c>
      <c r="F44" s="731" t="s">
        <v>337</v>
      </c>
      <c r="G44" s="732" t="s">
        <v>1432</v>
      </c>
      <c r="H44" s="733"/>
      <c r="I44" s="733"/>
      <c r="J44" s="734"/>
      <c r="K44" s="735">
        <f t="shared" si="5"/>
        <v>0</v>
      </c>
      <c r="L44" s="736">
        <f>SUMIF('1.3-Basis ruimtestaat'!L:L,C44,'1.3-Basis ruimtestaat'!J:J)</f>
        <v>231.9999999999998</v>
      </c>
      <c r="M44" s="736">
        <f>SUMIF('1.3-Basis ruimtestaat'!L:L,C44,'1.3-Basis ruimtestaat'!K:K)</f>
        <v>0</v>
      </c>
      <c r="N44" s="737">
        <f t="shared" si="6"/>
        <v>2.7738687218802016E-2</v>
      </c>
      <c r="O44" s="740"/>
      <c r="P44" s="739" t="s">
        <v>307</v>
      </c>
      <c r="U44" s="61"/>
      <c r="AC44" s="71"/>
    </row>
    <row r="45" spans="3:29" s="409" customFormat="1">
      <c r="C45" s="729">
        <v>5120</v>
      </c>
      <c r="D45" s="730">
        <v>105</v>
      </c>
      <c r="E45" s="730">
        <v>120</v>
      </c>
      <c r="F45" s="731" t="s">
        <v>310</v>
      </c>
      <c r="G45" s="732" t="s">
        <v>1447</v>
      </c>
      <c r="H45" s="733"/>
      <c r="I45" s="733"/>
      <c r="J45" s="734"/>
      <c r="K45" s="735">
        <f t="shared" si="5"/>
        <v>0</v>
      </c>
      <c r="L45" s="736">
        <f>SUMIF('1.3-Basis ruimtestaat'!L:L,C45,'1.3-Basis ruimtestaat'!J:J)</f>
        <v>0</v>
      </c>
      <c r="M45" s="736">
        <f>SUMIF('1.3-Basis ruimtestaat'!L:L,C45,'1.3-Basis ruimtestaat'!K:K)</f>
        <v>0</v>
      </c>
      <c r="N45" s="737" t="str">
        <f t="shared" si="6"/>
        <v/>
      </c>
      <c r="O45" s="740"/>
      <c r="P45" s="739" t="s">
        <v>75</v>
      </c>
      <c r="U45" s="61"/>
      <c r="AC45" s="71"/>
    </row>
    <row r="46" spans="3:29" s="409" customFormat="1">
      <c r="C46" s="729">
        <v>5153</v>
      </c>
      <c r="D46" s="730">
        <v>105</v>
      </c>
      <c r="E46" s="730">
        <v>153</v>
      </c>
      <c r="F46" s="731" t="s">
        <v>310</v>
      </c>
      <c r="G46" s="732" t="s">
        <v>1431</v>
      </c>
      <c r="H46" s="733"/>
      <c r="I46" s="733"/>
      <c r="J46" s="734"/>
      <c r="K46" s="735">
        <f t="shared" si="5"/>
        <v>0</v>
      </c>
      <c r="L46" s="736">
        <f>SUMIF('1.3-Basis ruimtestaat'!L:L,C46,'1.3-Basis ruimtestaat'!J:J)</f>
        <v>24.7</v>
      </c>
      <c r="M46" s="736">
        <f>SUMIF('1.3-Basis ruimtestaat'!L:L,C46,'1.3-Basis ruimtestaat'!K:K)</f>
        <v>0</v>
      </c>
      <c r="N46" s="737">
        <f t="shared" si="6"/>
        <v>2.9532136823465964E-3</v>
      </c>
      <c r="O46" s="740"/>
      <c r="P46" s="739" t="s">
        <v>75</v>
      </c>
      <c r="U46" s="61"/>
      <c r="AC46" s="71"/>
    </row>
    <row r="47" spans="3:29" s="409" customFormat="1">
      <c r="C47" s="729">
        <v>5200</v>
      </c>
      <c r="D47" s="730">
        <v>105</v>
      </c>
      <c r="E47" s="730">
        <v>200</v>
      </c>
      <c r="F47" s="731" t="s">
        <v>310</v>
      </c>
      <c r="G47" s="732" t="s">
        <v>335</v>
      </c>
      <c r="H47" s="733"/>
      <c r="I47" s="733"/>
      <c r="J47" s="734"/>
      <c r="K47" s="735">
        <f t="shared" ref="K47" si="7">IF(H47=0,0,E47/(H47+I47))</f>
        <v>0</v>
      </c>
      <c r="L47" s="736">
        <f>SUMIF('1.3-Basis ruimtestaat'!L:L,C47,'1.3-Basis ruimtestaat'!J:J)</f>
        <v>0</v>
      </c>
      <c r="M47" s="736">
        <f>SUMIF('1.3-Basis ruimtestaat'!L:L,C47,'1.3-Basis ruimtestaat'!K:K)</f>
        <v>0</v>
      </c>
      <c r="N47" s="737" t="str">
        <f t="shared" si="6"/>
        <v/>
      </c>
      <c r="O47" s="740"/>
      <c r="P47" s="739" t="s">
        <v>75</v>
      </c>
      <c r="U47" s="61"/>
      <c r="AC47" s="71"/>
    </row>
    <row r="48" spans="3:29" s="409" customFormat="1">
      <c r="C48" s="729">
        <v>5210</v>
      </c>
      <c r="D48" s="730">
        <v>105</v>
      </c>
      <c r="E48" s="730">
        <v>210</v>
      </c>
      <c r="F48" s="731" t="s">
        <v>310</v>
      </c>
      <c r="G48" s="732" t="s">
        <v>1506</v>
      </c>
      <c r="H48" s="733"/>
      <c r="I48" s="733"/>
      <c r="J48" s="734"/>
      <c r="K48" s="735">
        <f t="shared" si="5"/>
        <v>0</v>
      </c>
      <c r="L48" s="736">
        <f>SUMIF('1.3-Basis ruimtestaat'!L:L,C48,'1.3-Basis ruimtestaat'!J:J)</f>
        <v>0</v>
      </c>
      <c r="M48" s="736">
        <f>SUMIF('1.3-Basis ruimtestaat'!L:L,C48,'1.3-Basis ruimtestaat'!K:K)</f>
        <v>0</v>
      </c>
      <c r="N48" s="737" t="str">
        <f t="shared" si="6"/>
        <v/>
      </c>
      <c r="O48" s="740"/>
      <c r="P48" s="739" t="s">
        <v>75</v>
      </c>
      <c r="U48" s="61"/>
      <c r="AC48" s="71"/>
    </row>
    <row r="49" spans="3:29" s="409" customFormat="1">
      <c r="C49" s="729">
        <v>5225</v>
      </c>
      <c r="D49" s="730">
        <v>105</v>
      </c>
      <c r="E49" s="730">
        <v>225</v>
      </c>
      <c r="F49" s="731" t="s">
        <v>310</v>
      </c>
      <c r="G49" s="732" t="s">
        <v>1460</v>
      </c>
      <c r="H49" s="733"/>
      <c r="I49" s="733"/>
      <c r="J49" s="734"/>
      <c r="K49" s="735">
        <f t="shared" si="5"/>
        <v>0</v>
      </c>
      <c r="L49" s="736">
        <f>SUMIF('1.3-Basis ruimtestaat'!L:L,C49,'1.3-Basis ruimtestaat'!J:J)</f>
        <v>0</v>
      </c>
      <c r="M49" s="736">
        <f>SUMIF('1.3-Basis ruimtestaat'!L:L,C49,'1.3-Basis ruimtestaat'!K:K)</f>
        <v>0</v>
      </c>
      <c r="N49" s="737" t="str">
        <f t="shared" si="6"/>
        <v/>
      </c>
      <c r="O49" s="740"/>
      <c r="P49" s="739" t="s">
        <v>75</v>
      </c>
      <c r="U49" s="61"/>
      <c r="AC49" s="71"/>
    </row>
    <row r="50" spans="3:29" s="409" customFormat="1">
      <c r="C50" s="729">
        <v>5255</v>
      </c>
      <c r="D50" s="730">
        <v>105</v>
      </c>
      <c r="E50" s="730">
        <v>255</v>
      </c>
      <c r="F50" s="731" t="s">
        <v>310</v>
      </c>
      <c r="G50" s="732" t="s">
        <v>1432</v>
      </c>
      <c r="H50" s="733"/>
      <c r="I50" s="733"/>
      <c r="J50" s="734"/>
      <c r="K50" s="735">
        <f t="shared" si="5"/>
        <v>0</v>
      </c>
      <c r="L50" s="736">
        <f>SUMIF('1.3-Basis ruimtestaat'!L:L,C50,'1.3-Basis ruimtestaat'!J:J)</f>
        <v>0</v>
      </c>
      <c r="M50" s="736">
        <f>SUMIF('1.3-Basis ruimtestaat'!L:L,C50,'1.3-Basis ruimtestaat'!K:K)</f>
        <v>0</v>
      </c>
      <c r="N50" s="737" t="str">
        <f t="shared" si="6"/>
        <v/>
      </c>
      <c r="O50" s="740"/>
      <c r="P50" s="739" t="s">
        <v>75</v>
      </c>
      <c r="U50" s="61"/>
      <c r="AC50" s="71"/>
    </row>
    <row r="51" spans="3:29" s="409" customFormat="1">
      <c r="C51" s="729">
        <v>6120</v>
      </c>
      <c r="D51" s="730">
        <v>107</v>
      </c>
      <c r="E51" s="730">
        <v>120</v>
      </c>
      <c r="F51" s="731" t="s">
        <v>495</v>
      </c>
      <c r="G51" s="732" t="s">
        <v>1447</v>
      </c>
      <c r="H51" s="733"/>
      <c r="I51" s="733"/>
      <c r="J51" s="734"/>
      <c r="K51" s="735">
        <f t="shared" si="5"/>
        <v>0</v>
      </c>
      <c r="L51" s="736">
        <f>SUMIF('1.3-Basis ruimtestaat'!L:L,C51,'1.3-Basis ruimtestaat'!J:J)</f>
        <v>0</v>
      </c>
      <c r="M51" s="736">
        <f>SUMIF('1.3-Basis ruimtestaat'!L:L,C51,'1.3-Basis ruimtestaat'!K:K)</f>
        <v>0</v>
      </c>
      <c r="N51" s="737" t="str">
        <f t="shared" si="6"/>
        <v/>
      </c>
      <c r="O51" s="740"/>
      <c r="P51" s="739" t="s">
        <v>308</v>
      </c>
      <c r="U51" s="61"/>
      <c r="AC51" s="71"/>
    </row>
    <row r="52" spans="3:29" s="409" customFormat="1">
      <c r="C52" s="729">
        <v>6153</v>
      </c>
      <c r="D52" s="730">
        <v>107</v>
      </c>
      <c r="E52" s="730">
        <v>153</v>
      </c>
      <c r="F52" s="731" t="s">
        <v>495</v>
      </c>
      <c r="G52" s="732" t="s">
        <v>1431</v>
      </c>
      <c r="H52" s="733"/>
      <c r="I52" s="733"/>
      <c r="J52" s="734"/>
      <c r="K52" s="735">
        <f t="shared" si="5"/>
        <v>0</v>
      </c>
      <c r="L52" s="736">
        <f>SUMIF('1.3-Basis ruimtestaat'!L:L,C52,'1.3-Basis ruimtestaat'!J:J)</f>
        <v>62.8</v>
      </c>
      <c r="M52" s="736">
        <f>SUMIF('1.3-Basis ruimtestaat'!L:L,C52,'1.3-Basis ruimtestaat'!K:K)</f>
        <v>0</v>
      </c>
      <c r="N52" s="737">
        <f t="shared" si="6"/>
        <v>7.5085756781929653E-3</v>
      </c>
      <c r="O52" s="740"/>
      <c r="P52" s="739" t="s">
        <v>308</v>
      </c>
      <c r="U52" s="61"/>
      <c r="AC52" s="71"/>
    </row>
    <row r="53" spans="3:29" s="409" customFormat="1">
      <c r="C53" s="729">
        <v>6200</v>
      </c>
      <c r="D53" s="730">
        <v>107</v>
      </c>
      <c r="E53" s="730">
        <v>200</v>
      </c>
      <c r="F53" s="731" t="s">
        <v>495</v>
      </c>
      <c r="G53" s="732" t="s">
        <v>335</v>
      </c>
      <c r="H53" s="733"/>
      <c r="I53" s="733"/>
      <c r="J53" s="734"/>
      <c r="K53" s="735">
        <f t="shared" si="5"/>
        <v>0</v>
      </c>
      <c r="L53" s="736">
        <f>SUMIF('1.3-Basis ruimtestaat'!L:L,C53,'1.3-Basis ruimtestaat'!J:J)</f>
        <v>0</v>
      </c>
      <c r="M53" s="736">
        <f>SUMIF('1.3-Basis ruimtestaat'!L:L,C53,'1.3-Basis ruimtestaat'!K:K)</f>
        <v>0</v>
      </c>
      <c r="N53" s="737" t="str">
        <f t="shared" si="6"/>
        <v/>
      </c>
      <c r="O53" s="740"/>
      <c r="P53" s="739" t="s">
        <v>308</v>
      </c>
      <c r="U53" s="61"/>
      <c r="AC53" s="71"/>
    </row>
    <row r="54" spans="3:29" s="409" customFormat="1">
      <c r="C54" s="729">
        <v>7153</v>
      </c>
      <c r="D54" s="730">
        <v>107</v>
      </c>
      <c r="E54" s="730">
        <v>153</v>
      </c>
      <c r="F54" s="731" t="s">
        <v>309</v>
      </c>
      <c r="G54" s="732" t="s">
        <v>1431</v>
      </c>
      <c r="H54" s="733"/>
      <c r="I54" s="733"/>
      <c r="J54" s="734"/>
      <c r="K54" s="735">
        <f t="shared" si="5"/>
        <v>0</v>
      </c>
      <c r="L54" s="736">
        <f>SUMIF('1.3-Basis ruimtestaat'!L:L,C54,'1.3-Basis ruimtestaat'!J:J)</f>
        <v>614.29999999999995</v>
      </c>
      <c r="M54" s="736">
        <f>SUMIF('1.3-Basis ruimtestaat'!L:L,C54,'1.3-Basis ruimtestaat'!K:K)</f>
        <v>0</v>
      </c>
      <c r="N54" s="737">
        <f t="shared" si="6"/>
        <v>7.3447739476336607E-2</v>
      </c>
      <c r="O54" s="740"/>
      <c r="P54" s="739" t="s">
        <v>308</v>
      </c>
      <c r="U54" s="61"/>
      <c r="AC54" s="71"/>
    </row>
    <row r="55" spans="3:29" s="409" customFormat="1">
      <c r="C55" s="729">
        <v>7200</v>
      </c>
      <c r="D55" s="730">
        <v>107</v>
      </c>
      <c r="E55" s="730">
        <v>200</v>
      </c>
      <c r="F55" s="731" t="s">
        <v>309</v>
      </c>
      <c r="G55" s="732" t="s">
        <v>335</v>
      </c>
      <c r="H55" s="733"/>
      <c r="I55" s="733"/>
      <c r="J55" s="734"/>
      <c r="K55" s="735">
        <f t="shared" si="5"/>
        <v>0</v>
      </c>
      <c r="L55" s="736">
        <f>SUMIF('1.3-Basis ruimtestaat'!L:L,C55,'1.3-Basis ruimtestaat'!J:J)</f>
        <v>0</v>
      </c>
      <c r="M55" s="736">
        <f>SUMIF('1.3-Basis ruimtestaat'!L:L,C55,'1.3-Basis ruimtestaat'!K:K)</f>
        <v>0</v>
      </c>
      <c r="N55" s="737" t="str">
        <f t="shared" si="6"/>
        <v/>
      </c>
      <c r="O55" s="740"/>
      <c r="P55" s="739" t="s">
        <v>308</v>
      </c>
      <c r="U55" s="61"/>
      <c r="AC55" s="71"/>
    </row>
    <row r="56" spans="3:29" s="409" customFormat="1">
      <c r="C56" s="729">
        <v>7225</v>
      </c>
      <c r="D56" s="730">
        <v>107</v>
      </c>
      <c r="E56" s="730">
        <v>225</v>
      </c>
      <c r="F56" s="731" t="s">
        <v>309</v>
      </c>
      <c r="G56" s="732" t="s">
        <v>1460</v>
      </c>
      <c r="H56" s="733"/>
      <c r="I56" s="733"/>
      <c r="J56" s="734"/>
      <c r="K56" s="735">
        <f t="shared" si="5"/>
        <v>0</v>
      </c>
      <c r="L56" s="736">
        <f>SUMIF('1.3-Basis ruimtestaat'!L:L,C56,'1.3-Basis ruimtestaat'!J:J)</f>
        <v>0</v>
      </c>
      <c r="M56" s="736">
        <f>SUMIF('1.3-Basis ruimtestaat'!L:L,C56,'1.3-Basis ruimtestaat'!K:K)</f>
        <v>0</v>
      </c>
      <c r="N56" s="737" t="str">
        <f t="shared" si="6"/>
        <v/>
      </c>
      <c r="O56" s="740"/>
      <c r="P56" s="739" t="s">
        <v>308</v>
      </c>
      <c r="U56" s="61"/>
      <c r="AC56" s="71"/>
    </row>
    <row r="57" spans="3:29" s="409" customFormat="1">
      <c r="C57" s="729">
        <v>7255</v>
      </c>
      <c r="D57" s="730">
        <v>107</v>
      </c>
      <c r="E57" s="730">
        <v>255</v>
      </c>
      <c r="F57" s="731" t="s">
        <v>309</v>
      </c>
      <c r="G57" s="732" t="s">
        <v>1432</v>
      </c>
      <c r="H57" s="733"/>
      <c r="I57" s="733"/>
      <c r="J57" s="734"/>
      <c r="K57" s="735">
        <f t="shared" si="5"/>
        <v>0</v>
      </c>
      <c r="L57" s="736">
        <f>SUMIF('1.3-Basis ruimtestaat'!L:L,C57,'1.3-Basis ruimtestaat'!J:J)</f>
        <v>0</v>
      </c>
      <c r="M57" s="736">
        <f>SUMIF('1.3-Basis ruimtestaat'!L:L,C57,'1.3-Basis ruimtestaat'!K:K)</f>
        <v>0</v>
      </c>
      <c r="N57" s="737" t="str">
        <f t="shared" si="6"/>
        <v/>
      </c>
      <c r="O57" s="740"/>
      <c r="P57" s="739" t="s">
        <v>308</v>
      </c>
      <c r="U57" s="61"/>
      <c r="AC57" s="71"/>
    </row>
    <row r="58" spans="3:29" s="409" customFormat="1">
      <c r="C58" s="729">
        <v>8153</v>
      </c>
      <c r="D58" s="730">
        <v>107</v>
      </c>
      <c r="E58" s="730">
        <v>153</v>
      </c>
      <c r="F58" s="731" t="s">
        <v>1488</v>
      </c>
      <c r="G58" s="732" t="s">
        <v>1431</v>
      </c>
      <c r="H58" s="733"/>
      <c r="I58" s="733"/>
      <c r="J58" s="734"/>
      <c r="K58" s="735">
        <f t="shared" ref="K58" si="8">IF(H58=0,0,E58/(H58+I58))</f>
        <v>0</v>
      </c>
      <c r="L58" s="736">
        <f>SUMIF('1.3-Basis ruimtestaat'!L:L,C58,'1.3-Basis ruimtestaat'!J:J)</f>
        <v>308.10000000000002</v>
      </c>
      <c r="M58" s="736">
        <f>SUMIF('1.3-Basis ruimtestaat'!L:L,C58,'1.3-Basis ruimtestaat'!K:K)</f>
        <v>0</v>
      </c>
      <c r="N58" s="737">
        <f t="shared" si="6"/>
        <v>3.6837454879797026E-2</v>
      </c>
      <c r="O58" s="740"/>
      <c r="P58" s="739" t="s">
        <v>308</v>
      </c>
      <c r="U58" s="61"/>
      <c r="AC58" s="71"/>
    </row>
    <row r="59" spans="3:29" s="409" customFormat="1">
      <c r="C59" s="729">
        <v>9051</v>
      </c>
      <c r="D59" s="730">
        <v>109</v>
      </c>
      <c r="E59" s="730">
        <v>51</v>
      </c>
      <c r="F59" s="731" t="s">
        <v>333</v>
      </c>
      <c r="G59" s="732" t="s">
        <v>1448</v>
      </c>
      <c r="H59" s="733"/>
      <c r="I59" s="733"/>
      <c r="J59" s="734"/>
      <c r="K59" s="735">
        <f t="shared" si="5"/>
        <v>0</v>
      </c>
      <c r="L59" s="736">
        <f>SUMIF('1.3-Basis ruimtestaat'!L:L,C59,'1.3-Basis ruimtestaat'!J:J)</f>
        <v>0</v>
      </c>
      <c r="M59" s="736">
        <f>SUMIF('1.3-Basis ruimtestaat'!L:L,C59,'1.3-Basis ruimtestaat'!K:K)</f>
        <v>0</v>
      </c>
      <c r="N59" s="737" t="str">
        <f t="shared" si="6"/>
        <v/>
      </c>
      <c r="O59" s="740"/>
      <c r="P59" s="739" t="s">
        <v>75</v>
      </c>
      <c r="U59" s="61"/>
      <c r="AC59" s="71"/>
    </row>
    <row r="60" spans="3:29" s="409" customFormat="1">
      <c r="C60" s="729">
        <v>9080</v>
      </c>
      <c r="D60" s="730">
        <v>109</v>
      </c>
      <c r="E60" s="730">
        <v>80</v>
      </c>
      <c r="F60" s="731" t="s">
        <v>333</v>
      </c>
      <c r="G60" s="732" t="s">
        <v>1486</v>
      </c>
      <c r="H60" s="733"/>
      <c r="I60" s="733"/>
      <c r="J60" s="734"/>
      <c r="K60" s="735">
        <f t="shared" si="5"/>
        <v>0</v>
      </c>
      <c r="L60" s="736">
        <f>SUMIF('1.3-Basis ruimtestaat'!L:L,C60,'1.3-Basis ruimtestaat'!J:J)</f>
        <v>0</v>
      </c>
      <c r="M60" s="736">
        <f>SUMIF('1.3-Basis ruimtestaat'!L:L,C60,'1.3-Basis ruimtestaat'!K:K)</f>
        <v>0</v>
      </c>
      <c r="N60" s="737" t="str">
        <f t="shared" si="6"/>
        <v/>
      </c>
      <c r="O60" s="740"/>
      <c r="P60" s="739" t="s">
        <v>75</v>
      </c>
      <c r="U60" s="61"/>
      <c r="AC60" s="71"/>
    </row>
    <row r="61" spans="3:29" s="409" customFormat="1">
      <c r="C61" s="729">
        <v>9120</v>
      </c>
      <c r="D61" s="730">
        <v>109</v>
      </c>
      <c r="E61" s="730">
        <v>120</v>
      </c>
      <c r="F61" s="731" t="s">
        <v>333</v>
      </c>
      <c r="G61" s="732" t="s">
        <v>1447</v>
      </c>
      <c r="H61" s="733"/>
      <c r="I61" s="733"/>
      <c r="J61" s="734"/>
      <c r="K61" s="735">
        <f t="shared" si="5"/>
        <v>0</v>
      </c>
      <c r="L61" s="736">
        <f>SUMIF('1.3-Basis ruimtestaat'!L:L,C61,'1.3-Basis ruimtestaat'!J:J)</f>
        <v>0</v>
      </c>
      <c r="M61" s="736">
        <f>SUMIF('1.3-Basis ruimtestaat'!L:L,C61,'1.3-Basis ruimtestaat'!K:K)</f>
        <v>0</v>
      </c>
      <c r="N61" s="737" t="str">
        <f t="shared" si="6"/>
        <v/>
      </c>
      <c r="O61" s="740"/>
      <c r="P61" s="739" t="s">
        <v>75</v>
      </c>
      <c r="U61" s="61"/>
      <c r="AC61" s="71"/>
    </row>
    <row r="62" spans="3:29" s="409" customFormat="1">
      <c r="C62" s="729">
        <v>9153</v>
      </c>
      <c r="D62" s="730">
        <v>109</v>
      </c>
      <c r="E62" s="730">
        <v>153</v>
      </c>
      <c r="F62" s="731" t="s">
        <v>333</v>
      </c>
      <c r="G62" s="732" t="s">
        <v>1431</v>
      </c>
      <c r="H62" s="733"/>
      <c r="I62" s="733"/>
      <c r="J62" s="734"/>
      <c r="K62" s="735">
        <f t="shared" si="5"/>
        <v>0</v>
      </c>
      <c r="L62" s="736">
        <f>SUMIF('1.3-Basis ruimtestaat'!L:L,C62,'1.3-Basis ruimtestaat'!J:J)</f>
        <v>271.99999999999989</v>
      </c>
      <c r="M62" s="736">
        <f>SUMIF('1.3-Basis ruimtestaat'!L:L,C62,'1.3-Basis ruimtestaat'!K:K)</f>
        <v>0</v>
      </c>
      <c r="N62" s="737">
        <f t="shared" si="6"/>
        <v>3.2521219497905825E-2</v>
      </c>
      <c r="O62" s="740"/>
      <c r="P62" s="739" t="s">
        <v>75</v>
      </c>
      <c r="U62" s="61"/>
      <c r="AC62" s="71"/>
    </row>
    <row r="63" spans="3:29" s="409" customFormat="1">
      <c r="C63" s="729">
        <v>9200</v>
      </c>
      <c r="D63" s="730">
        <v>109</v>
      </c>
      <c r="E63" s="730">
        <v>200</v>
      </c>
      <c r="F63" s="731" t="s">
        <v>333</v>
      </c>
      <c r="G63" s="732" t="s">
        <v>335</v>
      </c>
      <c r="H63" s="733"/>
      <c r="I63" s="733"/>
      <c r="J63" s="734"/>
      <c r="K63" s="735">
        <f t="shared" si="5"/>
        <v>0</v>
      </c>
      <c r="L63" s="736">
        <f>SUMIF('1.3-Basis ruimtestaat'!L:L,C63,'1.3-Basis ruimtestaat'!J:J)</f>
        <v>0</v>
      </c>
      <c r="M63" s="736">
        <f>SUMIF('1.3-Basis ruimtestaat'!L:L,C63,'1.3-Basis ruimtestaat'!K:K)</f>
        <v>0</v>
      </c>
      <c r="N63" s="737" t="str">
        <f t="shared" si="6"/>
        <v/>
      </c>
      <c r="O63" s="740"/>
      <c r="P63" s="739" t="s">
        <v>75</v>
      </c>
      <c r="U63" s="61"/>
      <c r="AC63" s="71"/>
    </row>
    <row r="64" spans="3:29" s="409" customFormat="1" ht="26">
      <c r="C64" s="729">
        <v>9225</v>
      </c>
      <c r="D64" s="730">
        <v>109</v>
      </c>
      <c r="E64" s="730">
        <v>225</v>
      </c>
      <c r="F64" s="731" t="s">
        <v>333</v>
      </c>
      <c r="G64" s="732" t="s">
        <v>1495</v>
      </c>
      <c r="H64" s="733"/>
      <c r="I64" s="733"/>
      <c r="J64" s="734"/>
      <c r="K64" s="735">
        <f t="shared" ref="K64" si="9">IF(H64=0,0,E64/(H64+I64))</f>
        <v>0</v>
      </c>
      <c r="L64" s="736">
        <f>SUMIF('1.3-Basis ruimtestaat'!L:L,C64,'1.3-Basis ruimtestaat'!J:J)</f>
        <v>0</v>
      </c>
      <c r="M64" s="736">
        <f>SUMIF('1.3-Basis ruimtestaat'!L:L,C64,'1.3-Basis ruimtestaat'!K:K)</f>
        <v>0</v>
      </c>
      <c r="N64" s="737" t="str">
        <f t="shared" si="6"/>
        <v/>
      </c>
      <c r="O64" s="741" t="s">
        <v>1464</v>
      </c>
      <c r="P64" s="739" t="s">
        <v>75</v>
      </c>
      <c r="U64" s="61"/>
      <c r="AC64" s="71"/>
    </row>
    <row r="65" spans="3:29" s="409" customFormat="1" ht="26">
      <c r="C65" s="729">
        <v>9236</v>
      </c>
      <c r="D65" s="730">
        <v>109</v>
      </c>
      <c r="E65" s="730">
        <v>236</v>
      </c>
      <c r="F65" s="731" t="s">
        <v>333</v>
      </c>
      <c r="G65" s="732" t="s">
        <v>1495</v>
      </c>
      <c r="H65" s="733"/>
      <c r="I65" s="733"/>
      <c r="J65" s="734"/>
      <c r="K65" s="735">
        <f t="shared" si="5"/>
        <v>0</v>
      </c>
      <c r="L65" s="736">
        <f>SUMIF('1.3-Basis ruimtestaat'!L:L,C65,'1.3-Basis ruimtestaat'!J:J)</f>
        <v>0</v>
      </c>
      <c r="M65" s="736">
        <f>SUMIF('1.3-Basis ruimtestaat'!L:L,C65,'1.3-Basis ruimtestaat'!K:K)</f>
        <v>0</v>
      </c>
      <c r="N65" s="737" t="str">
        <f t="shared" si="6"/>
        <v/>
      </c>
      <c r="O65" s="741" t="s">
        <v>1464</v>
      </c>
      <c r="P65" s="739" t="s">
        <v>75</v>
      </c>
      <c r="U65" s="61"/>
      <c r="AC65" s="71"/>
    </row>
    <row r="66" spans="3:29" s="409" customFormat="1">
      <c r="C66" s="729">
        <v>9255</v>
      </c>
      <c r="D66" s="730">
        <v>109</v>
      </c>
      <c r="E66" s="730">
        <v>255</v>
      </c>
      <c r="F66" s="731" t="s">
        <v>333</v>
      </c>
      <c r="G66" s="732" t="s">
        <v>1432</v>
      </c>
      <c r="H66" s="733"/>
      <c r="I66" s="733"/>
      <c r="J66" s="734"/>
      <c r="K66" s="735">
        <f t="shared" si="5"/>
        <v>0</v>
      </c>
      <c r="L66" s="736">
        <f>SUMIF('1.3-Basis ruimtestaat'!L:L,C66,'1.3-Basis ruimtestaat'!J:J)</f>
        <v>0</v>
      </c>
      <c r="M66" s="736">
        <f>SUMIF('1.3-Basis ruimtestaat'!L:L,C66,'1.3-Basis ruimtestaat'!K:K)</f>
        <v>0</v>
      </c>
      <c r="N66" s="737" t="str">
        <f t="shared" si="6"/>
        <v/>
      </c>
      <c r="O66" s="740"/>
      <c r="P66" s="739" t="s">
        <v>75</v>
      </c>
      <c r="U66" s="61"/>
      <c r="AC66" s="71"/>
    </row>
    <row r="67" spans="3:29" s="409" customFormat="1">
      <c r="C67" s="729">
        <v>10200</v>
      </c>
      <c r="D67" s="730">
        <v>110</v>
      </c>
      <c r="E67" s="730">
        <v>200</v>
      </c>
      <c r="F67" s="731" t="s">
        <v>332</v>
      </c>
      <c r="G67" s="732" t="s">
        <v>335</v>
      </c>
      <c r="H67" s="733"/>
      <c r="I67" s="733"/>
      <c r="J67" s="734"/>
      <c r="K67" s="735">
        <f t="shared" si="5"/>
        <v>0</v>
      </c>
      <c r="L67" s="736">
        <f>SUMIF('1.3-Basis ruimtestaat'!L:L,C67,'1.3-Basis ruimtestaat'!J:J)</f>
        <v>0</v>
      </c>
      <c r="M67" s="736">
        <f>SUMIF('1.3-Basis ruimtestaat'!L:L,C67,'1.3-Basis ruimtestaat'!K:K)</f>
        <v>0</v>
      </c>
      <c r="N67" s="737" t="str">
        <f t="shared" si="6"/>
        <v/>
      </c>
      <c r="O67" s="740"/>
      <c r="P67" s="739" t="s">
        <v>75</v>
      </c>
      <c r="U67" s="61"/>
      <c r="AC67" s="71"/>
    </row>
    <row r="68" spans="3:29" s="409" customFormat="1">
      <c r="C68" s="729">
        <v>11200</v>
      </c>
      <c r="D68" s="730">
        <v>105</v>
      </c>
      <c r="E68" s="730">
        <v>200</v>
      </c>
      <c r="F68" s="731" t="s">
        <v>500</v>
      </c>
      <c r="G68" s="732" t="s">
        <v>335</v>
      </c>
      <c r="H68" s="733"/>
      <c r="I68" s="733"/>
      <c r="J68" s="734"/>
      <c r="K68" s="735">
        <f t="shared" si="5"/>
        <v>0</v>
      </c>
      <c r="L68" s="736">
        <f>SUMIF('1.3-Basis ruimtestaat'!L:L,C68,'1.3-Basis ruimtestaat'!J:J)</f>
        <v>0</v>
      </c>
      <c r="M68" s="736">
        <f>SUMIF('1.3-Basis ruimtestaat'!L:L,C68,'1.3-Basis ruimtestaat'!K:K)</f>
        <v>0</v>
      </c>
      <c r="N68" s="737" t="str">
        <f t="shared" si="6"/>
        <v/>
      </c>
      <c r="O68" s="740"/>
      <c r="P68" s="739" t="s">
        <v>75</v>
      </c>
      <c r="U68" s="61"/>
      <c r="AC68" s="71"/>
    </row>
    <row r="69" spans="3:29" s="409" customFormat="1">
      <c r="C69" s="729">
        <v>11210</v>
      </c>
      <c r="D69" s="730">
        <v>105</v>
      </c>
      <c r="E69" s="730">
        <v>210</v>
      </c>
      <c r="F69" s="731" t="s">
        <v>500</v>
      </c>
      <c r="G69" s="732" t="s">
        <v>1506</v>
      </c>
      <c r="H69" s="733"/>
      <c r="I69" s="733"/>
      <c r="J69" s="734"/>
      <c r="K69" s="735">
        <f t="shared" ref="K69:K99" si="10">IF(H69=0,0,E69/(H69+I69))</f>
        <v>0</v>
      </c>
      <c r="L69" s="736">
        <f>SUMIF('1.3-Basis ruimtestaat'!L:L,C69,'1.3-Basis ruimtestaat'!J:J)</f>
        <v>0</v>
      </c>
      <c r="M69" s="736">
        <f>SUMIF('1.3-Basis ruimtestaat'!L:L,C69,'1.3-Basis ruimtestaat'!K:K)</f>
        <v>0</v>
      </c>
      <c r="N69" s="737" t="str">
        <f t="shared" si="6"/>
        <v/>
      </c>
      <c r="O69" s="740"/>
      <c r="P69" s="739" t="s">
        <v>75</v>
      </c>
      <c r="U69" s="61"/>
      <c r="AC69" s="71"/>
    </row>
    <row r="70" spans="3:29" s="409" customFormat="1" ht="26">
      <c r="C70" s="729">
        <v>11236</v>
      </c>
      <c r="D70" s="730">
        <v>105</v>
      </c>
      <c r="E70" s="730">
        <v>236</v>
      </c>
      <c r="F70" s="731" t="s">
        <v>500</v>
      </c>
      <c r="G70" s="732" t="s">
        <v>1495</v>
      </c>
      <c r="H70" s="733"/>
      <c r="I70" s="733"/>
      <c r="J70" s="734"/>
      <c r="K70" s="735">
        <f t="shared" si="10"/>
        <v>0</v>
      </c>
      <c r="L70" s="736">
        <f>SUMIF('1.3-Basis ruimtestaat'!L:L,C70,'1.3-Basis ruimtestaat'!J:J)</f>
        <v>0</v>
      </c>
      <c r="M70" s="736">
        <f>SUMIF('1.3-Basis ruimtestaat'!L:L,C70,'1.3-Basis ruimtestaat'!K:K)</f>
        <v>0</v>
      </c>
      <c r="N70" s="737" t="str">
        <f t="shared" si="6"/>
        <v/>
      </c>
      <c r="O70" s="741" t="s">
        <v>1464</v>
      </c>
      <c r="P70" s="739" t="s">
        <v>75</v>
      </c>
      <c r="U70" s="61"/>
      <c r="AC70" s="71"/>
    </row>
    <row r="71" spans="3:29" s="409" customFormat="1">
      <c r="C71" s="729">
        <v>11255</v>
      </c>
      <c r="D71" s="730">
        <v>105</v>
      </c>
      <c r="E71" s="730">
        <v>255</v>
      </c>
      <c r="F71" s="731" t="s">
        <v>500</v>
      </c>
      <c r="G71" s="732" t="s">
        <v>1432</v>
      </c>
      <c r="H71" s="733"/>
      <c r="I71" s="733"/>
      <c r="J71" s="734"/>
      <c r="K71" s="735">
        <f t="shared" si="10"/>
        <v>0</v>
      </c>
      <c r="L71" s="736">
        <f>SUMIF('1.3-Basis ruimtestaat'!L:L,C71,'1.3-Basis ruimtestaat'!J:J)</f>
        <v>118.6</v>
      </c>
      <c r="M71" s="736">
        <f>SUMIF('1.3-Basis ruimtestaat'!L:L,C71,'1.3-Basis ruimtestaat'!K:K)</f>
        <v>0</v>
      </c>
      <c r="N71" s="737">
        <f t="shared" si="6"/>
        <v>1.4180208207542766E-2</v>
      </c>
      <c r="O71" s="740"/>
      <c r="P71" s="739" t="s">
        <v>75</v>
      </c>
      <c r="U71" s="61"/>
      <c r="AC71" s="71"/>
    </row>
    <row r="72" spans="3:29" s="409" customFormat="1">
      <c r="C72" s="729">
        <v>12008</v>
      </c>
      <c r="D72" s="730">
        <v>105</v>
      </c>
      <c r="E72" s="730">
        <v>8</v>
      </c>
      <c r="F72" s="731" t="s">
        <v>306</v>
      </c>
      <c r="G72" s="732" t="s">
        <v>1461</v>
      </c>
      <c r="H72" s="733"/>
      <c r="I72" s="733"/>
      <c r="J72" s="734"/>
      <c r="K72" s="735">
        <f t="shared" si="10"/>
        <v>0</v>
      </c>
      <c r="L72" s="736">
        <f>SUMIF('1.3-Basis ruimtestaat'!L:L,C72,'1.3-Basis ruimtestaat'!J:J)</f>
        <v>0</v>
      </c>
      <c r="M72" s="736">
        <f>SUMIF('1.3-Basis ruimtestaat'!L:L,C72,'1.3-Basis ruimtestaat'!K:K)</f>
        <v>0</v>
      </c>
      <c r="N72" s="737" t="str">
        <f t="shared" si="6"/>
        <v/>
      </c>
      <c r="O72" s="740"/>
      <c r="P72" s="739"/>
      <c r="U72" s="61"/>
      <c r="AC72" s="71"/>
    </row>
    <row r="73" spans="3:29" s="409" customFormat="1">
      <c r="C73" s="729">
        <v>12051</v>
      </c>
      <c r="D73" s="730">
        <v>105</v>
      </c>
      <c r="E73" s="730">
        <v>51</v>
      </c>
      <c r="F73" s="731" t="s">
        <v>306</v>
      </c>
      <c r="G73" s="732" t="s">
        <v>1448</v>
      </c>
      <c r="H73" s="733"/>
      <c r="I73" s="733"/>
      <c r="J73" s="734"/>
      <c r="K73" s="735">
        <f t="shared" si="10"/>
        <v>0</v>
      </c>
      <c r="L73" s="736">
        <f>SUMIF('1.3-Basis ruimtestaat'!L:L,C73,'1.3-Basis ruimtestaat'!J:J)</f>
        <v>0</v>
      </c>
      <c r="M73" s="736">
        <f>SUMIF('1.3-Basis ruimtestaat'!L:L,C73,'1.3-Basis ruimtestaat'!K:K)</f>
        <v>0</v>
      </c>
      <c r="N73" s="737" t="str">
        <f t="shared" si="6"/>
        <v/>
      </c>
      <c r="O73" s="740"/>
      <c r="P73" s="739" t="s">
        <v>75</v>
      </c>
      <c r="U73" s="61"/>
      <c r="AC73" s="71"/>
    </row>
    <row r="74" spans="3:29" s="409" customFormat="1">
      <c r="C74" s="729">
        <v>12102</v>
      </c>
      <c r="D74" s="730">
        <v>105</v>
      </c>
      <c r="E74" s="730">
        <v>102</v>
      </c>
      <c r="F74" s="731" t="s">
        <v>306</v>
      </c>
      <c r="G74" s="732" t="s">
        <v>1430</v>
      </c>
      <c r="H74" s="733"/>
      <c r="I74" s="733"/>
      <c r="J74" s="734"/>
      <c r="K74" s="735">
        <f t="shared" si="10"/>
        <v>0</v>
      </c>
      <c r="L74" s="736">
        <f>SUMIF('1.3-Basis ruimtestaat'!L:L,C74,'1.3-Basis ruimtestaat'!J:J)</f>
        <v>0</v>
      </c>
      <c r="M74" s="736">
        <f>SUMIF('1.3-Basis ruimtestaat'!L:L,C74,'1.3-Basis ruimtestaat'!K:K)</f>
        <v>0</v>
      </c>
      <c r="N74" s="737" t="str">
        <f t="shared" si="6"/>
        <v/>
      </c>
      <c r="O74" s="740"/>
      <c r="P74" s="739" t="s">
        <v>75</v>
      </c>
      <c r="U74" s="61"/>
      <c r="AC74" s="71"/>
    </row>
    <row r="75" spans="3:29" s="409" customFormat="1">
      <c r="C75" s="729">
        <v>12153</v>
      </c>
      <c r="D75" s="730">
        <v>105</v>
      </c>
      <c r="E75" s="730">
        <v>153</v>
      </c>
      <c r="F75" s="731" t="s">
        <v>306</v>
      </c>
      <c r="G75" s="732" t="s">
        <v>1431</v>
      </c>
      <c r="H75" s="733"/>
      <c r="I75" s="733"/>
      <c r="J75" s="734"/>
      <c r="K75" s="735">
        <f t="shared" si="10"/>
        <v>0</v>
      </c>
      <c r="L75" s="736">
        <f>SUMIF('1.3-Basis ruimtestaat'!L:L,C75,'1.3-Basis ruimtestaat'!J:J)</f>
        <v>0</v>
      </c>
      <c r="M75" s="736">
        <f>SUMIF('1.3-Basis ruimtestaat'!L:L,C75,'1.3-Basis ruimtestaat'!K:K)</f>
        <v>0</v>
      </c>
      <c r="N75" s="737" t="str">
        <f t="shared" ref="N75:N95" si="11">IF(L75=0,"",L75/$L$103)</f>
        <v/>
      </c>
      <c r="O75" s="740"/>
      <c r="P75" s="739" t="s">
        <v>75</v>
      </c>
      <c r="U75" s="61"/>
      <c r="AC75" s="71"/>
    </row>
    <row r="76" spans="3:29" s="409" customFormat="1">
      <c r="C76" s="729">
        <v>12200</v>
      </c>
      <c r="D76" s="730">
        <v>105</v>
      </c>
      <c r="E76" s="730">
        <v>200</v>
      </c>
      <c r="F76" s="731" t="s">
        <v>306</v>
      </c>
      <c r="G76" s="732" t="s">
        <v>335</v>
      </c>
      <c r="H76" s="733"/>
      <c r="I76" s="733"/>
      <c r="J76" s="734"/>
      <c r="K76" s="735">
        <f t="shared" si="10"/>
        <v>0</v>
      </c>
      <c r="L76" s="736">
        <f>SUMIF('1.3-Basis ruimtestaat'!L:L,C76,'1.3-Basis ruimtestaat'!J:J)</f>
        <v>0</v>
      </c>
      <c r="M76" s="736">
        <f>SUMIF('1.3-Basis ruimtestaat'!L:L,C76,'1.3-Basis ruimtestaat'!K:K)</f>
        <v>0</v>
      </c>
      <c r="N76" s="737" t="str">
        <f t="shared" si="11"/>
        <v/>
      </c>
      <c r="O76" s="740"/>
      <c r="P76" s="739" t="s">
        <v>75</v>
      </c>
      <c r="U76" s="61"/>
      <c r="AC76" s="71"/>
    </row>
    <row r="77" spans="3:29" s="409" customFormat="1">
      <c r="C77" s="729">
        <v>12255</v>
      </c>
      <c r="D77" s="730">
        <v>105</v>
      </c>
      <c r="E77" s="730">
        <v>255</v>
      </c>
      <c r="F77" s="731" t="s">
        <v>306</v>
      </c>
      <c r="G77" s="732" t="s">
        <v>1432</v>
      </c>
      <c r="H77" s="733"/>
      <c r="I77" s="733"/>
      <c r="J77" s="734"/>
      <c r="K77" s="735">
        <f t="shared" ref="K77:K95" si="12">IF(H77=0,0,E77/(H77+I77))</f>
        <v>0</v>
      </c>
      <c r="L77" s="736">
        <f>SUMIF('1.3-Basis ruimtestaat'!L:L,C77,'1.3-Basis ruimtestaat'!J:J)</f>
        <v>0</v>
      </c>
      <c r="M77" s="736">
        <f>SUMIF('1.3-Basis ruimtestaat'!L:L,C77,'1.3-Basis ruimtestaat'!K:K)</f>
        <v>0</v>
      </c>
      <c r="N77" s="737" t="str">
        <f t="shared" si="11"/>
        <v/>
      </c>
      <c r="O77" s="740"/>
      <c r="P77" s="739" t="s">
        <v>75</v>
      </c>
      <c r="U77" s="61"/>
      <c r="AC77" s="71"/>
    </row>
    <row r="78" spans="3:29" s="409" customFormat="1">
      <c r="C78" s="729">
        <v>13008</v>
      </c>
      <c r="D78" s="730">
        <v>103</v>
      </c>
      <c r="E78" s="730">
        <v>8</v>
      </c>
      <c r="F78" s="731" t="s">
        <v>480</v>
      </c>
      <c r="G78" s="732" t="s">
        <v>1461</v>
      </c>
      <c r="H78" s="733"/>
      <c r="I78" s="733"/>
      <c r="J78" s="734"/>
      <c r="K78" s="735">
        <f t="shared" si="12"/>
        <v>0</v>
      </c>
      <c r="L78" s="736">
        <f>SUMIF('1.3-Basis ruimtestaat'!L:L,C78,'1.3-Basis ruimtestaat'!J:J)</f>
        <v>0</v>
      </c>
      <c r="M78" s="736">
        <f>SUMIF('1.3-Basis ruimtestaat'!L:L,C78,'1.3-Basis ruimtestaat'!K:K)</f>
        <v>0</v>
      </c>
      <c r="N78" s="737" t="str">
        <f t="shared" si="11"/>
        <v/>
      </c>
      <c r="O78" s="740"/>
      <c r="P78" s="739"/>
      <c r="U78" s="61"/>
      <c r="AC78" s="71"/>
    </row>
    <row r="79" spans="3:29" s="409" customFormat="1">
      <c r="C79" s="729">
        <v>13051</v>
      </c>
      <c r="D79" s="730">
        <v>103</v>
      </c>
      <c r="E79" s="730">
        <v>51</v>
      </c>
      <c r="F79" s="731" t="s">
        <v>480</v>
      </c>
      <c r="G79" s="732" t="s">
        <v>1448</v>
      </c>
      <c r="H79" s="733"/>
      <c r="I79" s="733"/>
      <c r="J79" s="734"/>
      <c r="K79" s="735">
        <f t="shared" si="12"/>
        <v>0</v>
      </c>
      <c r="L79" s="736">
        <f>SUMIF('1.3-Basis ruimtestaat'!L:L,C79,'1.3-Basis ruimtestaat'!J:J)</f>
        <v>0</v>
      </c>
      <c r="M79" s="736">
        <f>SUMIF('1.3-Basis ruimtestaat'!L:L,C79,'1.3-Basis ruimtestaat'!K:K)</f>
        <v>0</v>
      </c>
      <c r="N79" s="737" t="str">
        <f t="shared" si="11"/>
        <v/>
      </c>
      <c r="O79" s="740"/>
      <c r="P79" s="739" t="s">
        <v>75</v>
      </c>
      <c r="U79" s="61"/>
      <c r="AC79" s="71"/>
    </row>
    <row r="80" spans="3:29" s="409" customFormat="1">
      <c r="C80" s="729">
        <v>13153</v>
      </c>
      <c r="D80" s="730">
        <v>103</v>
      </c>
      <c r="E80" s="730">
        <v>153</v>
      </c>
      <c r="F80" s="731" t="s">
        <v>480</v>
      </c>
      <c r="G80" s="732" t="s">
        <v>1431</v>
      </c>
      <c r="H80" s="733"/>
      <c r="I80" s="733"/>
      <c r="J80" s="734"/>
      <c r="K80" s="735">
        <f t="shared" si="12"/>
        <v>0</v>
      </c>
      <c r="L80" s="736">
        <f>SUMIF('1.3-Basis ruimtestaat'!L:L,C80,'1.3-Basis ruimtestaat'!J:J)</f>
        <v>20.2</v>
      </c>
      <c r="M80" s="736">
        <f>SUMIF('1.3-Basis ruimtestaat'!L:L,C80,'1.3-Basis ruimtestaat'!K:K)</f>
        <v>0</v>
      </c>
      <c r="N80" s="737">
        <f t="shared" si="11"/>
        <v>2.4151788009474191E-3</v>
      </c>
      <c r="O80" s="740"/>
      <c r="P80" s="739" t="s">
        <v>75</v>
      </c>
      <c r="U80" s="61"/>
      <c r="AC80" s="71"/>
    </row>
    <row r="81" spans="3:29" s="409" customFormat="1">
      <c r="C81" s="729">
        <v>13200</v>
      </c>
      <c r="D81" s="730">
        <v>103</v>
      </c>
      <c r="E81" s="730">
        <v>200</v>
      </c>
      <c r="F81" s="731" t="s">
        <v>480</v>
      </c>
      <c r="G81" s="732" t="s">
        <v>335</v>
      </c>
      <c r="H81" s="733"/>
      <c r="I81" s="733"/>
      <c r="J81" s="734"/>
      <c r="K81" s="735">
        <f t="shared" si="12"/>
        <v>0</v>
      </c>
      <c r="L81" s="736">
        <f>SUMIF('1.3-Basis ruimtestaat'!L:L,C81,'1.3-Basis ruimtestaat'!J:J)</f>
        <v>0</v>
      </c>
      <c r="M81" s="736">
        <f>SUMIF('1.3-Basis ruimtestaat'!L:L,C81,'1.3-Basis ruimtestaat'!K:K)</f>
        <v>0</v>
      </c>
      <c r="N81" s="737" t="str">
        <f t="shared" si="11"/>
        <v/>
      </c>
      <c r="O81" s="740"/>
      <c r="P81" s="739" t="s">
        <v>75</v>
      </c>
      <c r="U81" s="61"/>
      <c r="AC81" s="71"/>
    </row>
    <row r="82" spans="3:29" s="409" customFormat="1">
      <c r="C82" s="729">
        <v>13210</v>
      </c>
      <c r="D82" s="730">
        <v>103</v>
      </c>
      <c r="E82" s="730">
        <v>210</v>
      </c>
      <c r="F82" s="731" t="s">
        <v>480</v>
      </c>
      <c r="G82" s="732" t="s">
        <v>1506</v>
      </c>
      <c r="H82" s="733"/>
      <c r="I82" s="733"/>
      <c r="J82" s="734"/>
      <c r="K82" s="735">
        <f t="shared" si="12"/>
        <v>0</v>
      </c>
      <c r="L82" s="736">
        <f>SUMIF('1.3-Basis ruimtestaat'!L:L,C82,'1.3-Basis ruimtestaat'!J:J)</f>
        <v>0</v>
      </c>
      <c r="M82" s="736">
        <f>SUMIF('1.3-Basis ruimtestaat'!L:L,C82,'1.3-Basis ruimtestaat'!K:K)</f>
        <v>0</v>
      </c>
      <c r="N82" s="737" t="str">
        <f t="shared" si="11"/>
        <v/>
      </c>
      <c r="O82" s="740"/>
      <c r="P82" s="739" t="s">
        <v>75</v>
      </c>
      <c r="U82" s="61"/>
      <c r="AC82" s="71"/>
    </row>
    <row r="83" spans="3:29" s="409" customFormat="1">
      <c r="C83" s="729">
        <v>13225</v>
      </c>
      <c r="D83" s="730">
        <v>103</v>
      </c>
      <c r="E83" s="730">
        <v>225</v>
      </c>
      <c r="F83" s="731" t="s">
        <v>480</v>
      </c>
      <c r="G83" s="732" t="s">
        <v>1460</v>
      </c>
      <c r="H83" s="733"/>
      <c r="I83" s="733"/>
      <c r="J83" s="734"/>
      <c r="K83" s="735">
        <f t="shared" si="12"/>
        <v>0</v>
      </c>
      <c r="L83" s="736">
        <f>SUMIF('1.3-Basis ruimtestaat'!L:L,C83,'1.3-Basis ruimtestaat'!J:J)</f>
        <v>0</v>
      </c>
      <c r="M83" s="736">
        <f>SUMIF('1.3-Basis ruimtestaat'!L:L,C83,'1.3-Basis ruimtestaat'!K:K)</f>
        <v>0</v>
      </c>
      <c r="N83" s="737" t="str">
        <f t="shared" si="11"/>
        <v/>
      </c>
      <c r="O83" s="740"/>
      <c r="P83" s="739" t="s">
        <v>75</v>
      </c>
      <c r="U83" s="61"/>
      <c r="AC83" s="71"/>
    </row>
    <row r="84" spans="3:29" s="409" customFormat="1">
      <c r="C84" s="729">
        <v>13255</v>
      </c>
      <c r="D84" s="730">
        <v>103</v>
      </c>
      <c r="E84" s="730">
        <v>255</v>
      </c>
      <c r="F84" s="731" t="s">
        <v>480</v>
      </c>
      <c r="G84" s="732" t="s">
        <v>1432</v>
      </c>
      <c r="H84" s="733"/>
      <c r="I84" s="733"/>
      <c r="J84" s="734"/>
      <c r="K84" s="735">
        <f t="shared" si="12"/>
        <v>0</v>
      </c>
      <c r="L84" s="736">
        <f>SUMIF('1.3-Basis ruimtestaat'!L:L,C84,'1.3-Basis ruimtestaat'!J:J)</f>
        <v>35</v>
      </c>
      <c r="M84" s="736">
        <f>SUMIF('1.3-Basis ruimtestaat'!L:L,C84,'1.3-Basis ruimtestaat'!K:K)</f>
        <v>0</v>
      </c>
      <c r="N84" s="737">
        <f t="shared" si="11"/>
        <v>4.1847157442158247E-3</v>
      </c>
      <c r="O84" s="740"/>
      <c r="P84" s="739" t="s">
        <v>75</v>
      </c>
      <c r="U84" s="61"/>
      <c r="AC84" s="71"/>
    </row>
    <row r="85" spans="3:29" s="409" customFormat="1">
      <c r="C85" s="729">
        <v>14008</v>
      </c>
      <c r="D85" s="730">
        <v>108</v>
      </c>
      <c r="E85" s="730">
        <v>8</v>
      </c>
      <c r="F85" s="731" t="s">
        <v>1456</v>
      </c>
      <c r="G85" s="732" t="s">
        <v>1461</v>
      </c>
      <c r="H85" s="733"/>
      <c r="I85" s="733"/>
      <c r="J85" s="734"/>
      <c r="K85" s="735">
        <f t="shared" si="12"/>
        <v>0</v>
      </c>
      <c r="L85" s="736">
        <f>SUMIF('1.3-Basis ruimtestaat'!L:L,C85,'1.3-Basis ruimtestaat'!J:J)</f>
        <v>0</v>
      </c>
      <c r="M85" s="736">
        <f>SUMIF('1.3-Basis ruimtestaat'!L:L,C85,'1.3-Basis ruimtestaat'!K:K)</f>
        <v>0</v>
      </c>
      <c r="N85" s="737" t="str">
        <f t="shared" si="11"/>
        <v/>
      </c>
      <c r="O85" s="740"/>
      <c r="P85" s="739"/>
      <c r="U85" s="61"/>
      <c r="AC85" s="71"/>
    </row>
    <row r="86" spans="3:29" s="409" customFormat="1">
      <c r="C86" s="729">
        <v>14012</v>
      </c>
      <c r="D86" s="730">
        <v>108</v>
      </c>
      <c r="E86" s="730">
        <v>12</v>
      </c>
      <c r="F86" s="731" t="s">
        <v>1456</v>
      </c>
      <c r="G86" s="732" t="s">
        <v>1449</v>
      </c>
      <c r="H86" s="733"/>
      <c r="I86" s="733"/>
      <c r="J86" s="734"/>
      <c r="K86" s="735">
        <f t="shared" si="12"/>
        <v>0</v>
      </c>
      <c r="L86" s="736">
        <f>SUMIF('1.3-Basis ruimtestaat'!L:L,C86,'1.3-Basis ruimtestaat'!J:J)</f>
        <v>0</v>
      </c>
      <c r="M86" s="736">
        <f>SUMIF('1.3-Basis ruimtestaat'!L:L,C86,'1.3-Basis ruimtestaat'!K:K)</f>
        <v>0</v>
      </c>
      <c r="N86" s="737" t="str">
        <f t="shared" si="11"/>
        <v/>
      </c>
      <c r="O86" s="740"/>
      <c r="P86" s="739"/>
      <c r="U86" s="61"/>
      <c r="AC86" s="71"/>
    </row>
    <row r="87" spans="3:29" s="409" customFormat="1">
      <c r="C87" s="729">
        <v>14040</v>
      </c>
      <c r="D87" s="730">
        <v>108</v>
      </c>
      <c r="E87" s="730">
        <v>40</v>
      </c>
      <c r="F87" s="731" t="s">
        <v>1456</v>
      </c>
      <c r="G87" s="732" t="s">
        <v>336</v>
      </c>
      <c r="H87" s="733"/>
      <c r="I87" s="733"/>
      <c r="J87" s="734"/>
      <c r="K87" s="735">
        <f t="shared" si="12"/>
        <v>0</v>
      </c>
      <c r="L87" s="736">
        <f>SUMIF('1.3-Basis ruimtestaat'!L:L,C87,'1.3-Basis ruimtestaat'!J:J)</f>
        <v>0</v>
      </c>
      <c r="M87" s="736">
        <f>SUMIF('1.3-Basis ruimtestaat'!L:L,C87,'1.3-Basis ruimtestaat'!K:K)</f>
        <v>0</v>
      </c>
      <c r="N87" s="737" t="str">
        <f t="shared" si="11"/>
        <v/>
      </c>
      <c r="O87" s="740"/>
      <c r="P87" s="739" t="s">
        <v>1455</v>
      </c>
      <c r="U87" s="61"/>
      <c r="AC87" s="71"/>
    </row>
    <row r="88" spans="3:29" s="409" customFormat="1">
      <c r="C88" s="729">
        <v>14153</v>
      </c>
      <c r="D88" s="730">
        <v>108</v>
      </c>
      <c r="E88" s="730">
        <v>153</v>
      </c>
      <c r="F88" s="731" t="s">
        <v>485</v>
      </c>
      <c r="G88" s="732" t="s">
        <v>1431</v>
      </c>
      <c r="H88" s="733"/>
      <c r="I88" s="733"/>
      <c r="J88" s="734"/>
      <c r="K88" s="735">
        <f t="shared" si="12"/>
        <v>0</v>
      </c>
      <c r="L88" s="736">
        <f>SUMIF('1.3-Basis ruimtestaat'!L:L,C88,'1.3-Basis ruimtestaat'!J:J)</f>
        <v>617.1</v>
      </c>
      <c r="M88" s="736">
        <f>SUMIF('1.3-Basis ruimtestaat'!L:L,C88,'1.3-Basis ruimtestaat'!K:K)</f>
        <v>0</v>
      </c>
      <c r="N88" s="737">
        <f t="shared" si="11"/>
        <v>7.3782516735873882E-2</v>
      </c>
      <c r="O88" s="740"/>
      <c r="P88" s="739" t="s">
        <v>1455</v>
      </c>
      <c r="U88" s="61"/>
      <c r="AC88" s="71"/>
    </row>
    <row r="89" spans="3:29" s="409" customFormat="1">
      <c r="C89" s="729">
        <v>14200</v>
      </c>
      <c r="D89" s="730">
        <v>108</v>
      </c>
      <c r="E89" s="730">
        <v>200</v>
      </c>
      <c r="F89" s="731" t="s">
        <v>485</v>
      </c>
      <c r="G89" s="732" t="s">
        <v>335</v>
      </c>
      <c r="H89" s="733"/>
      <c r="I89" s="733"/>
      <c r="J89" s="734"/>
      <c r="K89" s="735">
        <f t="shared" si="12"/>
        <v>0</v>
      </c>
      <c r="L89" s="736">
        <f>SUMIF('1.3-Basis ruimtestaat'!L:L,C89,'1.3-Basis ruimtestaat'!J:J)</f>
        <v>0</v>
      </c>
      <c r="M89" s="736">
        <f>SUMIF('1.3-Basis ruimtestaat'!L:L,C89,'1.3-Basis ruimtestaat'!K:K)</f>
        <v>0</v>
      </c>
      <c r="N89" s="737" t="str">
        <f t="shared" si="11"/>
        <v/>
      </c>
      <c r="O89" s="740"/>
      <c r="P89" s="739" t="s">
        <v>1455</v>
      </c>
      <c r="U89" s="61"/>
      <c r="AC89" s="71"/>
    </row>
    <row r="90" spans="3:29" s="409" customFormat="1">
      <c r="C90" s="729">
        <v>14225</v>
      </c>
      <c r="D90" s="730">
        <v>108</v>
      </c>
      <c r="E90" s="730">
        <v>225</v>
      </c>
      <c r="F90" s="731" t="s">
        <v>485</v>
      </c>
      <c r="G90" s="732" t="s">
        <v>1460</v>
      </c>
      <c r="H90" s="733"/>
      <c r="I90" s="733"/>
      <c r="J90" s="734"/>
      <c r="K90" s="735">
        <f t="shared" si="12"/>
        <v>0</v>
      </c>
      <c r="L90" s="736">
        <f>SUMIF('1.3-Basis ruimtestaat'!L:L,C90,'1.3-Basis ruimtestaat'!J:J)</f>
        <v>0</v>
      </c>
      <c r="M90" s="736">
        <f>SUMIF('1.3-Basis ruimtestaat'!L:L,C90,'1.3-Basis ruimtestaat'!K:K)</f>
        <v>0</v>
      </c>
      <c r="N90" s="737" t="str">
        <f t="shared" si="11"/>
        <v/>
      </c>
      <c r="O90" s="740"/>
      <c r="P90" s="739" t="s">
        <v>1455</v>
      </c>
      <c r="U90" s="61"/>
      <c r="AC90" s="71"/>
    </row>
    <row r="91" spans="3:29" s="409" customFormat="1">
      <c r="C91" s="729">
        <v>15153</v>
      </c>
      <c r="D91" s="730">
        <v>108</v>
      </c>
      <c r="E91" s="730">
        <v>153</v>
      </c>
      <c r="F91" s="731" t="s">
        <v>1457</v>
      </c>
      <c r="G91" s="732" t="s">
        <v>1431</v>
      </c>
      <c r="H91" s="733"/>
      <c r="I91" s="733"/>
      <c r="J91" s="734"/>
      <c r="K91" s="735">
        <f t="shared" si="12"/>
        <v>0</v>
      </c>
      <c r="L91" s="736">
        <f>SUMIF('1.3-Basis ruimtestaat'!L:L,C91,'1.3-Basis ruimtestaat'!J:J)</f>
        <v>247.40000000000003</v>
      </c>
      <c r="M91" s="736">
        <f>SUMIF('1.3-Basis ruimtestaat'!L:L,C91,'1.3-Basis ruimtestaat'!K:K)</f>
        <v>0</v>
      </c>
      <c r="N91" s="737">
        <f t="shared" si="11"/>
        <v>2.9579962146257008E-2</v>
      </c>
      <c r="O91" s="740"/>
      <c r="P91" s="739" t="s">
        <v>75</v>
      </c>
      <c r="U91" s="61"/>
      <c r="AC91" s="71"/>
    </row>
    <row r="92" spans="3:29" s="409" customFormat="1">
      <c r="C92" s="729">
        <v>15200</v>
      </c>
      <c r="D92" s="730">
        <v>108</v>
      </c>
      <c r="E92" s="730">
        <v>200</v>
      </c>
      <c r="F92" s="731" t="s">
        <v>1457</v>
      </c>
      <c r="G92" s="732" t="s">
        <v>335</v>
      </c>
      <c r="H92" s="733"/>
      <c r="I92" s="733"/>
      <c r="J92" s="734"/>
      <c r="K92" s="735">
        <f t="shared" si="12"/>
        <v>0</v>
      </c>
      <c r="L92" s="736">
        <f>SUMIF('1.3-Basis ruimtestaat'!L:L,C92,'1.3-Basis ruimtestaat'!J:J)</f>
        <v>0</v>
      </c>
      <c r="M92" s="736">
        <f>SUMIF('1.3-Basis ruimtestaat'!L:L,C92,'1.3-Basis ruimtestaat'!K:K)</f>
        <v>0</v>
      </c>
      <c r="N92" s="737" t="str">
        <f t="shared" si="11"/>
        <v/>
      </c>
      <c r="O92" s="740"/>
      <c r="P92" s="739" t="s">
        <v>75</v>
      </c>
      <c r="U92" s="61"/>
      <c r="AC92" s="71"/>
    </row>
    <row r="93" spans="3:29" s="409" customFormat="1">
      <c r="C93" s="729">
        <v>16051</v>
      </c>
      <c r="D93" s="730">
        <v>106</v>
      </c>
      <c r="E93" s="730">
        <v>51</v>
      </c>
      <c r="F93" s="731" t="s">
        <v>1344</v>
      </c>
      <c r="G93" s="732" t="s">
        <v>1448</v>
      </c>
      <c r="H93" s="733"/>
      <c r="I93" s="733"/>
      <c r="J93" s="734"/>
      <c r="K93" s="735">
        <f t="shared" si="12"/>
        <v>0</v>
      </c>
      <c r="L93" s="736">
        <f>SUMIF('1.3-Basis ruimtestaat'!L:L,C93,'1.3-Basis ruimtestaat'!J:J)</f>
        <v>0</v>
      </c>
      <c r="M93" s="736">
        <f>SUMIF('1.3-Basis ruimtestaat'!L:L,C93,'1.3-Basis ruimtestaat'!K:K)</f>
        <v>0</v>
      </c>
      <c r="N93" s="737" t="str">
        <f t="shared" si="11"/>
        <v/>
      </c>
      <c r="O93" s="740"/>
      <c r="P93" s="739" t="s">
        <v>75</v>
      </c>
      <c r="U93" s="61"/>
      <c r="AC93" s="71"/>
    </row>
    <row r="94" spans="3:29" s="409" customFormat="1">
      <c r="C94" s="729">
        <v>17040</v>
      </c>
      <c r="D94" s="730" t="s">
        <v>27</v>
      </c>
      <c r="E94" s="730">
        <v>40</v>
      </c>
      <c r="F94" s="731" t="s">
        <v>1505</v>
      </c>
      <c r="G94" s="732" t="s">
        <v>336</v>
      </c>
      <c r="H94" s="733"/>
      <c r="I94" s="733"/>
      <c r="J94" s="734"/>
      <c r="K94" s="735">
        <f t="shared" si="12"/>
        <v>0</v>
      </c>
      <c r="L94" s="736">
        <f>SUMIF('1.3-Basis ruimtestaat'!L:L,C94,'1.3-Basis ruimtestaat'!J:J)</f>
        <v>0</v>
      </c>
      <c r="M94" s="736">
        <f>SUMIF('1.3-Basis ruimtestaat'!L:L,C94,'1.3-Basis ruimtestaat'!K:K)</f>
        <v>0</v>
      </c>
      <c r="N94" s="737" t="str">
        <f t="shared" si="11"/>
        <v/>
      </c>
      <c r="O94" s="740"/>
      <c r="P94" s="739" t="s">
        <v>75</v>
      </c>
      <c r="U94" s="61"/>
      <c r="AC94" s="71"/>
    </row>
    <row r="95" spans="3:29" s="409" customFormat="1">
      <c r="C95" s="729">
        <v>18040</v>
      </c>
      <c r="D95" s="730" t="s">
        <v>27</v>
      </c>
      <c r="E95" s="730">
        <v>40</v>
      </c>
      <c r="F95" s="731" t="s">
        <v>1281</v>
      </c>
      <c r="G95" s="732" t="s">
        <v>336</v>
      </c>
      <c r="H95" s="733"/>
      <c r="I95" s="733"/>
      <c r="J95" s="734"/>
      <c r="K95" s="735">
        <f t="shared" si="12"/>
        <v>0</v>
      </c>
      <c r="L95" s="736">
        <f>SUMIF('1.3-Basis ruimtestaat'!L:L,C95,'1.3-Basis ruimtestaat'!J:J)</f>
        <v>0</v>
      </c>
      <c r="M95" s="736">
        <f>SUMIF('1.3-Basis ruimtestaat'!L:L,C95,'1.3-Basis ruimtestaat'!K:K)</f>
        <v>0</v>
      </c>
      <c r="N95" s="737" t="str">
        <f t="shared" si="11"/>
        <v/>
      </c>
      <c r="O95" s="740"/>
      <c r="P95" s="739" t="s">
        <v>75</v>
      </c>
      <c r="U95" s="61"/>
      <c r="AC95" s="71"/>
    </row>
    <row r="96" spans="3:29" s="409" customFormat="1">
      <c r="C96" s="729">
        <v>18153</v>
      </c>
      <c r="D96" s="730" t="s">
        <v>27</v>
      </c>
      <c r="E96" s="730">
        <v>153</v>
      </c>
      <c r="F96" s="731" t="s">
        <v>1281</v>
      </c>
      <c r="G96" s="732" t="s">
        <v>1431</v>
      </c>
      <c r="H96" s="733"/>
      <c r="I96" s="743"/>
      <c r="J96" s="734"/>
      <c r="K96" s="735">
        <f>IF(H96=0,0,E96/(H96+I96))</f>
        <v>0</v>
      </c>
      <c r="L96" s="736">
        <f>SUMIF('1.3-Basis ruimtestaat'!L:L,C96,'1.3-Basis ruimtestaat'!J:J)</f>
        <v>83.100000000000009</v>
      </c>
      <c r="M96" s="736">
        <f>SUMIF('1.3-Basis ruimtestaat'!L:L,C96,'1.3-Basis ruimtestaat'!K:K)</f>
        <v>0</v>
      </c>
      <c r="N96" s="737">
        <f>IF(L96=0,"",L96/$L$103)</f>
        <v>9.9357108098381448E-3</v>
      </c>
      <c r="O96" s="740" t="s">
        <v>1517</v>
      </c>
      <c r="P96" s="739" t="s">
        <v>75</v>
      </c>
      <c r="U96" s="61"/>
      <c r="AC96" s="71"/>
    </row>
    <row r="97" spans="3:29" s="409" customFormat="1">
      <c r="C97" s="729">
        <v>18255</v>
      </c>
      <c r="D97" s="730" t="s">
        <v>27</v>
      </c>
      <c r="E97" s="730">
        <v>255</v>
      </c>
      <c r="F97" s="731" t="s">
        <v>1281</v>
      </c>
      <c r="G97" s="732" t="s">
        <v>1432</v>
      </c>
      <c r="H97" s="733"/>
      <c r="I97" s="743"/>
      <c r="J97" s="734"/>
      <c r="K97" s="735">
        <f>IF(H97=0,0,E97/(H97+I97))</f>
        <v>0</v>
      </c>
      <c r="L97" s="736">
        <f>SUMIF('1.3-Basis ruimtestaat'!L:L,C97,'1.3-Basis ruimtestaat'!J:J)</f>
        <v>164.10000000000002</v>
      </c>
      <c r="M97" s="736">
        <f>SUMIF('1.3-Basis ruimtestaat'!L:L,C97,'1.3-Basis ruimtestaat'!K:K)</f>
        <v>0</v>
      </c>
      <c r="N97" s="737">
        <f>IF(L97=0,"",L97/$L$103)</f>
        <v>1.9620338675023344E-2</v>
      </c>
      <c r="O97" s="740" t="s">
        <v>1517</v>
      </c>
      <c r="P97" s="739" t="s">
        <v>75</v>
      </c>
      <c r="U97" s="61"/>
      <c r="AC97" s="71"/>
    </row>
    <row r="98" spans="3:29" s="409" customFormat="1">
      <c r="C98" s="729" t="s">
        <v>1450</v>
      </c>
      <c r="D98" s="730"/>
      <c r="E98" s="730"/>
      <c r="F98" s="742" t="s">
        <v>1450</v>
      </c>
      <c r="G98" s="732"/>
      <c r="H98" s="743"/>
      <c r="I98" s="743"/>
      <c r="J98" s="734"/>
      <c r="K98" s="735">
        <f t="shared" si="10"/>
        <v>0</v>
      </c>
      <c r="L98" s="736">
        <f>SUMIF('1.3-Basis ruimtestaat'!L:L,C98,'1.3-Basis ruimtestaat'!J:J)</f>
        <v>69.63000000000001</v>
      </c>
      <c r="M98" s="736">
        <f>SUMIF('1.3-Basis ruimtestaat'!L:L,C98,'1.3-Basis ruimtestaat'!K:K)</f>
        <v>0</v>
      </c>
      <c r="N98" s="737">
        <f t="shared" ref="N98:N101" si="13">IF(L98=0,"",L98/$L$103)</f>
        <v>8.3251930648499412E-3</v>
      </c>
      <c r="O98" s="740"/>
      <c r="P98" s="739"/>
      <c r="U98" s="61"/>
      <c r="AC98" s="71"/>
    </row>
    <row r="99" spans="3:29" s="744" customFormat="1">
      <c r="C99" s="729" t="s">
        <v>27</v>
      </c>
      <c r="D99" s="730"/>
      <c r="E99" s="730"/>
      <c r="F99" s="731" t="s">
        <v>338</v>
      </c>
      <c r="G99" s="732"/>
      <c r="H99" s="743"/>
      <c r="I99" s="743"/>
      <c r="J99" s="734"/>
      <c r="K99" s="735">
        <f t="shared" si="10"/>
        <v>0</v>
      </c>
      <c r="L99" s="736">
        <f>SUMIF('1.3-Basis ruimtestaat'!L:L,C99,'1.3-Basis ruimtestaat'!J:J)</f>
        <v>0</v>
      </c>
      <c r="M99" s="736">
        <f>SUMIF('1.3-Basis ruimtestaat'!L:L,C99,'1.3-Basis ruimtestaat'!K:K)</f>
        <v>1683.7700000000009</v>
      </c>
      <c r="N99" s="737" t="str">
        <f t="shared" si="13"/>
        <v/>
      </c>
      <c r="O99" s="740"/>
      <c r="P99" s="739"/>
      <c r="Q99" s="409"/>
      <c r="U99" s="131"/>
      <c r="AC99" s="71"/>
    </row>
    <row r="100" spans="3:29" s="744" customFormat="1">
      <c r="C100" s="745" t="s">
        <v>222</v>
      </c>
      <c r="D100" s="745"/>
      <c r="E100" s="746"/>
      <c r="F100" s="747" t="s">
        <v>339</v>
      </c>
      <c r="G100" s="748"/>
      <c r="H100" s="743"/>
      <c r="I100" s="743"/>
      <c r="J100" s="749">
        <v>0</v>
      </c>
      <c r="K100" s="735"/>
      <c r="L100" s="736">
        <f>SUMIF('1.3-Basis ruimtestaat'!L:L,C100,'1.3-Basis ruimtestaat'!J:J)</f>
        <v>0</v>
      </c>
      <c r="M100" s="736">
        <f>SUMIF('1.3-Basis ruimtestaat'!L:L,C100,'1.3-Basis ruimtestaat'!K:K)</f>
        <v>0</v>
      </c>
      <c r="N100" s="750" t="str">
        <f t="shared" si="13"/>
        <v/>
      </c>
      <c r="O100" s="740"/>
      <c r="P100" s="739"/>
      <c r="U100" s="131"/>
      <c r="AC100" s="71"/>
    </row>
    <row r="101" spans="3:29" s="744" customFormat="1">
      <c r="C101" s="745" t="s">
        <v>369</v>
      </c>
      <c r="D101" s="745"/>
      <c r="E101" s="746"/>
      <c r="F101" s="747" t="s">
        <v>370</v>
      </c>
      <c r="G101" s="748"/>
      <c r="H101" s="743"/>
      <c r="I101" s="743"/>
      <c r="J101" s="749">
        <v>0</v>
      </c>
      <c r="K101" s="735"/>
      <c r="L101" s="736">
        <f>SUMIF('1.3-Basis ruimtestaat'!L:L,C101,'1.3-Basis ruimtestaat'!J:J)</f>
        <v>0</v>
      </c>
      <c r="M101" s="736">
        <f>SUMIF('1.3-Basis ruimtestaat'!L:L,C101,'1.3-Basis ruimtestaat'!K:K)</f>
        <v>0</v>
      </c>
      <c r="N101" s="750" t="str">
        <f t="shared" si="13"/>
        <v/>
      </c>
      <c r="O101" s="738"/>
      <c r="P101" s="739"/>
      <c r="R101" s="751">
        <f>SUM(Meters)</f>
        <v>8363.77</v>
      </c>
      <c r="U101" s="131"/>
      <c r="AC101" s="71"/>
    </row>
    <row r="102" spans="3:29">
      <c r="E102" s="63"/>
      <c r="F102" s="64"/>
      <c r="G102" s="709"/>
      <c r="H102" s="65"/>
      <c r="I102" s="65"/>
      <c r="J102" s="65"/>
      <c r="K102" s="65"/>
      <c r="O102" s="69"/>
      <c r="P102" s="70"/>
      <c r="Q102" s="88"/>
      <c r="R102" s="210">
        <f>R101-L103</f>
        <v>0</v>
      </c>
      <c r="S102" s="211" t="s">
        <v>242</v>
      </c>
      <c r="T102" s="88"/>
      <c r="U102" s="89"/>
      <c r="Z102" s="88"/>
      <c r="AC102" s="71"/>
    </row>
    <row r="103" spans="3:29">
      <c r="C103" s="322" t="s">
        <v>32</v>
      </c>
      <c r="D103" s="457"/>
      <c r="E103" s="63"/>
      <c r="F103" s="64"/>
      <c r="G103" s="709"/>
      <c r="H103" s="65"/>
      <c r="I103" s="65"/>
      <c r="J103" s="65"/>
      <c r="K103" s="400"/>
      <c r="L103" s="401">
        <f>SUM(L11:L101)</f>
        <v>8363.7700000000023</v>
      </c>
      <c r="M103" s="401">
        <f>SUM(M11:M101)</f>
        <v>1683.7700000000009</v>
      </c>
      <c r="N103" s="402">
        <f>SUM(N10:N101)</f>
        <v>1.0000000000000002</v>
      </c>
      <c r="O103" s="69"/>
      <c r="P103" s="70"/>
      <c r="Q103" s="88"/>
      <c r="R103" s="88"/>
      <c r="S103" s="88"/>
      <c r="T103" s="88"/>
      <c r="U103" s="89"/>
      <c r="Z103" s="88"/>
      <c r="AC103" s="71"/>
    </row>
    <row r="104" spans="3:29">
      <c r="E104" s="63"/>
      <c r="F104" s="64"/>
      <c r="G104" s="709"/>
      <c r="H104" s="65"/>
      <c r="I104" s="65"/>
      <c r="J104" s="65"/>
      <c r="K104" s="66"/>
      <c r="O104" s="69"/>
      <c r="P104" s="70"/>
      <c r="Q104" s="88"/>
      <c r="R104" s="88"/>
      <c r="S104" s="88"/>
      <c r="T104" s="88"/>
      <c r="U104" s="89"/>
      <c r="Z104" s="88"/>
      <c r="AC104" s="71"/>
    </row>
    <row r="105" spans="3:29">
      <c r="G105" s="710"/>
      <c r="O105" s="85"/>
      <c r="P105" s="78"/>
      <c r="Q105" s="88"/>
      <c r="AC105" s="71"/>
    </row>
    <row r="106" spans="3:29">
      <c r="C106" s="90" t="s">
        <v>220</v>
      </c>
      <c r="D106" s="90"/>
      <c r="E106" s="91"/>
      <c r="F106" s="91"/>
      <c r="G106" s="710"/>
      <c r="AC106" s="71"/>
    </row>
    <row r="107" spans="3:29">
      <c r="C107" s="91" t="s">
        <v>49</v>
      </c>
      <c r="D107" s="91"/>
      <c r="E107" s="91" t="s">
        <v>53</v>
      </c>
      <c r="G107" s="710"/>
      <c r="AC107" s="71"/>
    </row>
    <row r="108" spans="3:29">
      <c r="C108" s="91" t="s">
        <v>67</v>
      </c>
      <c r="D108" s="91"/>
      <c r="E108" s="91" t="s">
        <v>22</v>
      </c>
      <c r="G108" s="710"/>
      <c r="O108" s="82">
        <f>'1.1a-Jaarprijzen'!Q105</f>
        <v>0</v>
      </c>
    </row>
    <row r="109" spans="3:29">
      <c r="C109" s="91" t="s">
        <v>126</v>
      </c>
      <c r="D109" s="91"/>
      <c r="E109" s="91" t="s">
        <v>141</v>
      </c>
      <c r="G109" s="710"/>
    </row>
    <row r="110" spans="3:29">
      <c r="C110" s="91" t="s">
        <v>74</v>
      </c>
      <c r="D110" s="91"/>
      <c r="E110" s="91" t="s">
        <v>174</v>
      </c>
      <c r="G110" s="710"/>
    </row>
    <row r="111" spans="3:29">
      <c r="C111" s="91" t="s">
        <v>61</v>
      </c>
      <c r="D111" s="91"/>
      <c r="E111" s="91" t="s">
        <v>205</v>
      </c>
      <c r="G111" s="710"/>
    </row>
    <row r="112" spans="3:29">
      <c r="C112" s="91" t="s">
        <v>71</v>
      </c>
      <c r="D112" s="91"/>
      <c r="E112" s="91" t="s">
        <v>223</v>
      </c>
    </row>
    <row r="113" spans="3:8">
      <c r="C113" s="91" t="s">
        <v>276</v>
      </c>
      <c r="D113" s="91"/>
      <c r="E113" s="91" t="s">
        <v>278</v>
      </c>
      <c r="G113" s="710"/>
    </row>
    <row r="114" spans="3:8">
      <c r="C114" s="91" t="s">
        <v>277</v>
      </c>
      <c r="D114" s="91"/>
      <c r="E114" s="91" t="s">
        <v>279</v>
      </c>
      <c r="G114" s="710"/>
    </row>
    <row r="115" spans="3:8">
      <c r="C115" s="91" t="s">
        <v>280</v>
      </c>
      <c r="D115" s="91"/>
      <c r="E115" s="91" t="s">
        <v>305</v>
      </c>
    </row>
    <row r="116" spans="3:8">
      <c r="C116" s="91" t="s">
        <v>281</v>
      </c>
      <c r="D116" s="91"/>
      <c r="E116" s="91" t="s">
        <v>282</v>
      </c>
    </row>
    <row r="117" spans="3:8">
      <c r="C117" s="91" t="s">
        <v>169</v>
      </c>
      <c r="D117" s="91"/>
      <c r="E117" s="91" t="s">
        <v>387</v>
      </c>
    </row>
    <row r="119" spans="3:8">
      <c r="G119" s="712"/>
      <c r="H119"/>
    </row>
  </sheetData>
  <autoFilter ref="C9:P101"/>
  <sortState ref="C96:AC97">
    <sortCondition ref="C96"/>
  </sortState>
  <phoneticPr fontId="12" type="noConversion"/>
  <conditionalFormatting sqref="H11:I95 H96:H97">
    <cfRule type="cellIs" dxfId="100" priority="1" stopIfTrue="1" operator="lessThanOrEqual">
      <formula>0</formula>
    </cfRule>
  </conditionalFormatting>
  <printOptions horizontalCentered="1" gridLinesSet="0"/>
  <pageMargins left="0.2" right="0.2" top="0.59" bottom="0.4" header="0.39000000000000007" footer="0.2"/>
  <pageSetup paperSize="9" scale="50"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filterMode="1" enableFormatConditionsCalculation="0"/>
  <dimension ref="A2:AC825"/>
  <sheetViews>
    <sheetView showGridLines="0" showZeros="0" showOutlineSymbols="0" topLeftCell="F9" zoomScale="115" zoomScaleNormal="115" zoomScaleSheetLayoutView="65" zoomScalePageLayoutView="115" workbookViewId="0">
      <selection activeCell="G713" sqref="G713"/>
    </sheetView>
  </sheetViews>
  <sheetFormatPr baseColWidth="10" defaultColWidth="0" defaultRowHeight="13" x14ac:dyDescent="0"/>
  <cols>
    <col min="1" max="1" width="8" style="60" customWidth="1"/>
    <col min="2" max="2" width="13" style="60" bestFit="1" customWidth="1"/>
    <col min="3" max="3" width="6.28515625" style="60" customWidth="1"/>
    <col min="4" max="4" width="35.7109375" style="1" customWidth="1"/>
    <col min="5" max="5" width="6.140625" style="94" customWidth="1"/>
    <col min="6" max="6" width="12" style="95" customWidth="1"/>
    <col min="7" max="7" width="25.140625" style="60" bestFit="1" customWidth="1"/>
    <col min="8" max="8" width="38.5703125" style="96" customWidth="1"/>
    <col min="9" max="9" width="10.28515625" style="714" customWidth="1"/>
    <col min="10" max="10" width="8" style="620" customWidth="1"/>
    <col min="11" max="11" width="6.42578125" style="620" customWidth="1"/>
    <col min="12" max="12" width="8.85546875" style="98" customWidth="1"/>
    <col min="13" max="13" width="8.7109375" style="117" customWidth="1"/>
    <col min="14" max="14" width="6.5703125" style="117" hidden="1" customWidth="1"/>
    <col min="15" max="15" width="7.85546875" style="445" customWidth="1"/>
    <col min="16" max="16" width="8" style="117" customWidth="1"/>
    <col min="17" max="17" width="11.140625" style="777" customWidth="1"/>
    <col min="18" max="18" width="10.85546875" style="777" customWidth="1"/>
    <col min="19" max="19" width="7" style="60" hidden="1" customWidth="1"/>
    <col min="20" max="20" width="10.42578125" style="94" customWidth="1"/>
    <col min="21" max="21" width="10" style="94" customWidth="1"/>
    <col min="22" max="22" width="6.7109375" style="60" hidden="1" customWidth="1"/>
    <col min="23" max="23" width="6.28515625" style="445" customWidth="1"/>
    <col min="24" max="24" width="17.5703125" style="60" customWidth="1"/>
    <col min="25" max="25" width="11.5703125" style="94" customWidth="1"/>
    <col min="26" max="26" width="10.7109375" style="94" customWidth="1"/>
    <col min="27" max="16384" width="8.7109375" style="60" hidden="1"/>
  </cols>
  <sheetData>
    <row r="2" spans="1:26">
      <c r="A2" s="323"/>
      <c r="B2" s="323"/>
      <c r="C2" s="323"/>
      <c r="D2" s="204" t="s">
        <v>214</v>
      </c>
      <c r="M2" s="98"/>
      <c r="N2" s="98"/>
      <c r="P2" s="98"/>
      <c r="Q2" s="773"/>
      <c r="R2" s="773"/>
      <c r="S2" s="99"/>
      <c r="T2" s="69"/>
      <c r="U2" s="69"/>
      <c r="V2" s="99"/>
      <c r="W2" s="778"/>
      <c r="X2" s="101"/>
      <c r="Y2" s="627"/>
    </row>
    <row r="3" spans="1:26" ht="18" customHeight="1">
      <c r="A3" s="323"/>
      <c r="B3" s="323"/>
      <c r="C3" s="323"/>
      <c r="D3" s="206"/>
      <c r="E3" s="103"/>
      <c r="F3" s="104"/>
      <c r="G3" s="102"/>
      <c r="H3" s="105"/>
      <c r="I3" s="715"/>
      <c r="J3" s="621"/>
      <c r="K3" s="621"/>
      <c r="L3" s="107"/>
      <c r="M3" s="107"/>
      <c r="N3" s="619"/>
      <c r="O3" s="619"/>
      <c r="P3" s="619"/>
      <c r="Q3" s="774"/>
      <c r="R3" s="774"/>
      <c r="S3" s="108"/>
      <c r="T3" s="625"/>
      <c r="U3" s="625"/>
      <c r="V3" s="108"/>
      <c r="W3" s="779"/>
      <c r="X3" s="110"/>
      <c r="Y3" s="628"/>
    </row>
    <row r="4" spans="1:26" ht="18" customHeight="1">
      <c r="A4" s="323"/>
      <c r="B4" s="323"/>
      <c r="C4" s="323"/>
      <c r="D4" s="207" t="str">
        <f>'1.2-Kengetal'!C3</f>
        <v>Naam opdrachtgever</v>
      </c>
      <c r="E4" s="111"/>
      <c r="F4" s="208" t="str">
        <f>'1.2-Kengetal'!F3</f>
        <v>Stichting Altra - Horizon</v>
      </c>
      <c r="H4" s="105"/>
      <c r="I4" s="715"/>
      <c r="J4" s="621"/>
      <c r="K4" s="621"/>
      <c r="L4" s="107"/>
      <c r="M4" s="107"/>
      <c r="N4" s="619"/>
      <c r="O4" s="619"/>
      <c r="P4" s="619"/>
      <c r="Q4" s="774"/>
      <c r="R4" s="774"/>
      <c r="S4" s="108"/>
      <c r="T4" s="625"/>
      <c r="U4" s="625"/>
      <c r="V4" s="108"/>
      <c r="W4" s="779"/>
      <c r="X4" s="93"/>
      <c r="Y4" s="629"/>
    </row>
    <row r="5" spans="1:26" ht="18" customHeight="1">
      <c r="A5" s="323"/>
      <c r="B5" s="323"/>
      <c r="C5" s="323"/>
      <c r="D5" s="207" t="str">
        <f>'1.2-Kengetal'!C4</f>
        <v>Omschrijving blad</v>
      </c>
      <c r="E5" s="113"/>
      <c r="F5" s="503" t="s">
        <v>58</v>
      </c>
      <c r="H5" s="114"/>
      <c r="I5" s="715"/>
      <c r="J5" s="621"/>
      <c r="K5" s="621"/>
      <c r="L5" s="107"/>
      <c r="M5" s="107"/>
      <c r="N5" s="107"/>
      <c r="O5" s="446"/>
      <c r="P5" s="107"/>
      <c r="Q5" s="774"/>
      <c r="R5" s="774"/>
      <c r="S5" s="108"/>
      <c r="T5" s="625"/>
      <c r="U5" s="625"/>
      <c r="V5" s="108"/>
      <c r="W5" s="779"/>
      <c r="X5" s="93"/>
      <c r="Y5" s="629"/>
    </row>
    <row r="6" spans="1:26" ht="18" customHeight="1">
      <c r="A6" s="323"/>
      <c r="B6" s="323"/>
      <c r="C6" s="323"/>
      <c r="D6" s="207" t="str">
        <f>'1.2-Kengetal'!C5</f>
        <v>Adres/plaats</v>
      </c>
      <c r="E6" s="111"/>
      <c r="F6" s="208" t="str">
        <f>'1.2-Kengetal'!F5</f>
        <v>Regio Noord Holland</v>
      </c>
      <c r="G6" s="115"/>
      <c r="H6" s="115"/>
      <c r="I6" s="716"/>
      <c r="J6" s="622"/>
      <c r="K6" s="622"/>
      <c r="L6" s="107"/>
      <c r="M6" s="107"/>
      <c r="N6" s="107"/>
      <c r="O6" s="446"/>
      <c r="P6" s="107"/>
      <c r="Q6" s="774"/>
      <c r="R6" s="774"/>
      <c r="S6" s="108"/>
      <c r="T6" s="625"/>
      <c r="U6" s="625"/>
      <c r="V6" s="108"/>
      <c r="W6" s="779"/>
      <c r="X6" s="93"/>
      <c r="Y6" s="629"/>
    </row>
    <row r="7" spans="1:26" ht="18" customHeight="1">
      <c r="A7" s="323"/>
      <c r="B7" s="323"/>
      <c r="C7" s="323"/>
      <c r="D7" s="207" t="str">
        <f>'1.2-Kengetal'!C6</f>
        <v>Besteknummer</v>
      </c>
      <c r="E7" s="111"/>
      <c r="F7" s="208" t="str">
        <f>'1.2-Kengetal'!F6</f>
        <v>180417 V2</v>
      </c>
      <c r="I7" s="715"/>
      <c r="J7" s="621"/>
      <c r="K7" s="621"/>
      <c r="L7" s="107"/>
      <c r="M7" s="107"/>
      <c r="N7" s="107"/>
      <c r="O7" s="446"/>
      <c r="P7" s="107"/>
      <c r="Q7" s="774"/>
      <c r="R7" s="774"/>
      <c r="S7" s="108"/>
      <c r="T7" s="625"/>
      <c r="U7" s="625"/>
      <c r="V7" s="108"/>
      <c r="W7" s="779"/>
      <c r="X7" s="93"/>
      <c r="Y7" s="629"/>
    </row>
    <row r="8" spans="1:26" ht="18" customHeight="1">
      <c r="A8" s="323"/>
      <c r="B8" s="323"/>
      <c r="C8" s="323"/>
      <c r="D8" s="207" t="str">
        <f>'1.2-Kengetal'!C7</f>
        <v>Naam leverancier</v>
      </c>
      <c r="E8" s="111"/>
      <c r="F8" s="208" t="str">
        <f>'1.2-Kengetal'!F7</f>
        <v>[NAAM LEVERANCIER]</v>
      </c>
      <c r="H8" s="544">
        <f>Voorblad!$E$15</f>
        <v>42917</v>
      </c>
      <c r="I8" s="715"/>
      <c r="J8" s="621"/>
      <c r="K8" s="621"/>
      <c r="L8" s="107"/>
      <c r="M8" s="107"/>
      <c r="N8" s="107"/>
      <c r="O8" s="446"/>
      <c r="P8" s="107"/>
      <c r="Q8" s="774"/>
      <c r="R8" s="774"/>
      <c r="S8" s="108"/>
      <c r="T8" s="625"/>
      <c r="U8" s="625"/>
      <c r="V8" s="108"/>
      <c r="W8" s="779"/>
      <c r="X8" s="93"/>
      <c r="Y8" s="629"/>
    </row>
    <row r="9" spans="1:26">
      <c r="A9" s="323"/>
      <c r="B9" s="323"/>
      <c r="C9" s="323"/>
      <c r="D9" s="206"/>
      <c r="E9" s="103"/>
      <c r="F9" s="104"/>
      <c r="G9" s="102"/>
      <c r="H9" s="105"/>
      <c r="I9" s="715"/>
      <c r="J9" s="621"/>
      <c r="K9" s="621"/>
      <c r="L9" s="107"/>
      <c r="M9" s="107"/>
      <c r="N9" s="107"/>
      <c r="O9" s="446"/>
      <c r="P9" s="107"/>
      <c r="Q9" s="774"/>
      <c r="R9" s="774"/>
      <c r="S9" s="108"/>
      <c r="T9" s="625"/>
      <c r="U9" s="625"/>
      <c r="V9" s="108"/>
      <c r="W9" s="779"/>
      <c r="X9" s="110"/>
      <c r="Y9" s="628"/>
    </row>
    <row r="10" spans="1:26" s="333" customFormat="1" ht="43" customHeight="1">
      <c r="A10" s="267" t="s">
        <v>366</v>
      </c>
      <c r="B10" s="267" t="s">
        <v>367</v>
      </c>
      <c r="C10" s="267" t="s">
        <v>269</v>
      </c>
      <c r="D10" s="267" t="s">
        <v>431</v>
      </c>
      <c r="E10" s="271" t="s">
        <v>39</v>
      </c>
      <c r="F10" s="327" t="s">
        <v>50</v>
      </c>
      <c r="G10" s="267" t="s">
        <v>227</v>
      </c>
      <c r="H10" s="328" t="s">
        <v>91</v>
      </c>
      <c r="I10" s="717" t="s">
        <v>180</v>
      </c>
      <c r="J10" s="312" t="s">
        <v>142</v>
      </c>
      <c r="K10" s="312" t="s">
        <v>80</v>
      </c>
      <c r="L10" s="452" t="s">
        <v>1458</v>
      </c>
      <c r="M10" s="330" t="s">
        <v>1497</v>
      </c>
      <c r="N10" s="330" t="s">
        <v>325</v>
      </c>
      <c r="O10" s="331" t="s">
        <v>1504</v>
      </c>
      <c r="P10" s="330" t="s">
        <v>241</v>
      </c>
      <c r="Q10" s="775" t="s">
        <v>81</v>
      </c>
      <c r="R10" s="775" t="s">
        <v>314</v>
      </c>
      <c r="S10" s="331" t="s">
        <v>326</v>
      </c>
      <c r="T10" s="332" t="s">
        <v>313</v>
      </c>
      <c r="U10" s="331" t="s">
        <v>312</v>
      </c>
      <c r="V10" s="331" t="s">
        <v>327</v>
      </c>
      <c r="W10" s="271" t="s">
        <v>122</v>
      </c>
      <c r="X10" s="329" t="s">
        <v>0</v>
      </c>
      <c r="Y10" s="630" t="s">
        <v>429</v>
      </c>
      <c r="Z10" s="630" t="s">
        <v>430</v>
      </c>
    </row>
    <row r="11" spans="1:26" hidden="1">
      <c r="A11" s="501"/>
      <c r="B11" s="548"/>
      <c r="C11" s="659">
        <v>3</v>
      </c>
      <c r="D11" s="549" t="s">
        <v>1476</v>
      </c>
      <c r="E11" s="660" t="s">
        <v>502</v>
      </c>
      <c r="F11" s="648" t="s">
        <v>505</v>
      </c>
      <c r="G11" s="649" t="s">
        <v>1211</v>
      </c>
      <c r="H11" s="647" t="str">
        <f t="shared" ref="H11:H66" si="0">IF(L11="","",VLOOKUP(L11,Kengetal,4,FALSE))</f>
        <v>entree, gang, hal, repro, kopieer, was/droogruimte</v>
      </c>
      <c r="I11" s="718" t="s">
        <v>106</v>
      </c>
      <c r="J11" s="650">
        <v>414</v>
      </c>
      <c r="K11" s="661"/>
      <c r="L11" s="651">
        <v>3153</v>
      </c>
      <c r="M11" s="557">
        <f t="shared" ref="M11:M68" si="1">VLOOKUP(L11,Kengetal,2,FALSE)</f>
        <v>103</v>
      </c>
      <c r="N11" s="453"/>
      <c r="O11" s="557">
        <f t="shared" ref="O11:O68" si="2">VLOOKUP(L11,Kengetal,3,FALSE)</f>
        <v>153</v>
      </c>
      <c r="P11" s="633">
        <v>1</v>
      </c>
      <c r="Q11" s="776">
        <f t="shared" ref="Q11:Q68" si="3">T11*J11*P11</f>
        <v>0</v>
      </c>
      <c r="R11" s="776">
        <f t="shared" ref="R11:R68" si="4">U11*J11*P11</f>
        <v>0</v>
      </c>
      <c r="S11" s="552">
        <f t="shared" ref="S11:S68" si="5">V11*J11*P11</f>
        <v>0</v>
      </c>
      <c r="T11" s="626">
        <f t="shared" ref="T11:T67" si="6">VLOOKUP($L11,Kengetal,6,FALSE)</f>
        <v>0</v>
      </c>
      <c r="U11" s="626">
        <f t="shared" ref="U11:U67" si="7">VLOOKUP($L11,Kengetal,7,FALSE)</f>
        <v>0</v>
      </c>
      <c r="V11" s="553">
        <f t="shared" ref="V11:V67" si="8">VLOOKUP($N11,Kengetal,7,FALSE)</f>
        <v>0</v>
      </c>
      <c r="W11" s="554" t="str">
        <f t="shared" ref="W11:W68" si="9">IF(L11="","",VLOOKUP(L11,Kengetal,14,FALSE))</f>
        <v>V</v>
      </c>
      <c r="X11" s="555"/>
      <c r="Y11" s="631">
        <f>IF(Q11=0,0,(Q11+R11)*'1.0-Contractblad'!$L$98)</f>
        <v>0</v>
      </c>
      <c r="Z11" s="632">
        <f ca="1">IF(J11=0,0,VLOOKUP(D11,'1.1a-Jaarprijzen'!$B$70:$P$124,14,FALSE)*(K11+J11))</f>
        <v>0</v>
      </c>
    </row>
    <row r="12" spans="1:26" hidden="1">
      <c r="A12" s="501"/>
      <c r="B12" s="548"/>
      <c r="C12" s="659">
        <v>3</v>
      </c>
      <c r="D12" s="549" t="s">
        <v>1476</v>
      </c>
      <c r="E12" s="660" t="s">
        <v>502</v>
      </c>
      <c r="F12" s="648" t="s">
        <v>506</v>
      </c>
      <c r="G12" s="649" t="s">
        <v>1212</v>
      </c>
      <c r="H12" s="647" t="str">
        <f t="shared" si="0"/>
        <v>entree, gang, hal, repro, kopieer, was/droogruimte</v>
      </c>
      <c r="I12" s="718" t="s">
        <v>106</v>
      </c>
      <c r="J12" s="650">
        <v>18.2</v>
      </c>
      <c r="K12" s="661"/>
      <c r="L12" s="651">
        <v>3153</v>
      </c>
      <c r="M12" s="557">
        <f t="shared" si="1"/>
        <v>103</v>
      </c>
      <c r="N12" s="453"/>
      <c r="O12" s="557">
        <f t="shared" si="2"/>
        <v>153</v>
      </c>
      <c r="P12" s="633">
        <v>1</v>
      </c>
      <c r="Q12" s="776">
        <f t="shared" si="3"/>
        <v>0</v>
      </c>
      <c r="R12" s="776">
        <f t="shared" si="4"/>
        <v>0</v>
      </c>
      <c r="S12" s="552">
        <f t="shared" si="5"/>
        <v>0</v>
      </c>
      <c r="T12" s="626">
        <f t="shared" si="6"/>
        <v>0</v>
      </c>
      <c r="U12" s="626">
        <f t="shared" si="7"/>
        <v>0</v>
      </c>
      <c r="V12" s="553">
        <f t="shared" si="8"/>
        <v>0</v>
      </c>
      <c r="W12" s="554" t="str">
        <f t="shared" si="9"/>
        <v>V</v>
      </c>
      <c r="X12" s="555"/>
      <c r="Y12" s="631">
        <f>IF(Q12=0,0,(Q12+R12)*'1.0-Contractblad'!$L$98)</f>
        <v>0</v>
      </c>
      <c r="Z12" s="632">
        <f ca="1">IF(J12=0,0,VLOOKUP(D12,'1.1a-Jaarprijzen'!$B$70:$P$124,14,FALSE)*(K12+J12))</f>
        <v>0</v>
      </c>
    </row>
    <row r="13" spans="1:26" hidden="1">
      <c r="A13" s="558"/>
      <c r="B13" s="548"/>
      <c r="C13" s="659">
        <v>3</v>
      </c>
      <c r="D13" s="549" t="s">
        <v>1476</v>
      </c>
      <c r="E13" s="660" t="s">
        <v>502</v>
      </c>
      <c r="F13" s="648" t="s">
        <v>507</v>
      </c>
      <c r="G13" s="649" t="s">
        <v>1213</v>
      </c>
      <c r="H13" s="647" t="str">
        <f t="shared" si="0"/>
        <v>administratieve -, personeels- en vergaderruimte</v>
      </c>
      <c r="I13" s="718" t="s">
        <v>1398</v>
      </c>
      <c r="J13" s="650">
        <v>16.3</v>
      </c>
      <c r="K13" s="661"/>
      <c r="L13" s="651">
        <v>1102</v>
      </c>
      <c r="M13" s="557">
        <f t="shared" si="1"/>
        <v>101</v>
      </c>
      <c r="N13" s="453"/>
      <c r="O13" s="557">
        <f t="shared" si="2"/>
        <v>102</v>
      </c>
      <c r="P13" s="633">
        <v>1</v>
      </c>
      <c r="Q13" s="776">
        <f t="shared" si="3"/>
        <v>0</v>
      </c>
      <c r="R13" s="776">
        <f t="shared" si="4"/>
        <v>0</v>
      </c>
      <c r="S13" s="552">
        <f t="shared" si="5"/>
        <v>0</v>
      </c>
      <c r="T13" s="626">
        <f t="shared" si="6"/>
        <v>0</v>
      </c>
      <c r="U13" s="626">
        <f t="shared" si="7"/>
        <v>0</v>
      </c>
      <c r="V13" s="553">
        <f t="shared" si="8"/>
        <v>0</v>
      </c>
      <c r="W13" s="554" t="str">
        <f t="shared" si="9"/>
        <v>B</v>
      </c>
      <c r="X13" s="555"/>
      <c r="Y13" s="631">
        <f>IF(Q13=0,0,(Q13+R13)*'1.0-Contractblad'!$L$98)</f>
        <v>0</v>
      </c>
      <c r="Z13" s="632">
        <f ca="1">IF(J13=0,0,VLOOKUP(D13,'1.1a-Jaarprijzen'!$B$70:$P$124,14,FALSE)*(K13+J13))</f>
        <v>0</v>
      </c>
    </row>
    <row r="14" spans="1:26" hidden="1">
      <c r="A14" s="558"/>
      <c r="B14" s="548"/>
      <c r="C14" s="659">
        <v>3</v>
      </c>
      <c r="D14" s="549" t="s">
        <v>1476</v>
      </c>
      <c r="E14" s="660" t="s">
        <v>502</v>
      </c>
      <c r="F14" s="648" t="s">
        <v>508</v>
      </c>
      <c r="G14" s="649" t="s">
        <v>1214</v>
      </c>
      <c r="H14" s="647" t="str">
        <f t="shared" si="0"/>
        <v>administratieve -, personeels- en vergaderruimte</v>
      </c>
      <c r="I14" s="718" t="s">
        <v>1398</v>
      </c>
      <c r="J14" s="650">
        <v>33.700000000000003</v>
      </c>
      <c r="K14" s="661"/>
      <c r="L14" s="651">
        <v>1102</v>
      </c>
      <c r="M14" s="557">
        <f t="shared" si="1"/>
        <v>101</v>
      </c>
      <c r="N14" s="453"/>
      <c r="O14" s="557">
        <f t="shared" si="2"/>
        <v>102</v>
      </c>
      <c r="P14" s="633">
        <v>1</v>
      </c>
      <c r="Q14" s="776">
        <f t="shared" si="3"/>
        <v>0</v>
      </c>
      <c r="R14" s="776">
        <f t="shared" si="4"/>
        <v>0</v>
      </c>
      <c r="S14" s="552">
        <f t="shared" si="5"/>
        <v>0</v>
      </c>
      <c r="T14" s="626">
        <f t="shared" si="6"/>
        <v>0</v>
      </c>
      <c r="U14" s="626">
        <f t="shared" si="7"/>
        <v>0</v>
      </c>
      <c r="V14" s="553">
        <f t="shared" si="8"/>
        <v>0</v>
      </c>
      <c r="W14" s="554" t="str">
        <f t="shared" si="9"/>
        <v>B</v>
      </c>
      <c r="X14" s="555"/>
      <c r="Y14" s="631">
        <f>IF(Q14=0,0,(Q14+R14)*'1.0-Contractblad'!$L$98)</f>
        <v>0</v>
      </c>
      <c r="Z14" s="632">
        <f ca="1">IF(J14=0,0,VLOOKUP(D14,'1.1a-Jaarprijzen'!$B$70:$P$124,14,FALSE)*(K14+J14))</f>
        <v>0</v>
      </c>
    </row>
    <row r="15" spans="1:26" hidden="1">
      <c r="A15" s="558"/>
      <c r="B15" s="548"/>
      <c r="C15" s="659">
        <v>3</v>
      </c>
      <c r="D15" s="549" t="s">
        <v>1476</v>
      </c>
      <c r="E15" s="660" t="s">
        <v>502</v>
      </c>
      <c r="F15" s="648" t="s">
        <v>509</v>
      </c>
      <c r="G15" s="649" t="s">
        <v>1215</v>
      </c>
      <c r="H15" s="647" t="str">
        <f t="shared" si="0"/>
        <v>administratieve -, personeels- en vergaderruimte</v>
      </c>
      <c r="I15" s="718" t="s">
        <v>106</v>
      </c>
      <c r="J15" s="650">
        <v>13.2</v>
      </c>
      <c r="K15" s="661"/>
      <c r="L15" s="651">
        <v>1153</v>
      </c>
      <c r="M15" s="557">
        <f t="shared" si="1"/>
        <v>101</v>
      </c>
      <c r="N15" s="453"/>
      <c r="O15" s="557">
        <f t="shared" si="2"/>
        <v>153</v>
      </c>
      <c r="P15" s="633">
        <v>1</v>
      </c>
      <c r="Q15" s="776">
        <f t="shared" si="3"/>
        <v>0</v>
      </c>
      <c r="R15" s="776">
        <f t="shared" si="4"/>
        <v>0</v>
      </c>
      <c r="S15" s="552">
        <f t="shared" si="5"/>
        <v>0</v>
      </c>
      <c r="T15" s="626">
        <f t="shared" si="6"/>
        <v>0</v>
      </c>
      <c r="U15" s="626">
        <f t="shared" si="7"/>
        <v>0</v>
      </c>
      <c r="V15" s="553">
        <f t="shared" si="8"/>
        <v>0</v>
      </c>
      <c r="W15" s="554" t="str">
        <f t="shared" si="9"/>
        <v>B</v>
      </c>
      <c r="X15" s="454"/>
      <c r="Y15" s="631">
        <f>IF(Q15=0,0,(Q15+R15)*'1.0-Contractblad'!$L$98)</f>
        <v>0</v>
      </c>
      <c r="Z15" s="632">
        <f ca="1">IF(J15=0,0,VLOOKUP(D15,'1.1a-Jaarprijzen'!$B$70:$P$124,14,FALSE)*(K15+J15))</f>
        <v>0</v>
      </c>
    </row>
    <row r="16" spans="1:26" hidden="1">
      <c r="A16" s="558"/>
      <c r="B16" s="548"/>
      <c r="C16" s="659">
        <v>3</v>
      </c>
      <c r="D16" s="549" t="s">
        <v>1476</v>
      </c>
      <c r="E16" s="660" t="s">
        <v>502</v>
      </c>
      <c r="F16" s="648" t="s">
        <v>510</v>
      </c>
      <c r="G16" s="649" t="s">
        <v>1216</v>
      </c>
      <c r="H16" s="647" t="str">
        <f t="shared" si="0"/>
        <v>sanitaire ruimte (toilet-/doucheruimte)</v>
      </c>
      <c r="I16" s="718" t="s">
        <v>84</v>
      </c>
      <c r="J16" s="650">
        <v>1.5</v>
      </c>
      <c r="K16" s="661"/>
      <c r="L16" s="559">
        <v>4153</v>
      </c>
      <c r="M16" s="557">
        <f t="shared" si="1"/>
        <v>104</v>
      </c>
      <c r="N16" s="453"/>
      <c r="O16" s="557">
        <f t="shared" si="2"/>
        <v>153</v>
      </c>
      <c r="P16" s="633">
        <v>1</v>
      </c>
      <c r="Q16" s="776">
        <f t="shared" si="3"/>
        <v>0</v>
      </c>
      <c r="R16" s="776">
        <f t="shared" si="4"/>
        <v>0</v>
      </c>
      <c r="S16" s="552">
        <f t="shared" si="5"/>
        <v>0</v>
      </c>
      <c r="T16" s="626">
        <f t="shared" si="6"/>
        <v>0</v>
      </c>
      <c r="U16" s="626">
        <f t="shared" si="7"/>
        <v>0</v>
      </c>
      <c r="V16" s="553">
        <f t="shared" si="8"/>
        <v>0</v>
      </c>
      <c r="W16" s="554" t="str">
        <f t="shared" si="9"/>
        <v>S</v>
      </c>
      <c r="X16" s="555"/>
      <c r="Y16" s="631">
        <f>IF(Q16=0,0,(Q16+R16)*'1.0-Contractblad'!$L$98)</f>
        <v>0</v>
      </c>
      <c r="Z16" s="632">
        <f ca="1">IF(J16=0,0,VLOOKUP(D16,'1.1a-Jaarprijzen'!$B$70:$P$124,14,FALSE)*(K16+J16))</f>
        <v>0</v>
      </c>
    </row>
    <row r="17" spans="1:26" hidden="1">
      <c r="A17" s="558"/>
      <c r="B17" s="548"/>
      <c r="C17" s="659">
        <v>3</v>
      </c>
      <c r="D17" s="549" t="s">
        <v>1476</v>
      </c>
      <c r="E17" s="660" t="s">
        <v>502</v>
      </c>
      <c r="F17" s="648" t="s">
        <v>511</v>
      </c>
      <c r="G17" s="649" t="s">
        <v>1217</v>
      </c>
      <c r="H17" s="647" t="str">
        <f t="shared" si="0"/>
        <v>entree, gang, hal, repro, kopieer, was/droogruimte</v>
      </c>
      <c r="I17" s="718" t="s">
        <v>84</v>
      </c>
      <c r="J17" s="650">
        <v>11.2</v>
      </c>
      <c r="K17" s="661"/>
      <c r="L17" s="651">
        <v>3153</v>
      </c>
      <c r="M17" s="557">
        <f t="shared" si="1"/>
        <v>103</v>
      </c>
      <c r="N17" s="453"/>
      <c r="O17" s="557">
        <f t="shared" si="2"/>
        <v>153</v>
      </c>
      <c r="P17" s="633">
        <v>1</v>
      </c>
      <c r="Q17" s="776">
        <f t="shared" si="3"/>
        <v>0</v>
      </c>
      <c r="R17" s="776">
        <f t="shared" si="4"/>
        <v>0</v>
      </c>
      <c r="S17" s="552">
        <f t="shared" si="5"/>
        <v>0</v>
      </c>
      <c r="T17" s="626">
        <f t="shared" si="6"/>
        <v>0</v>
      </c>
      <c r="U17" s="626">
        <f t="shared" si="7"/>
        <v>0</v>
      </c>
      <c r="V17" s="553">
        <f t="shared" si="8"/>
        <v>0</v>
      </c>
      <c r="W17" s="554" t="str">
        <f t="shared" si="9"/>
        <v>V</v>
      </c>
      <c r="X17" s="555"/>
      <c r="Y17" s="631">
        <f>IF(Q17=0,0,(Q17+R17)*'1.0-Contractblad'!$L$98)</f>
        <v>0</v>
      </c>
      <c r="Z17" s="632">
        <f ca="1">IF(J17=0,0,VLOOKUP(D17,'1.1a-Jaarprijzen'!$B$70:$P$124,14,FALSE)*(K17+J17))</f>
        <v>0</v>
      </c>
    </row>
    <row r="18" spans="1:26" hidden="1">
      <c r="A18" s="558"/>
      <c r="B18" s="548"/>
      <c r="C18" s="659">
        <v>3</v>
      </c>
      <c r="D18" s="549" t="s">
        <v>1476</v>
      </c>
      <c r="E18" s="660" t="s">
        <v>502</v>
      </c>
      <c r="F18" s="648" t="s">
        <v>512</v>
      </c>
      <c r="G18" s="649" t="s">
        <v>1218</v>
      </c>
      <c r="H18" s="647" t="str">
        <f t="shared" si="0"/>
        <v>administratieve -, personeels- en vergaderruimte</v>
      </c>
      <c r="I18" s="718" t="s">
        <v>106</v>
      </c>
      <c r="J18" s="650">
        <v>25.4</v>
      </c>
      <c r="K18" s="661"/>
      <c r="L18" s="651">
        <v>1153</v>
      </c>
      <c r="M18" s="557">
        <f t="shared" si="1"/>
        <v>101</v>
      </c>
      <c r="N18" s="453"/>
      <c r="O18" s="557">
        <f t="shared" si="2"/>
        <v>153</v>
      </c>
      <c r="P18" s="633">
        <v>1</v>
      </c>
      <c r="Q18" s="776">
        <f t="shared" si="3"/>
        <v>0</v>
      </c>
      <c r="R18" s="776">
        <f t="shared" si="4"/>
        <v>0</v>
      </c>
      <c r="S18" s="552">
        <f t="shared" si="5"/>
        <v>0</v>
      </c>
      <c r="T18" s="626">
        <f t="shared" si="6"/>
        <v>0</v>
      </c>
      <c r="U18" s="626">
        <f t="shared" si="7"/>
        <v>0</v>
      </c>
      <c r="V18" s="553">
        <f t="shared" si="8"/>
        <v>0</v>
      </c>
      <c r="W18" s="554" t="str">
        <f t="shared" si="9"/>
        <v>B</v>
      </c>
      <c r="X18" s="454"/>
      <c r="Y18" s="631">
        <f>IF(Q18=0,0,(Q18+R18)*'1.0-Contractblad'!$L$98)</f>
        <v>0</v>
      </c>
      <c r="Z18" s="632">
        <f ca="1">IF(J18=0,0,VLOOKUP(D18,'1.1a-Jaarprijzen'!$B$70:$P$124,14,FALSE)*(K18+J18))</f>
        <v>0</v>
      </c>
    </row>
    <row r="19" spans="1:26" hidden="1">
      <c r="A19" s="558"/>
      <c r="B19" s="548"/>
      <c r="C19" s="659">
        <v>3</v>
      </c>
      <c r="D19" s="549" t="s">
        <v>1476</v>
      </c>
      <c r="E19" s="660" t="s">
        <v>502</v>
      </c>
      <c r="F19" s="648" t="s">
        <v>513</v>
      </c>
      <c r="G19" s="649" t="s">
        <v>1219</v>
      </c>
      <c r="H19" s="647" t="str">
        <f t="shared" si="0"/>
        <v>sanitaire ruimte (toilet-/doucheruimte)</v>
      </c>
      <c r="I19" s="718" t="s">
        <v>84</v>
      </c>
      <c r="J19" s="650">
        <v>5.2</v>
      </c>
      <c r="K19" s="650"/>
      <c r="L19" s="559">
        <v>4153</v>
      </c>
      <c r="M19" s="557">
        <f t="shared" si="1"/>
        <v>104</v>
      </c>
      <c r="N19" s="453"/>
      <c r="O19" s="557">
        <f t="shared" si="2"/>
        <v>153</v>
      </c>
      <c r="P19" s="633">
        <v>1</v>
      </c>
      <c r="Q19" s="776">
        <f t="shared" si="3"/>
        <v>0</v>
      </c>
      <c r="R19" s="776">
        <f t="shared" si="4"/>
        <v>0</v>
      </c>
      <c r="S19" s="552">
        <f t="shared" si="5"/>
        <v>0</v>
      </c>
      <c r="T19" s="626">
        <f t="shared" si="6"/>
        <v>0</v>
      </c>
      <c r="U19" s="626">
        <f t="shared" si="7"/>
        <v>0</v>
      </c>
      <c r="V19" s="553">
        <f t="shared" si="8"/>
        <v>0</v>
      </c>
      <c r="W19" s="554" t="str">
        <f t="shared" si="9"/>
        <v>S</v>
      </c>
      <c r="X19" s="555"/>
      <c r="Y19" s="631">
        <f>IF(Q19=0,0,(Q19+R19)*'1.0-Contractblad'!$L$98)</f>
        <v>0</v>
      </c>
      <c r="Z19" s="632">
        <f ca="1">IF(J19=0,0,VLOOKUP(D19,'1.1a-Jaarprijzen'!$B$70:$P$124,14,FALSE)*(K19+J19))</f>
        <v>0</v>
      </c>
    </row>
    <row r="20" spans="1:26" hidden="1">
      <c r="A20" s="558"/>
      <c r="B20" s="548"/>
      <c r="C20" s="659">
        <v>3</v>
      </c>
      <c r="D20" s="549" t="s">
        <v>1476</v>
      </c>
      <c r="E20" s="660" t="s">
        <v>502</v>
      </c>
      <c r="F20" s="648" t="s">
        <v>514</v>
      </c>
      <c r="G20" s="649" t="s">
        <v>1216</v>
      </c>
      <c r="H20" s="647" t="str">
        <f t="shared" si="0"/>
        <v>sanitaire ruimte (toilet-/doucheruimte)</v>
      </c>
      <c r="I20" s="718" t="s">
        <v>84</v>
      </c>
      <c r="J20" s="650">
        <v>1.6</v>
      </c>
      <c r="K20" s="650"/>
      <c r="L20" s="559">
        <v>4153</v>
      </c>
      <c r="M20" s="557">
        <f t="shared" si="1"/>
        <v>104</v>
      </c>
      <c r="N20" s="453"/>
      <c r="O20" s="557">
        <f t="shared" si="2"/>
        <v>153</v>
      </c>
      <c r="P20" s="633">
        <v>1</v>
      </c>
      <c r="Q20" s="776">
        <f t="shared" si="3"/>
        <v>0</v>
      </c>
      <c r="R20" s="776">
        <f t="shared" si="4"/>
        <v>0</v>
      </c>
      <c r="S20" s="552">
        <f t="shared" si="5"/>
        <v>0</v>
      </c>
      <c r="T20" s="626">
        <f t="shared" si="6"/>
        <v>0</v>
      </c>
      <c r="U20" s="626">
        <f t="shared" si="7"/>
        <v>0</v>
      </c>
      <c r="V20" s="553">
        <f t="shared" si="8"/>
        <v>0</v>
      </c>
      <c r="W20" s="554" t="str">
        <f t="shared" si="9"/>
        <v>S</v>
      </c>
      <c r="X20" s="555"/>
      <c r="Y20" s="631">
        <f>IF(Q20=0,0,(Q20+R20)*'1.0-Contractblad'!$L$98)</f>
        <v>0</v>
      </c>
      <c r="Z20" s="632">
        <f ca="1">IF(J20=0,0,VLOOKUP(D20,'1.1a-Jaarprijzen'!$B$70:$P$124,14,FALSE)*(K20+J20))</f>
        <v>0</v>
      </c>
    </row>
    <row r="21" spans="1:26" hidden="1">
      <c r="A21" s="558"/>
      <c r="B21" s="548"/>
      <c r="C21" s="659">
        <v>3</v>
      </c>
      <c r="D21" s="549" t="s">
        <v>1476</v>
      </c>
      <c r="E21" s="660" t="s">
        <v>502</v>
      </c>
      <c r="F21" s="648" t="s">
        <v>515</v>
      </c>
      <c r="G21" s="649" t="s">
        <v>1220</v>
      </c>
      <c r="H21" s="647" t="str">
        <f t="shared" si="0"/>
        <v>sanitaire ruimte (toilet-/doucheruimte)</v>
      </c>
      <c r="I21" s="718" t="s">
        <v>84</v>
      </c>
      <c r="J21" s="650">
        <v>4.9000000000000004</v>
      </c>
      <c r="K21" s="650"/>
      <c r="L21" s="559">
        <v>4153</v>
      </c>
      <c r="M21" s="557">
        <f t="shared" si="1"/>
        <v>104</v>
      </c>
      <c r="N21" s="453"/>
      <c r="O21" s="557">
        <f t="shared" si="2"/>
        <v>153</v>
      </c>
      <c r="P21" s="633">
        <v>1</v>
      </c>
      <c r="Q21" s="776">
        <f t="shared" si="3"/>
        <v>0</v>
      </c>
      <c r="R21" s="776">
        <f t="shared" si="4"/>
        <v>0</v>
      </c>
      <c r="S21" s="552">
        <f t="shared" si="5"/>
        <v>0</v>
      </c>
      <c r="T21" s="626">
        <f t="shared" si="6"/>
        <v>0</v>
      </c>
      <c r="U21" s="626">
        <f t="shared" si="7"/>
        <v>0</v>
      </c>
      <c r="V21" s="553">
        <f t="shared" si="8"/>
        <v>0</v>
      </c>
      <c r="W21" s="554" t="str">
        <f t="shared" si="9"/>
        <v>S</v>
      </c>
      <c r="X21" s="555"/>
      <c r="Y21" s="631">
        <f>IF(Q21=0,0,(Q21+R21)*'1.0-Contractblad'!$L$98)</f>
        <v>0</v>
      </c>
      <c r="Z21" s="632">
        <f ca="1">IF(J21=0,0,VLOOKUP(D21,'1.1a-Jaarprijzen'!$B$70:$P$124,14,FALSE)*(K21+J21))</f>
        <v>0</v>
      </c>
    </row>
    <row r="22" spans="1:26" hidden="1">
      <c r="A22" s="558"/>
      <c r="B22" s="548"/>
      <c r="C22" s="659">
        <v>3</v>
      </c>
      <c r="D22" s="549" t="s">
        <v>1476</v>
      </c>
      <c r="E22" s="660" t="s">
        <v>502</v>
      </c>
      <c r="F22" s="648" t="s">
        <v>516</v>
      </c>
      <c r="G22" s="649" t="s">
        <v>1216</v>
      </c>
      <c r="H22" s="647" t="str">
        <f t="shared" si="0"/>
        <v>sanitaire ruimte (toilet-/doucheruimte)</v>
      </c>
      <c r="I22" s="718" t="s">
        <v>84</v>
      </c>
      <c r="J22" s="650">
        <v>3.1</v>
      </c>
      <c r="K22" s="650"/>
      <c r="L22" s="559">
        <v>4153</v>
      </c>
      <c r="M22" s="557">
        <f t="shared" si="1"/>
        <v>104</v>
      </c>
      <c r="N22" s="453"/>
      <c r="O22" s="557">
        <f t="shared" si="2"/>
        <v>153</v>
      </c>
      <c r="P22" s="633">
        <v>1</v>
      </c>
      <c r="Q22" s="776">
        <f t="shared" si="3"/>
        <v>0</v>
      </c>
      <c r="R22" s="776">
        <f t="shared" si="4"/>
        <v>0</v>
      </c>
      <c r="S22" s="552">
        <f t="shared" si="5"/>
        <v>0</v>
      </c>
      <c r="T22" s="626">
        <f t="shared" si="6"/>
        <v>0</v>
      </c>
      <c r="U22" s="626">
        <f t="shared" si="7"/>
        <v>0</v>
      </c>
      <c r="V22" s="553">
        <f t="shared" si="8"/>
        <v>0</v>
      </c>
      <c r="W22" s="554" t="str">
        <f t="shared" si="9"/>
        <v>S</v>
      </c>
      <c r="X22" s="555"/>
      <c r="Y22" s="631">
        <f>IF(Q22=0,0,(Q22+R22)*'1.0-Contractblad'!$L$98)</f>
        <v>0</v>
      </c>
      <c r="Z22" s="632">
        <f ca="1">IF(J22=0,0,VLOOKUP(D22,'1.1a-Jaarprijzen'!$B$70:$P$124,14,FALSE)*(K22+J22))</f>
        <v>0</v>
      </c>
    </row>
    <row r="23" spans="1:26" hidden="1">
      <c r="A23" s="558"/>
      <c r="B23" s="548"/>
      <c r="C23" s="659">
        <v>3</v>
      </c>
      <c r="D23" s="549" t="s">
        <v>1476</v>
      </c>
      <c r="E23" s="660" t="s">
        <v>502</v>
      </c>
      <c r="F23" s="648" t="s">
        <v>517</v>
      </c>
      <c r="G23" s="649" t="s">
        <v>1221</v>
      </c>
      <c r="H23" s="647" t="str">
        <f t="shared" si="0"/>
        <v>entree, gang, hal, repro, kopieer, was/droogruimte</v>
      </c>
      <c r="I23" s="718" t="s">
        <v>106</v>
      </c>
      <c r="J23" s="650">
        <v>31.8</v>
      </c>
      <c r="K23" s="650"/>
      <c r="L23" s="651">
        <v>3153</v>
      </c>
      <c r="M23" s="557">
        <f t="shared" si="1"/>
        <v>103</v>
      </c>
      <c r="N23" s="453"/>
      <c r="O23" s="557">
        <f t="shared" si="2"/>
        <v>153</v>
      </c>
      <c r="P23" s="633">
        <v>1</v>
      </c>
      <c r="Q23" s="776">
        <f t="shared" si="3"/>
        <v>0</v>
      </c>
      <c r="R23" s="776">
        <f t="shared" si="4"/>
        <v>0</v>
      </c>
      <c r="S23" s="552">
        <f t="shared" si="5"/>
        <v>0</v>
      </c>
      <c r="T23" s="626">
        <f t="shared" si="6"/>
        <v>0</v>
      </c>
      <c r="U23" s="626">
        <f t="shared" si="7"/>
        <v>0</v>
      </c>
      <c r="V23" s="553">
        <f t="shared" si="8"/>
        <v>0</v>
      </c>
      <c r="W23" s="554" t="str">
        <f t="shared" si="9"/>
        <v>V</v>
      </c>
      <c r="X23" s="555"/>
      <c r="Y23" s="631">
        <f>IF(Q23=0,0,(Q23+R23)*'1.0-Contractblad'!$L$98)</f>
        <v>0</v>
      </c>
      <c r="Z23" s="632">
        <f ca="1">IF(J23=0,0,VLOOKUP(D23,'1.1a-Jaarprijzen'!$B$70:$P$124,14,FALSE)*(K23+J23))</f>
        <v>0</v>
      </c>
    </row>
    <row r="24" spans="1:26" hidden="1">
      <c r="A24" s="558"/>
      <c r="B24" s="548"/>
      <c r="C24" s="659">
        <v>3</v>
      </c>
      <c r="D24" s="549" t="s">
        <v>1476</v>
      </c>
      <c r="E24" s="660" t="s">
        <v>502</v>
      </c>
      <c r="F24" s="648" t="s">
        <v>518</v>
      </c>
      <c r="G24" s="649" t="s">
        <v>1222</v>
      </c>
      <c r="H24" s="647" t="str">
        <f t="shared" si="0"/>
        <v>administratieve -, personeels- en vergaderruimte</v>
      </c>
      <c r="I24" s="718" t="s">
        <v>106</v>
      </c>
      <c r="J24" s="650">
        <v>18.3</v>
      </c>
      <c r="K24" s="650"/>
      <c r="L24" s="651">
        <v>1102</v>
      </c>
      <c r="M24" s="557">
        <f t="shared" si="1"/>
        <v>101</v>
      </c>
      <c r="N24" s="453"/>
      <c r="O24" s="557">
        <f t="shared" si="2"/>
        <v>102</v>
      </c>
      <c r="P24" s="633">
        <v>1</v>
      </c>
      <c r="Q24" s="776">
        <f t="shared" si="3"/>
        <v>0</v>
      </c>
      <c r="R24" s="776">
        <f t="shared" si="4"/>
        <v>0</v>
      </c>
      <c r="S24" s="552">
        <f t="shared" si="5"/>
        <v>0</v>
      </c>
      <c r="T24" s="626">
        <f t="shared" si="6"/>
        <v>0</v>
      </c>
      <c r="U24" s="626">
        <f t="shared" si="7"/>
        <v>0</v>
      </c>
      <c r="V24" s="553">
        <f t="shared" si="8"/>
        <v>0</v>
      </c>
      <c r="W24" s="554" t="str">
        <f t="shared" si="9"/>
        <v>B</v>
      </c>
      <c r="X24" s="555"/>
      <c r="Y24" s="631">
        <f>IF(Q24=0,0,(Q24+R24)*'1.0-Contractblad'!$L$98)</f>
        <v>0</v>
      </c>
      <c r="Z24" s="632">
        <f ca="1">IF(J24=0,0,VLOOKUP(D24,'1.1a-Jaarprijzen'!$B$70:$P$124,14,FALSE)*(K24+J24))</f>
        <v>0</v>
      </c>
    </row>
    <row r="25" spans="1:26" hidden="1">
      <c r="A25" s="558"/>
      <c r="B25" s="548"/>
      <c r="C25" s="659">
        <v>3</v>
      </c>
      <c r="D25" s="549" t="s">
        <v>1476</v>
      </c>
      <c r="E25" s="660" t="s">
        <v>502</v>
      </c>
      <c r="F25" s="648" t="s">
        <v>519</v>
      </c>
      <c r="G25" s="649" t="s">
        <v>1223</v>
      </c>
      <c r="H25" s="647" t="str">
        <f t="shared" si="0"/>
        <v>administratieve -, personeels- en vergaderruimte</v>
      </c>
      <c r="I25" s="718" t="s">
        <v>106</v>
      </c>
      <c r="J25" s="650">
        <v>23.5</v>
      </c>
      <c r="K25" s="650"/>
      <c r="L25" s="651">
        <v>1102</v>
      </c>
      <c r="M25" s="557">
        <f t="shared" si="1"/>
        <v>101</v>
      </c>
      <c r="N25" s="453"/>
      <c r="O25" s="557">
        <f t="shared" si="2"/>
        <v>102</v>
      </c>
      <c r="P25" s="633">
        <v>1</v>
      </c>
      <c r="Q25" s="776">
        <f t="shared" si="3"/>
        <v>0</v>
      </c>
      <c r="R25" s="776">
        <f t="shared" si="4"/>
        <v>0</v>
      </c>
      <c r="S25" s="552">
        <f t="shared" si="5"/>
        <v>0</v>
      </c>
      <c r="T25" s="626">
        <f t="shared" si="6"/>
        <v>0</v>
      </c>
      <c r="U25" s="626">
        <f t="shared" si="7"/>
        <v>0</v>
      </c>
      <c r="V25" s="553">
        <f t="shared" si="8"/>
        <v>0</v>
      </c>
      <c r="W25" s="554" t="str">
        <f t="shared" si="9"/>
        <v>B</v>
      </c>
      <c r="X25" s="555"/>
      <c r="Y25" s="631">
        <f>IF(Q25=0,0,(Q25+R25)*'1.0-Contractblad'!$L$98)</f>
        <v>0</v>
      </c>
      <c r="Z25" s="632">
        <f ca="1">IF(J25=0,0,VLOOKUP(D25,'1.1a-Jaarprijzen'!$B$70:$P$124,14,FALSE)*(K25+J25))</f>
        <v>0</v>
      </c>
    </row>
    <row r="26" spans="1:26" hidden="1">
      <c r="A26" s="558"/>
      <c r="B26" s="548"/>
      <c r="C26" s="659">
        <v>3</v>
      </c>
      <c r="D26" s="549" t="s">
        <v>1476</v>
      </c>
      <c r="E26" s="660" t="s">
        <v>502</v>
      </c>
      <c r="F26" s="648" t="s">
        <v>520</v>
      </c>
      <c r="G26" s="649" t="s">
        <v>1223</v>
      </c>
      <c r="H26" s="647" t="str">
        <f t="shared" si="0"/>
        <v>administratieve -, personeels- en vergaderruimte</v>
      </c>
      <c r="I26" s="718" t="s">
        <v>106</v>
      </c>
      <c r="J26" s="650">
        <v>23.5</v>
      </c>
      <c r="K26" s="650"/>
      <c r="L26" s="651">
        <v>1102</v>
      </c>
      <c r="M26" s="557">
        <f t="shared" si="1"/>
        <v>101</v>
      </c>
      <c r="N26" s="453"/>
      <c r="O26" s="557">
        <f t="shared" si="2"/>
        <v>102</v>
      </c>
      <c r="P26" s="633">
        <v>1</v>
      </c>
      <c r="Q26" s="776">
        <f t="shared" si="3"/>
        <v>0</v>
      </c>
      <c r="R26" s="776">
        <f t="shared" si="4"/>
        <v>0</v>
      </c>
      <c r="S26" s="552">
        <f t="shared" si="5"/>
        <v>0</v>
      </c>
      <c r="T26" s="626">
        <f t="shared" si="6"/>
        <v>0</v>
      </c>
      <c r="U26" s="626">
        <f t="shared" si="7"/>
        <v>0</v>
      </c>
      <c r="V26" s="553">
        <f t="shared" si="8"/>
        <v>0</v>
      </c>
      <c r="W26" s="554" t="str">
        <f t="shared" si="9"/>
        <v>B</v>
      </c>
      <c r="X26" s="555"/>
      <c r="Y26" s="631">
        <f>IF(Q26=0,0,(Q26+R26)*'1.0-Contractblad'!$L$98)</f>
        <v>0</v>
      </c>
      <c r="Z26" s="632">
        <f ca="1">IF(J26=0,0,VLOOKUP(D26,'1.1a-Jaarprijzen'!$B$70:$P$124,14,FALSE)*(K26+J26))</f>
        <v>0</v>
      </c>
    </row>
    <row r="27" spans="1:26" hidden="1">
      <c r="A27" s="558"/>
      <c r="B27" s="548"/>
      <c r="C27" s="659">
        <v>3</v>
      </c>
      <c r="D27" s="549" t="s">
        <v>1476</v>
      </c>
      <c r="E27" s="660" t="s">
        <v>502</v>
      </c>
      <c r="F27" s="648" t="s">
        <v>521</v>
      </c>
      <c r="G27" s="649" t="s">
        <v>1223</v>
      </c>
      <c r="H27" s="647" t="str">
        <f t="shared" si="0"/>
        <v>administratieve -, personeels- en vergaderruimte</v>
      </c>
      <c r="I27" s="718" t="s">
        <v>106</v>
      </c>
      <c r="J27" s="650">
        <v>23.5</v>
      </c>
      <c r="K27" s="650"/>
      <c r="L27" s="651">
        <v>1102</v>
      </c>
      <c r="M27" s="557">
        <f t="shared" si="1"/>
        <v>101</v>
      </c>
      <c r="N27" s="453"/>
      <c r="O27" s="557">
        <f t="shared" si="2"/>
        <v>102</v>
      </c>
      <c r="P27" s="633">
        <v>1</v>
      </c>
      <c r="Q27" s="776">
        <f t="shared" si="3"/>
        <v>0</v>
      </c>
      <c r="R27" s="776">
        <f t="shared" si="4"/>
        <v>0</v>
      </c>
      <c r="S27" s="552">
        <f t="shared" si="5"/>
        <v>0</v>
      </c>
      <c r="T27" s="626">
        <f t="shared" si="6"/>
        <v>0</v>
      </c>
      <c r="U27" s="626">
        <f t="shared" si="7"/>
        <v>0</v>
      </c>
      <c r="V27" s="553">
        <f t="shared" si="8"/>
        <v>0</v>
      </c>
      <c r="W27" s="554" t="str">
        <f t="shared" si="9"/>
        <v>B</v>
      </c>
      <c r="X27" s="555"/>
      <c r="Y27" s="631">
        <f>IF(Q27=0,0,(Q27+R27)*'1.0-Contractblad'!$L$98)</f>
        <v>0</v>
      </c>
      <c r="Z27" s="632">
        <f ca="1">IF(J27=0,0,VLOOKUP(D27,'1.1a-Jaarprijzen'!$B$70:$P$124,14,FALSE)*(K27+J27))</f>
        <v>0</v>
      </c>
    </row>
    <row r="28" spans="1:26" hidden="1">
      <c r="A28" s="558"/>
      <c r="B28" s="548"/>
      <c r="C28" s="659">
        <v>3</v>
      </c>
      <c r="D28" s="549" t="s">
        <v>1476</v>
      </c>
      <c r="E28" s="550" t="s">
        <v>502</v>
      </c>
      <c r="F28" s="551" t="s">
        <v>522</v>
      </c>
      <c r="G28" s="649" t="s">
        <v>1224</v>
      </c>
      <c r="H28" s="647" t="str">
        <f t="shared" si="0"/>
        <v>pantry</v>
      </c>
      <c r="I28" s="719" t="s">
        <v>106</v>
      </c>
      <c r="J28" s="623">
        <v>3.1</v>
      </c>
      <c r="K28" s="623"/>
      <c r="L28" s="559">
        <v>5153</v>
      </c>
      <c r="M28" s="557">
        <f t="shared" si="1"/>
        <v>105</v>
      </c>
      <c r="N28" s="453"/>
      <c r="O28" s="557">
        <f t="shared" si="2"/>
        <v>153</v>
      </c>
      <c r="P28" s="633">
        <v>1</v>
      </c>
      <c r="Q28" s="776">
        <f t="shared" si="3"/>
        <v>0</v>
      </c>
      <c r="R28" s="776">
        <f t="shared" si="4"/>
        <v>0</v>
      </c>
      <c r="S28" s="552">
        <f t="shared" si="5"/>
        <v>0</v>
      </c>
      <c r="T28" s="626">
        <f t="shared" si="6"/>
        <v>0</v>
      </c>
      <c r="U28" s="626">
        <f t="shared" si="7"/>
        <v>0</v>
      </c>
      <c r="V28" s="553">
        <f t="shared" si="8"/>
        <v>0</v>
      </c>
      <c r="W28" s="554" t="str">
        <f t="shared" si="9"/>
        <v>V</v>
      </c>
      <c r="X28" s="556"/>
      <c r="Y28" s="631">
        <f>IF(Q28=0,0,(Q28+R28)*'1.0-Contractblad'!$L$98)</f>
        <v>0</v>
      </c>
      <c r="Z28" s="632">
        <f ca="1">IF(J28=0,0,VLOOKUP(D28,'1.1a-Jaarprijzen'!$B$70:$P$124,14,FALSE)*(K28+J28))</f>
        <v>0</v>
      </c>
    </row>
    <row r="29" spans="1:26" hidden="1">
      <c r="A29" s="558"/>
      <c r="B29" s="548"/>
      <c r="C29" s="659">
        <v>3</v>
      </c>
      <c r="D29" s="549" t="s">
        <v>1476</v>
      </c>
      <c r="E29" s="550" t="s">
        <v>502</v>
      </c>
      <c r="F29" s="551" t="s">
        <v>523</v>
      </c>
      <c r="G29" s="649" t="s">
        <v>1225</v>
      </c>
      <c r="H29" s="647" t="str">
        <f t="shared" si="0"/>
        <v>entree, gang, hal, repro, kopieer, was/droogruimte</v>
      </c>
      <c r="I29" s="719" t="s">
        <v>106</v>
      </c>
      <c r="J29" s="623">
        <v>3.1</v>
      </c>
      <c r="K29" s="623"/>
      <c r="L29" s="651">
        <v>3153</v>
      </c>
      <c r="M29" s="557">
        <f t="shared" si="1"/>
        <v>103</v>
      </c>
      <c r="N29" s="453"/>
      <c r="O29" s="557">
        <f t="shared" si="2"/>
        <v>153</v>
      </c>
      <c r="P29" s="633">
        <v>1</v>
      </c>
      <c r="Q29" s="776">
        <f t="shared" si="3"/>
        <v>0</v>
      </c>
      <c r="R29" s="776">
        <f t="shared" si="4"/>
        <v>0</v>
      </c>
      <c r="S29" s="552">
        <f t="shared" si="5"/>
        <v>0</v>
      </c>
      <c r="T29" s="626">
        <f t="shared" si="6"/>
        <v>0</v>
      </c>
      <c r="U29" s="626">
        <f t="shared" si="7"/>
        <v>0</v>
      </c>
      <c r="V29" s="553">
        <f t="shared" si="8"/>
        <v>0</v>
      </c>
      <c r="W29" s="554" t="str">
        <f t="shared" si="9"/>
        <v>V</v>
      </c>
      <c r="X29" s="555"/>
      <c r="Y29" s="631">
        <f>IF(Q29=0,0,(Q29+R29)*'1.0-Contractblad'!$L$98)</f>
        <v>0</v>
      </c>
      <c r="Z29" s="632">
        <f ca="1">IF(J29=0,0,VLOOKUP(D29,'1.1a-Jaarprijzen'!$B$70:$P$124,14,FALSE)*(K29+J29))</f>
        <v>0</v>
      </c>
    </row>
    <row r="30" spans="1:26" hidden="1">
      <c r="A30" s="558"/>
      <c r="B30" s="548"/>
      <c r="C30" s="659">
        <v>3</v>
      </c>
      <c r="D30" s="549" t="s">
        <v>1476</v>
      </c>
      <c r="E30" s="550" t="s">
        <v>502</v>
      </c>
      <c r="F30" s="551" t="s">
        <v>524</v>
      </c>
      <c r="G30" s="649" t="s">
        <v>1226</v>
      </c>
      <c r="H30" s="647" t="str">
        <f t="shared" si="0"/>
        <v>aula, gemeenschappelijke ruimte, bibliotheek</v>
      </c>
      <c r="I30" s="719" t="s">
        <v>106</v>
      </c>
      <c r="J30" s="623">
        <v>2.2000000000000002</v>
      </c>
      <c r="K30" s="623"/>
      <c r="L30" s="651">
        <v>2153</v>
      </c>
      <c r="M30" s="557">
        <f t="shared" si="1"/>
        <v>102</v>
      </c>
      <c r="N30" s="453"/>
      <c r="O30" s="557">
        <f t="shared" si="2"/>
        <v>153</v>
      </c>
      <c r="P30" s="633">
        <v>1</v>
      </c>
      <c r="Q30" s="776">
        <f t="shared" si="3"/>
        <v>0</v>
      </c>
      <c r="R30" s="776">
        <f t="shared" si="4"/>
        <v>0</v>
      </c>
      <c r="S30" s="552">
        <f t="shared" si="5"/>
        <v>0</v>
      </c>
      <c r="T30" s="626">
        <f t="shared" si="6"/>
        <v>0</v>
      </c>
      <c r="U30" s="626">
        <f t="shared" si="7"/>
        <v>0</v>
      </c>
      <c r="V30" s="553">
        <f t="shared" si="8"/>
        <v>0</v>
      </c>
      <c r="W30" s="554" t="str">
        <f t="shared" si="9"/>
        <v>V</v>
      </c>
      <c r="X30" s="555"/>
      <c r="Y30" s="631">
        <f>IF(Q30=0,0,(Q30+R30)*'1.0-Contractblad'!$L$98)</f>
        <v>0</v>
      </c>
      <c r="Z30" s="632">
        <f ca="1">IF(J30=0,0,VLOOKUP(D30,'1.1a-Jaarprijzen'!$B$70:$P$124,14,FALSE)*(K30+J30))</f>
        <v>0</v>
      </c>
    </row>
    <row r="31" spans="1:26" hidden="1">
      <c r="A31" s="558"/>
      <c r="B31" s="548"/>
      <c r="C31" s="659">
        <v>3</v>
      </c>
      <c r="D31" s="549" t="s">
        <v>1476</v>
      </c>
      <c r="E31" s="550" t="s">
        <v>502</v>
      </c>
      <c r="F31" s="551" t="s">
        <v>525</v>
      </c>
      <c r="G31" s="649" t="s">
        <v>1227</v>
      </c>
      <c r="H31" s="647" t="str">
        <f t="shared" si="0"/>
        <v>niet van toepassing</v>
      </c>
      <c r="I31" s="719"/>
      <c r="J31" s="623"/>
      <c r="K31" s="623"/>
      <c r="L31" s="668" t="s">
        <v>27</v>
      </c>
      <c r="M31" s="557">
        <f t="shared" si="1"/>
        <v>0</v>
      </c>
      <c r="N31" s="453"/>
      <c r="O31" s="557">
        <f t="shared" si="2"/>
        <v>0</v>
      </c>
      <c r="P31" s="633">
        <v>1</v>
      </c>
      <c r="Q31" s="776">
        <f t="shared" si="3"/>
        <v>0</v>
      </c>
      <c r="R31" s="776">
        <f t="shared" si="4"/>
        <v>0</v>
      </c>
      <c r="S31" s="552">
        <f t="shared" si="5"/>
        <v>0</v>
      </c>
      <c r="T31" s="626">
        <f t="shared" si="6"/>
        <v>0</v>
      </c>
      <c r="U31" s="626">
        <f t="shared" si="7"/>
        <v>0</v>
      </c>
      <c r="V31" s="553">
        <f t="shared" si="8"/>
        <v>0</v>
      </c>
      <c r="W31" s="554">
        <f t="shared" si="9"/>
        <v>0</v>
      </c>
      <c r="X31" s="454" t="s">
        <v>1454</v>
      </c>
      <c r="Y31" s="631">
        <f>IF(Q31=0,0,(Q31+R31)*'1.0-Contractblad'!$L$98)</f>
        <v>0</v>
      </c>
      <c r="Z31" s="632">
        <f>IF(J31=0,0,VLOOKUP(D31,'1.1a-Jaarprijzen'!$B$70:$P$124,14,FALSE)*(K31+J31))</f>
        <v>0</v>
      </c>
    </row>
    <row r="32" spans="1:26" hidden="1">
      <c r="A32" s="558"/>
      <c r="B32" s="548"/>
      <c r="C32" s="659">
        <v>3</v>
      </c>
      <c r="D32" s="549" t="s">
        <v>1476</v>
      </c>
      <c r="E32" s="550" t="s">
        <v>502</v>
      </c>
      <c r="F32" s="551" t="s">
        <v>526</v>
      </c>
      <c r="G32" s="649" t="s">
        <v>1228</v>
      </c>
      <c r="H32" s="647" t="str">
        <f t="shared" si="0"/>
        <v>entree, gang, hal, repro, kopieer, was/droogruimte</v>
      </c>
      <c r="I32" s="719" t="s">
        <v>106</v>
      </c>
      <c r="J32" s="623">
        <v>11.2</v>
      </c>
      <c r="K32" s="623"/>
      <c r="L32" s="651">
        <v>3153</v>
      </c>
      <c r="M32" s="557">
        <f t="shared" si="1"/>
        <v>103</v>
      </c>
      <c r="N32" s="453"/>
      <c r="O32" s="557">
        <f t="shared" si="2"/>
        <v>153</v>
      </c>
      <c r="P32" s="633">
        <v>1</v>
      </c>
      <c r="Q32" s="776">
        <f t="shared" si="3"/>
        <v>0</v>
      </c>
      <c r="R32" s="776">
        <f t="shared" si="4"/>
        <v>0</v>
      </c>
      <c r="S32" s="552">
        <f t="shared" si="5"/>
        <v>0</v>
      </c>
      <c r="T32" s="626">
        <f t="shared" si="6"/>
        <v>0</v>
      </c>
      <c r="U32" s="626">
        <f t="shared" si="7"/>
        <v>0</v>
      </c>
      <c r="V32" s="553">
        <f t="shared" si="8"/>
        <v>0</v>
      </c>
      <c r="W32" s="554" t="str">
        <f t="shared" si="9"/>
        <v>V</v>
      </c>
      <c r="X32" s="555"/>
      <c r="Y32" s="631">
        <f>IF(Q32=0,0,(Q32+R32)*'1.0-Contractblad'!$L$98)</f>
        <v>0</v>
      </c>
      <c r="Z32" s="632">
        <f ca="1">IF(J32=0,0,VLOOKUP(D32,'1.1a-Jaarprijzen'!$B$70:$P$124,14,FALSE)*(K32+J32))</f>
        <v>0</v>
      </c>
    </row>
    <row r="33" spans="1:26" hidden="1">
      <c r="A33" s="558"/>
      <c r="B33" s="548"/>
      <c r="C33" s="659">
        <v>3</v>
      </c>
      <c r="D33" s="549" t="s">
        <v>1476</v>
      </c>
      <c r="E33" s="550" t="s">
        <v>502</v>
      </c>
      <c r="F33" s="551" t="s">
        <v>527</v>
      </c>
      <c r="G33" s="649" t="s">
        <v>1229</v>
      </c>
      <c r="H33" s="647" t="str">
        <f t="shared" si="0"/>
        <v>administratieve -, personeels- en vergaderruimte</v>
      </c>
      <c r="I33" s="719" t="s">
        <v>106</v>
      </c>
      <c r="J33" s="623">
        <v>11.3</v>
      </c>
      <c r="K33" s="623"/>
      <c r="L33" s="651">
        <v>1153</v>
      </c>
      <c r="M33" s="557">
        <f t="shared" si="1"/>
        <v>101</v>
      </c>
      <c r="N33" s="453"/>
      <c r="O33" s="557">
        <f t="shared" si="2"/>
        <v>153</v>
      </c>
      <c r="P33" s="633">
        <v>1</v>
      </c>
      <c r="Q33" s="776">
        <f t="shared" si="3"/>
        <v>0</v>
      </c>
      <c r="R33" s="776">
        <f t="shared" si="4"/>
        <v>0</v>
      </c>
      <c r="S33" s="552">
        <f t="shared" si="5"/>
        <v>0</v>
      </c>
      <c r="T33" s="626">
        <f t="shared" si="6"/>
        <v>0</v>
      </c>
      <c r="U33" s="626">
        <f t="shared" si="7"/>
        <v>0</v>
      </c>
      <c r="V33" s="553">
        <f t="shared" si="8"/>
        <v>0</v>
      </c>
      <c r="W33" s="554" t="str">
        <f t="shared" si="9"/>
        <v>B</v>
      </c>
      <c r="X33" s="454"/>
      <c r="Y33" s="631">
        <f>IF(Q33=0,0,(Q33+R33)*'1.0-Contractblad'!$L$98)</f>
        <v>0</v>
      </c>
      <c r="Z33" s="632">
        <f ca="1">IF(J33=0,0,VLOOKUP(D33,'1.1a-Jaarprijzen'!$B$70:$P$124,14,FALSE)*(K33+J33))</f>
        <v>0</v>
      </c>
    </row>
    <row r="34" spans="1:26" hidden="1">
      <c r="A34" s="558"/>
      <c r="B34" s="548"/>
      <c r="C34" s="659">
        <v>3</v>
      </c>
      <c r="D34" s="549" t="s">
        <v>1476</v>
      </c>
      <c r="E34" s="550" t="s">
        <v>502</v>
      </c>
      <c r="F34" s="551" t="s">
        <v>528</v>
      </c>
      <c r="G34" s="649" t="s">
        <v>1229</v>
      </c>
      <c r="H34" s="647" t="str">
        <f t="shared" si="0"/>
        <v>administratieve -, personeels- en vergaderruimte</v>
      </c>
      <c r="I34" s="719" t="s">
        <v>106</v>
      </c>
      <c r="J34" s="623">
        <v>12.1</v>
      </c>
      <c r="K34" s="623"/>
      <c r="L34" s="651">
        <v>1153</v>
      </c>
      <c r="M34" s="557">
        <f t="shared" si="1"/>
        <v>101</v>
      </c>
      <c r="N34" s="453"/>
      <c r="O34" s="557">
        <f t="shared" si="2"/>
        <v>153</v>
      </c>
      <c r="P34" s="633">
        <v>1</v>
      </c>
      <c r="Q34" s="776">
        <f t="shared" si="3"/>
        <v>0</v>
      </c>
      <c r="R34" s="776">
        <f t="shared" si="4"/>
        <v>0</v>
      </c>
      <c r="S34" s="552">
        <f t="shared" si="5"/>
        <v>0</v>
      </c>
      <c r="T34" s="626">
        <f t="shared" si="6"/>
        <v>0</v>
      </c>
      <c r="U34" s="626">
        <f t="shared" si="7"/>
        <v>0</v>
      </c>
      <c r="V34" s="553">
        <f t="shared" si="8"/>
        <v>0</v>
      </c>
      <c r="W34" s="554" t="str">
        <f t="shared" si="9"/>
        <v>B</v>
      </c>
      <c r="X34" s="454"/>
      <c r="Y34" s="631">
        <f>IF(Q34=0,0,(Q34+R34)*'1.0-Contractblad'!$L$98)</f>
        <v>0</v>
      </c>
      <c r="Z34" s="632">
        <f ca="1">IF(J34=0,0,VLOOKUP(D34,'1.1a-Jaarprijzen'!$B$70:$P$124,14,FALSE)*(K34+J34))</f>
        <v>0</v>
      </c>
    </row>
    <row r="35" spans="1:26" hidden="1">
      <c r="A35" s="558"/>
      <c r="B35" s="548"/>
      <c r="C35" s="659">
        <v>3</v>
      </c>
      <c r="D35" s="549" t="s">
        <v>1476</v>
      </c>
      <c r="E35" s="550" t="s">
        <v>502</v>
      </c>
      <c r="F35" s="551" t="s">
        <v>529</v>
      </c>
      <c r="G35" s="649" t="s">
        <v>1229</v>
      </c>
      <c r="H35" s="647" t="str">
        <f t="shared" si="0"/>
        <v>administratieve -, personeels- en vergaderruimte</v>
      </c>
      <c r="I35" s="719" t="s">
        <v>106</v>
      </c>
      <c r="J35" s="623">
        <v>13.2</v>
      </c>
      <c r="K35" s="623"/>
      <c r="L35" s="651">
        <v>1153</v>
      </c>
      <c r="M35" s="557">
        <f t="shared" si="1"/>
        <v>101</v>
      </c>
      <c r="N35" s="453"/>
      <c r="O35" s="557">
        <f t="shared" si="2"/>
        <v>153</v>
      </c>
      <c r="P35" s="633">
        <v>1</v>
      </c>
      <c r="Q35" s="776">
        <f t="shared" si="3"/>
        <v>0</v>
      </c>
      <c r="R35" s="776">
        <f t="shared" si="4"/>
        <v>0</v>
      </c>
      <c r="S35" s="552">
        <f t="shared" si="5"/>
        <v>0</v>
      </c>
      <c r="T35" s="626">
        <f t="shared" si="6"/>
        <v>0</v>
      </c>
      <c r="U35" s="626">
        <f t="shared" si="7"/>
        <v>0</v>
      </c>
      <c r="V35" s="553">
        <f t="shared" si="8"/>
        <v>0</v>
      </c>
      <c r="W35" s="554" t="str">
        <f t="shared" si="9"/>
        <v>B</v>
      </c>
      <c r="X35" s="454"/>
      <c r="Y35" s="631">
        <f>IF(Q35=0,0,(Q35+R35)*'1.0-Contractblad'!$L$98)</f>
        <v>0</v>
      </c>
      <c r="Z35" s="632">
        <f ca="1">IF(J35=0,0,VLOOKUP(D35,'1.1a-Jaarprijzen'!$B$70:$P$124,14,FALSE)*(K35+J35))</f>
        <v>0</v>
      </c>
    </row>
    <row r="36" spans="1:26" hidden="1">
      <c r="A36" s="558"/>
      <c r="B36" s="548"/>
      <c r="C36" s="659">
        <v>3</v>
      </c>
      <c r="D36" s="549" t="s">
        <v>1476</v>
      </c>
      <c r="E36" s="550" t="s">
        <v>502</v>
      </c>
      <c r="F36" s="551" t="s">
        <v>530</v>
      </c>
      <c r="G36" s="649" t="s">
        <v>1229</v>
      </c>
      <c r="H36" s="647" t="str">
        <f t="shared" si="0"/>
        <v>administratieve -, personeels- en vergaderruimte</v>
      </c>
      <c r="I36" s="719" t="s">
        <v>106</v>
      </c>
      <c r="J36" s="623">
        <v>12.2</v>
      </c>
      <c r="K36" s="623"/>
      <c r="L36" s="651">
        <v>1153</v>
      </c>
      <c r="M36" s="557">
        <f t="shared" si="1"/>
        <v>101</v>
      </c>
      <c r="N36" s="453"/>
      <c r="O36" s="557">
        <f t="shared" si="2"/>
        <v>153</v>
      </c>
      <c r="P36" s="633">
        <v>1</v>
      </c>
      <c r="Q36" s="776">
        <f t="shared" si="3"/>
        <v>0</v>
      </c>
      <c r="R36" s="776">
        <f t="shared" si="4"/>
        <v>0</v>
      </c>
      <c r="S36" s="552">
        <f t="shared" si="5"/>
        <v>0</v>
      </c>
      <c r="T36" s="626">
        <f t="shared" si="6"/>
        <v>0</v>
      </c>
      <c r="U36" s="626">
        <f t="shared" si="7"/>
        <v>0</v>
      </c>
      <c r="V36" s="553">
        <f t="shared" si="8"/>
        <v>0</v>
      </c>
      <c r="W36" s="554" t="str">
        <f t="shared" si="9"/>
        <v>B</v>
      </c>
      <c r="X36" s="454"/>
      <c r="Y36" s="631">
        <f>IF(Q36=0,0,(Q36+R36)*'1.0-Contractblad'!$L$98)</f>
        <v>0</v>
      </c>
      <c r="Z36" s="632">
        <f ca="1">IF(J36=0,0,VLOOKUP(D36,'1.1a-Jaarprijzen'!$B$70:$P$124,14,FALSE)*(K36+J36))</f>
        <v>0</v>
      </c>
    </row>
    <row r="37" spans="1:26" hidden="1">
      <c r="A37" s="558"/>
      <c r="B37" s="548"/>
      <c r="C37" s="659">
        <v>3</v>
      </c>
      <c r="D37" s="549" t="s">
        <v>1476</v>
      </c>
      <c r="E37" s="550" t="s">
        <v>502</v>
      </c>
      <c r="F37" s="551" t="s">
        <v>531</v>
      </c>
      <c r="G37" s="649" t="s">
        <v>1216</v>
      </c>
      <c r="H37" s="647" t="str">
        <f t="shared" si="0"/>
        <v>sanitaire ruimte (toilet-/doucheruimte)</v>
      </c>
      <c r="I37" s="719" t="s">
        <v>84</v>
      </c>
      <c r="J37" s="623">
        <v>1.4</v>
      </c>
      <c r="K37" s="623"/>
      <c r="L37" s="559">
        <v>4153</v>
      </c>
      <c r="M37" s="557">
        <f t="shared" si="1"/>
        <v>104</v>
      </c>
      <c r="N37" s="453"/>
      <c r="O37" s="557">
        <f t="shared" si="2"/>
        <v>153</v>
      </c>
      <c r="P37" s="633">
        <v>1</v>
      </c>
      <c r="Q37" s="776">
        <f t="shared" si="3"/>
        <v>0</v>
      </c>
      <c r="R37" s="776">
        <f t="shared" si="4"/>
        <v>0</v>
      </c>
      <c r="S37" s="552">
        <f t="shared" si="5"/>
        <v>0</v>
      </c>
      <c r="T37" s="626">
        <f t="shared" si="6"/>
        <v>0</v>
      </c>
      <c r="U37" s="626">
        <f t="shared" si="7"/>
        <v>0</v>
      </c>
      <c r="V37" s="553">
        <f t="shared" si="8"/>
        <v>0</v>
      </c>
      <c r="W37" s="554" t="str">
        <f t="shared" si="9"/>
        <v>S</v>
      </c>
      <c r="X37" s="555"/>
      <c r="Y37" s="631">
        <f>IF(Q37=0,0,(Q37+R37)*'1.0-Contractblad'!$L$98)</f>
        <v>0</v>
      </c>
      <c r="Z37" s="632">
        <f ca="1">IF(J37=0,0,VLOOKUP(D37,'1.1a-Jaarprijzen'!$B$70:$P$124,14,FALSE)*(K37+J37))</f>
        <v>0</v>
      </c>
    </row>
    <row r="38" spans="1:26" hidden="1">
      <c r="A38" s="558"/>
      <c r="B38" s="548"/>
      <c r="C38" s="659">
        <v>3</v>
      </c>
      <c r="D38" s="549" t="s">
        <v>1476</v>
      </c>
      <c r="E38" s="550" t="s">
        <v>502</v>
      </c>
      <c r="F38" s="551" t="s">
        <v>532</v>
      </c>
      <c r="G38" s="649" t="s">
        <v>1229</v>
      </c>
      <c r="H38" s="647" t="str">
        <f t="shared" si="0"/>
        <v>administratieve -, personeels- en vergaderruimte</v>
      </c>
      <c r="I38" s="719" t="s">
        <v>106</v>
      </c>
      <c r="J38" s="623">
        <v>21.7</v>
      </c>
      <c r="K38" s="623"/>
      <c r="L38" s="651">
        <v>1153</v>
      </c>
      <c r="M38" s="557">
        <f t="shared" si="1"/>
        <v>101</v>
      </c>
      <c r="N38" s="453"/>
      <c r="O38" s="557">
        <f t="shared" si="2"/>
        <v>153</v>
      </c>
      <c r="P38" s="633">
        <v>1</v>
      </c>
      <c r="Q38" s="776">
        <f t="shared" si="3"/>
        <v>0</v>
      </c>
      <c r="R38" s="776">
        <f t="shared" si="4"/>
        <v>0</v>
      </c>
      <c r="S38" s="552">
        <f t="shared" si="5"/>
        <v>0</v>
      </c>
      <c r="T38" s="626">
        <f t="shared" si="6"/>
        <v>0</v>
      </c>
      <c r="U38" s="626">
        <f t="shared" si="7"/>
        <v>0</v>
      </c>
      <c r="V38" s="553">
        <f t="shared" si="8"/>
        <v>0</v>
      </c>
      <c r="W38" s="554" t="str">
        <f t="shared" si="9"/>
        <v>B</v>
      </c>
      <c r="X38" s="454"/>
      <c r="Y38" s="631">
        <f>IF(Q38=0,0,(Q38+R38)*'1.0-Contractblad'!$L$98)</f>
        <v>0</v>
      </c>
      <c r="Z38" s="632">
        <f ca="1">IF(J38=0,0,VLOOKUP(D38,'1.1a-Jaarprijzen'!$B$70:$P$124,14,FALSE)*(K38+J38))</f>
        <v>0</v>
      </c>
    </row>
    <row r="39" spans="1:26" hidden="1">
      <c r="A39" s="558"/>
      <c r="B39" s="548"/>
      <c r="C39" s="659">
        <v>3</v>
      </c>
      <c r="D39" s="549" t="s">
        <v>1476</v>
      </c>
      <c r="E39" s="550" t="s">
        <v>502</v>
      </c>
      <c r="F39" s="551" t="s">
        <v>533</v>
      </c>
      <c r="G39" s="649" t="s">
        <v>1221</v>
      </c>
      <c r="H39" s="647" t="str">
        <f t="shared" si="0"/>
        <v>entree, gang, hal, repro, kopieer, was/droogruimte</v>
      </c>
      <c r="I39" s="719" t="s">
        <v>84</v>
      </c>
      <c r="J39" s="623">
        <v>30</v>
      </c>
      <c r="K39" s="623"/>
      <c r="L39" s="651">
        <v>3153</v>
      </c>
      <c r="M39" s="557">
        <f t="shared" si="1"/>
        <v>103</v>
      </c>
      <c r="N39" s="453"/>
      <c r="O39" s="557">
        <f t="shared" si="2"/>
        <v>153</v>
      </c>
      <c r="P39" s="633">
        <v>1</v>
      </c>
      <c r="Q39" s="776">
        <f t="shared" si="3"/>
        <v>0</v>
      </c>
      <c r="R39" s="776">
        <f t="shared" si="4"/>
        <v>0</v>
      </c>
      <c r="S39" s="552">
        <f t="shared" si="5"/>
        <v>0</v>
      </c>
      <c r="T39" s="626">
        <f t="shared" si="6"/>
        <v>0</v>
      </c>
      <c r="U39" s="626">
        <f t="shared" si="7"/>
        <v>0</v>
      </c>
      <c r="V39" s="553">
        <f t="shared" si="8"/>
        <v>0</v>
      </c>
      <c r="W39" s="554" t="str">
        <f t="shared" si="9"/>
        <v>V</v>
      </c>
      <c r="X39" s="555"/>
      <c r="Y39" s="631">
        <f>IF(Q39=0,0,(Q39+R39)*'1.0-Contractblad'!$L$98)</f>
        <v>0</v>
      </c>
      <c r="Z39" s="632">
        <f ca="1">IF(J39=0,0,VLOOKUP(D39,'1.1a-Jaarprijzen'!$B$70:$P$124,14,FALSE)*(K39+J39))</f>
        <v>0</v>
      </c>
    </row>
    <row r="40" spans="1:26" hidden="1">
      <c r="A40" s="558"/>
      <c r="B40" s="548"/>
      <c r="C40" s="659">
        <v>3</v>
      </c>
      <c r="D40" s="549" t="s">
        <v>1476</v>
      </c>
      <c r="E40" s="550" t="s">
        <v>502</v>
      </c>
      <c r="F40" s="551" t="s">
        <v>534</v>
      </c>
      <c r="G40" s="649" t="s">
        <v>1230</v>
      </c>
      <c r="H40" s="647" t="str">
        <f t="shared" si="0"/>
        <v>kleedruimten</v>
      </c>
      <c r="I40" s="719" t="s">
        <v>84</v>
      </c>
      <c r="J40" s="623">
        <v>23.4</v>
      </c>
      <c r="K40" s="623"/>
      <c r="L40" s="559">
        <v>13255</v>
      </c>
      <c r="M40" s="557">
        <f t="shared" si="1"/>
        <v>103</v>
      </c>
      <c r="N40" s="453"/>
      <c r="O40" s="557">
        <f t="shared" si="2"/>
        <v>255</v>
      </c>
      <c r="P40" s="633">
        <v>1</v>
      </c>
      <c r="Q40" s="776">
        <f t="shared" si="3"/>
        <v>0</v>
      </c>
      <c r="R40" s="776">
        <f t="shared" si="4"/>
        <v>0</v>
      </c>
      <c r="S40" s="552">
        <f t="shared" si="5"/>
        <v>0</v>
      </c>
      <c r="T40" s="626">
        <f t="shared" si="6"/>
        <v>0</v>
      </c>
      <c r="U40" s="626">
        <f t="shared" si="7"/>
        <v>0</v>
      </c>
      <c r="V40" s="553">
        <f t="shared" si="8"/>
        <v>0</v>
      </c>
      <c r="W40" s="554" t="str">
        <f t="shared" si="9"/>
        <v>V</v>
      </c>
      <c r="X40" s="556"/>
      <c r="Y40" s="631">
        <f>IF(Q40=0,0,(Q40+R40)*'1.0-Contractblad'!$L$98)</f>
        <v>0</v>
      </c>
      <c r="Z40" s="632">
        <f ca="1">IF(J40=0,0,VLOOKUP(D40,'1.1a-Jaarprijzen'!$B$70:$P$124,14,FALSE)*(K40+J40))</f>
        <v>0</v>
      </c>
    </row>
    <row r="41" spans="1:26" hidden="1">
      <c r="A41" s="558"/>
      <c r="B41" s="548"/>
      <c r="C41" s="659">
        <v>3</v>
      </c>
      <c r="D41" s="549" t="s">
        <v>1476</v>
      </c>
      <c r="E41" s="550" t="s">
        <v>502</v>
      </c>
      <c r="F41" s="551" t="s">
        <v>535</v>
      </c>
      <c r="G41" s="649" t="s">
        <v>1231</v>
      </c>
      <c r="H41" s="647" t="str">
        <f t="shared" si="0"/>
        <v>sanitaire ruimte (toilet-/doucheruimte)</v>
      </c>
      <c r="I41" s="719" t="s">
        <v>84</v>
      </c>
      <c r="J41" s="623">
        <v>5.0999999999999996</v>
      </c>
      <c r="K41" s="623"/>
      <c r="L41" s="559">
        <v>4255</v>
      </c>
      <c r="M41" s="557">
        <f t="shared" si="1"/>
        <v>104</v>
      </c>
      <c r="N41" s="453"/>
      <c r="O41" s="557">
        <f t="shared" si="2"/>
        <v>255</v>
      </c>
      <c r="P41" s="633">
        <v>1</v>
      </c>
      <c r="Q41" s="776">
        <f t="shared" si="3"/>
        <v>0</v>
      </c>
      <c r="R41" s="776">
        <f t="shared" si="4"/>
        <v>0</v>
      </c>
      <c r="S41" s="552">
        <f t="shared" si="5"/>
        <v>0</v>
      </c>
      <c r="T41" s="626">
        <f t="shared" si="6"/>
        <v>0</v>
      </c>
      <c r="U41" s="626">
        <f t="shared" si="7"/>
        <v>0</v>
      </c>
      <c r="V41" s="553">
        <f t="shared" si="8"/>
        <v>0</v>
      </c>
      <c r="W41" s="554" t="str">
        <f t="shared" si="9"/>
        <v>S</v>
      </c>
      <c r="X41" s="555"/>
      <c r="Y41" s="631">
        <f>IF(Q41=0,0,(Q41+R41)*'1.0-Contractblad'!$L$98)</f>
        <v>0</v>
      </c>
      <c r="Z41" s="632">
        <f ca="1">IF(J41=0,0,VLOOKUP(D41,'1.1a-Jaarprijzen'!$B$70:$P$124,14,FALSE)*(K41+J41))</f>
        <v>0</v>
      </c>
    </row>
    <row r="42" spans="1:26" hidden="1">
      <c r="A42" s="558"/>
      <c r="B42" s="548"/>
      <c r="C42" s="659">
        <v>3</v>
      </c>
      <c r="D42" s="549" t="s">
        <v>1476</v>
      </c>
      <c r="E42" s="550" t="s">
        <v>502</v>
      </c>
      <c r="F42" s="551" t="s">
        <v>536</v>
      </c>
      <c r="G42" s="649" t="s">
        <v>1232</v>
      </c>
      <c r="H42" s="647" t="str">
        <f t="shared" si="0"/>
        <v>niet van toepassing</v>
      </c>
      <c r="I42" s="719"/>
      <c r="J42" s="623"/>
      <c r="K42" s="623"/>
      <c r="L42" s="668" t="s">
        <v>27</v>
      </c>
      <c r="M42" s="557">
        <f t="shared" si="1"/>
        <v>0</v>
      </c>
      <c r="N42" s="453"/>
      <c r="O42" s="557">
        <f t="shared" si="2"/>
        <v>0</v>
      </c>
      <c r="P42" s="633">
        <v>1</v>
      </c>
      <c r="Q42" s="776">
        <f t="shared" si="3"/>
        <v>0</v>
      </c>
      <c r="R42" s="776">
        <f t="shared" si="4"/>
        <v>0</v>
      </c>
      <c r="S42" s="552">
        <f t="shared" si="5"/>
        <v>0</v>
      </c>
      <c r="T42" s="626">
        <f t="shared" si="6"/>
        <v>0</v>
      </c>
      <c r="U42" s="626">
        <f t="shared" si="7"/>
        <v>0</v>
      </c>
      <c r="V42" s="553">
        <f t="shared" si="8"/>
        <v>0</v>
      </c>
      <c r="W42" s="554">
        <f t="shared" si="9"/>
        <v>0</v>
      </c>
      <c r="X42" s="454" t="s">
        <v>1454</v>
      </c>
      <c r="Y42" s="631">
        <f>IF(Q42=0,0,(Q42+R42)*'1.0-Contractblad'!$L$98)</f>
        <v>0</v>
      </c>
      <c r="Z42" s="632">
        <f>IF(J42=0,0,VLOOKUP(D42,'1.1a-Jaarprijzen'!$B$70:$P$124,14,FALSE)*(K42+J42))</f>
        <v>0</v>
      </c>
    </row>
    <row r="43" spans="1:26" hidden="1">
      <c r="A43" s="558"/>
      <c r="B43" s="548"/>
      <c r="C43" s="659">
        <v>3</v>
      </c>
      <c r="D43" s="549" t="s">
        <v>1476</v>
      </c>
      <c r="E43" s="550" t="s">
        <v>502</v>
      </c>
      <c r="F43" s="551" t="s">
        <v>537</v>
      </c>
      <c r="G43" s="649" t="s">
        <v>1230</v>
      </c>
      <c r="H43" s="647" t="str">
        <f t="shared" si="0"/>
        <v>kleedruimten</v>
      </c>
      <c r="I43" s="719" t="s">
        <v>84</v>
      </c>
      <c r="J43" s="623">
        <v>11.6</v>
      </c>
      <c r="K43" s="623"/>
      <c r="L43" s="559">
        <v>13255</v>
      </c>
      <c r="M43" s="557">
        <f t="shared" si="1"/>
        <v>103</v>
      </c>
      <c r="N43" s="453"/>
      <c r="O43" s="557">
        <f t="shared" si="2"/>
        <v>255</v>
      </c>
      <c r="P43" s="633">
        <v>1</v>
      </c>
      <c r="Q43" s="776">
        <f t="shared" si="3"/>
        <v>0</v>
      </c>
      <c r="R43" s="776">
        <f t="shared" si="4"/>
        <v>0</v>
      </c>
      <c r="S43" s="552">
        <f t="shared" si="5"/>
        <v>0</v>
      </c>
      <c r="T43" s="626">
        <f t="shared" si="6"/>
        <v>0</v>
      </c>
      <c r="U43" s="626">
        <f t="shared" si="7"/>
        <v>0</v>
      </c>
      <c r="V43" s="553">
        <f t="shared" si="8"/>
        <v>0</v>
      </c>
      <c r="W43" s="554" t="str">
        <f t="shared" si="9"/>
        <v>V</v>
      </c>
      <c r="X43" s="556"/>
      <c r="Y43" s="631">
        <f>IF(Q43=0,0,(Q43+R43)*'1.0-Contractblad'!$L$98)</f>
        <v>0</v>
      </c>
      <c r="Z43" s="632">
        <f ca="1">IF(J43=0,0,VLOOKUP(D43,'1.1a-Jaarprijzen'!$B$70:$P$124,14,FALSE)*(K43+J43))</f>
        <v>0</v>
      </c>
    </row>
    <row r="44" spans="1:26" hidden="1">
      <c r="A44" s="558"/>
      <c r="B44" s="548"/>
      <c r="C44" s="659">
        <v>3</v>
      </c>
      <c r="D44" s="549" t="s">
        <v>1476</v>
      </c>
      <c r="E44" s="550" t="s">
        <v>502</v>
      </c>
      <c r="F44" s="551" t="s">
        <v>538</v>
      </c>
      <c r="G44" s="649" t="s">
        <v>1231</v>
      </c>
      <c r="H44" s="647" t="str">
        <f t="shared" si="0"/>
        <v>sanitaire ruimte (toilet-/doucheruimte)</v>
      </c>
      <c r="I44" s="719" t="s">
        <v>84</v>
      </c>
      <c r="J44" s="623">
        <v>11.4</v>
      </c>
      <c r="K44" s="623"/>
      <c r="L44" s="559">
        <v>4255</v>
      </c>
      <c r="M44" s="557">
        <f t="shared" si="1"/>
        <v>104</v>
      </c>
      <c r="N44" s="453"/>
      <c r="O44" s="557">
        <f t="shared" si="2"/>
        <v>255</v>
      </c>
      <c r="P44" s="633">
        <v>1</v>
      </c>
      <c r="Q44" s="776">
        <f t="shared" si="3"/>
        <v>0</v>
      </c>
      <c r="R44" s="776">
        <f t="shared" si="4"/>
        <v>0</v>
      </c>
      <c r="S44" s="552">
        <f t="shared" si="5"/>
        <v>0</v>
      </c>
      <c r="T44" s="626">
        <f t="shared" si="6"/>
        <v>0</v>
      </c>
      <c r="U44" s="626">
        <f t="shared" si="7"/>
        <v>0</v>
      </c>
      <c r="V44" s="553">
        <f t="shared" si="8"/>
        <v>0</v>
      </c>
      <c r="W44" s="554" t="str">
        <f t="shared" si="9"/>
        <v>S</v>
      </c>
      <c r="X44" s="555"/>
      <c r="Y44" s="631">
        <f>IF(Q44=0,0,(Q44+R44)*'1.0-Contractblad'!$L$98)</f>
        <v>0</v>
      </c>
      <c r="Z44" s="632">
        <f ca="1">IF(J44=0,0,VLOOKUP(D44,'1.1a-Jaarprijzen'!$B$70:$P$124,14,FALSE)*(K44+J44))</f>
        <v>0</v>
      </c>
    </row>
    <row r="45" spans="1:26" hidden="1">
      <c r="A45" s="558"/>
      <c r="B45" s="548"/>
      <c r="C45" s="659">
        <v>3</v>
      </c>
      <c r="D45" s="549" t="s">
        <v>1476</v>
      </c>
      <c r="E45" s="550" t="s">
        <v>502</v>
      </c>
      <c r="F45" s="551" t="s">
        <v>539</v>
      </c>
      <c r="G45" s="649" t="s">
        <v>1216</v>
      </c>
      <c r="H45" s="647" t="str">
        <f t="shared" si="0"/>
        <v>sanitaire ruimte (toilet-/doucheruimte)</v>
      </c>
      <c r="I45" s="719" t="s">
        <v>84</v>
      </c>
      <c r="J45" s="623">
        <v>1.2</v>
      </c>
      <c r="K45" s="623"/>
      <c r="L45" s="559">
        <v>4153</v>
      </c>
      <c r="M45" s="557">
        <f t="shared" si="1"/>
        <v>104</v>
      </c>
      <c r="N45" s="453"/>
      <c r="O45" s="557">
        <f t="shared" si="2"/>
        <v>153</v>
      </c>
      <c r="P45" s="633">
        <v>1</v>
      </c>
      <c r="Q45" s="776">
        <f t="shared" si="3"/>
        <v>0</v>
      </c>
      <c r="R45" s="776">
        <f t="shared" si="4"/>
        <v>0</v>
      </c>
      <c r="S45" s="552">
        <f t="shared" si="5"/>
        <v>0</v>
      </c>
      <c r="T45" s="626">
        <f t="shared" si="6"/>
        <v>0</v>
      </c>
      <c r="U45" s="626">
        <f t="shared" si="7"/>
        <v>0</v>
      </c>
      <c r="V45" s="553">
        <f t="shared" si="8"/>
        <v>0</v>
      </c>
      <c r="W45" s="554" t="str">
        <f t="shared" si="9"/>
        <v>S</v>
      </c>
      <c r="X45" s="555"/>
      <c r="Y45" s="631">
        <f>IF(Q45=0,0,(Q45+R45)*'1.0-Contractblad'!$L$98)</f>
        <v>0</v>
      </c>
      <c r="Z45" s="632">
        <f ca="1">IF(J45=0,0,VLOOKUP(D45,'1.1a-Jaarprijzen'!$B$70:$P$124,14,FALSE)*(K45+J45))</f>
        <v>0</v>
      </c>
    </row>
    <row r="46" spans="1:26" hidden="1">
      <c r="A46" s="558"/>
      <c r="B46" s="548"/>
      <c r="C46" s="659">
        <v>3</v>
      </c>
      <c r="D46" s="549" t="s">
        <v>1476</v>
      </c>
      <c r="E46" s="550" t="s">
        <v>502</v>
      </c>
      <c r="F46" s="551" t="s">
        <v>540</v>
      </c>
      <c r="G46" s="649" t="s">
        <v>1233</v>
      </c>
      <c r="H46" s="647" t="str">
        <f t="shared" si="0"/>
        <v>gymzaal</v>
      </c>
      <c r="I46" s="719" t="s">
        <v>490</v>
      </c>
      <c r="J46" s="623">
        <v>285.8</v>
      </c>
      <c r="K46" s="623"/>
      <c r="L46" s="559">
        <v>14153</v>
      </c>
      <c r="M46" s="557">
        <f t="shared" si="1"/>
        <v>108</v>
      </c>
      <c r="N46" s="453"/>
      <c r="O46" s="557">
        <f t="shared" si="2"/>
        <v>153</v>
      </c>
      <c r="P46" s="633">
        <v>1</v>
      </c>
      <c r="Q46" s="776">
        <f t="shared" si="3"/>
        <v>0</v>
      </c>
      <c r="R46" s="776">
        <f t="shared" si="4"/>
        <v>0</v>
      </c>
      <c r="S46" s="552">
        <f t="shared" si="5"/>
        <v>0</v>
      </c>
      <c r="T46" s="626">
        <f t="shared" si="6"/>
        <v>0</v>
      </c>
      <c r="U46" s="626">
        <f t="shared" si="7"/>
        <v>0</v>
      </c>
      <c r="V46" s="553">
        <f t="shared" si="8"/>
        <v>0</v>
      </c>
      <c r="W46" s="554" t="str">
        <f t="shared" si="9"/>
        <v>Sp</v>
      </c>
      <c r="X46" s="556"/>
      <c r="Y46" s="631">
        <f>IF(Q46=0,0,(Q46+R46)*'1.0-Contractblad'!$L$98)</f>
        <v>0</v>
      </c>
      <c r="Z46" s="632">
        <f ca="1">IF(J46=0,0,VLOOKUP(D46,'1.1a-Jaarprijzen'!$B$70:$P$124,14,FALSE)*(K46+J46))</f>
        <v>0</v>
      </c>
    </row>
    <row r="47" spans="1:26" hidden="1">
      <c r="A47" s="558"/>
      <c r="B47" s="548"/>
      <c r="C47" s="659">
        <v>3</v>
      </c>
      <c r="D47" s="549" t="s">
        <v>1476</v>
      </c>
      <c r="E47" s="550" t="s">
        <v>502</v>
      </c>
      <c r="F47" s="551" t="s">
        <v>541</v>
      </c>
      <c r="G47" s="649" t="s">
        <v>1234</v>
      </c>
      <c r="H47" s="647" t="str">
        <f t="shared" si="0"/>
        <v>administratieve -, personeels- en vergaderruimte</v>
      </c>
      <c r="I47" s="719" t="s">
        <v>106</v>
      </c>
      <c r="J47" s="623">
        <v>11.8</v>
      </c>
      <c r="K47" s="623"/>
      <c r="L47" s="651">
        <v>1153</v>
      </c>
      <c r="M47" s="557">
        <f t="shared" si="1"/>
        <v>101</v>
      </c>
      <c r="N47" s="453"/>
      <c r="O47" s="557">
        <f t="shared" si="2"/>
        <v>153</v>
      </c>
      <c r="P47" s="633">
        <v>1</v>
      </c>
      <c r="Q47" s="776">
        <f t="shared" si="3"/>
        <v>0</v>
      </c>
      <c r="R47" s="776">
        <f t="shared" si="4"/>
        <v>0</v>
      </c>
      <c r="S47" s="552">
        <f t="shared" si="5"/>
        <v>0</v>
      </c>
      <c r="T47" s="626">
        <f t="shared" si="6"/>
        <v>0</v>
      </c>
      <c r="U47" s="626">
        <f t="shared" si="7"/>
        <v>0</v>
      </c>
      <c r="V47" s="553">
        <f t="shared" si="8"/>
        <v>0</v>
      </c>
      <c r="W47" s="554" t="str">
        <f t="shared" si="9"/>
        <v>B</v>
      </c>
      <c r="X47" s="556"/>
      <c r="Y47" s="631">
        <f>IF(Q47=0,0,(Q47+R47)*'1.0-Contractblad'!$L$98)</f>
        <v>0</v>
      </c>
      <c r="Z47" s="632">
        <f ca="1">IF(J47=0,0,VLOOKUP(D47,'1.1a-Jaarprijzen'!$B$70:$P$124,14,FALSE)*(K47+J47))</f>
        <v>0</v>
      </c>
    </row>
    <row r="48" spans="1:26" hidden="1">
      <c r="A48" s="558"/>
      <c r="B48" s="548"/>
      <c r="C48" s="659">
        <v>3</v>
      </c>
      <c r="D48" s="549" t="s">
        <v>1476</v>
      </c>
      <c r="E48" s="550" t="s">
        <v>502</v>
      </c>
      <c r="F48" s="551" t="s">
        <v>542</v>
      </c>
      <c r="G48" s="649" t="s">
        <v>1235</v>
      </c>
      <c r="H48" s="647" t="str">
        <f t="shared" si="0"/>
        <v>niet van toepassing</v>
      </c>
      <c r="I48" s="719"/>
      <c r="J48" s="623"/>
      <c r="K48" s="623"/>
      <c r="L48" s="668" t="s">
        <v>27</v>
      </c>
      <c r="M48" s="557">
        <f t="shared" si="1"/>
        <v>0</v>
      </c>
      <c r="N48" s="453"/>
      <c r="O48" s="557">
        <f t="shared" si="2"/>
        <v>0</v>
      </c>
      <c r="P48" s="633">
        <v>1</v>
      </c>
      <c r="Q48" s="776">
        <f t="shared" si="3"/>
        <v>0</v>
      </c>
      <c r="R48" s="776">
        <f t="shared" si="4"/>
        <v>0</v>
      </c>
      <c r="S48" s="552">
        <f t="shared" si="5"/>
        <v>0</v>
      </c>
      <c r="T48" s="626">
        <f t="shared" si="6"/>
        <v>0</v>
      </c>
      <c r="U48" s="626">
        <f t="shared" si="7"/>
        <v>0</v>
      </c>
      <c r="V48" s="553">
        <f t="shared" si="8"/>
        <v>0</v>
      </c>
      <c r="W48" s="554">
        <f t="shared" si="9"/>
        <v>0</v>
      </c>
      <c r="X48" s="454" t="s">
        <v>1454</v>
      </c>
      <c r="Y48" s="631">
        <f>IF(Q48=0,0,(Q48+R48)*'1.0-Contractblad'!$L$98)</f>
        <v>0</v>
      </c>
      <c r="Z48" s="632">
        <f>IF(J48=0,0,VLOOKUP(D48,'1.1a-Jaarprijzen'!$B$70:$P$124,14,FALSE)*(K48+J48))</f>
        <v>0</v>
      </c>
    </row>
    <row r="49" spans="1:26" hidden="1">
      <c r="A49" s="558"/>
      <c r="B49" s="548"/>
      <c r="C49" s="659">
        <v>3</v>
      </c>
      <c r="D49" s="549" t="s">
        <v>1476</v>
      </c>
      <c r="E49" s="550" t="s">
        <v>502</v>
      </c>
      <c r="F49" s="551" t="s">
        <v>543</v>
      </c>
      <c r="G49" s="649" t="s">
        <v>1236</v>
      </c>
      <c r="H49" s="647" t="str">
        <f t="shared" si="0"/>
        <v>niet van toepassing</v>
      </c>
      <c r="I49" s="719"/>
      <c r="J49" s="623"/>
      <c r="K49" s="623"/>
      <c r="L49" s="668" t="s">
        <v>27</v>
      </c>
      <c r="M49" s="557">
        <f t="shared" si="1"/>
        <v>0</v>
      </c>
      <c r="N49" s="453"/>
      <c r="O49" s="557">
        <f t="shared" si="2"/>
        <v>0</v>
      </c>
      <c r="P49" s="633">
        <v>1</v>
      </c>
      <c r="Q49" s="776">
        <f t="shared" si="3"/>
        <v>0</v>
      </c>
      <c r="R49" s="776">
        <f t="shared" si="4"/>
        <v>0</v>
      </c>
      <c r="S49" s="552">
        <f t="shared" si="5"/>
        <v>0</v>
      </c>
      <c r="T49" s="626">
        <f t="shared" si="6"/>
        <v>0</v>
      </c>
      <c r="U49" s="626">
        <f t="shared" si="7"/>
        <v>0</v>
      </c>
      <c r="V49" s="553">
        <f t="shared" si="8"/>
        <v>0</v>
      </c>
      <c r="W49" s="554">
        <f t="shared" si="9"/>
        <v>0</v>
      </c>
      <c r="X49" s="454" t="s">
        <v>1454</v>
      </c>
      <c r="Y49" s="631">
        <f>IF(Q49=0,0,(Q49+R49)*'1.0-Contractblad'!$L$98)</f>
        <v>0</v>
      </c>
      <c r="Z49" s="632">
        <f>IF(J49=0,0,VLOOKUP(D49,'1.1a-Jaarprijzen'!$B$70:$P$124,14,FALSE)*(K49+J49))</f>
        <v>0</v>
      </c>
    </row>
    <row r="50" spans="1:26" hidden="1">
      <c r="A50" s="558"/>
      <c r="B50" s="548"/>
      <c r="C50" s="659">
        <v>3</v>
      </c>
      <c r="D50" s="549" t="s">
        <v>1476</v>
      </c>
      <c r="E50" s="550" t="s">
        <v>502</v>
      </c>
      <c r="F50" s="551" t="s">
        <v>544</v>
      </c>
      <c r="G50" s="649" t="s">
        <v>1237</v>
      </c>
      <c r="H50" s="647" t="str">
        <f t="shared" si="0"/>
        <v>trappenhuis</v>
      </c>
      <c r="I50" s="719" t="s">
        <v>1399</v>
      </c>
      <c r="J50" s="623">
        <v>17.100000000000001</v>
      </c>
      <c r="K50" s="623"/>
      <c r="L50" s="559">
        <v>9153</v>
      </c>
      <c r="M50" s="557">
        <f t="shared" si="1"/>
        <v>109</v>
      </c>
      <c r="N50" s="453"/>
      <c r="O50" s="557">
        <f t="shared" si="2"/>
        <v>153</v>
      </c>
      <c r="P50" s="633">
        <v>1</v>
      </c>
      <c r="Q50" s="776">
        <f t="shared" si="3"/>
        <v>0</v>
      </c>
      <c r="R50" s="776">
        <f t="shared" si="4"/>
        <v>0</v>
      </c>
      <c r="S50" s="552">
        <f t="shared" si="5"/>
        <v>0</v>
      </c>
      <c r="T50" s="626">
        <f t="shared" si="6"/>
        <v>0</v>
      </c>
      <c r="U50" s="626">
        <f t="shared" si="7"/>
        <v>0</v>
      </c>
      <c r="V50" s="553">
        <f t="shared" si="8"/>
        <v>0</v>
      </c>
      <c r="W50" s="554" t="str">
        <f t="shared" si="9"/>
        <v>V</v>
      </c>
      <c r="X50" s="555"/>
      <c r="Y50" s="631">
        <f>IF(Q50=0,0,(Q50+R50)*'1.0-Contractblad'!$L$98)</f>
        <v>0</v>
      </c>
      <c r="Z50" s="632">
        <f ca="1">IF(J50=0,0,VLOOKUP(D50,'1.1a-Jaarprijzen'!$B$70:$P$124,14,FALSE)*(K50+J50))</f>
        <v>0</v>
      </c>
    </row>
    <row r="51" spans="1:26" hidden="1">
      <c r="A51" s="558"/>
      <c r="B51" s="548"/>
      <c r="C51" s="659">
        <v>3</v>
      </c>
      <c r="D51" s="549" t="s">
        <v>1476</v>
      </c>
      <c r="E51" s="550" t="s">
        <v>502</v>
      </c>
      <c r="F51" s="551" t="s">
        <v>545</v>
      </c>
      <c r="G51" s="649" t="s">
        <v>1221</v>
      </c>
      <c r="H51" s="647" t="str">
        <f t="shared" si="0"/>
        <v>entree, gang, hal, repro, kopieer, was/droogruimte</v>
      </c>
      <c r="I51" s="719" t="s">
        <v>106</v>
      </c>
      <c r="J51" s="623">
        <v>34.700000000000003</v>
      </c>
      <c r="K51" s="623"/>
      <c r="L51" s="651">
        <v>3153</v>
      </c>
      <c r="M51" s="557">
        <f t="shared" si="1"/>
        <v>103</v>
      </c>
      <c r="N51" s="453"/>
      <c r="O51" s="557">
        <f t="shared" si="2"/>
        <v>153</v>
      </c>
      <c r="P51" s="633">
        <v>1</v>
      </c>
      <c r="Q51" s="776">
        <f t="shared" si="3"/>
        <v>0</v>
      </c>
      <c r="R51" s="776">
        <f t="shared" si="4"/>
        <v>0</v>
      </c>
      <c r="S51" s="552">
        <f t="shared" si="5"/>
        <v>0</v>
      </c>
      <c r="T51" s="626">
        <f t="shared" si="6"/>
        <v>0</v>
      </c>
      <c r="U51" s="626">
        <f t="shared" si="7"/>
        <v>0</v>
      </c>
      <c r="V51" s="553">
        <f t="shared" si="8"/>
        <v>0</v>
      </c>
      <c r="W51" s="554" t="str">
        <f t="shared" si="9"/>
        <v>V</v>
      </c>
      <c r="X51" s="555"/>
      <c r="Y51" s="631">
        <f>IF(Q51=0,0,(Q51+R51)*'1.0-Contractblad'!$L$98)</f>
        <v>0</v>
      </c>
      <c r="Z51" s="632">
        <f ca="1">IF(J51=0,0,VLOOKUP(D51,'1.1a-Jaarprijzen'!$B$70:$P$124,14,FALSE)*(K51+J51))</f>
        <v>0</v>
      </c>
    </row>
    <row r="52" spans="1:26" hidden="1">
      <c r="A52" s="558"/>
      <c r="B52" s="548"/>
      <c r="C52" s="659">
        <v>3</v>
      </c>
      <c r="D52" s="549" t="s">
        <v>1476</v>
      </c>
      <c r="E52" s="550" t="s">
        <v>502</v>
      </c>
      <c r="F52" s="551" t="s">
        <v>546</v>
      </c>
      <c r="G52" s="649" t="s">
        <v>1238</v>
      </c>
      <c r="H52" s="647" t="str">
        <f t="shared" si="0"/>
        <v>niet van toepassing</v>
      </c>
      <c r="I52" s="719"/>
      <c r="J52" s="623"/>
      <c r="K52" s="623"/>
      <c r="L52" s="668" t="s">
        <v>27</v>
      </c>
      <c r="M52" s="557">
        <f t="shared" si="1"/>
        <v>0</v>
      </c>
      <c r="N52" s="453"/>
      <c r="O52" s="557">
        <f t="shared" si="2"/>
        <v>0</v>
      </c>
      <c r="P52" s="633">
        <v>1</v>
      </c>
      <c r="Q52" s="776">
        <f t="shared" si="3"/>
        <v>0</v>
      </c>
      <c r="R52" s="776">
        <f t="shared" si="4"/>
        <v>0</v>
      </c>
      <c r="S52" s="552">
        <f t="shared" si="5"/>
        <v>0</v>
      </c>
      <c r="T52" s="626">
        <f t="shared" si="6"/>
        <v>0</v>
      </c>
      <c r="U52" s="626">
        <f t="shared" si="7"/>
        <v>0</v>
      </c>
      <c r="V52" s="553">
        <f t="shared" si="8"/>
        <v>0</v>
      </c>
      <c r="W52" s="554">
        <f t="shared" si="9"/>
        <v>0</v>
      </c>
      <c r="X52" s="454" t="s">
        <v>1454</v>
      </c>
      <c r="Y52" s="631">
        <f>IF(Q52=0,0,(Q52+R52)*'1.0-Contractblad'!$L$98)</f>
        <v>0</v>
      </c>
      <c r="Z52" s="632">
        <f>IF(J52=0,0,VLOOKUP(D52,'1.1a-Jaarprijzen'!$B$70:$P$124,14,FALSE)*(K52+J52))</f>
        <v>0</v>
      </c>
    </row>
    <row r="53" spans="1:26" hidden="1">
      <c r="A53" s="558"/>
      <c r="B53" s="548"/>
      <c r="C53" s="659">
        <v>3</v>
      </c>
      <c r="D53" s="549" t="s">
        <v>1476</v>
      </c>
      <c r="E53" s="550" t="s">
        <v>502</v>
      </c>
      <c r="F53" s="551" t="s">
        <v>547</v>
      </c>
      <c r="G53" s="649" t="s">
        <v>1239</v>
      </c>
      <c r="H53" s="647" t="str">
        <f t="shared" si="0"/>
        <v>administratieve -, personeels- en vergaderruimte</v>
      </c>
      <c r="I53" s="719" t="s">
        <v>106</v>
      </c>
      <c r="J53" s="623">
        <v>26.5</v>
      </c>
      <c r="K53" s="623"/>
      <c r="L53" s="651">
        <v>1102</v>
      </c>
      <c r="M53" s="557">
        <f t="shared" si="1"/>
        <v>101</v>
      </c>
      <c r="N53" s="453"/>
      <c r="O53" s="557">
        <f t="shared" si="2"/>
        <v>102</v>
      </c>
      <c r="P53" s="633">
        <v>1</v>
      </c>
      <c r="Q53" s="776">
        <f t="shared" si="3"/>
        <v>0</v>
      </c>
      <c r="R53" s="776">
        <f t="shared" si="4"/>
        <v>0</v>
      </c>
      <c r="S53" s="552">
        <f t="shared" si="5"/>
        <v>0</v>
      </c>
      <c r="T53" s="626">
        <f t="shared" si="6"/>
        <v>0</v>
      </c>
      <c r="U53" s="626">
        <f t="shared" si="7"/>
        <v>0</v>
      </c>
      <c r="V53" s="553">
        <f t="shared" si="8"/>
        <v>0</v>
      </c>
      <c r="W53" s="554" t="str">
        <f t="shared" si="9"/>
        <v>B</v>
      </c>
      <c r="X53" s="555"/>
      <c r="Y53" s="631">
        <f>IF(Q53=0,0,(Q53+R53)*'1.0-Contractblad'!$L$98)</f>
        <v>0</v>
      </c>
      <c r="Z53" s="632">
        <f ca="1">IF(J53=0,0,VLOOKUP(D53,'1.1a-Jaarprijzen'!$B$70:$P$124,14,FALSE)*(K53+J53))</f>
        <v>0</v>
      </c>
    </row>
    <row r="54" spans="1:26" hidden="1">
      <c r="A54" s="558"/>
      <c r="B54" s="548"/>
      <c r="C54" s="659">
        <v>3</v>
      </c>
      <c r="D54" s="549" t="s">
        <v>1476</v>
      </c>
      <c r="E54" s="550" t="s">
        <v>502</v>
      </c>
      <c r="F54" s="551" t="s">
        <v>548</v>
      </c>
      <c r="G54" s="649" t="s">
        <v>1237</v>
      </c>
      <c r="H54" s="647" t="str">
        <f t="shared" si="0"/>
        <v>trappenhuis</v>
      </c>
      <c r="I54" s="719" t="s">
        <v>1399</v>
      </c>
      <c r="J54" s="623">
        <v>5.5</v>
      </c>
      <c r="K54" s="623"/>
      <c r="L54" s="559">
        <v>9153</v>
      </c>
      <c r="M54" s="557">
        <f t="shared" si="1"/>
        <v>109</v>
      </c>
      <c r="N54" s="453"/>
      <c r="O54" s="557">
        <f t="shared" si="2"/>
        <v>153</v>
      </c>
      <c r="P54" s="633">
        <v>1</v>
      </c>
      <c r="Q54" s="776">
        <f t="shared" si="3"/>
        <v>0</v>
      </c>
      <c r="R54" s="776">
        <f t="shared" si="4"/>
        <v>0</v>
      </c>
      <c r="S54" s="552">
        <f t="shared" si="5"/>
        <v>0</v>
      </c>
      <c r="T54" s="626">
        <f t="shared" si="6"/>
        <v>0</v>
      </c>
      <c r="U54" s="626">
        <f t="shared" si="7"/>
        <v>0</v>
      </c>
      <c r="V54" s="553">
        <f t="shared" si="8"/>
        <v>0</v>
      </c>
      <c r="W54" s="554" t="str">
        <f t="shared" si="9"/>
        <v>V</v>
      </c>
      <c r="X54" s="555"/>
      <c r="Y54" s="631">
        <f>IF(Q54=0,0,(Q54+R54)*'1.0-Contractblad'!$L$98)</f>
        <v>0</v>
      </c>
      <c r="Z54" s="632">
        <f ca="1">IF(J54=0,0,VLOOKUP(D54,'1.1a-Jaarprijzen'!$B$70:$P$124,14,FALSE)*(K54+J54))</f>
        <v>0</v>
      </c>
    </row>
    <row r="55" spans="1:26" hidden="1">
      <c r="A55" s="558"/>
      <c r="B55" s="548"/>
      <c r="C55" s="659">
        <v>3</v>
      </c>
      <c r="D55" s="549" t="s">
        <v>1476</v>
      </c>
      <c r="E55" s="550" t="s">
        <v>502</v>
      </c>
      <c r="F55" s="551" t="s">
        <v>549</v>
      </c>
      <c r="G55" s="649" t="s">
        <v>1240</v>
      </c>
      <c r="H55" s="647" t="str">
        <f t="shared" si="0"/>
        <v>entree, gang, hal, repro, kopieer, was/droogruimte</v>
      </c>
      <c r="I55" s="719" t="s">
        <v>106</v>
      </c>
      <c r="J55" s="623">
        <v>7.1</v>
      </c>
      <c r="K55" s="623"/>
      <c r="L55" s="651">
        <v>3153</v>
      </c>
      <c r="M55" s="557">
        <f t="shared" si="1"/>
        <v>103</v>
      </c>
      <c r="N55" s="453"/>
      <c r="O55" s="557">
        <f t="shared" si="2"/>
        <v>153</v>
      </c>
      <c r="P55" s="633">
        <v>1</v>
      </c>
      <c r="Q55" s="776">
        <f t="shared" si="3"/>
        <v>0</v>
      </c>
      <c r="R55" s="776">
        <f t="shared" si="4"/>
        <v>0</v>
      </c>
      <c r="S55" s="552">
        <f t="shared" si="5"/>
        <v>0</v>
      </c>
      <c r="T55" s="626">
        <f t="shared" si="6"/>
        <v>0</v>
      </c>
      <c r="U55" s="626">
        <f t="shared" si="7"/>
        <v>0</v>
      </c>
      <c r="V55" s="553">
        <f t="shared" si="8"/>
        <v>0</v>
      </c>
      <c r="W55" s="554" t="str">
        <f t="shared" si="9"/>
        <v>V</v>
      </c>
      <c r="X55" s="555"/>
      <c r="Y55" s="631">
        <f>IF(Q55=0,0,(Q55+R55)*'1.0-Contractblad'!$L$98)</f>
        <v>0</v>
      </c>
      <c r="Z55" s="632">
        <f ca="1">IF(J55=0,0,VLOOKUP(D55,'1.1a-Jaarprijzen'!$B$70:$P$124,14,FALSE)*(K55+J55))</f>
        <v>0</v>
      </c>
    </row>
    <row r="56" spans="1:26" hidden="1">
      <c r="A56" s="558"/>
      <c r="B56" s="548"/>
      <c r="C56" s="659">
        <v>3</v>
      </c>
      <c r="D56" s="549" t="s">
        <v>1476</v>
      </c>
      <c r="E56" s="550" t="s">
        <v>502</v>
      </c>
      <c r="F56" s="551" t="s">
        <v>550</v>
      </c>
      <c r="G56" s="649" t="s">
        <v>1241</v>
      </c>
      <c r="H56" s="647" t="str">
        <f t="shared" si="0"/>
        <v>fiitness</v>
      </c>
      <c r="I56" s="719" t="s">
        <v>106</v>
      </c>
      <c r="J56" s="623">
        <v>69.400000000000006</v>
      </c>
      <c r="K56" s="623"/>
      <c r="L56" s="653">
        <v>15153</v>
      </c>
      <c r="M56" s="557">
        <f t="shared" si="1"/>
        <v>108</v>
      </c>
      <c r="N56" s="453"/>
      <c r="O56" s="557">
        <f t="shared" si="2"/>
        <v>153</v>
      </c>
      <c r="P56" s="633">
        <v>1</v>
      </c>
      <c r="Q56" s="776">
        <f t="shared" si="3"/>
        <v>0</v>
      </c>
      <c r="R56" s="776">
        <f t="shared" si="4"/>
        <v>0</v>
      </c>
      <c r="S56" s="552">
        <f t="shared" si="5"/>
        <v>0</v>
      </c>
      <c r="T56" s="626">
        <f t="shared" si="6"/>
        <v>0</v>
      </c>
      <c r="U56" s="626">
        <f t="shared" si="7"/>
        <v>0</v>
      </c>
      <c r="V56" s="553">
        <f t="shared" si="8"/>
        <v>0</v>
      </c>
      <c r="W56" s="554" t="str">
        <f t="shared" si="9"/>
        <v>V</v>
      </c>
      <c r="X56" s="556"/>
      <c r="Y56" s="631">
        <f>IF(Q56=0,0,(Q56+R56)*'1.0-Contractblad'!$L$98)</f>
        <v>0</v>
      </c>
      <c r="Z56" s="632">
        <f ca="1">IF(J56=0,0,VLOOKUP(D56,'1.1a-Jaarprijzen'!$B$70:$P$124,14,FALSE)*(K56+J56))</f>
        <v>0</v>
      </c>
    </row>
    <row r="57" spans="1:26" hidden="1">
      <c r="A57" s="558"/>
      <c r="B57" s="548"/>
      <c r="C57" s="659">
        <v>3</v>
      </c>
      <c r="D57" s="549" t="s">
        <v>1476</v>
      </c>
      <c r="E57" s="550" t="s">
        <v>502</v>
      </c>
      <c r="F57" s="551" t="s">
        <v>551</v>
      </c>
      <c r="G57" s="649" t="s">
        <v>1242</v>
      </c>
      <c r="H57" s="647" t="str">
        <f t="shared" si="0"/>
        <v>niet van toepassing</v>
      </c>
      <c r="I57" s="719"/>
      <c r="J57" s="623"/>
      <c r="K57" s="623"/>
      <c r="L57" s="668" t="s">
        <v>27</v>
      </c>
      <c r="M57" s="557">
        <f t="shared" si="1"/>
        <v>0</v>
      </c>
      <c r="N57" s="453"/>
      <c r="O57" s="557">
        <f t="shared" si="2"/>
        <v>0</v>
      </c>
      <c r="P57" s="633">
        <v>1</v>
      </c>
      <c r="Q57" s="776">
        <f t="shared" si="3"/>
        <v>0</v>
      </c>
      <c r="R57" s="776">
        <f t="shared" si="4"/>
        <v>0</v>
      </c>
      <c r="S57" s="552">
        <f t="shared" si="5"/>
        <v>0</v>
      </c>
      <c r="T57" s="626">
        <f t="shared" si="6"/>
        <v>0</v>
      </c>
      <c r="U57" s="626">
        <f t="shared" si="7"/>
        <v>0</v>
      </c>
      <c r="V57" s="553">
        <f t="shared" si="8"/>
        <v>0</v>
      </c>
      <c r="W57" s="554">
        <f t="shared" si="9"/>
        <v>0</v>
      </c>
      <c r="X57" s="454" t="s">
        <v>1454</v>
      </c>
      <c r="Y57" s="631">
        <f>IF(Q57=0,0,(Q57+R57)*'1.0-Contractblad'!$L$98)</f>
        <v>0</v>
      </c>
      <c r="Z57" s="632">
        <f>IF(J57=0,0,VLOOKUP(D57,'1.1a-Jaarprijzen'!$B$70:$P$124,14,FALSE)*(K57+J57))</f>
        <v>0</v>
      </c>
    </row>
    <row r="58" spans="1:26" hidden="1">
      <c r="A58" s="558"/>
      <c r="B58" s="701"/>
      <c r="C58" s="659">
        <v>3</v>
      </c>
      <c r="D58" s="549" t="s">
        <v>1476</v>
      </c>
      <c r="E58" s="550" t="s">
        <v>502</v>
      </c>
      <c r="F58" s="551" t="s">
        <v>552</v>
      </c>
      <c r="G58" s="649" t="s">
        <v>1216</v>
      </c>
      <c r="H58" s="647" t="str">
        <f t="shared" si="0"/>
        <v>sanitaire ruimte (toilet-/doucheruimte)</v>
      </c>
      <c r="I58" s="719" t="s">
        <v>84</v>
      </c>
      <c r="J58" s="650">
        <v>1.8</v>
      </c>
      <c r="K58" s="650"/>
      <c r="L58" s="651">
        <v>4153</v>
      </c>
      <c r="M58" s="557">
        <f t="shared" si="1"/>
        <v>104</v>
      </c>
      <c r="N58" s="453"/>
      <c r="O58" s="557">
        <f t="shared" si="2"/>
        <v>153</v>
      </c>
      <c r="P58" s="633">
        <v>1</v>
      </c>
      <c r="Q58" s="776">
        <f t="shared" si="3"/>
        <v>0</v>
      </c>
      <c r="R58" s="776">
        <f t="shared" si="4"/>
        <v>0</v>
      </c>
      <c r="S58" s="552">
        <f t="shared" si="5"/>
        <v>0</v>
      </c>
      <c r="T58" s="626">
        <f t="shared" si="6"/>
        <v>0</v>
      </c>
      <c r="U58" s="626">
        <f t="shared" si="7"/>
        <v>0</v>
      </c>
      <c r="V58" s="553">
        <f t="shared" si="8"/>
        <v>0</v>
      </c>
      <c r="W58" s="554" t="str">
        <f t="shared" si="9"/>
        <v>S</v>
      </c>
      <c r="X58" s="555"/>
      <c r="Y58" s="631">
        <f>IF(Q58=0,0,(Q58+R58)*'1.0-Contractblad'!$L$98)</f>
        <v>0</v>
      </c>
      <c r="Z58" s="632">
        <f ca="1">IF(J58=0,0,VLOOKUP(D58,'1.1a-Jaarprijzen'!$B$70:$P$124,14,FALSE)*(K58+J58))</f>
        <v>0</v>
      </c>
    </row>
    <row r="59" spans="1:26" hidden="1">
      <c r="A59" s="558"/>
      <c r="B59" s="548"/>
      <c r="C59" s="659">
        <v>3</v>
      </c>
      <c r="D59" s="549" t="s">
        <v>1476</v>
      </c>
      <c r="E59" s="550" t="s">
        <v>502</v>
      </c>
      <c r="F59" s="551" t="s">
        <v>553</v>
      </c>
      <c r="G59" s="649" t="s">
        <v>1243</v>
      </c>
      <c r="H59" s="647" t="str">
        <f t="shared" si="0"/>
        <v>administratieve -, personeels- en vergaderruimte</v>
      </c>
      <c r="I59" s="719" t="s">
        <v>106</v>
      </c>
      <c r="J59" s="623">
        <v>11.6</v>
      </c>
      <c r="K59" s="623"/>
      <c r="L59" s="651">
        <v>1153</v>
      </c>
      <c r="M59" s="557">
        <f t="shared" si="1"/>
        <v>101</v>
      </c>
      <c r="N59" s="453"/>
      <c r="O59" s="557">
        <f t="shared" si="2"/>
        <v>153</v>
      </c>
      <c r="P59" s="633">
        <v>1</v>
      </c>
      <c r="Q59" s="776">
        <f t="shared" si="3"/>
        <v>0</v>
      </c>
      <c r="R59" s="776">
        <f t="shared" si="4"/>
        <v>0</v>
      </c>
      <c r="S59" s="552">
        <f t="shared" si="5"/>
        <v>0</v>
      </c>
      <c r="T59" s="626">
        <f t="shared" si="6"/>
        <v>0</v>
      </c>
      <c r="U59" s="626">
        <f t="shared" si="7"/>
        <v>0</v>
      </c>
      <c r="V59" s="553">
        <f t="shared" si="8"/>
        <v>0</v>
      </c>
      <c r="W59" s="554" t="str">
        <f t="shared" si="9"/>
        <v>B</v>
      </c>
      <c r="X59" s="556"/>
      <c r="Y59" s="631">
        <f>IF(Q59=0,0,(Q59+R59)*'1.0-Contractblad'!$L$98)</f>
        <v>0</v>
      </c>
      <c r="Z59" s="632">
        <f ca="1">IF(J59=0,0,VLOOKUP(D59,'1.1a-Jaarprijzen'!$B$70:$P$124,14,FALSE)*(K59+J59))</f>
        <v>0</v>
      </c>
    </row>
    <row r="60" spans="1:26" hidden="1">
      <c r="A60" s="558"/>
      <c r="B60" s="548"/>
      <c r="C60" s="659">
        <v>3</v>
      </c>
      <c r="D60" s="549" t="s">
        <v>1476</v>
      </c>
      <c r="E60" s="550" t="s">
        <v>502</v>
      </c>
      <c r="F60" s="551" t="s">
        <v>554</v>
      </c>
      <c r="G60" s="649" t="s">
        <v>1243</v>
      </c>
      <c r="H60" s="647" t="str">
        <f t="shared" si="0"/>
        <v>administratieve -, personeels- en vergaderruimte</v>
      </c>
      <c r="I60" s="719" t="s">
        <v>106</v>
      </c>
      <c r="J60" s="623">
        <v>16.5</v>
      </c>
      <c r="K60" s="623"/>
      <c r="L60" s="651">
        <v>1153</v>
      </c>
      <c r="M60" s="557">
        <f t="shared" si="1"/>
        <v>101</v>
      </c>
      <c r="N60" s="453"/>
      <c r="O60" s="557">
        <f t="shared" si="2"/>
        <v>153</v>
      </c>
      <c r="P60" s="633">
        <v>1</v>
      </c>
      <c r="Q60" s="776">
        <f t="shared" si="3"/>
        <v>0</v>
      </c>
      <c r="R60" s="776">
        <f t="shared" si="4"/>
        <v>0</v>
      </c>
      <c r="S60" s="552">
        <f t="shared" si="5"/>
        <v>0</v>
      </c>
      <c r="T60" s="626">
        <f t="shared" si="6"/>
        <v>0</v>
      </c>
      <c r="U60" s="626">
        <f t="shared" si="7"/>
        <v>0</v>
      </c>
      <c r="V60" s="553">
        <f t="shared" si="8"/>
        <v>0</v>
      </c>
      <c r="W60" s="554" t="str">
        <f t="shared" si="9"/>
        <v>B</v>
      </c>
      <c r="X60" s="556"/>
      <c r="Y60" s="631">
        <f>IF(Q60=0,0,(Q60+R60)*'1.0-Contractblad'!$L$98)</f>
        <v>0</v>
      </c>
      <c r="Z60" s="632">
        <f ca="1">IF(J60=0,0,VLOOKUP(D60,'1.1a-Jaarprijzen'!$B$70:$P$124,14,FALSE)*(K60+J60))</f>
        <v>0</v>
      </c>
    </row>
    <row r="61" spans="1:26" hidden="1">
      <c r="A61" s="558"/>
      <c r="B61" s="548"/>
      <c r="C61" s="659">
        <v>3</v>
      </c>
      <c r="D61" s="549" t="s">
        <v>1476</v>
      </c>
      <c r="E61" s="550" t="s">
        <v>502</v>
      </c>
      <c r="F61" s="551" t="s">
        <v>555</v>
      </c>
      <c r="G61" s="649" t="s">
        <v>1244</v>
      </c>
      <c r="H61" s="647" t="str">
        <f t="shared" si="0"/>
        <v>entree, gang, hal, repro, kopieer, was/droogruimte</v>
      </c>
      <c r="I61" s="719" t="s">
        <v>1400</v>
      </c>
      <c r="J61" s="623">
        <v>15</v>
      </c>
      <c r="K61" s="623"/>
      <c r="L61" s="651">
        <v>3153</v>
      </c>
      <c r="M61" s="557">
        <f t="shared" si="1"/>
        <v>103</v>
      </c>
      <c r="N61" s="453"/>
      <c r="O61" s="557">
        <f t="shared" si="2"/>
        <v>153</v>
      </c>
      <c r="P61" s="633">
        <v>1</v>
      </c>
      <c r="Q61" s="776">
        <f t="shared" si="3"/>
        <v>0</v>
      </c>
      <c r="R61" s="776">
        <f t="shared" si="4"/>
        <v>0</v>
      </c>
      <c r="S61" s="552">
        <f t="shared" si="5"/>
        <v>0</v>
      </c>
      <c r="T61" s="626">
        <f t="shared" si="6"/>
        <v>0</v>
      </c>
      <c r="U61" s="626">
        <f t="shared" si="7"/>
        <v>0</v>
      </c>
      <c r="V61" s="553">
        <f t="shared" si="8"/>
        <v>0</v>
      </c>
      <c r="W61" s="554" t="str">
        <f t="shared" si="9"/>
        <v>V</v>
      </c>
      <c r="X61" s="555"/>
      <c r="Y61" s="631">
        <f>IF(Q61=0,0,(Q61+R61)*'1.0-Contractblad'!$L$98)</f>
        <v>0</v>
      </c>
      <c r="Z61" s="632">
        <f ca="1">IF(J61=0,0,VLOOKUP(D61,'1.1a-Jaarprijzen'!$B$70:$P$124,14,FALSE)*(K61+J61))</f>
        <v>0</v>
      </c>
    </row>
    <row r="62" spans="1:26" hidden="1">
      <c r="A62" s="558"/>
      <c r="B62" s="548"/>
      <c r="C62" s="659">
        <v>3</v>
      </c>
      <c r="D62" s="549" t="s">
        <v>1476</v>
      </c>
      <c r="E62" s="550" t="s">
        <v>502</v>
      </c>
      <c r="F62" s="551" t="s">
        <v>556</v>
      </c>
      <c r="G62" s="649" t="s">
        <v>1216</v>
      </c>
      <c r="H62" s="647" t="str">
        <f t="shared" si="0"/>
        <v>sanitaire ruimte (toilet-/doucheruimte)</v>
      </c>
      <c r="I62" s="719" t="s">
        <v>84</v>
      </c>
      <c r="J62" s="623">
        <v>3.9</v>
      </c>
      <c r="K62" s="623"/>
      <c r="L62" s="559">
        <v>4153</v>
      </c>
      <c r="M62" s="557">
        <f t="shared" si="1"/>
        <v>104</v>
      </c>
      <c r="N62" s="453"/>
      <c r="O62" s="557">
        <f t="shared" si="2"/>
        <v>153</v>
      </c>
      <c r="P62" s="633">
        <v>1</v>
      </c>
      <c r="Q62" s="776">
        <f t="shared" si="3"/>
        <v>0</v>
      </c>
      <c r="R62" s="776">
        <f t="shared" si="4"/>
        <v>0</v>
      </c>
      <c r="S62" s="552">
        <f t="shared" si="5"/>
        <v>0</v>
      </c>
      <c r="T62" s="626">
        <f t="shared" si="6"/>
        <v>0</v>
      </c>
      <c r="U62" s="626">
        <f t="shared" si="7"/>
        <v>0</v>
      </c>
      <c r="V62" s="553">
        <f t="shared" si="8"/>
        <v>0</v>
      </c>
      <c r="W62" s="554" t="str">
        <f t="shared" si="9"/>
        <v>S</v>
      </c>
      <c r="X62" s="555"/>
      <c r="Y62" s="631">
        <f>IF(Q62=0,0,(Q62+R62)*'1.0-Contractblad'!$L$98)</f>
        <v>0</v>
      </c>
      <c r="Z62" s="632">
        <f ca="1">IF(J62=0,0,VLOOKUP(D62,'1.1a-Jaarprijzen'!$B$70:$P$124,14,FALSE)*(K62+J62))</f>
        <v>0</v>
      </c>
    </row>
    <row r="63" spans="1:26" hidden="1">
      <c r="A63" s="558"/>
      <c r="B63" s="548"/>
      <c r="C63" s="659">
        <v>3</v>
      </c>
      <c r="D63" s="549" t="s">
        <v>1476</v>
      </c>
      <c r="E63" s="550" t="s">
        <v>502</v>
      </c>
      <c r="F63" s="551" t="s">
        <v>557</v>
      </c>
      <c r="G63" s="649" t="s">
        <v>1243</v>
      </c>
      <c r="H63" s="647" t="str">
        <f t="shared" si="0"/>
        <v>administratieve -, personeels- en vergaderruimte</v>
      </c>
      <c r="I63" s="719" t="s">
        <v>106</v>
      </c>
      <c r="J63" s="623">
        <v>16.5</v>
      </c>
      <c r="K63" s="623"/>
      <c r="L63" s="651">
        <v>1153</v>
      </c>
      <c r="M63" s="557">
        <f t="shared" si="1"/>
        <v>101</v>
      </c>
      <c r="N63" s="453"/>
      <c r="O63" s="557">
        <f t="shared" si="2"/>
        <v>153</v>
      </c>
      <c r="P63" s="633">
        <v>1</v>
      </c>
      <c r="Q63" s="776">
        <f t="shared" si="3"/>
        <v>0</v>
      </c>
      <c r="R63" s="776">
        <f t="shared" si="4"/>
        <v>0</v>
      </c>
      <c r="S63" s="552">
        <f t="shared" si="5"/>
        <v>0</v>
      </c>
      <c r="T63" s="626">
        <f t="shared" si="6"/>
        <v>0</v>
      </c>
      <c r="U63" s="626">
        <f t="shared" si="7"/>
        <v>0</v>
      </c>
      <c r="V63" s="553">
        <f t="shared" si="8"/>
        <v>0</v>
      </c>
      <c r="W63" s="554" t="str">
        <f t="shared" si="9"/>
        <v>B</v>
      </c>
      <c r="X63" s="556"/>
      <c r="Y63" s="631">
        <f>IF(Q63=0,0,(Q63+R63)*'1.0-Contractblad'!$L$98)</f>
        <v>0</v>
      </c>
      <c r="Z63" s="632">
        <f ca="1">IF(J63=0,0,VLOOKUP(D63,'1.1a-Jaarprijzen'!$B$70:$P$124,14,FALSE)*(K63+J63))</f>
        <v>0</v>
      </c>
    </row>
    <row r="64" spans="1:26" hidden="1">
      <c r="A64" s="558"/>
      <c r="B64" s="548"/>
      <c r="C64" s="659">
        <v>3</v>
      </c>
      <c r="D64" s="549" t="s">
        <v>1476</v>
      </c>
      <c r="E64" s="550" t="s">
        <v>502</v>
      </c>
      <c r="F64" s="551" t="s">
        <v>558</v>
      </c>
      <c r="G64" s="649" t="s">
        <v>1243</v>
      </c>
      <c r="H64" s="647" t="str">
        <f t="shared" si="0"/>
        <v>administratieve -, personeels- en vergaderruimte</v>
      </c>
      <c r="I64" s="719" t="s">
        <v>106</v>
      </c>
      <c r="J64" s="623">
        <v>17.399999999999999</v>
      </c>
      <c r="K64" s="623"/>
      <c r="L64" s="651">
        <v>1153</v>
      </c>
      <c r="M64" s="557">
        <f t="shared" si="1"/>
        <v>101</v>
      </c>
      <c r="N64" s="453"/>
      <c r="O64" s="557">
        <f t="shared" si="2"/>
        <v>153</v>
      </c>
      <c r="P64" s="633">
        <v>1</v>
      </c>
      <c r="Q64" s="776">
        <f t="shared" si="3"/>
        <v>0</v>
      </c>
      <c r="R64" s="776">
        <f t="shared" si="4"/>
        <v>0</v>
      </c>
      <c r="S64" s="552">
        <f t="shared" si="5"/>
        <v>0</v>
      </c>
      <c r="T64" s="626">
        <f t="shared" si="6"/>
        <v>0</v>
      </c>
      <c r="U64" s="626">
        <f t="shared" si="7"/>
        <v>0</v>
      </c>
      <c r="V64" s="553">
        <f t="shared" si="8"/>
        <v>0</v>
      </c>
      <c r="W64" s="554" t="str">
        <f t="shared" si="9"/>
        <v>B</v>
      </c>
      <c r="X64" s="556"/>
      <c r="Y64" s="631">
        <f>IF(Q64=0,0,(Q64+R64)*'1.0-Contractblad'!$L$98)</f>
        <v>0</v>
      </c>
      <c r="Z64" s="632">
        <f ca="1">IF(J64=0,0,VLOOKUP(D64,'1.1a-Jaarprijzen'!$B$70:$P$124,14,FALSE)*(K64+J64))</f>
        <v>0</v>
      </c>
    </row>
    <row r="65" spans="1:26" hidden="1">
      <c r="A65" s="558"/>
      <c r="B65" s="548"/>
      <c r="C65" s="659">
        <v>3</v>
      </c>
      <c r="D65" s="549" t="s">
        <v>1476</v>
      </c>
      <c r="E65" s="550" t="s">
        <v>502</v>
      </c>
      <c r="F65" s="551" t="s">
        <v>559</v>
      </c>
      <c r="G65" s="649" t="s">
        <v>1245</v>
      </c>
      <c r="H65" s="647" t="str">
        <f t="shared" si="0"/>
        <v>entree, gang, hal, repro, kopieer, was/droogruimte</v>
      </c>
      <c r="I65" s="719" t="s">
        <v>106</v>
      </c>
      <c r="J65" s="623">
        <v>12.5</v>
      </c>
      <c r="K65" s="623"/>
      <c r="L65" s="651">
        <v>3153</v>
      </c>
      <c r="M65" s="557">
        <f t="shared" si="1"/>
        <v>103</v>
      </c>
      <c r="N65" s="453"/>
      <c r="O65" s="557">
        <f t="shared" si="2"/>
        <v>153</v>
      </c>
      <c r="P65" s="633">
        <v>1</v>
      </c>
      <c r="Q65" s="776">
        <f t="shared" si="3"/>
        <v>0</v>
      </c>
      <c r="R65" s="776">
        <f t="shared" si="4"/>
        <v>0</v>
      </c>
      <c r="S65" s="552">
        <f t="shared" si="5"/>
        <v>0</v>
      </c>
      <c r="T65" s="626">
        <f t="shared" si="6"/>
        <v>0</v>
      </c>
      <c r="U65" s="626">
        <f t="shared" si="7"/>
        <v>0</v>
      </c>
      <c r="V65" s="553">
        <f t="shared" si="8"/>
        <v>0</v>
      </c>
      <c r="W65" s="554" t="str">
        <f t="shared" si="9"/>
        <v>V</v>
      </c>
      <c r="X65" s="555"/>
      <c r="Y65" s="631">
        <f>IF(Q65=0,0,(Q65+R65)*'1.0-Contractblad'!$L$98)</f>
        <v>0</v>
      </c>
      <c r="Z65" s="632">
        <f ca="1">IF(J65=0,0,VLOOKUP(D65,'1.1a-Jaarprijzen'!$B$70:$P$124,14,FALSE)*(K65+J65))</f>
        <v>0</v>
      </c>
    </row>
    <row r="66" spans="1:26" hidden="1">
      <c r="A66" s="558"/>
      <c r="B66" s="548"/>
      <c r="C66" s="659">
        <v>3</v>
      </c>
      <c r="D66" s="549" t="s">
        <v>1476</v>
      </c>
      <c r="E66" s="550" t="s">
        <v>502</v>
      </c>
      <c r="F66" s="551" t="s">
        <v>560</v>
      </c>
      <c r="G66" s="649" t="s">
        <v>1235</v>
      </c>
      <c r="H66" s="647" t="str">
        <f t="shared" si="0"/>
        <v>niet van toepassing</v>
      </c>
      <c r="I66" s="719"/>
      <c r="J66" s="623"/>
      <c r="K66" s="623"/>
      <c r="L66" s="668" t="s">
        <v>27</v>
      </c>
      <c r="M66" s="557">
        <f t="shared" si="1"/>
        <v>0</v>
      </c>
      <c r="N66" s="453"/>
      <c r="O66" s="557">
        <f t="shared" si="2"/>
        <v>0</v>
      </c>
      <c r="P66" s="633">
        <v>1</v>
      </c>
      <c r="Q66" s="776">
        <f t="shared" si="3"/>
        <v>0</v>
      </c>
      <c r="R66" s="776">
        <f t="shared" si="4"/>
        <v>0</v>
      </c>
      <c r="S66" s="552">
        <f t="shared" si="5"/>
        <v>0</v>
      </c>
      <c r="T66" s="626">
        <f t="shared" si="6"/>
        <v>0</v>
      </c>
      <c r="U66" s="626">
        <f t="shared" si="7"/>
        <v>0</v>
      </c>
      <c r="V66" s="553">
        <f t="shared" si="8"/>
        <v>0</v>
      </c>
      <c r="W66" s="554">
        <f t="shared" si="9"/>
        <v>0</v>
      </c>
      <c r="X66" s="454" t="s">
        <v>1454</v>
      </c>
      <c r="Y66" s="631">
        <f>IF(Q66=0,0,(Q66+R66)*'1.0-Contractblad'!$L$98)</f>
        <v>0</v>
      </c>
      <c r="Z66" s="632">
        <f>IF(J66=0,0,VLOOKUP(D66,'1.1a-Jaarprijzen'!$B$70:$P$124,14,FALSE)*(K66+J66))</f>
        <v>0</v>
      </c>
    </row>
    <row r="67" spans="1:26" hidden="1">
      <c r="A67" s="558"/>
      <c r="B67" s="548"/>
      <c r="C67" s="659">
        <v>3</v>
      </c>
      <c r="D67" s="549" t="s">
        <v>1476</v>
      </c>
      <c r="E67" s="550" t="s">
        <v>502</v>
      </c>
      <c r="F67" s="551" t="s">
        <v>561</v>
      </c>
      <c r="G67" s="649" t="s">
        <v>1246</v>
      </c>
      <c r="H67" s="647" t="str">
        <f t="shared" ref="H67:H130" si="10">IF(L67="","",VLOOKUP(L67,Kengetal,4,FALSE))</f>
        <v>niet van toepassing</v>
      </c>
      <c r="I67" s="719" t="s">
        <v>106</v>
      </c>
      <c r="J67" s="623"/>
      <c r="K67" s="623"/>
      <c r="L67" s="668" t="s">
        <v>27</v>
      </c>
      <c r="M67" s="557">
        <f t="shared" si="1"/>
        <v>0</v>
      </c>
      <c r="N67" s="453"/>
      <c r="O67" s="557">
        <f t="shared" si="2"/>
        <v>0</v>
      </c>
      <c r="P67" s="633">
        <v>1</v>
      </c>
      <c r="Q67" s="776">
        <f t="shared" si="3"/>
        <v>0</v>
      </c>
      <c r="R67" s="776">
        <f t="shared" si="4"/>
        <v>0</v>
      </c>
      <c r="S67" s="552">
        <f t="shared" si="5"/>
        <v>0</v>
      </c>
      <c r="T67" s="626">
        <f t="shared" si="6"/>
        <v>0</v>
      </c>
      <c r="U67" s="626">
        <f t="shared" si="7"/>
        <v>0</v>
      </c>
      <c r="V67" s="553">
        <f t="shared" si="8"/>
        <v>0</v>
      </c>
      <c r="W67" s="554">
        <f t="shared" si="9"/>
        <v>0</v>
      </c>
      <c r="X67" s="454" t="s">
        <v>1454</v>
      </c>
      <c r="Y67" s="631">
        <f>IF(Q67=0,0,(Q67+R67)*'1.0-Contractblad'!$L$98)</f>
        <v>0</v>
      </c>
      <c r="Z67" s="632">
        <f>IF(J67=0,0,VLOOKUP(D67,'1.1a-Jaarprijzen'!$B$70:$P$124,14,FALSE)*(K67+J67))</f>
        <v>0</v>
      </c>
    </row>
    <row r="68" spans="1:26" hidden="1">
      <c r="A68" s="558"/>
      <c r="B68" s="548"/>
      <c r="C68" s="659">
        <v>3</v>
      </c>
      <c r="D68" s="549" t="s">
        <v>1476</v>
      </c>
      <c r="E68" s="550" t="s">
        <v>502</v>
      </c>
      <c r="F68" s="551" t="s">
        <v>562</v>
      </c>
      <c r="G68" s="649" t="s">
        <v>1247</v>
      </c>
      <c r="H68" s="647" t="str">
        <f t="shared" si="10"/>
        <v>niet van toepassing</v>
      </c>
      <c r="I68" s="719"/>
      <c r="J68" s="623"/>
      <c r="K68" s="623"/>
      <c r="L68" s="668" t="s">
        <v>27</v>
      </c>
      <c r="M68" s="557">
        <f t="shared" si="1"/>
        <v>0</v>
      </c>
      <c r="N68" s="453"/>
      <c r="O68" s="557">
        <f t="shared" si="2"/>
        <v>0</v>
      </c>
      <c r="P68" s="633">
        <v>1</v>
      </c>
      <c r="Q68" s="776">
        <f t="shared" si="3"/>
        <v>0</v>
      </c>
      <c r="R68" s="776">
        <f t="shared" si="4"/>
        <v>0</v>
      </c>
      <c r="S68" s="552">
        <f t="shared" si="5"/>
        <v>0</v>
      </c>
      <c r="T68" s="626">
        <f t="shared" ref="T68:T131" si="11">VLOOKUP($L68,Kengetal,6,FALSE)</f>
        <v>0</v>
      </c>
      <c r="U68" s="626">
        <f t="shared" ref="U68:U131" si="12">VLOOKUP($L68,Kengetal,7,FALSE)</f>
        <v>0</v>
      </c>
      <c r="V68" s="553">
        <f t="shared" ref="V68:V131" si="13">VLOOKUP($N68,Kengetal,7,FALSE)</f>
        <v>0</v>
      </c>
      <c r="W68" s="554">
        <f t="shared" si="9"/>
        <v>0</v>
      </c>
      <c r="X68" s="454" t="s">
        <v>1454</v>
      </c>
      <c r="Y68" s="631">
        <f>IF(Q68=0,0,(Q68+R68)*'1.0-Contractblad'!$L$98)</f>
        <v>0</v>
      </c>
      <c r="Z68" s="632">
        <f>IF(J68=0,0,VLOOKUP(D68,'1.1a-Jaarprijzen'!$B$70:$P$124,14,FALSE)*(K68+J68))</f>
        <v>0</v>
      </c>
    </row>
    <row r="69" spans="1:26" hidden="1">
      <c r="A69" s="558"/>
      <c r="B69" s="548"/>
      <c r="C69" s="659">
        <v>3</v>
      </c>
      <c r="D69" s="549" t="s">
        <v>1476</v>
      </c>
      <c r="E69" s="550" t="s">
        <v>502</v>
      </c>
      <c r="F69" s="551" t="s">
        <v>563</v>
      </c>
      <c r="G69" s="649" t="s">
        <v>1235</v>
      </c>
      <c r="H69" s="647" t="str">
        <f t="shared" si="10"/>
        <v>niet van toepassing</v>
      </c>
      <c r="I69" s="719"/>
      <c r="J69" s="623"/>
      <c r="K69" s="623"/>
      <c r="L69" s="668" t="s">
        <v>27</v>
      </c>
      <c r="M69" s="557">
        <f t="shared" ref="M69:M132" si="14">VLOOKUP(L69,Kengetal,2,FALSE)</f>
        <v>0</v>
      </c>
      <c r="N69" s="453"/>
      <c r="O69" s="557">
        <f t="shared" ref="O69:O132" si="15">VLOOKUP(L69,Kengetal,3,FALSE)</f>
        <v>0</v>
      </c>
      <c r="P69" s="633">
        <v>1</v>
      </c>
      <c r="Q69" s="776">
        <f t="shared" ref="Q69:Q132" si="16">T69*J69*P69</f>
        <v>0</v>
      </c>
      <c r="R69" s="776">
        <f t="shared" ref="R69:R132" si="17">U69*J69*P69</f>
        <v>0</v>
      </c>
      <c r="S69" s="552">
        <f t="shared" ref="S69:S132" si="18">V69*J69*P69</f>
        <v>0</v>
      </c>
      <c r="T69" s="626">
        <f t="shared" si="11"/>
        <v>0</v>
      </c>
      <c r="U69" s="626">
        <f t="shared" si="12"/>
        <v>0</v>
      </c>
      <c r="V69" s="553">
        <f t="shared" si="13"/>
        <v>0</v>
      </c>
      <c r="W69" s="554">
        <f t="shared" ref="W69:W132" si="19">IF(L69="","",VLOOKUP(L69,Kengetal,14,FALSE))</f>
        <v>0</v>
      </c>
      <c r="X69" s="454" t="s">
        <v>1454</v>
      </c>
      <c r="Y69" s="631">
        <f>IF(Q69=0,0,(Q69+R69)*'1.0-Contractblad'!$L$98)</f>
        <v>0</v>
      </c>
      <c r="Z69" s="632">
        <f>IF(J69=0,0,VLOOKUP(D69,'1.1a-Jaarprijzen'!$B$70:$P$124,14,FALSE)*(K69+J69))</f>
        <v>0</v>
      </c>
    </row>
    <row r="70" spans="1:26" hidden="1">
      <c r="A70" s="558"/>
      <c r="B70" s="548"/>
      <c r="C70" s="659">
        <v>3</v>
      </c>
      <c r="D70" s="549" t="s">
        <v>1476</v>
      </c>
      <c r="E70" s="550" t="s">
        <v>502</v>
      </c>
      <c r="F70" s="551" t="s">
        <v>564</v>
      </c>
      <c r="G70" s="649" t="s">
        <v>1216</v>
      </c>
      <c r="H70" s="647" t="str">
        <f t="shared" si="10"/>
        <v>sanitaire ruimte (toilet-/doucheruimte)</v>
      </c>
      <c r="I70" s="719" t="s">
        <v>84</v>
      </c>
      <c r="J70" s="623">
        <v>1.2</v>
      </c>
      <c r="K70" s="623"/>
      <c r="L70" s="559">
        <v>4153</v>
      </c>
      <c r="M70" s="557">
        <f t="shared" si="14"/>
        <v>104</v>
      </c>
      <c r="N70" s="453"/>
      <c r="O70" s="557">
        <f t="shared" si="15"/>
        <v>153</v>
      </c>
      <c r="P70" s="633">
        <v>1</v>
      </c>
      <c r="Q70" s="776">
        <f t="shared" si="16"/>
        <v>0</v>
      </c>
      <c r="R70" s="776">
        <f t="shared" si="17"/>
        <v>0</v>
      </c>
      <c r="S70" s="552">
        <f t="shared" si="18"/>
        <v>0</v>
      </c>
      <c r="T70" s="626">
        <f t="shared" si="11"/>
        <v>0</v>
      </c>
      <c r="U70" s="626">
        <f t="shared" si="12"/>
        <v>0</v>
      </c>
      <c r="V70" s="553">
        <f t="shared" si="13"/>
        <v>0</v>
      </c>
      <c r="W70" s="554" t="str">
        <f t="shared" si="19"/>
        <v>S</v>
      </c>
      <c r="X70" s="555"/>
      <c r="Y70" s="631">
        <f>IF(Q70=0,0,(Q70+R70)*'1.0-Contractblad'!$L$98)</f>
        <v>0</v>
      </c>
      <c r="Z70" s="632">
        <f ca="1">IF(J70=0,0,VLOOKUP(D70,'1.1a-Jaarprijzen'!$B$70:$P$124,14,FALSE)*(K70+J70))</f>
        <v>0</v>
      </c>
    </row>
    <row r="71" spans="1:26" hidden="1">
      <c r="A71" s="558"/>
      <c r="B71" s="548"/>
      <c r="C71" s="659">
        <v>3</v>
      </c>
      <c r="D71" s="549" t="s">
        <v>1476</v>
      </c>
      <c r="E71" s="550" t="s">
        <v>502</v>
      </c>
      <c r="F71" s="551" t="s">
        <v>565</v>
      </c>
      <c r="G71" s="649" t="s">
        <v>1237</v>
      </c>
      <c r="H71" s="647" t="str">
        <f t="shared" si="10"/>
        <v>trappenhuis</v>
      </c>
      <c r="I71" s="719" t="s">
        <v>1399</v>
      </c>
      <c r="J71" s="623">
        <v>33.200000000000003</v>
      </c>
      <c r="K71" s="623"/>
      <c r="L71" s="559">
        <v>9153</v>
      </c>
      <c r="M71" s="557">
        <f t="shared" si="14"/>
        <v>109</v>
      </c>
      <c r="N71" s="453"/>
      <c r="O71" s="557">
        <f t="shared" si="15"/>
        <v>153</v>
      </c>
      <c r="P71" s="633">
        <v>1</v>
      </c>
      <c r="Q71" s="776">
        <f t="shared" si="16"/>
        <v>0</v>
      </c>
      <c r="R71" s="776">
        <f t="shared" si="17"/>
        <v>0</v>
      </c>
      <c r="S71" s="552">
        <f t="shared" si="18"/>
        <v>0</v>
      </c>
      <c r="T71" s="626">
        <f t="shared" si="11"/>
        <v>0</v>
      </c>
      <c r="U71" s="626">
        <f t="shared" si="12"/>
        <v>0</v>
      </c>
      <c r="V71" s="553">
        <f t="shared" si="13"/>
        <v>0</v>
      </c>
      <c r="W71" s="554" t="str">
        <f t="shared" si="19"/>
        <v>V</v>
      </c>
      <c r="X71" s="555"/>
      <c r="Y71" s="631">
        <f>IF(Q71=0,0,(Q71+R71)*'1.0-Contractblad'!$L$98)</f>
        <v>0</v>
      </c>
      <c r="Z71" s="632">
        <f ca="1">IF(J71=0,0,VLOOKUP(D71,'1.1a-Jaarprijzen'!$B$70:$P$124,14,FALSE)*(K71+J71))</f>
        <v>0</v>
      </c>
    </row>
    <row r="72" spans="1:26" hidden="1">
      <c r="A72" s="558"/>
      <c r="B72" s="548"/>
      <c r="C72" s="659">
        <v>3</v>
      </c>
      <c r="D72" s="549" t="s">
        <v>1476</v>
      </c>
      <c r="E72" s="550" t="s">
        <v>502</v>
      </c>
      <c r="F72" s="551" t="s">
        <v>566</v>
      </c>
      <c r="G72" s="649" t="s">
        <v>1225</v>
      </c>
      <c r="H72" s="647" t="str">
        <f t="shared" si="10"/>
        <v>entree, gang, hal, repro, kopieer, was/droogruimte</v>
      </c>
      <c r="I72" s="719" t="s">
        <v>106</v>
      </c>
      <c r="J72" s="623">
        <v>1</v>
      </c>
      <c r="K72" s="623"/>
      <c r="L72" s="651">
        <v>3153</v>
      </c>
      <c r="M72" s="557">
        <f t="shared" si="14"/>
        <v>103</v>
      </c>
      <c r="N72" s="453"/>
      <c r="O72" s="557">
        <f t="shared" si="15"/>
        <v>153</v>
      </c>
      <c r="P72" s="633">
        <v>1</v>
      </c>
      <c r="Q72" s="776">
        <f t="shared" si="16"/>
        <v>0</v>
      </c>
      <c r="R72" s="776">
        <f t="shared" si="17"/>
        <v>0</v>
      </c>
      <c r="S72" s="552">
        <f t="shared" si="18"/>
        <v>0</v>
      </c>
      <c r="T72" s="626">
        <f t="shared" si="11"/>
        <v>0</v>
      </c>
      <c r="U72" s="626">
        <f t="shared" si="12"/>
        <v>0</v>
      </c>
      <c r="V72" s="553">
        <f t="shared" si="13"/>
        <v>0</v>
      </c>
      <c r="W72" s="554" t="str">
        <f t="shared" si="19"/>
        <v>V</v>
      </c>
      <c r="X72" s="555"/>
      <c r="Y72" s="631">
        <f>IF(Q72=0,0,(Q72+R72)*'1.0-Contractblad'!$L$98)</f>
        <v>0</v>
      </c>
      <c r="Z72" s="632">
        <f ca="1">IF(J72=0,0,VLOOKUP(D72,'1.1a-Jaarprijzen'!$B$70:$P$124,14,FALSE)*(K72+J72))</f>
        <v>0</v>
      </c>
    </row>
    <row r="73" spans="1:26" hidden="1">
      <c r="A73" s="558"/>
      <c r="B73" s="548"/>
      <c r="C73" s="659">
        <v>3</v>
      </c>
      <c r="D73" s="549" t="s">
        <v>1476</v>
      </c>
      <c r="E73" s="550" t="s">
        <v>502</v>
      </c>
      <c r="F73" s="551" t="s">
        <v>567</v>
      </c>
      <c r="G73" s="649" t="s">
        <v>1248</v>
      </c>
      <c r="H73" s="647" t="str">
        <f t="shared" si="10"/>
        <v>niet van toepassing</v>
      </c>
      <c r="I73" s="719"/>
      <c r="J73" s="623"/>
      <c r="K73" s="623"/>
      <c r="L73" s="668" t="s">
        <v>27</v>
      </c>
      <c r="M73" s="557">
        <f t="shared" si="14"/>
        <v>0</v>
      </c>
      <c r="N73" s="453"/>
      <c r="O73" s="557">
        <f t="shared" si="15"/>
        <v>0</v>
      </c>
      <c r="P73" s="633">
        <v>1</v>
      </c>
      <c r="Q73" s="776">
        <f t="shared" si="16"/>
        <v>0</v>
      </c>
      <c r="R73" s="776">
        <f t="shared" si="17"/>
        <v>0</v>
      </c>
      <c r="S73" s="552">
        <f t="shared" si="18"/>
        <v>0</v>
      </c>
      <c r="T73" s="626">
        <f t="shared" si="11"/>
        <v>0</v>
      </c>
      <c r="U73" s="626">
        <f t="shared" si="12"/>
        <v>0</v>
      </c>
      <c r="V73" s="553">
        <f t="shared" si="13"/>
        <v>0</v>
      </c>
      <c r="W73" s="554">
        <f t="shared" si="19"/>
        <v>0</v>
      </c>
      <c r="X73" s="454" t="s">
        <v>1454</v>
      </c>
      <c r="Y73" s="631">
        <f>IF(Q73=0,0,(Q73+R73)*'1.0-Contractblad'!$L$98)</f>
        <v>0</v>
      </c>
      <c r="Z73" s="632">
        <f>IF(J73=0,0,VLOOKUP(D73,'1.1a-Jaarprijzen'!$B$70:$P$124,14,FALSE)*(K73+J73))</f>
        <v>0</v>
      </c>
    </row>
    <row r="74" spans="1:26" hidden="1">
      <c r="A74" s="558"/>
      <c r="B74" s="548"/>
      <c r="C74" s="659">
        <v>3</v>
      </c>
      <c r="D74" s="549" t="s">
        <v>1476</v>
      </c>
      <c r="E74" s="550" t="s">
        <v>502</v>
      </c>
      <c r="F74" s="551" t="s">
        <v>568</v>
      </c>
      <c r="G74" s="649" t="s">
        <v>1249</v>
      </c>
      <c r="H74" s="647" t="str">
        <f t="shared" si="10"/>
        <v>niet van toepassing</v>
      </c>
      <c r="I74" s="719"/>
      <c r="J74" s="623"/>
      <c r="K74" s="623"/>
      <c r="L74" s="668" t="s">
        <v>27</v>
      </c>
      <c r="M74" s="557">
        <f t="shared" si="14"/>
        <v>0</v>
      </c>
      <c r="N74" s="453"/>
      <c r="O74" s="557">
        <f t="shared" si="15"/>
        <v>0</v>
      </c>
      <c r="P74" s="633">
        <v>1</v>
      </c>
      <c r="Q74" s="776">
        <f t="shared" si="16"/>
        <v>0</v>
      </c>
      <c r="R74" s="776">
        <f t="shared" si="17"/>
        <v>0</v>
      </c>
      <c r="S74" s="552">
        <f t="shared" si="18"/>
        <v>0</v>
      </c>
      <c r="T74" s="626">
        <f t="shared" si="11"/>
        <v>0</v>
      </c>
      <c r="U74" s="626">
        <f t="shared" si="12"/>
        <v>0</v>
      </c>
      <c r="V74" s="553">
        <f t="shared" si="13"/>
        <v>0</v>
      </c>
      <c r="W74" s="554">
        <f t="shared" si="19"/>
        <v>0</v>
      </c>
      <c r="X74" s="454" t="s">
        <v>1454</v>
      </c>
      <c r="Y74" s="631">
        <f>IF(Q74=0,0,(Q74+R74)*'1.0-Contractblad'!$L$98)</f>
        <v>0</v>
      </c>
      <c r="Z74" s="632">
        <f>IF(J74=0,0,VLOOKUP(D74,'1.1a-Jaarprijzen'!$B$70:$P$124,14,FALSE)*(K74+J74))</f>
        <v>0</v>
      </c>
    </row>
    <row r="75" spans="1:26" hidden="1">
      <c r="A75" s="558"/>
      <c r="B75" s="548"/>
      <c r="C75" s="659">
        <v>3</v>
      </c>
      <c r="D75" s="549" t="s">
        <v>1476</v>
      </c>
      <c r="E75" s="550" t="s">
        <v>502</v>
      </c>
      <c r="F75" s="551" t="s">
        <v>569</v>
      </c>
      <c r="G75" s="649" t="s">
        <v>1226</v>
      </c>
      <c r="H75" s="647" t="str">
        <f t="shared" si="10"/>
        <v>aula, gemeenschappelijke ruimte, bibliotheek</v>
      </c>
      <c r="I75" s="719" t="s">
        <v>106</v>
      </c>
      <c r="J75" s="623">
        <v>9.9</v>
      </c>
      <c r="K75" s="623"/>
      <c r="L75" s="651">
        <v>2153</v>
      </c>
      <c r="M75" s="557">
        <f t="shared" si="14"/>
        <v>102</v>
      </c>
      <c r="N75" s="453"/>
      <c r="O75" s="557">
        <f t="shared" si="15"/>
        <v>153</v>
      </c>
      <c r="P75" s="633">
        <v>1</v>
      </c>
      <c r="Q75" s="776">
        <f t="shared" si="16"/>
        <v>0</v>
      </c>
      <c r="R75" s="776">
        <f t="shared" si="17"/>
        <v>0</v>
      </c>
      <c r="S75" s="552">
        <f t="shared" si="18"/>
        <v>0</v>
      </c>
      <c r="T75" s="626">
        <f t="shared" si="11"/>
        <v>0</v>
      </c>
      <c r="U75" s="626">
        <f t="shared" si="12"/>
        <v>0</v>
      </c>
      <c r="V75" s="553">
        <f t="shared" si="13"/>
        <v>0</v>
      </c>
      <c r="W75" s="554" t="str">
        <f t="shared" si="19"/>
        <v>V</v>
      </c>
      <c r="X75" s="555"/>
      <c r="Y75" s="631">
        <f>IF(Q75=0,0,(Q75+R75)*'1.0-Contractblad'!$L$98)</f>
        <v>0</v>
      </c>
      <c r="Z75" s="632">
        <f ca="1">IF(J75=0,0,VLOOKUP(D75,'1.1a-Jaarprijzen'!$B$70:$P$124,14,FALSE)*(K75+J75))</f>
        <v>0</v>
      </c>
    </row>
    <row r="76" spans="1:26" hidden="1">
      <c r="A76" s="558"/>
      <c r="B76" s="548"/>
      <c r="C76" s="659">
        <v>3</v>
      </c>
      <c r="D76" s="549" t="s">
        <v>1476</v>
      </c>
      <c r="E76" s="550" t="s">
        <v>502</v>
      </c>
      <c r="F76" s="551" t="s">
        <v>570</v>
      </c>
      <c r="G76" s="649" t="s">
        <v>1221</v>
      </c>
      <c r="H76" s="647" t="str">
        <f t="shared" si="10"/>
        <v>entree, gang, hal, repro, kopieer, was/droogruimte</v>
      </c>
      <c r="I76" s="719" t="s">
        <v>106</v>
      </c>
      <c r="J76" s="623">
        <v>24.7</v>
      </c>
      <c r="K76" s="623"/>
      <c r="L76" s="651">
        <v>3153</v>
      </c>
      <c r="M76" s="557">
        <f t="shared" si="14"/>
        <v>103</v>
      </c>
      <c r="N76" s="453"/>
      <c r="O76" s="557">
        <f t="shared" si="15"/>
        <v>153</v>
      </c>
      <c r="P76" s="633">
        <v>1</v>
      </c>
      <c r="Q76" s="776">
        <f t="shared" si="16"/>
        <v>0</v>
      </c>
      <c r="R76" s="776">
        <f t="shared" si="17"/>
        <v>0</v>
      </c>
      <c r="S76" s="552">
        <f t="shared" si="18"/>
        <v>0</v>
      </c>
      <c r="T76" s="626">
        <f t="shared" si="11"/>
        <v>0</v>
      </c>
      <c r="U76" s="626">
        <f t="shared" si="12"/>
        <v>0</v>
      </c>
      <c r="V76" s="553">
        <f t="shared" si="13"/>
        <v>0</v>
      </c>
      <c r="W76" s="554" t="str">
        <f t="shared" si="19"/>
        <v>V</v>
      </c>
      <c r="X76" s="555"/>
      <c r="Y76" s="631">
        <f>IF(Q76=0,0,(Q76+R76)*'1.0-Contractblad'!$L$98)</f>
        <v>0</v>
      </c>
      <c r="Z76" s="632">
        <f ca="1">IF(J76=0,0,VLOOKUP(D76,'1.1a-Jaarprijzen'!$B$70:$P$124,14,FALSE)*(K76+J76))</f>
        <v>0</v>
      </c>
    </row>
    <row r="77" spans="1:26" hidden="1">
      <c r="A77" s="558"/>
      <c r="B77" s="548"/>
      <c r="C77" s="659">
        <v>3</v>
      </c>
      <c r="D77" s="549" t="s">
        <v>1476</v>
      </c>
      <c r="E77" s="550" t="s">
        <v>502</v>
      </c>
      <c r="F77" s="551" t="s">
        <v>571</v>
      </c>
      <c r="G77" s="649" t="s">
        <v>1250</v>
      </c>
      <c r="H77" s="647" t="str">
        <f t="shared" si="10"/>
        <v>entree, gang, hal, repro, kopieer, was/droogruimte</v>
      </c>
      <c r="I77" s="719" t="s">
        <v>106</v>
      </c>
      <c r="J77" s="623">
        <v>7.5</v>
      </c>
      <c r="K77" s="623"/>
      <c r="L77" s="651">
        <v>3153</v>
      </c>
      <c r="M77" s="557">
        <f t="shared" si="14"/>
        <v>103</v>
      </c>
      <c r="N77" s="453"/>
      <c r="O77" s="557">
        <f t="shared" si="15"/>
        <v>153</v>
      </c>
      <c r="P77" s="633">
        <v>1</v>
      </c>
      <c r="Q77" s="776">
        <f t="shared" si="16"/>
        <v>0</v>
      </c>
      <c r="R77" s="776">
        <f t="shared" si="17"/>
        <v>0</v>
      </c>
      <c r="S77" s="552">
        <f t="shared" si="18"/>
        <v>0</v>
      </c>
      <c r="T77" s="626">
        <f t="shared" si="11"/>
        <v>0</v>
      </c>
      <c r="U77" s="626">
        <f t="shared" si="12"/>
        <v>0</v>
      </c>
      <c r="V77" s="553">
        <f t="shared" si="13"/>
        <v>0</v>
      </c>
      <c r="W77" s="554" t="str">
        <f t="shared" si="19"/>
        <v>V</v>
      </c>
      <c r="X77" s="555"/>
      <c r="Y77" s="631">
        <f>IF(Q77=0,0,(Q77+R77)*'1.0-Contractblad'!$L$98)</f>
        <v>0</v>
      </c>
      <c r="Z77" s="632">
        <f ca="1">IF(J77=0,0,VLOOKUP(D77,'1.1a-Jaarprijzen'!$B$70:$P$124,14,FALSE)*(K77+J77))</f>
        <v>0</v>
      </c>
    </row>
    <row r="78" spans="1:26" hidden="1">
      <c r="A78" s="558"/>
      <c r="B78" s="548"/>
      <c r="C78" s="659">
        <v>3</v>
      </c>
      <c r="D78" s="549" t="s">
        <v>1476</v>
      </c>
      <c r="E78" s="550" t="s">
        <v>502</v>
      </c>
      <c r="F78" s="551" t="s">
        <v>572</v>
      </c>
      <c r="G78" s="649" t="s">
        <v>1251</v>
      </c>
      <c r="H78" s="647" t="str">
        <f t="shared" si="10"/>
        <v>entree, gang, hal, repro, kopieer, was/droogruimte</v>
      </c>
      <c r="I78" s="719" t="s">
        <v>106</v>
      </c>
      <c r="J78" s="623">
        <v>5.4</v>
      </c>
      <c r="K78" s="623"/>
      <c r="L78" s="651">
        <v>3153</v>
      </c>
      <c r="M78" s="557">
        <f t="shared" si="14"/>
        <v>103</v>
      </c>
      <c r="N78" s="453"/>
      <c r="O78" s="557">
        <f t="shared" si="15"/>
        <v>153</v>
      </c>
      <c r="P78" s="633">
        <v>1</v>
      </c>
      <c r="Q78" s="776">
        <f t="shared" si="16"/>
        <v>0</v>
      </c>
      <c r="R78" s="776">
        <f t="shared" si="17"/>
        <v>0</v>
      </c>
      <c r="S78" s="552">
        <f t="shared" si="18"/>
        <v>0</v>
      </c>
      <c r="T78" s="626">
        <f t="shared" si="11"/>
        <v>0</v>
      </c>
      <c r="U78" s="626">
        <f t="shared" si="12"/>
        <v>0</v>
      </c>
      <c r="V78" s="553">
        <f t="shared" si="13"/>
        <v>0</v>
      </c>
      <c r="W78" s="554" t="str">
        <f t="shared" si="19"/>
        <v>V</v>
      </c>
      <c r="X78" s="555"/>
      <c r="Y78" s="631">
        <f>IF(Q78=0,0,(Q78+R78)*'1.0-Contractblad'!$L$98)</f>
        <v>0</v>
      </c>
      <c r="Z78" s="632">
        <f ca="1">IF(J78=0,0,VLOOKUP(D78,'1.1a-Jaarprijzen'!$B$70:$P$124,14,FALSE)*(K78+J78))</f>
        <v>0</v>
      </c>
    </row>
    <row r="79" spans="1:26" hidden="1">
      <c r="A79" s="558"/>
      <c r="B79" s="548"/>
      <c r="C79" s="659">
        <v>3</v>
      </c>
      <c r="D79" s="549" t="s">
        <v>1476</v>
      </c>
      <c r="E79" s="550" t="s">
        <v>502</v>
      </c>
      <c r="F79" s="551" t="s">
        <v>573</v>
      </c>
      <c r="G79" s="649" t="s">
        <v>1252</v>
      </c>
      <c r="H79" s="647" t="str">
        <f t="shared" si="10"/>
        <v>sanitaire ruimte (toilet-/doucheruimte)</v>
      </c>
      <c r="I79" s="719" t="s">
        <v>106</v>
      </c>
      <c r="J79" s="623">
        <v>7.9</v>
      </c>
      <c r="K79" s="623"/>
      <c r="L79" s="559">
        <v>4255</v>
      </c>
      <c r="M79" s="557">
        <f t="shared" si="14"/>
        <v>104</v>
      </c>
      <c r="N79" s="453"/>
      <c r="O79" s="557">
        <f t="shared" si="15"/>
        <v>255</v>
      </c>
      <c r="P79" s="633">
        <v>1</v>
      </c>
      <c r="Q79" s="776">
        <f t="shared" si="16"/>
        <v>0</v>
      </c>
      <c r="R79" s="776">
        <f t="shared" si="17"/>
        <v>0</v>
      </c>
      <c r="S79" s="552">
        <f t="shared" si="18"/>
        <v>0</v>
      </c>
      <c r="T79" s="626">
        <f t="shared" si="11"/>
        <v>0</v>
      </c>
      <c r="U79" s="626">
        <f t="shared" si="12"/>
        <v>0</v>
      </c>
      <c r="V79" s="553">
        <f t="shared" si="13"/>
        <v>0</v>
      </c>
      <c r="W79" s="554" t="str">
        <f t="shared" si="19"/>
        <v>S</v>
      </c>
      <c r="X79" s="555"/>
      <c r="Y79" s="631">
        <f>IF(Q79=0,0,(Q79+R79)*'1.0-Contractblad'!$L$98)</f>
        <v>0</v>
      </c>
      <c r="Z79" s="632">
        <f ca="1">IF(J79=0,0,VLOOKUP(D79,'1.1a-Jaarprijzen'!$B$70:$P$124,14,FALSE)*(K79+J79))</f>
        <v>0</v>
      </c>
    </row>
    <row r="80" spans="1:26" hidden="1">
      <c r="A80" s="558"/>
      <c r="B80" s="548"/>
      <c r="C80" s="659">
        <v>3</v>
      </c>
      <c r="D80" s="549" t="s">
        <v>1476</v>
      </c>
      <c r="E80" s="660" t="s">
        <v>502</v>
      </c>
      <c r="F80" s="648" t="s">
        <v>574</v>
      </c>
      <c r="G80" s="649" t="s">
        <v>1223</v>
      </c>
      <c r="H80" s="647" t="str">
        <f t="shared" si="10"/>
        <v>administratieve -, personeels- en vergaderruimte</v>
      </c>
      <c r="I80" s="718" t="s">
        <v>106</v>
      </c>
      <c r="J80" s="650">
        <v>9.4</v>
      </c>
      <c r="K80" s="661"/>
      <c r="L80" s="651">
        <v>1102</v>
      </c>
      <c r="M80" s="557">
        <f t="shared" si="14"/>
        <v>101</v>
      </c>
      <c r="N80" s="453"/>
      <c r="O80" s="557">
        <f t="shared" si="15"/>
        <v>102</v>
      </c>
      <c r="P80" s="633">
        <v>1</v>
      </c>
      <c r="Q80" s="776">
        <f t="shared" si="16"/>
        <v>0</v>
      </c>
      <c r="R80" s="776">
        <f t="shared" si="17"/>
        <v>0</v>
      </c>
      <c r="S80" s="552">
        <f t="shared" si="18"/>
        <v>0</v>
      </c>
      <c r="T80" s="626">
        <f t="shared" si="11"/>
        <v>0</v>
      </c>
      <c r="U80" s="626">
        <f t="shared" si="12"/>
        <v>0</v>
      </c>
      <c r="V80" s="553">
        <f t="shared" si="13"/>
        <v>0</v>
      </c>
      <c r="W80" s="554" t="str">
        <f t="shared" si="19"/>
        <v>B</v>
      </c>
      <c r="X80" s="555"/>
      <c r="Y80" s="631">
        <f>IF(Q80=0,0,(Q80+R80)*'1.0-Contractblad'!$L$98)</f>
        <v>0</v>
      </c>
      <c r="Z80" s="632">
        <f ca="1">IF(J80=0,0,VLOOKUP(D80,'1.1a-Jaarprijzen'!$B$70:$P$124,14,FALSE)*(K80+J80))</f>
        <v>0</v>
      </c>
    </row>
    <row r="81" spans="1:26" hidden="1">
      <c r="A81" s="558"/>
      <c r="B81" s="548"/>
      <c r="C81" s="659">
        <v>3</v>
      </c>
      <c r="D81" s="549" t="s">
        <v>1476</v>
      </c>
      <c r="E81" s="660" t="s">
        <v>502</v>
      </c>
      <c r="F81" s="648" t="s">
        <v>575</v>
      </c>
      <c r="G81" s="649" t="s">
        <v>1221</v>
      </c>
      <c r="H81" s="647" t="str">
        <f t="shared" si="10"/>
        <v>entree, gang, hal, repro, kopieer, was/droogruimte</v>
      </c>
      <c r="I81" s="718" t="s">
        <v>106</v>
      </c>
      <c r="J81" s="650">
        <v>34.299999999999997</v>
      </c>
      <c r="K81" s="661"/>
      <c r="L81" s="651">
        <v>3153</v>
      </c>
      <c r="M81" s="557">
        <f t="shared" si="14"/>
        <v>103</v>
      </c>
      <c r="N81" s="453"/>
      <c r="O81" s="557">
        <f t="shared" si="15"/>
        <v>153</v>
      </c>
      <c r="P81" s="633">
        <v>1</v>
      </c>
      <c r="Q81" s="776">
        <f t="shared" si="16"/>
        <v>0</v>
      </c>
      <c r="R81" s="776">
        <f t="shared" si="17"/>
        <v>0</v>
      </c>
      <c r="S81" s="552">
        <f t="shared" si="18"/>
        <v>0</v>
      </c>
      <c r="T81" s="626">
        <f t="shared" si="11"/>
        <v>0</v>
      </c>
      <c r="U81" s="626">
        <f t="shared" si="12"/>
        <v>0</v>
      </c>
      <c r="V81" s="553">
        <f t="shared" si="13"/>
        <v>0</v>
      </c>
      <c r="W81" s="554" t="str">
        <f t="shared" si="19"/>
        <v>V</v>
      </c>
      <c r="X81" s="555"/>
      <c r="Y81" s="631">
        <f>IF(Q81=0,0,(Q81+R81)*'1.0-Contractblad'!$L$98)</f>
        <v>0</v>
      </c>
      <c r="Z81" s="632">
        <f ca="1">IF(J81=0,0,VLOOKUP(D81,'1.1a-Jaarprijzen'!$B$70:$P$124,14,FALSE)*(K81+J81))</f>
        <v>0</v>
      </c>
    </row>
    <row r="82" spans="1:26" hidden="1">
      <c r="A82" s="558"/>
      <c r="B82" s="548"/>
      <c r="C82" s="659">
        <v>3</v>
      </c>
      <c r="D82" s="549" t="s">
        <v>1476</v>
      </c>
      <c r="E82" s="660" t="s">
        <v>502</v>
      </c>
      <c r="F82" s="648" t="s">
        <v>576</v>
      </c>
      <c r="G82" s="649" t="s">
        <v>1253</v>
      </c>
      <c r="H82" s="647" t="str">
        <f t="shared" si="10"/>
        <v>niet van toepassing</v>
      </c>
      <c r="I82" s="718" t="s">
        <v>106</v>
      </c>
      <c r="J82" s="650"/>
      <c r="K82" s="661"/>
      <c r="L82" s="668" t="s">
        <v>27</v>
      </c>
      <c r="M82" s="557">
        <f t="shared" si="14"/>
        <v>0</v>
      </c>
      <c r="N82" s="453"/>
      <c r="O82" s="557">
        <f t="shared" si="15"/>
        <v>0</v>
      </c>
      <c r="P82" s="633">
        <v>1</v>
      </c>
      <c r="Q82" s="776">
        <f t="shared" si="16"/>
        <v>0</v>
      </c>
      <c r="R82" s="776">
        <f t="shared" si="17"/>
        <v>0</v>
      </c>
      <c r="S82" s="552">
        <f t="shared" si="18"/>
        <v>0</v>
      </c>
      <c r="T82" s="626">
        <f t="shared" si="11"/>
        <v>0</v>
      </c>
      <c r="U82" s="626">
        <f t="shared" si="12"/>
        <v>0</v>
      </c>
      <c r="V82" s="553">
        <f t="shared" si="13"/>
        <v>0</v>
      </c>
      <c r="W82" s="554">
        <f t="shared" si="19"/>
        <v>0</v>
      </c>
      <c r="X82" s="454" t="s">
        <v>1454</v>
      </c>
      <c r="Y82" s="631">
        <f>IF(Q82=0,0,(Q82+R82)*'1.0-Contractblad'!$L$98)</f>
        <v>0</v>
      </c>
      <c r="Z82" s="632">
        <f>IF(J82=0,0,VLOOKUP(D82,'1.1a-Jaarprijzen'!$B$70:$P$124,14,FALSE)*(K82+J82))</f>
        <v>0</v>
      </c>
    </row>
    <row r="83" spans="1:26" hidden="1">
      <c r="A83" s="558"/>
      <c r="B83" s="548"/>
      <c r="C83" s="659">
        <v>3</v>
      </c>
      <c r="D83" s="549" t="s">
        <v>1476</v>
      </c>
      <c r="E83" s="660" t="s">
        <v>502</v>
      </c>
      <c r="F83" s="648" t="s">
        <v>577</v>
      </c>
      <c r="G83" s="649" t="s">
        <v>1223</v>
      </c>
      <c r="H83" s="647" t="str">
        <f t="shared" si="10"/>
        <v>administratieve -, personeels- en vergaderruimte</v>
      </c>
      <c r="I83" s="718" t="s">
        <v>106</v>
      </c>
      <c r="J83" s="650">
        <v>16.8</v>
      </c>
      <c r="K83" s="661"/>
      <c r="L83" s="651">
        <v>1102</v>
      </c>
      <c r="M83" s="557">
        <f t="shared" si="14"/>
        <v>101</v>
      </c>
      <c r="N83" s="453"/>
      <c r="O83" s="557">
        <f t="shared" si="15"/>
        <v>102</v>
      </c>
      <c r="P83" s="633">
        <v>1</v>
      </c>
      <c r="Q83" s="776">
        <f t="shared" si="16"/>
        <v>0</v>
      </c>
      <c r="R83" s="776">
        <f t="shared" si="17"/>
        <v>0</v>
      </c>
      <c r="S83" s="552">
        <f t="shared" si="18"/>
        <v>0</v>
      </c>
      <c r="T83" s="626">
        <f t="shared" si="11"/>
        <v>0</v>
      </c>
      <c r="U83" s="626">
        <f t="shared" si="12"/>
        <v>0</v>
      </c>
      <c r="V83" s="553">
        <f t="shared" si="13"/>
        <v>0</v>
      </c>
      <c r="W83" s="554" t="str">
        <f t="shared" si="19"/>
        <v>B</v>
      </c>
      <c r="X83" s="555"/>
      <c r="Y83" s="631">
        <f>IF(Q83=0,0,(Q83+R83)*'1.0-Contractblad'!$L$98)</f>
        <v>0</v>
      </c>
      <c r="Z83" s="632">
        <f ca="1">IF(J83=0,0,VLOOKUP(D83,'1.1a-Jaarprijzen'!$B$70:$P$124,14,FALSE)*(K83+J83))</f>
        <v>0</v>
      </c>
    </row>
    <row r="84" spans="1:26" hidden="1">
      <c r="A84" s="558"/>
      <c r="B84" s="548"/>
      <c r="C84" s="659">
        <v>3</v>
      </c>
      <c r="D84" s="549" t="s">
        <v>1476</v>
      </c>
      <c r="E84" s="660" t="s">
        <v>502</v>
      </c>
      <c r="F84" s="648" t="s">
        <v>578</v>
      </c>
      <c r="G84" s="649" t="s">
        <v>1223</v>
      </c>
      <c r="H84" s="647" t="str">
        <f t="shared" si="10"/>
        <v>administratieve -, personeels- en vergaderruimte</v>
      </c>
      <c r="I84" s="718" t="s">
        <v>106</v>
      </c>
      <c r="J84" s="650">
        <v>16.8</v>
      </c>
      <c r="K84" s="661"/>
      <c r="L84" s="651">
        <v>1102</v>
      </c>
      <c r="M84" s="557">
        <f t="shared" si="14"/>
        <v>101</v>
      </c>
      <c r="N84" s="453"/>
      <c r="O84" s="557">
        <f t="shared" si="15"/>
        <v>102</v>
      </c>
      <c r="P84" s="633">
        <v>1</v>
      </c>
      <c r="Q84" s="776">
        <f t="shared" si="16"/>
        <v>0</v>
      </c>
      <c r="R84" s="776">
        <f t="shared" si="17"/>
        <v>0</v>
      </c>
      <c r="S84" s="552">
        <f t="shared" si="18"/>
        <v>0</v>
      </c>
      <c r="T84" s="626">
        <f t="shared" si="11"/>
        <v>0</v>
      </c>
      <c r="U84" s="626">
        <f t="shared" si="12"/>
        <v>0</v>
      </c>
      <c r="V84" s="553">
        <f t="shared" si="13"/>
        <v>0</v>
      </c>
      <c r="W84" s="554" t="str">
        <f t="shared" si="19"/>
        <v>B</v>
      </c>
      <c r="X84" s="555"/>
      <c r="Y84" s="631">
        <f>IF(Q84=0,0,(Q84+R84)*'1.0-Contractblad'!$L$98)</f>
        <v>0</v>
      </c>
      <c r="Z84" s="632">
        <f ca="1">IF(J84=0,0,VLOOKUP(D84,'1.1a-Jaarprijzen'!$B$70:$P$124,14,FALSE)*(K84+J84))</f>
        <v>0</v>
      </c>
    </row>
    <row r="85" spans="1:26" hidden="1">
      <c r="A85" s="558"/>
      <c r="B85" s="548"/>
      <c r="C85" s="659">
        <v>3</v>
      </c>
      <c r="D85" s="549" t="s">
        <v>1476</v>
      </c>
      <c r="E85" s="660" t="s">
        <v>502</v>
      </c>
      <c r="F85" s="648" t="s">
        <v>579</v>
      </c>
      <c r="G85" s="649" t="s">
        <v>1223</v>
      </c>
      <c r="H85" s="647" t="str">
        <f t="shared" si="10"/>
        <v>administratieve -, personeels- en vergaderruimte</v>
      </c>
      <c r="I85" s="718" t="s">
        <v>106</v>
      </c>
      <c r="J85" s="650">
        <v>16.8</v>
      </c>
      <c r="K85" s="661"/>
      <c r="L85" s="651">
        <v>1102</v>
      </c>
      <c r="M85" s="557">
        <f t="shared" si="14"/>
        <v>101</v>
      </c>
      <c r="N85" s="453"/>
      <c r="O85" s="557">
        <f t="shared" si="15"/>
        <v>102</v>
      </c>
      <c r="P85" s="633">
        <v>1</v>
      </c>
      <c r="Q85" s="776">
        <f t="shared" si="16"/>
        <v>0</v>
      </c>
      <c r="R85" s="776">
        <f t="shared" si="17"/>
        <v>0</v>
      </c>
      <c r="S85" s="552">
        <f t="shared" si="18"/>
        <v>0</v>
      </c>
      <c r="T85" s="626">
        <f t="shared" si="11"/>
        <v>0</v>
      </c>
      <c r="U85" s="626">
        <f t="shared" si="12"/>
        <v>0</v>
      </c>
      <c r="V85" s="553">
        <f t="shared" si="13"/>
        <v>0</v>
      </c>
      <c r="W85" s="554" t="str">
        <f t="shared" si="19"/>
        <v>B</v>
      </c>
      <c r="X85" s="555"/>
      <c r="Y85" s="631">
        <f>IF(Q85=0,0,(Q85+R85)*'1.0-Contractblad'!$L$98)</f>
        <v>0</v>
      </c>
      <c r="Z85" s="632">
        <f ca="1">IF(J85=0,0,VLOOKUP(D85,'1.1a-Jaarprijzen'!$B$70:$P$124,14,FALSE)*(K85+J85))</f>
        <v>0</v>
      </c>
    </row>
    <row r="86" spans="1:26" hidden="1">
      <c r="A86" s="558"/>
      <c r="B86" s="548"/>
      <c r="C86" s="659">
        <v>3</v>
      </c>
      <c r="D86" s="549" t="s">
        <v>1476</v>
      </c>
      <c r="E86" s="660" t="s">
        <v>502</v>
      </c>
      <c r="F86" s="648" t="s">
        <v>580</v>
      </c>
      <c r="G86" s="649" t="s">
        <v>1254</v>
      </c>
      <c r="H86" s="647" t="str">
        <f t="shared" si="10"/>
        <v>administratieve -, personeels- en vergaderruimte</v>
      </c>
      <c r="I86" s="718" t="s">
        <v>106</v>
      </c>
      <c r="J86" s="650">
        <v>34.9</v>
      </c>
      <c r="K86" s="650"/>
      <c r="L86" s="651">
        <v>1102</v>
      </c>
      <c r="M86" s="557">
        <f t="shared" si="14"/>
        <v>101</v>
      </c>
      <c r="N86" s="453"/>
      <c r="O86" s="557">
        <f t="shared" si="15"/>
        <v>102</v>
      </c>
      <c r="P86" s="633">
        <v>1</v>
      </c>
      <c r="Q86" s="776">
        <f t="shared" si="16"/>
        <v>0</v>
      </c>
      <c r="R86" s="776">
        <f t="shared" si="17"/>
        <v>0</v>
      </c>
      <c r="S86" s="552">
        <f t="shared" si="18"/>
        <v>0</v>
      </c>
      <c r="T86" s="626">
        <f t="shared" si="11"/>
        <v>0</v>
      </c>
      <c r="U86" s="626">
        <f t="shared" si="12"/>
        <v>0</v>
      </c>
      <c r="V86" s="553">
        <f t="shared" si="13"/>
        <v>0</v>
      </c>
      <c r="W86" s="554" t="str">
        <f t="shared" si="19"/>
        <v>B</v>
      </c>
      <c r="X86" s="555"/>
      <c r="Y86" s="631">
        <f>IF(Q86=0,0,(Q86+R86)*'1.0-Contractblad'!$L$98)</f>
        <v>0</v>
      </c>
      <c r="Z86" s="632">
        <f ca="1">IF(J86=0,0,VLOOKUP(D86,'1.1a-Jaarprijzen'!$B$70:$P$124,14,FALSE)*(K86+J86))</f>
        <v>0</v>
      </c>
    </row>
    <row r="87" spans="1:26" hidden="1">
      <c r="A87" s="558"/>
      <c r="B87" s="548"/>
      <c r="C87" s="659">
        <v>3</v>
      </c>
      <c r="D87" s="549" t="s">
        <v>1476</v>
      </c>
      <c r="E87" s="660" t="s">
        <v>502</v>
      </c>
      <c r="F87" s="648" t="s">
        <v>581</v>
      </c>
      <c r="G87" s="649" t="s">
        <v>1255</v>
      </c>
      <c r="H87" s="647" t="str">
        <f t="shared" si="10"/>
        <v>administratieve -, personeels- en vergaderruimte</v>
      </c>
      <c r="I87" s="718" t="s">
        <v>106</v>
      </c>
      <c r="J87" s="650">
        <v>47.8</v>
      </c>
      <c r="K87" s="650"/>
      <c r="L87" s="651">
        <v>1102</v>
      </c>
      <c r="M87" s="557">
        <f t="shared" si="14"/>
        <v>101</v>
      </c>
      <c r="N87" s="453"/>
      <c r="O87" s="557">
        <f t="shared" si="15"/>
        <v>102</v>
      </c>
      <c r="P87" s="633">
        <v>1</v>
      </c>
      <c r="Q87" s="776">
        <f t="shared" si="16"/>
        <v>0</v>
      </c>
      <c r="R87" s="776">
        <f t="shared" si="17"/>
        <v>0</v>
      </c>
      <c r="S87" s="552">
        <f t="shared" si="18"/>
        <v>0</v>
      </c>
      <c r="T87" s="626">
        <f t="shared" si="11"/>
        <v>0</v>
      </c>
      <c r="U87" s="626">
        <f t="shared" si="12"/>
        <v>0</v>
      </c>
      <c r="V87" s="553">
        <f t="shared" si="13"/>
        <v>0</v>
      </c>
      <c r="W87" s="554" t="str">
        <f t="shared" si="19"/>
        <v>B</v>
      </c>
      <c r="X87" s="555"/>
      <c r="Y87" s="631">
        <f>IF(Q87=0,0,(Q87+R87)*'1.0-Contractblad'!$L$98)</f>
        <v>0</v>
      </c>
      <c r="Z87" s="632">
        <f ca="1">IF(J87=0,0,VLOOKUP(D87,'1.1a-Jaarprijzen'!$B$70:$P$124,14,FALSE)*(K87+J87))</f>
        <v>0</v>
      </c>
    </row>
    <row r="88" spans="1:26" hidden="1">
      <c r="A88" s="558"/>
      <c r="B88" s="548"/>
      <c r="C88" s="659">
        <v>3</v>
      </c>
      <c r="D88" s="549" t="s">
        <v>1476</v>
      </c>
      <c r="E88" s="660" t="s">
        <v>502</v>
      </c>
      <c r="F88" s="648" t="s">
        <v>582</v>
      </c>
      <c r="G88" s="649" t="s">
        <v>487</v>
      </c>
      <c r="H88" s="647" t="str">
        <f t="shared" si="10"/>
        <v>entree, gang, hal, repro, kopieer, was/droogruimte</v>
      </c>
      <c r="I88" s="718" t="s">
        <v>106</v>
      </c>
      <c r="J88" s="650">
        <v>5.4</v>
      </c>
      <c r="K88" s="650"/>
      <c r="L88" s="651">
        <v>3153</v>
      </c>
      <c r="M88" s="557">
        <f t="shared" si="14"/>
        <v>103</v>
      </c>
      <c r="N88" s="453"/>
      <c r="O88" s="557">
        <f t="shared" si="15"/>
        <v>153</v>
      </c>
      <c r="P88" s="633">
        <v>1</v>
      </c>
      <c r="Q88" s="776">
        <f t="shared" si="16"/>
        <v>0</v>
      </c>
      <c r="R88" s="776">
        <f t="shared" si="17"/>
        <v>0</v>
      </c>
      <c r="S88" s="552">
        <f t="shared" si="18"/>
        <v>0</v>
      </c>
      <c r="T88" s="626">
        <f t="shared" si="11"/>
        <v>0</v>
      </c>
      <c r="U88" s="626">
        <f t="shared" si="12"/>
        <v>0</v>
      </c>
      <c r="V88" s="553">
        <f t="shared" si="13"/>
        <v>0</v>
      </c>
      <c r="W88" s="554" t="str">
        <f t="shared" si="19"/>
        <v>V</v>
      </c>
      <c r="X88" s="555"/>
      <c r="Y88" s="631">
        <f>IF(Q88=0,0,(Q88+R88)*'1.0-Contractblad'!$L$98)</f>
        <v>0</v>
      </c>
      <c r="Z88" s="632">
        <f ca="1">IF(J88=0,0,VLOOKUP(D88,'1.1a-Jaarprijzen'!$B$70:$P$124,14,FALSE)*(K88+J88))</f>
        <v>0</v>
      </c>
    </row>
    <row r="89" spans="1:26" hidden="1">
      <c r="A89" s="558"/>
      <c r="B89" s="548"/>
      <c r="C89" s="659">
        <v>3</v>
      </c>
      <c r="D89" s="549" t="s">
        <v>1476</v>
      </c>
      <c r="E89" s="660" t="s">
        <v>502</v>
      </c>
      <c r="F89" s="648" t="s">
        <v>583</v>
      </c>
      <c r="G89" s="649" t="s">
        <v>1235</v>
      </c>
      <c r="H89" s="647" t="str">
        <f t="shared" si="10"/>
        <v>niet van toepassing</v>
      </c>
      <c r="I89" s="718"/>
      <c r="J89" s="650"/>
      <c r="K89" s="650"/>
      <c r="L89" s="668" t="s">
        <v>27</v>
      </c>
      <c r="M89" s="557">
        <f t="shared" si="14"/>
        <v>0</v>
      </c>
      <c r="N89" s="453"/>
      <c r="O89" s="557">
        <f t="shared" si="15"/>
        <v>0</v>
      </c>
      <c r="P89" s="633">
        <v>1</v>
      </c>
      <c r="Q89" s="776">
        <f t="shared" si="16"/>
        <v>0</v>
      </c>
      <c r="R89" s="776">
        <f t="shared" si="17"/>
        <v>0</v>
      </c>
      <c r="S89" s="552">
        <f t="shared" si="18"/>
        <v>0</v>
      </c>
      <c r="T89" s="626">
        <f t="shared" si="11"/>
        <v>0</v>
      </c>
      <c r="U89" s="626">
        <f t="shared" si="12"/>
        <v>0</v>
      </c>
      <c r="V89" s="553">
        <f t="shared" si="13"/>
        <v>0</v>
      </c>
      <c r="W89" s="554">
        <f t="shared" si="19"/>
        <v>0</v>
      </c>
      <c r="X89" s="454" t="s">
        <v>1454</v>
      </c>
      <c r="Y89" s="631">
        <f>IF(Q89=0,0,(Q89+R89)*'1.0-Contractblad'!$L$98)</f>
        <v>0</v>
      </c>
      <c r="Z89" s="632">
        <f>IF(J89=0,0,VLOOKUP(D89,'1.1a-Jaarprijzen'!$B$70:$P$124,14,FALSE)*(K89+J89))</f>
        <v>0</v>
      </c>
    </row>
    <row r="90" spans="1:26" hidden="1">
      <c r="A90" s="558"/>
      <c r="B90" s="548"/>
      <c r="C90" s="659">
        <v>3</v>
      </c>
      <c r="D90" s="549" t="s">
        <v>1476</v>
      </c>
      <c r="E90" s="660" t="s">
        <v>502</v>
      </c>
      <c r="F90" s="648" t="s">
        <v>584</v>
      </c>
      <c r="G90" s="649" t="s">
        <v>1256</v>
      </c>
      <c r="H90" s="647" t="str">
        <f t="shared" si="10"/>
        <v>administratieve -, personeels- en vergaderruimte</v>
      </c>
      <c r="I90" s="718" t="s">
        <v>106</v>
      </c>
      <c r="J90" s="650">
        <v>19.2</v>
      </c>
      <c r="K90" s="650"/>
      <c r="L90" s="651">
        <v>1102</v>
      </c>
      <c r="M90" s="557">
        <f t="shared" si="14"/>
        <v>101</v>
      </c>
      <c r="N90" s="453"/>
      <c r="O90" s="557">
        <f t="shared" si="15"/>
        <v>102</v>
      </c>
      <c r="P90" s="633">
        <v>1</v>
      </c>
      <c r="Q90" s="776">
        <f t="shared" si="16"/>
        <v>0</v>
      </c>
      <c r="R90" s="776">
        <f t="shared" si="17"/>
        <v>0</v>
      </c>
      <c r="S90" s="552">
        <f t="shared" si="18"/>
        <v>0</v>
      </c>
      <c r="T90" s="626">
        <f t="shared" si="11"/>
        <v>0</v>
      </c>
      <c r="U90" s="626">
        <f t="shared" si="12"/>
        <v>0</v>
      </c>
      <c r="V90" s="553">
        <f t="shared" si="13"/>
        <v>0</v>
      </c>
      <c r="W90" s="554" t="str">
        <f t="shared" si="19"/>
        <v>B</v>
      </c>
      <c r="X90" s="555"/>
      <c r="Y90" s="631">
        <f>IF(Q90=0,0,(Q90+R90)*'1.0-Contractblad'!$L$98)</f>
        <v>0</v>
      </c>
      <c r="Z90" s="632">
        <f ca="1">IF(J90=0,0,VLOOKUP(D90,'1.1a-Jaarprijzen'!$B$70:$P$124,14,FALSE)*(K90+J90))</f>
        <v>0</v>
      </c>
    </row>
    <row r="91" spans="1:26" hidden="1">
      <c r="A91" s="558"/>
      <c r="B91" s="548"/>
      <c r="C91" s="659">
        <v>3</v>
      </c>
      <c r="D91" s="549" t="s">
        <v>1476</v>
      </c>
      <c r="E91" s="660" t="s">
        <v>502</v>
      </c>
      <c r="F91" s="648" t="s">
        <v>585</v>
      </c>
      <c r="G91" s="649" t="s">
        <v>487</v>
      </c>
      <c r="H91" s="647" t="str">
        <f t="shared" si="10"/>
        <v>entree, gang, hal, repro, kopieer, was/droogruimte</v>
      </c>
      <c r="I91" s="718" t="s">
        <v>106</v>
      </c>
      <c r="J91" s="650">
        <v>29.7</v>
      </c>
      <c r="K91" s="650"/>
      <c r="L91" s="651">
        <v>3153</v>
      </c>
      <c r="M91" s="557">
        <f t="shared" si="14"/>
        <v>103</v>
      </c>
      <c r="N91" s="453"/>
      <c r="O91" s="557">
        <f t="shared" si="15"/>
        <v>153</v>
      </c>
      <c r="P91" s="633">
        <v>1</v>
      </c>
      <c r="Q91" s="776">
        <f t="shared" si="16"/>
        <v>0</v>
      </c>
      <c r="R91" s="776">
        <f t="shared" si="17"/>
        <v>0</v>
      </c>
      <c r="S91" s="552">
        <f t="shared" si="18"/>
        <v>0</v>
      </c>
      <c r="T91" s="626">
        <f t="shared" si="11"/>
        <v>0</v>
      </c>
      <c r="U91" s="626">
        <f t="shared" si="12"/>
        <v>0</v>
      </c>
      <c r="V91" s="553">
        <f t="shared" si="13"/>
        <v>0</v>
      </c>
      <c r="W91" s="554" t="str">
        <f t="shared" si="19"/>
        <v>V</v>
      </c>
      <c r="X91" s="555"/>
      <c r="Y91" s="631">
        <f>IF(Q91=0,0,(Q91+R91)*'1.0-Contractblad'!$L$98)</f>
        <v>0</v>
      </c>
      <c r="Z91" s="632">
        <f ca="1">IF(J91=0,0,VLOOKUP(D91,'1.1a-Jaarprijzen'!$B$70:$P$124,14,FALSE)*(K91+J91))</f>
        <v>0</v>
      </c>
    </row>
    <row r="92" spans="1:26" hidden="1">
      <c r="A92" s="558"/>
      <c r="B92" s="548"/>
      <c r="C92" s="659">
        <v>3</v>
      </c>
      <c r="D92" s="549" t="s">
        <v>1476</v>
      </c>
      <c r="E92" s="660" t="s">
        <v>502</v>
      </c>
      <c r="F92" s="648" t="s">
        <v>586</v>
      </c>
      <c r="G92" s="649" t="s">
        <v>1257</v>
      </c>
      <c r="H92" s="647" t="str">
        <f t="shared" si="10"/>
        <v>niet van toepassing</v>
      </c>
      <c r="I92" s="718" t="s">
        <v>106</v>
      </c>
      <c r="J92" s="650"/>
      <c r="K92" s="650"/>
      <c r="L92" s="668" t="s">
        <v>27</v>
      </c>
      <c r="M92" s="557">
        <f t="shared" si="14"/>
        <v>0</v>
      </c>
      <c r="N92" s="453"/>
      <c r="O92" s="557">
        <f t="shared" si="15"/>
        <v>0</v>
      </c>
      <c r="P92" s="633">
        <v>1</v>
      </c>
      <c r="Q92" s="776">
        <f t="shared" si="16"/>
        <v>0</v>
      </c>
      <c r="R92" s="776">
        <f t="shared" si="17"/>
        <v>0</v>
      </c>
      <c r="S92" s="552">
        <f t="shared" si="18"/>
        <v>0</v>
      </c>
      <c r="T92" s="626">
        <f t="shared" si="11"/>
        <v>0</v>
      </c>
      <c r="U92" s="626">
        <f t="shared" si="12"/>
        <v>0</v>
      </c>
      <c r="V92" s="553">
        <f t="shared" si="13"/>
        <v>0</v>
      </c>
      <c r="W92" s="554">
        <f t="shared" si="19"/>
        <v>0</v>
      </c>
      <c r="X92" s="454" t="s">
        <v>1454</v>
      </c>
      <c r="Y92" s="631">
        <f>IF(Q92=0,0,(Q92+R92)*'1.0-Contractblad'!$L$98)</f>
        <v>0</v>
      </c>
      <c r="Z92" s="632">
        <f>IF(J92=0,0,VLOOKUP(D92,'1.1a-Jaarprijzen'!$B$70:$P$124,14,FALSE)*(K92+J92))</f>
        <v>0</v>
      </c>
    </row>
    <row r="93" spans="1:26" hidden="1">
      <c r="A93" s="558"/>
      <c r="B93" s="548"/>
      <c r="C93" s="659">
        <v>3</v>
      </c>
      <c r="D93" s="549" t="s">
        <v>1476</v>
      </c>
      <c r="E93" s="660" t="s">
        <v>502</v>
      </c>
      <c r="F93" s="648" t="s">
        <v>587</v>
      </c>
      <c r="G93" s="649" t="s">
        <v>1223</v>
      </c>
      <c r="H93" s="647" t="str">
        <f t="shared" si="10"/>
        <v>administratieve -, personeels- en vergaderruimte</v>
      </c>
      <c r="I93" s="718" t="s">
        <v>106</v>
      </c>
      <c r="J93" s="650">
        <v>23.2</v>
      </c>
      <c r="K93" s="650"/>
      <c r="L93" s="651">
        <v>1102</v>
      </c>
      <c r="M93" s="557">
        <f t="shared" si="14"/>
        <v>101</v>
      </c>
      <c r="N93" s="453"/>
      <c r="O93" s="557">
        <f t="shared" si="15"/>
        <v>102</v>
      </c>
      <c r="P93" s="633">
        <v>1</v>
      </c>
      <c r="Q93" s="776">
        <f t="shared" si="16"/>
        <v>0</v>
      </c>
      <c r="R93" s="776">
        <f t="shared" si="17"/>
        <v>0</v>
      </c>
      <c r="S93" s="552">
        <f t="shared" si="18"/>
        <v>0</v>
      </c>
      <c r="T93" s="626">
        <f t="shared" si="11"/>
        <v>0</v>
      </c>
      <c r="U93" s="626">
        <f t="shared" si="12"/>
        <v>0</v>
      </c>
      <c r="V93" s="553">
        <f t="shared" si="13"/>
        <v>0</v>
      </c>
      <c r="W93" s="554" t="str">
        <f t="shared" si="19"/>
        <v>B</v>
      </c>
      <c r="X93" s="555"/>
      <c r="Y93" s="631">
        <f>IF(Q93=0,0,(Q93+R93)*'1.0-Contractblad'!$L$98)</f>
        <v>0</v>
      </c>
      <c r="Z93" s="632">
        <f ca="1">IF(J93=0,0,VLOOKUP(D93,'1.1a-Jaarprijzen'!$B$70:$P$124,14,FALSE)*(K93+J93))</f>
        <v>0</v>
      </c>
    </row>
    <row r="94" spans="1:26" hidden="1">
      <c r="A94" s="558"/>
      <c r="B94" s="548"/>
      <c r="C94" s="659">
        <v>3</v>
      </c>
      <c r="D94" s="549" t="s">
        <v>1476</v>
      </c>
      <c r="E94" s="660" t="s">
        <v>502</v>
      </c>
      <c r="F94" s="648" t="s">
        <v>588</v>
      </c>
      <c r="G94" s="649" t="s">
        <v>1256</v>
      </c>
      <c r="H94" s="647" t="str">
        <f t="shared" si="10"/>
        <v>administratieve -, personeels- en vergaderruimte</v>
      </c>
      <c r="I94" s="718" t="s">
        <v>106</v>
      </c>
      <c r="J94" s="650">
        <v>23.5</v>
      </c>
      <c r="K94" s="650"/>
      <c r="L94" s="651">
        <v>1102</v>
      </c>
      <c r="M94" s="557">
        <f t="shared" si="14"/>
        <v>101</v>
      </c>
      <c r="N94" s="453"/>
      <c r="O94" s="557">
        <f t="shared" si="15"/>
        <v>102</v>
      </c>
      <c r="P94" s="633">
        <v>1</v>
      </c>
      <c r="Q94" s="776">
        <f t="shared" si="16"/>
        <v>0</v>
      </c>
      <c r="R94" s="776">
        <f t="shared" si="17"/>
        <v>0</v>
      </c>
      <c r="S94" s="552">
        <f t="shared" si="18"/>
        <v>0</v>
      </c>
      <c r="T94" s="626">
        <f t="shared" si="11"/>
        <v>0</v>
      </c>
      <c r="U94" s="626">
        <f t="shared" si="12"/>
        <v>0</v>
      </c>
      <c r="V94" s="553">
        <f t="shared" si="13"/>
        <v>0</v>
      </c>
      <c r="W94" s="554" t="str">
        <f t="shared" si="19"/>
        <v>B</v>
      </c>
      <c r="X94" s="555"/>
      <c r="Y94" s="631">
        <f>IF(Q94=0,0,(Q94+R94)*'1.0-Contractblad'!$L$98)</f>
        <v>0</v>
      </c>
      <c r="Z94" s="632">
        <f ca="1">IF(J94=0,0,VLOOKUP(D94,'1.1a-Jaarprijzen'!$B$70:$P$124,14,FALSE)*(K94+J94))</f>
        <v>0</v>
      </c>
    </row>
    <row r="95" spans="1:26" hidden="1">
      <c r="A95" s="558"/>
      <c r="B95" s="548"/>
      <c r="C95" s="659">
        <v>3</v>
      </c>
      <c r="D95" s="549" t="s">
        <v>1476</v>
      </c>
      <c r="E95" s="550" t="s">
        <v>502</v>
      </c>
      <c r="F95" s="551" t="s">
        <v>589</v>
      </c>
      <c r="G95" s="649" t="s">
        <v>1256</v>
      </c>
      <c r="H95" s="647" t="str">
        <f t="shared" si="10"/>
        <v>administratieve -, personeels- en vergaderruimte</v>
      </c>
      <c r="I95" s="719" t="s">
        <v>106</v>
      </c>
      <c r="J95" s="623">
        <v>23.5</v>
      </c>
      <c r="K95" s="623"/>
      <c r="L95" s="651">
        <v>1102</v>
      </c>
      <c r="M95" s="557">
        <f t="shared" si="14"/>
        <v>101</v>
      </c>
      <c r="N95" s="453"/>
      <c r="O95" s="557">
        <f t="shared" si="15"/>
        <v>102</v>
      </c>
      <c r="P95" s="633">
        <v>1</v>
      </c>
      <c r="Q95" s="776">
        <f t="shared" si="16"/>
        <v>0</v>
      </c>
      <c r="R95" s="776">
        <f t="shared" si="17"/>
        <v>0</v>
      </c>
      <c r="S95" s="552">
        <f t="shared" si="18"/>
        <v>0</v>
      </c>
      <c r="T95" s="626">
        <f t="shared" si="11"/>
        <v>0</v>
      </c>
      <c r="U95" s="626">
        <f t="shared" si="12"/>
        <v>0</v>
      </c>
      <c r="V95" s="553">
        <f t="shared" si="13"/>
        <v>0</v>
      </c>
      <c r="W95" s="554" t="str">
        <f t="shared" si="19"/>
        <v>B</v>
      </c>
      <c r="X95" s="555"/>
      <c r="Y95" s="631">
        <f>IF(Q95=0,0,(Q95+R95)*'1.0-Contractblad'!$L$98)</f>
        <v>0</v>
      </c>
      <c r="Z95" s="632">
        <f ca="1">IF(J95=0,0,VLOOKUP(D95,'1.1a-Jaarprijzen'!$B$70:$P$124,14,FALSE)*(K95+J95))</f>
        <v>0</v>
      </c>
    </row>
    <row r="96" spans="1:26" hidden="1">
      <c r="A96" s="558"/>
      <c r="B96" s="548"/>
      <c r="C96" s="659">
        <v>3</v>
      </c>
      <c r="D96" s="549" t="s">
        <v>1476</v>
      </c>
      <c r="E96" s="550" t="s">
        <v>502</v>
      </c>
      <c r="F96" s="551" t="s">
        <v>590</v>
      </c>
      <c r="G96" s="649" t="s">
        <v>1224</v>
      </c>
      <c r="H96" s="647" t="str">
        <f t="shared" si="10"/>
        <v>pantry</v>
      </c>
      <c r="I96" s="719" t="s">
        <v>106</v>
      </c>
      <c r="J96" s="623">
        <v>3.1</v>
      </c>
      <c r="K96" s="623"/>
      <c r="L96" s="559">
        <v>5153</v>
      </c>
      <c r="M96" s="557">
        <f t="shared" si="14"/>
        <v>105</v>
      </c>
      <c r="N96" s="453"/>
      <c r="O96" s="557">
        <f t="shared" si="15"/>
        <v>153</v>
      </c>
      <c r="P96" s="633">
        <v>1</v>
      </c>
      <c r="Q96" s="776">
        <f t="shared" si="16"/>
        <v>0</v>
      </c>
      <c r="R96" s="776">
        <f t="shared" si="17"/>
        <v>0</v>
      </c>
      <c r="S96" s="552">
        <f t="shared" si="18"/>
        <v>0</v>
      </c>
      <c r="T96" s="626">
        <f t="shared" si="11"/>
        <v>0</v>
      </c>
      <c r="U96" s="626">
        <f t="shared" si="12"/>
        <v>0</v>
      </c>
      <c r="V96" s="553">
        <f t="shared" si="13"/>
        <v>0</v>
      </c>
      <c r="W96" s="554" t="str">
        <f t="shared" si="19"/>
        <v>V</v>
      </c>
      <c r="X96" s="556"/>
      <c r="Y96" s="631">
        <f>IF(Q96=0,0,(Q96+R96)*'1.0-Contractblad'!$L$98)</f>
        <v>0</v>
      </c>
      <c r="Z96" s="632">
        <f ca="1">IF(J96=0,0,VLOOKUP(D96,'1.1a-Jaarprijzen'!$B$70:$P$124,14,FALSE)*(K96+J96))</f>
        <v>0</v>
      </c>
    </row>
    <row r="97" spans="1:26" hidden="1">
      <c r="A97" s="558"/>
      <c r="B97" s="548"/>
      <c r="C97" s="659">
        <v>3</v>
      </c>
      <c r="D97" s="549" t="s">
        <v>1476</v>
      </c>
      <c r="E97" s="550" t="s">
        <v>502</v>
      </c>
      <c r="F97" s="551" t="s">
        <v>591</v>
      </c>
      <c r="G97" s="649" t="s">
        <v>1225</v>
      </c>
      <c r="H97" s="647" t="str">
        <f t="shared" si="10"/>
        <v>entree, gang, hal, repro, kopieer, was/droogruimte</v>
      </c>
      <c r="I97" s="719" t="s">
        <v>106</v>
      </c>
      <c r="J97" s="623">
        <v>8.9</v>
      </c>
      <c r="K97" s="623"/>
      <c r="L97" s="651">
        <v>3153</v>
      </c>
      <c r="M97" s="557">
        <f t="shared" si="14"/>
        <v>103</v>
      </c>
      <c r="N97" s="453"/>
      <c r="O97" s="557">
        <f t="shared" si="15"/>
        <v>153</v>
      </c>
      <c r="P97" s="633">
        <v>1</v>
      </c>
      <c r="Q97" s="776">
        <f t="shared" si="16"/>
        <v>0</v>
      </c>
      <c r="R97" s="776">
        <f t="shared" si="17"/>
        <v>0</v>
      </c>
      <c r="S97" s="552">
        <f t="shared" si="18"/>
        <v>0</v>
      </c>
      <c r="T97" s="626">
        <f t="shared" si="11"/>
        <v>0</v>
      </c>
      <c r="U97" s="626">
        <f t="shared" si="12"/>
        <v>0</v>
      </c>
      <c r="V97" s="553">
        <f t="shared" si="13"/>
        <v>0</v>
      </c>
      <c r="W97" s="554" t="str">
        <f t="shared" si="19"/>
        <v>V</v>
      </c>
      <c r="X97" s="555"/>
      <c r="Y97" s="631">
        <f>IF(Q97=0,0,(Q97+R97)*'1.0-Contractblad'!$L$98)</f>
        <v>0</v>
      </c>
      <c r="Z97" s="632">
        <f ca="1">IF(J97=0,0,VLOOKUP(D97,'1.1a-Jaarprijzen'!$B$70:$P$124,14,FALSE)*(K97+J97))</f>
        <v>0</v>
      </c>
    </row>
    <row r="98" spans="1:26" hidden="1">
      <c r="A98" s="558"/>
      <c r="B98" s="548"/>
      <c r="C98" s="659">
        <v>3</v>
      </c>
      <c r="D98" s="549" t="s">
        <v>1476</v>
      </c>
      <c r="E98" s="550" t="s">
        <v>502</v>
      </c>
      <c r="F98" s="551" t="s">
        <v>592</v>
      </c>
      <c r="G98" s="649" t="s">
        <v>1258</v>
      </c>
      <c r="H98" s="647" t="str">
        <f t="shared" si="10"/>
        <v>administratieve -, personeels- en vergaderruimte</v>
      </c>
      <c r="I98" s="719" t="s">
        <v>106</v>
      </c>
      <c r="J98" s="623">
        <v>23.5</v>
      </c>
      <c r="K98" s="623"/>
      <c r="L98" s="651">
        <v>1153</v>
      </c>
      <c r="M98" s="557">
        <f t="shared" si="14"/>
        <v>101</v>
      </c>
      <c r="N98" s="453"/>
      <c r="O98" s="557">
        <f t="shared" si="15"/>
        <v>153</v>
      </c>
      <c r="P98" s="633">
        <v>1</v>
      </c>
      <c r="Q98" s="776">
        <f t="shared" si="16"/>
        <v>0</v>
      </c>
      <c r="R98" s="776">
        <f t="shared" si="17"/>
        <v>0</v>
      </c>
      <c r="S98" s="552">
        <f t="shared" si="18"/>
        <v>0</v>
      </c>
      <c r="T98" s="626">
        <f t="shared" si="11"/>
        <v>0</v>
      </c>
      <c r="U98" s="626">
        <f t="shared" si="12"/>
        <v>0</v>
      </c>
      <c r="V98" s="553">
        <f t="shared" si="13"/>
        <v>0</v>
      </c>
      <c r="W98" s="554" t="str">
        <f t="shared" si="19"/>
        <v>B</v>
      </c>
      <c r="X98" s="454"/>
      <c r="Y98" s="631">
        <f>IF(Q98=0,0,(Q98+R98)*'1.0-Contractblad'!$L$98)</f>
        <v>0</v>
      </c>
      <c r="Z98" s="632">
        <f ca="1">IF(J98=0,0,VLOOKUP(D98,'1.1a-Jaarprijzen'!$B$70:$P$124,14,FALSE)*(K98+J98))</f>
        <v>0</v>
      </c>
    </row>
    <row r="99" spans="1:26" hidden="1">
      <c r="A99" s="558"/>
      <c r="B99" s="548"/>
      <c r="C99" s="659">
        <v>3</v>
      </c>
      <c r="D99" s="549" t="s">
        <v>1476</v>
      </c>
      <c r="E99" s="550" t="s">
        <v>502</v>
      </c>
      <c r="F99" s="551" t="s">
        <v>593</v>
      </c>
      <c r="G99" s="649" t="s">
        <v>1245</v>
      </c>
      <c r="H99" s="647" t="str">
        <f t="shared" si="10"/>
        <v>entree, gang, hal, repro, kopieer, was/droogruimte</v>
      </c>
      <c r="I99" s="719" t="s">
        <v>106</v>
      </c>
      <c r="J99" s="623">
        <v>5.5</v>
      </c>
      <c r="K99" s="623"/>
      <c r="L99" s="651">
        <v>3153</v>
      </c>
      <c r="M99" s="557">
        <f t="shared" si="14"/>
        <v>103</v>
      </c>
      <c r="N99" s="453"/>
      <c r="O99" s="557">
        <f t="shared" si="15"/>
        <v>153</v>
      </c>
      <c r="P99" s="633">
        <v>1</v>
      </c>
      <c r="Q99" s="776">
        <f t="shared" si="16"/>
        <v>0</v>
      </c>
      <c r="R99" s="776">
        <f t="shared" si="17"/>
        <v>0</v>
      </c>
      <c r="S99" s="552">
        <f t="shared" si="18"/>
        <v>0</v>
      </c>
      <c r="T99" s="626">
        <f t="shared" si="11"/>
        <v>0</v>
      </c>
      <c r="U99" s="626">
        <f t="shared" si="12"/>
        <v>0</v>
      </c>
      <c r="V99" s="553">
        <f t="shared" si="13"/>
        <v>0</v>
      </c>
      <c r="W99" s="554" t="str">
        <f t="shared" si="19"/>
        <v>V</v>
      </c>
      <c r="X99" s="555"/>
      <c r="Y99" s="631">
        <f>IF(Q99=0,0,(Q99+R99)*'1.0-Contractblad'!$L$98)</f>
        <v>0</v>
      </c>
      <c r="Z99" s="632">
        <f ca="1">IF(J99=0,0,VLOOKUP(D99,'1.1a-Jaarprijzen'!$B$70:$P$124,14,FALSE)*(K99+J99))</f>
        <v>0</v>
      </c>
    </row>
    <row r="100" spans="1:26" hidden="1">
      <c r="A100" s="558"/>
      <c r="B100" s="548"/>
      <c r="C100" s="659">
        <v>3</v>
      </c>
      <c r="D100" s="549" t="s">
        <v>1476</v>
      </c>
      <c r="E100" s="550" t="s">
        <v>502</v>
      </c>
      <c r="F100" s="551" t="s">
        <v>594</v>
      </c>
      <c r="G100" s="649" t="s">
        <v>1259</v>
      </c>
      <c r="H100" s="647" t="str">
        <f t="shared" si="10"/>
        <v>administratieve -, personeels- en vergaderruimte</v>
      </c>
      <c r="I100" s="719" t="s">
        <v>106</v>
      </c>
      <c r="J100" s="623">
        <v>29.6</v>
      </c>
      <c r="K100" s="623"/>
      <c r="L100" s="651">
        <v>1153</v>
      </c>
      <c r="M100" s="557">
        <f t="shared" si="14"/>
        <v>101</v>
      </c>
      <c r="N100" s="453"/>
      <c r="O100" s="557">
        <f t="shared" si="15"/>
        <v>153</v>
      </c>
      <c r="P100" s="633">
        <v>1</v>
      </c>
      <c r="Q100" s="776">
        <f t="shared" si="16"/>
        <v>0</v>
      </c>
      <c r="R100" s="776">
        <f t="shared" si="17"/>
        <v>0</v>
      </c>
      <c r="S100" s="552">
        <f t="shared" si="18"/>
        <v>0</v>
      </c>
      <c r="T100" s="626">
        <f t="shared" si="11"/>
        <v>0</v>
      </c>
      <c r="U100" s="626">
        <f t="shared" si="12"/>
        <v>0</v>
      </c>
      <c r="V100" s="553">
        <f t="shared" si="13"/>
        <v>0</v>
      </c>
      <c r="W100" s="554" t="str">
        <f t="shared" si="19"/>
        <v>B</v>
      </c>
      <c r="X100" s="454"/>
      <c r="Y100" s="631">
        <f>IF(Q100=0,0,(Q100+R100)*'1.0-Contractblad'!$L$98)</f>
        <v>0</v>
      </c>
      <c r="Z100" s="632">
        <f ca="1">IF(J100=0,0,VLOOKUP(D100,'1.1a-Jaarprijzen'!$B$70:$P$124,14,FALSE)*(K100+J100))</f>
        <v>0</v>
      </c>
    </row>
    <row r="101" spans="1:26" hidden="1">
      <c r="A101" s="558"/>
      <c r="B101" s="548"/>
      <c r="C101" s="659">
        <v>3</v>
      </c>
      <c r="D101" s="549" t="s">
        <v>1476</v>
      </c>
      <c r="E101" s="550" t="s">
        <v>502</v>
      </c>
      <c r="F101" s="551" t="s">
        <v>595</v>
      </c>
      <c r="G101" s="649" t="s">
        <v>1260</v>
      </c>
      <c r="H101" s="647" t="str">
        <f t="shared" si="10"/>
        <v>administratieve -, personeels- en vergaderruimte</v>
      </c>
      <c r="I101" s="719" t="s">
        <v>106</v>
      </c>
      <c r="J101" s="623">
        <v>9</v>
      </c>
      <c r="K101" s="623"/>
      <c r="L101" s="651">
        <v>1153</v>
      </c>
      <c r="M101" s="557">
        <f t="shared" si="14"/>
        <v>101</v>
      </c>
      <c r="N101" s="453"/>
      <c r="O101" s="557">
        <f t="shared" si="15"/>
        <v>153</v>
      </c>
      <c r="P101" s="633">
        <v>1</v>
      </c>
      <c r="Q101" s="776">
        <f t="shared" si="16"/>
        <v>0</v>
      </c>
      <c r="R101" s="776">
        <f t="shared" si="17"/>
        <v>0</v>
      </c>
      <c r="S101" s="552">
        <f t="shared" si="18"/>
        <v>0</v>
      </c>
      <c r="T101" s="626">
        <f t="shared" si="11"/>
        <v>0</v>
      </c>
      <c r="U101" s="626">
        <f t="shared" si="12"/>
        <v>0</v>
      </c>
      <c r="V101" s="553">
        <f t="shared" si="13"/>
        <v>0</v>
      </c>
      <c r="W101" s="554" t="str">
        <f t="shared" si="19"/>
        <v>B</v>
      </c>
      <c r="X101" s="454"/>
      <c r="Y101" s="631">
        <f>IF(Q101=0,0,(Q101+R101)*'1.0-Contractblad'!$L$98)</f>
        <v>0</v>
      </c>
      <c r="Z101" s="632">
        <f ca="1">IF(J101=0,0,VLOOKUP(D101,'1.1a-Jaarprijzen'!$B$70:$P$124,14,FALSE)*(K101+J101))</f>
        <v>0</v>
      </c>
    </row>
    <row r="102" spans="1:26" hidden="1">
      <c r="A102" s="558"/>
      <c r="B102" s="548"/>
      <c r="C102" s="659">
        <v>3</v>
      </c>
      <c r="D102" s="549" t="s">
        <v>1476</v>
      </c>
      <c r="E102" s="550" t="s">
        <v>502</v>
      </c>
      <c r="F102" s="551" t="s">
        <v>596</v>
      </c>
      <c r="G102" s="649" t="s">
        <v>1261</v>
      </c>
      <c r="H102" s="647" t="str">
        <f t="shared" si="10"/>
        <v>entree, gang, hal, repro, kopieer, was/droogruimte</v>
      </c>
      <c r="I102" s="719" t="s">
        <v>84</v>
      </c>
      <c r="J102" s="623">
        <v>5.9</v>
      </c>
      <c r="K102" s="623"/>
      <c r="L102" s="651">
        <v>3153</v>
      </c>
      <c r="M102" s="557">
        <f t="shared" si="14"/>
        <v>103</v>
      </c>
      <c r="N102" s="453"/>
      <c r="O102" s="557">
        <f t="shared" si="15"/>
        <v>153</v>
      </c>
      <c r="P102" s="633">
        <v>1</v>
      </c>
      <c r="Q102" s="776">
        <f t="shared" si="16"/>
        <v>0</v>
      </c>
      <c r="R102" s="776">
        <f t="shared" si="17"/>
        <v>0</v>
      </c>
      <c r="S102" s="552">
        <f t="shared" si="18"/>
        <v>0</v>
      </c>
      <c r="T102" s="626">
        <f t="shared" si="11"/>
        <v>0</v>
      </c>
      <c r="U102" s="626">
        <f t="shared" si="12"/>
        <v>0</v>
      </c>
      <c r="V102" s="553">
        <f t="shared" si="13"/>
        <v>0</v>
      </c>
      <c r="W102" s="554" t="str">
        <f t="shared" si="19"/>
        <v>V</v>
      </c>
      <c r="X102" s="555"/>
      <c r="Y102" s="631">
        <f>IF(Q102=0,0,(Q102+R102)*'1.0-Contractblad'!$L$98)</f>
        <v>0</v>
      </c>
      <c r="Z102" s="632">
        <f ca="1">IF(J102=0,0,VLOOKUP(D102,'1.1a-Jaarprijzen'!$B$70:$P$124,14,FALSE)*(K102+J102))</f>
        <v>0</v>
      </c>
    </row>
    <row r="103" spans="1:26" hidden="1">
      <c r="A103" s="558"/>
      <c r="B103" s="548"/>
      <c r="C103" s="659">
        <v>3</v>
      </c>
      <c r="D103" s="549" t="s">
        <v>1476</v>
      </c>
      <c r="E103" s="550" t="s">
        <v>502</v>
      </c>
      <c r="F103" s="551" t="s">
        <v>597</v>
      </c>
      <c r="G103" s="649" t="s">
        <v>1262</v>
      </c>
      <c r="H103" s="647" t="str">
        <f t="shared" si="10"/>
        <v>entree, gang, hal, repro, kopieer, was/droogruimte</v>
      </c>
      <c r="I103" s="719" t="s">
        <v>84</v>
      </c>
      <c r="J103" s="623">
        <v>17</v>
      </c>
      <c r="K103" s="623"/>
      <c r="L103" s="651">
        <v>3153</v>
      </c>
      <c r="M103" s="557">
        <f t="shared" si="14"/>
        <v>103</v>
      </c>
      <c r="N103" s="453"/>
      <c r="O103" s="557">
        <f t="shared" si="15"/>
        <v>153</v>
      </c>
      <c r="P103" s="633">
        <v>1</v>
      </c>
      <c r="Q103" s="776">
        <f t="shared" si="16"/>
        <v>0</v>
      </c>
      <c r="R103" s="776">
        <f t="shared" si="17"/>
        <v>0</v>
      </c>
      <c r="S103" s="552">
        <f t="shared" si="18"/>
        <v>0</v>
      </c>
      <c r="T103" s="626">
        <f t="shared" si="11"/>
        <v>0</v>
      </c>
      <c r="U103" s="626">
        <f t="shared" si="12"/>
        <v>0</v>
      </c>
      <c r="V103" s="553">
        <f t="shared" si="13"/>
        <v>0</v>
      </c>
      <c r="W103" s="554" t="str">
        <f t="shared" si="19"/>
        <v>V</v>
      </c>
      <c r="X103" s="555"/>
      <c r="Y103" s="631">
        <f>IF(Q103=0,0,(Q103+R103)*'1.0-Contractblad'!$L$98)</f>
        <v>0</v>
      </c>
      <c r="Z103" s="632">
        <f ca="1">IF(J103=0,0,VLOOKUP(D103,'1.1a-Jaarprijzen'!$B$70:$P$124,14,FALSE)*(K103+J103))</f>
        <v>0</v>
      </c>
    </row>
    <row r="104" spans="1:26" hidden="1">
      <c r="A104" s="558"/>
      <c r="B104" s="548"/>
      <c r="C104" s="659">
        <v>3</v>
      </c>
      <c r="D104" s="549" t="s">
        <v>1476</v>
      </c>
      <c r="E104" s="550" t="s">
        <v>502</v>
      </c>
      <c r="F104" s="551" t="s">
        <v>598</v>
      </c>
      <c r="G104" s="649" t="s">
        <v>1263</v>
      </c>
      <c r="H104" s="647" t="str">
        <f t="shared" si="10"/>
        <v>sanitaire ruimte (toilet-/doucheruimte)</v>
      </c>
      <c r="I104" s="719" t="s">
        <v>84</v>
      </c>
      <c r="J104" s="623">
        <v>4.0999999999999996</v>
      </c>
      <c r="K104" s="623"/>
      <c r="L104" s="559">
        <v>4255</v>
      </c>
      <c r="M104" s="557">
        <f t="shared" si="14"/>
        <v>104</v>
      </c>
      <c r="N104" s="453"/>
      <c r="O104" s="557">
        <f t="shared" si="15"/>
        <v>255</v>
      </c>
      <c r="P104" s="633">
        <v>1</v>
      </c>
      <c r="Q104" s="776">
        <f t="shared" si="16"/>
        <v>0</v>
      </c>
      <c r="R104" s="776">
        <f t="shared" si="17"/>
        <v>0</v>
      </c>
      <c r="S104" s="552">
        <f t="shared" si="18"/>
        <v>0</v>
      </c>
      <c r="T104" s="626">
        <f t="shared" si="11"/>
        <v>0</v>
      </c>
      <c r="U104" s="626">
        <f t="shared" si="12"/>
        <v>0</v>
      </c>
      <c r="V104" s="553">
        <f t="shared" si="13"/>
        <v>0</v>
      </c>
      <c r="W104" s="554" t="str">
        <f t="shared" si="19"/>
        <v>S</v>
      </c>
      <c r="X104" s="555"/>
      <c r="Y104" s="631">
        <f>IF(Q104=0,0,(Q104+R104)*'1.0-Contractblad'!$L$98)</f>
        <v>0</v>
      </c>
      <c r="Z104" s="632">
        <f ca="1">IF(J104=0,0,VLOOKUP(D104,'1.1a-Jaarprijzen'!$B$70:$P$124,14,FALSE)*(K104+J104))</f>
        <v>0</v>
      </c>
    </row>
    <row r="105" spans="1:26" hidden="1">
      <c r="A105" s="558"/>
      <c r="B105" s="548"/>
      <c r="C105" s="659">
        <v>3</v>
      </c>
      <c r="D105" s="549" t="s">
        <v>1476</v>
      </c>
      <c r="E105" s="550" t="s">
        <v>502</v>
      </c>
      <c r="F105" s="551" t="s">
        <v>599</v>
      </c>
      <c r="G105" s="649" t="s">
        <v>1264</v>
      </c>
      <c r="H105" s="647" t="str">
        <f t="shared" si="10"/>
        <v>entree, gang, hal, repro, kopieer, was/droogruimte</v>
      </c>
      <c r="I105" s="719" t="s">
        <v>1401</v>
      </c>
      <c r="J105" s="623">
        <v>14.8</v>
      </c>
      <c r="K105" s="623"/>
      <c r="L105" s="651">
        <v>3153</v>
      </c>
      <c r="M105" s="557">
        <f t="shared" si="14"/>
        <v>103</v>
      </c>
      <c r="N105" s="453"/>
      <c r="O105" s="557">
        <f t="shared" si="15"/>
        <v>153</v>
      </c>
      <c r="P105" s="633">
        <v>1</v>
      </c>
      <c r="Q105" s="776">
        <f t="shared" si="16"/>
        <v>0</v>
      </c>
      <c r="R105" s="776">
        <f t="shared" si="17"/>
        <v>0</v>
      </c>
      <c r="S105" s="552">
        <f t="shared" si="18"/>
        <v>0</v>
      </c>
      <c r="T105" s="626">
        <f t="shared" si="11"/>
        <v>0</v>
      </c>
      <c r="U105" s="626">
        <f t="shared" si="12"/>
        <v>0</v>
      </c>
      <c r="V105" s="553">
        <f t="shared" si="13"/>
        <v>0</v>
      </c>
      <c r="W105" s="554" t="str">
        <f t="shared" si="19"/>
        <v>V</v>
      </c>
      <c r="X105" s="555"/>
      <c r="Y105" s="631">
        <f>IF(Q105=0,0,(Q105+R105)*'1.0-Contractblad'!$L$98)</f>
        <v>0</v>
      </c>
      <c r="Z105" s="632">
        <f ca="1">IF(J105=0,0,VLOOKUP(D105,'1.1a-Jaarprijzen'!$B$70:$P$124,14,FALSE)*(K105+J105))</f>
        <v>0</v>
      </c>
    </row>
    <row r="106" spans="1:26" hidden="1">
      <c r="A106" s="558"/>
      <c r="B106" s="548"/>
      <c r="C106" s="659">
        <v>3</v>
      </c>
      <c r="D106" s="549" t="s">
        <v>1476</v>
      </c>
      <c r="E106" s="550" t="s">
        <v>502</v>
      </c>
      <c r="F106" s="551" t="s">
        <v>600</v>
      </c>
      <c r="G106" s="649" t="s">
        <v>1265</v>
      </c>
      <c r="H106" s="647" t="str">
        <f t="shared" si="10"/>
        <v>entree, gang, hal, repro, kopieer, was/droogruimte</v>
      </c>
      <c r="I106" s="719" t="s">
        <v>84</v>
      </c>
      <c r="J106" s="623">
        <v>30.1</v>
      </c>
      <c r="K106" s="623"/>
      <c r="L106" s="651">
        <v>3153</v>
      </c>
      <c r="M106" s="557">
        <f t="shared" si="14"/>
        <v>103</v>
      </c>
      <c r="N106" s="453"/>
      <c r="O106" s="557">
        <f t="shared" si="15"/>
        <v>153</v>
      </c>
      <c r="P106" s="633">
        <v>1</v>
      </c>
      <c r="Q106" s="776">
        <f t="shared" si="16"/>
        <v>0</v>
      </c>
      <c r="R106" s="776">
        <f t="shared" si="17"/>
        <v>0</v>
      </c>
      <c r="S106" s="552">
        <f t="shared" si="18"/>
        <v>0</v>
      </c>
      <c r="T106" s="626">
        <f t="shared" si="11"/>
        <v>0</v>
      </c>
      <c r="U106" s="626">
        <f t="shared" si="12"/>
        <v>0</v>
      </c>
      <c r="V106" s="553">
        <f t="shared" si="13"/>
        <v>0</v>
      </c>
      <c r="W106" s="554" t="str">
        <f t="shared" si="19"/>
        <v>V</v>
      </c>
      <c r="X106" s="555"/>
      <c r="Y106" s="631">
        <f>IF(Q106=0,0,(Q106+R106)*'1.0-Contractblad'!$L$98)</f>
        <v>0</v>
      </c>
      <c r="Z106" s="632">
        <f ca="1">IF(J106=0,0,VLOOKUP(D106,'1.1a-Jaarprijzen'!$B$70:$P$124,14,FALSE)*(K106+J106))</f>
        <v>0</v>
      </c>
    </row>
    <row r="107" spans="1:26" hidden="1">
      <c r="A107" s="558"/>
      <c r="B107" s="548"/>
      <c r="C107" s="659">
        <v>3</v>
      </c>
      <c r="D107" s="549" t="s">
        <v>1476</v>
      </c>
      <c r="E107" s="550" t="s">
        <v>502</v>
      </c>
      <c r="F107" s="551" t="s">
        <v>601</v>
      </c>
      <c r="G107" s="649" t="s">
        <v>1266</v>
      </c>
      <c r="H107" s="647" t="str">
        <f t="shared" si="10"/>
        <v>entree, gang, hal, repro, kopieer, was/droogruimte</v>
      </c>
      <c r="I107" s="719" t="s">
        <v>84</v>
      </c>
      <c r="J107" s="623">
        <v>21</v>
      </c>
      <c r="K107" s="623"/>
      <c r="L107" s="651">
        <v>3153</v>
      </c>
      <c r="M107" s="557">
        <f t="shared" si="14"/>
        <v>103</v>
      </c>
      <c r="N107" s="453"/>
      <c r="O107" s="557">
        <f t="shared" si="15"/>
        <v>153</v>
      </c>
      <c r="P107" s="633">
        <v>1</v>
      </c>
      <c r="Q107" s="776">
        <f t="shared" si="16"/>
        <v>0</v>
      </c>
      <c r="R107" s="776">
        <f t="shared" si="17"/>
        <v>0</v>
      </c>
      <c r="S107" s="552">
        <f t="shared" si="18"/>
        <v>0</v>
      </c>
      <c r="T107" s="626">
        <f t="shared" si="11"/>
        <v>0</v>
      </c>
      <c r="U107" s="626">
        <f t="shared" si="12"/>
        <v>0</v>
      </c>
      <c r="V107" s="553">
        <f t="shared" si="13"/>
        <v>0</v>
      </c>
      <c r="W107" s="554" t="str">
        <f t="shared" si="19"/>
        <v>V</v>
      </c>
      <c r="X107" s="555"/>
      <c r="Y107" s="631">
        <f>IF(Q107=0,0,(Q107+R107)*'1.0-Contractblad'!$L$98)</f>
        <v>0</v>
      </c>
      <c r="Z107" s="632">
        <f ca="1">IF(J107=0,0,VLOOKUP(D107,'1.1a-Jaarprijzen'!$B$70:$P$124,14,FALSE)*(K107+J107))</f>
        <v>0</v>
      </c>
    </row>
    <row r="108" spans="1:26" hidden="1">
      <c r="A108" s="558"/>
      <c r="B108" s="548"/>
      <c r="C108" s="659">
        <v>3</v>
      </c>
      <c r="D108" s="549" t="s">
        <v>1466</v>
      </c>
      <c r="E108" s="550" t="s">
        <v>502</v>
      </c>
      <c r="F108" s="551" t="s">
        <v>602</v>
      </c>
      <c r="G108" s="649" t="s">
        <v>1267</v>
      </c>
      <c r="H108" s="647" t="str">
        <f t="shared" si="10"/>
        <v>entree, gang, hal, repro, kopieer, was/droogruimte</v>
      </c>
      <c r="I108" s="719" t="s">
        <v>491</v>
      </c>
      <c r="J108" s="623">
        <v>77.8</v>
      </c>
      <c r="K108" s="623"/>
      <c r="L108" s="651">
        <v>3153</v>
      </c>
      <c r="M108" s="557">
        <f t="shared" si="14"/>
        <v>103</v>
      </c>
      <c r="N108" s="453"/>
      <c r="O108" s="557">
        <f t="shared" si="15"/>
        <v>153</v>
      </c>
      <c r="P108" s="633">
        <v>1</v>
      </c>
      <c r="Q108" s="776">
        <f t="shared" si="16"/>
        <v>0</v>
      </c>
      <c r="R108" s="776">
        <f t="shared" si="17"/>
        <v>0</v>
      </c>
      <c r="S108" s="552">
        <f t="shared" si="18"/>
        <v>0</v>
      </c>
      <c r="T108" s="626">
        <f t="shared" si="11"/>
        <v>0</v>
      </c>
      <c r="U108" s="626">
        <f t="shared" si="12"/>
        <v>0</v>
      </c>
      <c r="V108" s="553">
        <f t="shared" si="13"/>
        <v>0</v>
      </c>
      <c r="W108" s="554" t="str">
        <f t="shared" si="19"/>
        <v>V</v>
      </c>
      <c r="X108" s="555"/>
      <c r="Y108" s="631">
        <f>IF(Q108=0,0,(Q108+R108)*'1.0-Contractblad'!$L$98)</f>
        <v>0</v>
      </c>
      <c r="Z108" s="632">
        <f ca="1">IF(J108=0,0,VLOOKUP(D108,'1.1a-Jaarprijzen'!$B$70:$P$124,14,FALSE)*(K108+J108))</f>
        <v>0</v>
      </c>
    </row>
    <row r="109" spans="1:26" hidden="1">
      <c r="A109" s="558"/>
      <c r="B109" s="548"/>
      <c r="C109" s="659">
        <v>3</v>
      </c>
      <c r="D109" s="549" t="s">
        <v>1466</v>
      </c>
      <c r="E109" s="550" t="s">
        <v>502</v>
      </c>
      <c r="F109" s="551" t="s">
        <v>603</v>
      </c>
      <c r="G109" s="649" t="s">
        <v>1237</v>
      </c>
      <c r="H109" s="647" t="str">
        <f t="shared" si="10"/>
        <v>trappenhuis</v>
      </c>
      <c r="I109" s="719" t="s">
        <v>1402</v>
      </c>
      <c r="J109" s="623">
        <v>14.2</v>
      </c>
      <c r="K109" s="623"/>
      <c r="L109" s="559">
        <v>9153</v>
      </c>
      <c r="M109" s="557">
        <f t="shared" si="14"/>
        <v>109</v>
      </c>
      <c r="N109" s="453"/>
      <c r="O109" s="557">
        <f t="shared" si="15"/>
        <v>153</v>
      </c>
      <c r="P109" s="633">
        <v>1</v>
      </c>
      <c r="Q109" s="776">
        <f t="shared" si="16"/>
        <v>0</v>
      </c>
      <c r="R109" s="776">
        <f t="shared" si="17"/>
        <v>0</v>
      </c>
      <c r="S109" s="552">
        <f t="shared" si="18"/>
        <v>0</v>
      </c>
      <c r="T109" s="626">
        <f t="shared" si="11"/>
        <v>0</v>
      </c>
      <c r="U109" s="626">
        <f t="shared" si="12"/>
        <v>0</v>
      </c>
      <c r="V109" s="553">
        <f t="shared" si="13"/>
        <v>0</v>
      </c>
      <c r="W109" s="554" t="str">
        <f t="shared" si="19"/>
        <v>V</v>
      </c>
      <c r="X109" s="555"/>
      <c r="Y109" s="631">
        <f>IF(Q109=0,0,(Q109+R109)*'1.0-Contractblad'!$L$98)</f>
        <v>0</v>
      </c>
      <c r="Z109" s="632">
        <f ca="1">IF(J109=0,0,VLOOKUP(D109,'1.1a-Jaarprijzen'!$B$70:$P$124,14,FALSE)*(K109+J109))</f>
        <v>0</v>
      </c>
    </row>
    <row r="110" spans="1:26" hidden="1">
      <c r="A110" s="558"/>
      <c r="B110" s="548"/>
      <c r="C110" s="659">
        <v>3</v>
      </c>
      <c r="D110" s="549" t="s">
        <v>1466</v>
      </c>
      <c r="E110" s="550" t="s">
        <v>502</v>
      </c>
      <c r="F110" s="551" t="s">
        <v>604</v>
      </c>
      <c r="G110" s="649" t="s">
        <v>1268</v>
      </c>
      <c r="H110" s="647" t="str">
        <f t="shared" si="10"/>
        <v>entree, gang, hal, repro, kopieer, was/droogruimte</v>
      </c>
      <c r="I110" s="719" t="s">
        <v>84</v>
      </c>
      <c r="J110" s="623">
        <v>13.7</v>
      </c>
      <c r="K110" s="623"/>
      <c r="L110" s="559">
        <v>3153</v>
      </c>
      <c r="M110" s="557">
        <f t="shared" si="14"/>
        <v>103</v>
      </c>
      <c r="N110" s="453"/>
      <c r="O110" s="557">
        <f t="shared" si="15"/>
        <v>153</v>
      </c>
      <c r="P110" s="633">
        <v>1</v>
      </c>
      <c r="Q110" s="776">
        <f t="shared" si="16"/>
        <v>0</v>
      </c>
      <c r="R110" s="776">
        <f t="shared" si="17"/>
        <v>0</v>
      </c>
      <c r="S110" s="552">
        <f t="shared" si="18"/>
        <v>0</v>
      </c>
      <c r="T110" s="626">
        <f t="shared" si="11"/>
        <v>0</v>
      </c>
      <c r="U110" s="626">
        <f t="shared" si="12"/>
        <v>0</v>
      </c>
      <c r="V110" s="553">
        <f t="shared" si="13"/>
        <v>0</v>
      </c>
      <c r="W110" s="554" t="str">
        <f t="shared" si="19"/>
        <v>V</v>
      </c>
      <c r="X110" s="555"/>
      <c r="Y110" s="631">
        <f>IF(Q110=0,0,(Q110+R110)*'1.0-Contractblad'!$L$98)</f>
        <v>0</v>
      </c>
      <c r="Z110" s="632">
        <f ca="1">IF(J110=0,0,VLOOKUP(D110,'1.1a-Jaarprijzen'!$B$70:$P$124,14,FALSE)*(K110+J110))</f>
        <v>0</v>
      </c>
    </row>
    <row r="111" spans="1:26" hidden="1">
      <c r="A111" s="558"/>
      <c r="B111" s="548"/>
      <c r="C111" s="659">
        <v>3</v>
      </c>
      <c r="D111" s="549" t="s">
        <v>1466</v>
      </c>
      <c r="E111" s="550" t="s">
        <v>502</v>
      </c>
      <c r="F111" s="551" t="s">
        <v>605</v>
      </c>
      <c r="G111" s="649" t="s">
        <v>1269</v>
      </c>
      <c r="H111" s="647" t="str">
        <f t="shared" si="10"/>
        <v>niet van toepassing</v>
      </c>
      <c r="I111" s="719"/>
      <c r="J111" s="623"/>
      <c r="K111" s="623"/>
      <c r="L111" s="668" t="s">
        <v>27</v>
      </c>
      <c r="M111" s="557">
        <f t="shared" si="14"/>
        <v>0</v>
      </c>
      <c r="N111" s="453"/>
      <c r="O111" s="557">
        <f t="shared" si="15"/>
        <v>0</v>
      </c>
      <c r="P111" s="633">
        <v>1</v>
      </c>
      <c r="Q111" s="776">
        <f t="shared" si="16"/>
        <v>0</v>
      </c>
      <c r="R111" s="776">
        <f t="shared" si="17"/>
        <v>0</v>
      </c>
      <c r="S111" s="552">
        <f t="shared" si="18"/>
        <v>0</v>
      </c>
      <c r="T111" s="626">
        <f t="shared" si="11"/>
        <v>0</v>
      </c>
      <c r="U111" s="626">
        <f t="shared" si="12"/>
        <v>0</v>
      </c>
      <c r="V111" s="553">
        <f t="shared" si="13"/>
        <v>0</v>
      </c>
      <c r="W111" s="554">
        <f t="shared" si="19"/>
        <v>0</v>
      </c>
      <c r="X111" s="454" t="s">
        <v>1454</v>
      </c>
      <c r="Y111" s="631">
        <f>IF(Q111=0,0,(Q111+R111)*'1.0-Contractblad'!$L$98)</f>
        <v>0</v>
      </c>
      <c r="Z111" s="632">
        <f>IF(J111=0,0,VLOOKUP(D111,'1.1a-Jaarprijzen'!$B$70:$P$124,14,FALSE)*(K111+J111))</f>
        <v>0</v>
      </c>
    </row>
    <row r="112" spans="1:26" hidden="1">
      <c r="A112" s="558"/>
      <c r="B112" s="701"/>
      <c r="C112" s="659">
        <v>3</v>
      </c>
      <c r="D112" s="549" t="s">
        <v>1466</v>
      </c>
      <c r="E112" s="550" t="s">
        <v>502</v>
      </c>
      <c r="F112" s="551" t="s">
        <v>606</v>
      </c>
      <c r="G112" s="649" t="s">
        <v>1270</v>
      </c>
      <c r="H112" s="647" t="str">
        <f t="shared" si="10"/>
        <v>niet van toepassing</v>
      </c>
      <c r="I112" s="719" t="s">
        <v>106</v>
      </c>
      <c r="J112" s="650"/>
      <c r="K112" s="650"/>
      <c r="L112" s="668" t="s">
        <v>27</v>
      </c>
      <c r="M112" s="557">
        <f t="shared" si="14"/>
        <v>0</v>
      </c>
      <c r="N112" s="453"/>
      <c r="O112" s="557">
        <f t="shared" si="15"/>
        <v>0</v>
      </c>
      <c r="P112" s="633">
        <v>1</v>
      </c>
      <c r="Q112" s="776">
        <f t="shared" si="16"/>
        <v>0</v>
      </c>
      <c r="R112" s="776">
        <f t="shared" si="17"/>
        <v>0</v>
      </c>
      <c r="S112" s="552">
        <f t="shared" si="18"/>
        <v>0</v>
      </c>
      <c r="T112" s="626">
        <f t="shared" si="11"/>
        <v>0</v>
      </c>
      <c r="U112" s="626">
        <f t="shared" si="12"/>
        <v>0</v>
      </c>
      <c r="V112" s="553">
        <f t="shared" si="13"/>
        <v>0</v>
      </c>
      <c r="W112" s="554">
        <f t="shared" si="19"/>
        <v>0</v>
      </c>
      <c r="X112" s="454" t="s">
        <v>1454</v>
      </c>
      <c r="Y112" s="631">
        <f>IF(Q112=0,0,(Q112+R112)*'1.0-Contractblad'!$L$98)</f>
        <v>0</v>
      </c>
      <c r="Z112" s="632">
        <f>IF(J112=0,0,VLOOKUP(D112,'1.1a-Jaarprijzen'!$B$70:$P$124,14,FALSE)*(K112+J112))</f>
        <v>0</v>
      </c>
    </row>
    <row r="113" spans="1:26" hidden="1">
      <c r="A113" s="558"/>
      <c r="B113" s="548"/>
      <c r="C113" s="659">
        <v>3</v>
      </c>
      <c r="D113" s="549" t="s">
        <v>1466</v>
      </c>
      <c r="E113" s="550" t="s">
        <v>502</v>
      </c>
      <c r="F113" s="551" t="s">
        <v>607</v>
      </c>
      <c r="G113" s="649" t="s">
        <v>1271</v>
      </c>
      <c r="H113" s="647" t="str">
        <f t="shared" si="10"/>
        <v>niet van toepassing</v>
      </c>
      <c r="I113" s="719" t="s">
        <v>106</v>
      </c>
      <c r="J113" s="623"/>
      <c r="K113" s="623"/>
      <c r="L113" s="668" t="s">
        <v>27</v>
      </c>
      <c r="M113" s="557">
        <f t="shared" si="14"/>
        <v>0</v>
      </c>
      <c r="N113" s="453"/>
      <c r="O113" s="557">
        <f t="shared" si="15"/>
        <v>0</v>
      </c>
      <c r="P113" s="633">
        <v>1</v>
      </c>
      <c r="Q113" s="776">
        <f t="shared" si="16"/>
        <v>0</v>
      </c>
      <c r="R113" s="776">
        <f t="shared" si="17"/>
        <v>0</v>
      </c>
      <c r="S113" s="552">
        <f t="shared" si="18"/>
        <v>0</v>
      </c>
      <c r="T113" s="626">
        <f t="shared" si="11"/>
        <v>0</v>
      </c>
      <c r="U113" s="626">
        <f t="shared" si="12"/>
        <v>0</v>
      </c>
      <c r="V113" s="553">
        <f t="shared" si="13"/>
        <v>0</v>
      </c>
      <c r="W113" s="554">
        <f t="shared" si="19"/>
        <v>0</v>
      </c>
      <c r="X113" s="454" t="s">
        <v>1454</v>
      </c>
      <c r="Y113" s="631">
        <f>IF(Q113=0,0,(Q113+R113)*'1.0-Contractblad'!$L$98)</f>
        <v>0</v>
      </c>
      <c r="Z113" s="632">
        <f>IF(J113=0,0,VLOOKUP(D113,'1.1a-Jaarprijzen'!$B$70:$P$124,14,FALSE)*(K113+J113))</f>
        <v>0</v>
      </c>
    </row>
    <row r="114" spans="1:26" hidden="1">
      <c r="A114" s="558"/>
      <c r="B114" s="548"/>
      <c r="C114" s="659">
        <v>3</v>
      </c>
      <c r="D114" s="549" t="s">
        <v>1466</v>
      </c>
      <c r="E114" s="550" t="s">
        <v>502</v>
      </c>
      <c r="F114" s="551" t="s">
        <v>608</v>
      </c>
      <c r="G114" s="649" t="s">
        <v>1271</v>
      </c>
      <c r="H114" s="647" t="str">
        <f t="shared" si="10"/>
        <v>niet van toepassing</v>
      </c>
      <c r="I114" s="719" t="s">
        <v>106</v>
      </c>
      <c r="J114" s="623"/>
      <c r="K114" s="623"/>
      <c r="L114" s="668" t="s">
        <v>27</v>
      </c>
      <c r="M114" s="557">
        <f t="shared" si="14"/>
        <v>0</v>
      </c>
      <c r="N114" s="453"/>
      <c r="O114" s="557">
        <f t="shared" si="15"/>
        <v>0</v>
      </c>
      <c r="P114" s="633">
        <v>1</v>
      </c>
      <c r="Q114" s="776">
        <f t="shared" si="16"/>
        <v>0</v>
      </c>
      <c r="R114" s="776">
        <f t="shared" si="17"/>
        <v>0</v>
      </c>
      <c r="S114" s="552">
        <f t="shared" si="18"/>
        <v>0</v>
      </c>
      <c r="T114" s="626">
        <f t="shared" si="11"/>
        <v>0</v>
      </c>
      <c r="U114" s="626">
        <f t="shared" si="12"/>
        <v>0</v>
      </c>
      <c r="V114" s="553">
        <f t="shared" si="13"/>
        <v>0</v>
      </c>
      <c r="W114" s="554">
        <f t="shared" si="19"/>
        <v>0</v>
      </c>
      <c r="X114" s="454" t="s">
        <v>1454</v>
      </c>
      <c r="Y114" s="631">
        <f>IF(Q114=0,0,(Q114+R114)*'1.0-Contractblad'!$L$98)</f>
        <v>0</v>
      </c>
      <c r="Z114" s="632">
        <f>IF(J114=0,0,VLOOKUP(D114,'1.1a-Jaarprijzen'!$B$70:$P$124,14,FALSE)*(K114+J114))</f>
        <v>0</v>
      </c>
    </row>
    <row r="115" spans="1:26" hidden="1">
      <c r="A115" s="558"/>
      <c r="B115" s="548"/>
      <c r="C115" s="659">
        <v>3</v>
      </c>
      <c r="D115" s="549" t="s">
        <v>1466</v>
      </c>
      <c r="E115" s="550" t="s">
        <v>502</v>
      </c>
      <c r="F115" s="551" t="s">
        <v>609</v>
      </c>
      <c r="G115" s="649" t="s">
        <v>1271</v>
      </c>
      <c r="H115" s="647" t="str">
        <f t="shared" si="10"/>
        <v>niet van toepassing</v>
      </c>
      <c r="I115" s="719" t="s">
        <v>106</v>
      </c>
      <c r="J115" s="623"/>
      <c r="K115" s="623"/>
      <c r="L115" s="668" t="s">
        <v>27</v>
      </c>
      <c r="M115" s="557">
        <f t="shared" si="14"/>
        <v>0</v>
      </c>
      <c r="N115" s="453"/>
      <c r="O115" s="557">
        <f t="shared" si="15"/>
        <v>0</v>
      </c>
      <c r="P115" s="633">
        <v>1</v>
      </c>
      <c r="Q115" s="776">
        <f t="shared" si="16"/>
        <v>0</v>
      </c>
      <c r="R115" s="776">
        <f t="shared" si="17"/>
        <v>0</v>
      </c>
      <c r="S115" s="552">
        <f t="shared" si="18"/>
        <v>0</v>
      </c>
      <c r="T115" s="626">
        <f t="shared" si="11"/>
        <v>0</v>
      </c>
      <c r="U115" s="626">
        <f t="shared" si="12"/>
        <v>0</v>
      </c>
      <c r="V115" s="553">
        <f t="shared" si="13"/>
        <v>0</v>
      </c>
      <c r="W115" s="554">
        <f t="shared" si="19"/>
        <v>0</v>
      </c>
      <c r="X115" s="454" t="s">
        <v>1454</v>
      </c>
      <c r="Y115" s="631">
        <f>IF(Q115=0,0,(Q115+R115)*'1.0-Contractblad'!$L$98)</f>
        <v>0</v>
      </c>
      <c r="Z115" s="632">
        <f>IF(J115=0,0,VLOOKUP(D115,'1.1a-Jaarprijzen'!$B$70:$P$124,14,FALSE)*(K115+J115))</f>
        <v>0</v>
      </c>
    </row>
    <row r="116" spans="1:26" hidden="1">
      <c r="A116" s="558"/>
      <c r="B116" s="548"/>
      <c r="C116" s="659">
        <v>3</v>
      </c>
      <c r="D116" s="549" t="s">
        <v>1466</v>
      </c>
      <c r="E116" s="550" t="s">
        <v>502</v>
      </c>
      <c r="F116" s="551" t="s">
        <v>610</v>
      </c>
      <c r="G116" s="649" t="s">
        <v>1271</v>
      </c>
      <c r="H116" s="647" t="str">
        <f t="shared" si="10"/>
        <v>niet van toepassing</v>
      </c>
      <c r="I116" s="719" t="s">
        <v>106</v>
      </c>
      <c r="J116" s="623"/>
      <c r="K116" s="623"/>
      <c r="L116" s="668" t="s">
        <v>27</v>
      </c>
      <c r="M116" s="557">
        <f t="shared" si="14"/>
        <v>0</v>
      </c>
      <c r="N116" s="453"/>
      <c r="O116" s="557">
        <f t="shared" si="15"/>
        <v>0</v>
      </c>
      <c r="P116" s="633">
        <v>1</v>
      </c>
      <c r="Q116" s="776">
        <f t="shared" si="16"/>
        <v>0</v>
      </c>
      <c r="R116" s="776">
        <f t="shared" si="17"/>
        <v>0</v>
      </c>
      <c r="S116" s="552">
        <f t="shared" si="18"/>
        <v>0</v>
      </c>
      <c r="T116" s="626">
        <f t="shared" si="11"/>
        <v>0</v>
      </c>
      <c r="U116" s="626">
        <f t="shared" si="12"/>
        <v>0</v>
      </c>
      <c r="V116" s="553">
        <f t="shared" si="13"/>
        <v>0</v>
      </c>
      <c r="W116" s="554">
        <f t="shared" si="19"/>
        <v>0</v>
      </c>
      <c r="X116" s="454" t="s">
        <v>1454</v>
      </c>
      <c r="Y116" s="631">
        <f>IF(Q116=0,0,(Q116+R116)*'1.0-Contractblad'!$L$98)</f>
        <v>0</v>
      </c>
      <c r="Z116" s="632">
        <f>IF(J116=0,0,VLOOKUP(D116,'1.1a-Jaarprijzen'!$B$70:$P$124,14,FALSE)*(K116+J116))</f>
        <v>0</v>
      </c>
    </row>
    <row r="117" spans="1:26" hidden="1">
      <c r="A117" s="558"/>
      <c r="B117" s="548"/>
      <c r="C117" s="659">
        <v>3</v>
      </c>
      <c r="D117" s="549" t="s">
        <v>1466</v>
      </c>
      <c r="E117" s="550" t="s">
        <v>502</v>
      </c>
      <c r="F117" s="551" t="s">
        <v>611</v>
      </c>
      <c r="G117" s="649" t="s">
        <v>1271</v>
      </c>
      <c r="H117" s="647" t="str">
        <f t="shared" si="10"/>
        <v>niet van toepassing</v>
      </c>
      <c r="I117" s="719" t="s">
        <v>106</v>
      </c>
      <c r="J117" s="623"/>
      <c r="K117" s="623"/>
      <c r="L117" s="668" t="s">
        <v>27</v>
      </c>
      <c r="M117" s="557">
        <f t="shared" si="14"/>
        <v>0</v>
      </c>
      <c r="N117" s="453"/>
      <c r="O117" s="557">
        <f t="shared" si="15"/>
        <v>0</v>
      </c>
      <c r="P117" s="633">
        <v>1</v>
      </c>
      <c r="Q117" s="776">
        <f t="shared" si="16"/>
        <v>0</v>
      </c>
      <c r="R117" s="776">
        <f t="shared" si="17"/>
        <v>0</v>
      </c>
      <c r="S117" s="552">
        <f t="shared" si="18"/>
        <v>0</v>
      </c>
      <c r="T117" s="626">
        <f t="shared" si="11"/>
        <v>0</v>
      </c>
      <c r="U117" s="626">
        <f t="shared" si="12"/>
        <v>0</v>
      </c>
      <c r="V117" s="553">
        <f t="shared" si="13"/>
        <v>0</v>
      </c>
      <c r="W117" s="554">
        <f t="shared" si="19"/>
        <v>0</v>
      </c>
      <c r="X117" s="454" t="s">
        <v>1454</v>
      </c>
      <c r="Y117" s="631">
        <f>IF(Q117=0,0,(Q117+R117)*'1.0-Contractblad'!$L$98)</f>
        <v>0</v>
      </c>
      <c r="Z117" s="632">
        <f>IF(J117=0,0,VLOOKUP(D117,'1.1a-Jaarprijzen'!$B$70:$P$124,14,FALSE)*(K117+J117))</f>
        <v>0</v>
      </c>
    </row>
    <row r="118" spans="1:26" hidden="1">
      <c r="A118" s="558"/>
      <c r="B118" s="548"/>
      <c r="C118" s="659">
        <v>3</v>
      </c>
      <c r="D118" s="549" t="s">
        <v>1466</v>
      </c>
      <c r="E118" s="550" t="s">
        <v>502</v>
      </c>
      <c r="F118" s="551" t="s">
        <v>612</v>
      </c>
      <c r="G118" s="649" t="s">
        <v>1271</v>
      </c>
      <c r="H118" s="647" t="str">
        <f t="shared" si="10"/>
        <v>niet van toepassing</v>
      </c>
      <c r="I118" s="719" t="s">
        <v>106</v>
      </c>
      <c r="J118" s="623"/>
      <c r="K118" s="623"/>
      <c r="L118" s="668" t="s">
        <v>27</v>
      </c>
      <c r="M118" s="557">
        <f t="shared" si="14"/>
        <v>0</v>
      </c>
      <c r="N118" s="453"/>
      <c r="O118" s="557">
        <f t="shared" si="15"/>
        <v>0</v>
      </c>
      <c r="P118" s="633">
        <v>1</v>
      </c>
      <c r="Q118" s="776">
        <f t="shared" si="16"/>
        <v>0</v>
      </c>
      <c r="R118" s="776">
        <f t="shared" si="17"/>
        <v>0</v>
      </c>
      <c r="S118" s="552">
        <f t="shared" si="18"/>
        <v>0</v>
      </c>
      <c r="T118" s="626">
        <f t="shared" si="11"/>
        <v>0</v>
      </c>
      <c r="U118" s="626">
        <f t="shared" si="12"/>
        <v>0</v>
      </c>
      <c r="V118" s="553">
        <f t="shared" si="13"/>
        <v>0</v>
      </c>
      <c r="W118" s="554">
        <f t="shared" si="19"/>
        <v>0</v>
      </c>
      <c r="X118" s="454" t="s">
        <v>1454</v>
      </c>
      <c r="Y118" s="631">
        <f>IF(Q118=0,0,(Q118+R118)*'1.0-Contractblad'!$L$98)</f>
        <v>0</v>
      </c>
      <c r="Z118" s="632">
        <f>IF(J118=0,0,VLOOKUP(D118,'1.1a-Jaarprijzen'!$B$70:$P$124,14,FALSE)*(K118+J118))</f>
        <v>0</v>
      </c>
    </row>
    <row r="119" spans="1:26" hidden="1">
      <c r="A119" s="558"/>
      <c r="B119" s="548"/>
      <c r="C119" s="659">
        <v>3</v>
      </c>
      <c r="D119" s="549" t="s">
        <v>1466</v>
      </c>
      <c r="E119" s="550" t="s">
        <v>502</v>
      </c>
      <c r="F119" s="551" t="s">
        <v>613</v>
      </c>
      <c r="G119" s="649" t="s">
        <v>1271</v>
      </c>
      <c r="H119" s="647" t="str">
        <f t="shared" si="10"/>
        <v>niet van toepassing</v>
      </c>
      <c r="I119" s="719" t="s">
        <v>106</v>
      </c>
      <c r="J119" s="623"/>
      <c r="K119" s="623"/>
      <c r="L119" s="668" t="s">
        <v>27</v>
      </c>
      <c r="M119" s="557">
        <f t="shared" si="14"/>
        <v>0</v>
      </c>
      <c r="N119" s="453"/>
      <c r="O119" s="557">
        <f t="shared" si="15"/>
        <v>0</v>
      </c>
      <c r="P119" s="633">
        <v>1</v>
      </c>
      <c r="Q119" s="776">
        <f t="shared" si="16"/>
        <v>0</v>
      </c>
      <c r="R119" s="776">
        <f t="shared" si="17"/>
        <v>0</v>
      </c>
      <c r="S119" s="552">
        <f t="shared" si="18"/>
        <v>0</v>
      </c>
      <c r="T119" s="626">
        <f t="shared" si="11"/>
        <v>0</v>
      </c>
      <c r="U119" s="626">
        <f t="shared" si="12"/>
        <v>0</v>
      </c>
      <c r="V119" s="553">
        <f t="shared" si="13"/>
        <v>0</v>
      </c>
      <c r="W119" s="554">
        <f t="shared" si="19"/>
        <v>0</v>
      </c>
      <c r="X119" s="454" t="s">
        <v>1454</v>
      </c>
      <c r="Y119" s="631">
        <f>IF(Q119=0,0,(Q119+R119)*'1.0-Contractblad'!$L$98)</f>
        <v>0</v>
      </c>
      <c r="Z119" s="632">
        <f>IF(J119=0,0,VLOOKUP(D119,'1.1a-Jaarprijzen'!$B$70:$P$124,14,FALSE)*(K119+J119))</f>
        <v>0</v>
      </c>
    </row>
    <row r="120" spans="1:26" hidden="1">
      <c r="A120" s="558"/>
      <c r="B120" s="548"/>
      <c r="C120" s="659">
        <v>3</v>
      </c>
      <c r="D120" s="549" t="s">
        <v>1466</v>
      </c>
      <c r="E120" s="550" t="s">
        <v>502</v>
      </c>
      <c r="F120" s="551" t="s">
        <v>614</v>
      </c>
      <c r="G120" s="649" t="s">
        <v>1271</v>
      </c>
      <c r="H120" s="647" t="str">
        <f t="shared" si="10"/>
        <v>niet van toepassing</v>
      </c>
      <c r="I120" s="719" t="s">
        <v>106</v>
      </c>
      <c r="J120" s="623"/>
      <c r="K120" s="623"/>
      <c r="L120" s="668" t="s">
        <v>27</v>
      </c>
      <c r="M120" s="557">
        <f t="shared" si="14"/>
        <v>0</v>
      </c>
      <c r="N120" s="453"/>
      <c r="O120" s="557">
        <f t="shared" si="15"/>
        <v>0</v>
      </c>
      <c r="P120" s="633">
        <v>1</v>
      </c>
      <c r="Q120" s="776">
        <f t="shared" si="16"/>
        <v>0</v>
      </c>
      <c r="R120" s="776">
        <f t="shared" si="17"/>
        <v>0</v>
      </c>
      <c r="S120" s="552">
        <f t="shared" si="18"/>
        <v>0</v>
      </c>
      <c r="T120" s="626">
        <f t="shared" si="11"/>
        <v>0</v>
      </c>
      <c r="U120" s="626">
        <f t="shared" si="12"/>
        <v>0</v>
      </c>
      <c r="V120" s="553">
        <f t="shared" si="13"/>
        <v>0</v>
      </c>
      <c r="W120" s="554">
        <f t="shared" si="19"/>
        <v>0</v>
      </c>
      <c r="X120" s="454" t="s">
        <v>1454</v>
      </c>
      <c r="Y120" s="631">
        <f>IF(Q120=0,0,(Q120+R120)*'1.0-Contractblad'!$L$98)</f>
        <v>0</v>
      </c>
      <c r="Z120" s="632">
        <f>IF(J120=0,0,VLOOKUP(D120,'1.1a-Jaarprijzen'!$B$70:$P$124,14,FALSE)*(K120+J120))</f>
        <v>0</v>
      </c>
    </row>
    <row r="121" spans="1:26" hidden="1">
      <c r="A121" s="558"/>
      <c r="B121" s="548"/>
      <c r="C121" s="659">
        <v>3</v>
      </c>
      <c r="D121" s="549" t="s">
        <v>1466</v>
      </c>
      <c r="E121" s="550" t="s">
        <v>502</v>
      </c>
      <c r="F121" s="551" t="s">
        <v>615</v>
      </c>
      <c r="G121" s="649" t="s">
        <v>1271</v>
      </c>
      <c r="H121" s="647" t="str">
        <f t="shared" si="10"/>
        <v>niet van toepassing</v>
      </c>
      <c r="I121" s="719" t="s">
        <v>106</v>
      </c>
      <c r="J121" s="623"/>
      <c r="K121" s="623"/>
      <c r="L121" s="668" t="s">
        <v>27</v>
      </c>
      <c r="M121" s="557">
        <f t="shared" si="14"/>
        <v>0</v>
      </c>
      <c r="N121" s="453"/>
      <c r="O121" s="557">
        <f t="shared" si="15"/>
        <v>0</v>
      </c>
      <c r="P121" s="633">
        <v>1</v>
      </c>
      <c r="Q121" s="776">
        <f t="shared" si="16"/>
        <v>0</v>
      </c>
      <c r="R121" s="776">
        <f t="shared" si="17"/>
        <v>0</v>
      </c>
      <c r="S121" s="552">
        <f t="shared" si="18"/>
        <v>0</v>
      </c>
      <c r="T121" s="626">
        <f t="shared" si="11"/>
        <v>0</v>
      </c>
      <c r="U121" s="626">
        <f t="shared" si="12"/>
        <v>0</v>
      </c>
      <c r="V121" s="553">
        <f t="shared" si="13"/>
        <v>0</v>
      </c>
      <c r="W121" s="554">
        <f t="shared" si="19"/>
        <v>0</v>
      </c>
      <c r="X121" s="454" t="s">
        <v>1454</v>
      </c>
      <c r="Y121" s="631">
        <f>IF(Q121=0,0,(Q121+R121)*'1.0-Contractblad'!$L$98)</f>
        <v>0</v>
      </c>
      <c r="Z121" s="632">
        <f>IF(J121=0,0,VLOOKUP(D121,'1.1a-Jaarprijzen'!$B$70:$P$124,14,FALSE)*(K121+J121))</f>
        <v>0</v>
      </c>
    </row>
    <row r="122" spans="1:26" hidden="1">
      <c r="A122" s="558"/>
      <c r="B122" s="548"/>
      <c r="C122" s="659">
        <v>3</v>
      </c>
      <c r="D122" s="549" t="s">
        <v>1466</v>
      </c>
      <c r="E122" s="550" t="s">
        <v>502</v>
      </c>
      <c r="F122" s="551" t="s">
        <v>616</v>
      </c>
      <c r="G122" s="649" t="s">
        <v>1272</v>
      </c>
      <c r="H122" s="647" t="str">
        <f t="shared" si="10"/>
        <v>sanitaire ruimte (toilet-/doucheruimte)</v>
      </c>
      <c r="I122" s="719" t="s">
        <v>84</v>
      </c>
      <c r="J122" s="623">
        <v>10.3</v>
      </c>
      <c r="K122" s="623"/>
      <c r="L122" s="559">
        <v>4255</v>
      </c>
      <c r="M122" s="557">
        <f t="shared" si="14"/>
        <v>104</v>
      </c>
      <c r="N122" s="453"/>
      <c r="O122" s="557">
        <f t="shared" si="15"/>
        <v>255</v>
      </c>
      <c r="P122" s="633">
        <v>1</v>
      </c>
      <c r="Q122" s="776">
        <f t="shared" si="16"/>
        <v>0</v>
      </c>
      <c r="R122" s="776">
        <f t="shared" si="17"/>
        <v>0</v>
      </c>
      <c r="S122" s="552">
        <f t="shared" si="18"/>
        <v>0</v>
      </c>
      <c r="T122" s="626">
        <f t="shared" si="11"/>
        <v>0</v>
      </c>
      <c r="U122" s="626">
        <f t="shared" si="12"/>
        <v>0</v>
      </c>
      <c r="V122" s="553">
        <f t="shared" si="13"/>
        <v>0</v>
      </c>
      <c r="W122" s="554" t="str">
        <f t="shared" si="19"/>
        <v>S</v>
      </c>
      <c r="X122" s="555"/>
      <c r="Y122" s="631">
        <f>IF(Q122=0,0,(Q122+R122)*'1.0-Contractblad'!$L$98)</f>
        <v>0</v>
      </c>
      <c r="Z122" s="632">
        <f ca="1">IF(J122=0,0,VLOOKUP(D122,'1.1a-Jaarprijzen'!$B$70:$P$124,14,FALSE)*(K122+J122))</f>
        <v>0</v>
      </c>
    </row>
    <row r="123" spans="1:26" hidden="1">
      <c r="A123" s="558"/>
      <c r="B123" s="548"/>
      <c r="C123" s="659">
        <v>3</v>
      </c>
      <c r="D123" s="549" t="s">
        <v>1466</v>
      </c>
      <c r="E123" s="550" t="s">
        <v>502</v>
      </c>
      <c r="F123" s="551" t="s">
        <v>617</v>
      </c>
      <c r="G123" s="649" t="s">
        <v>1273</v>
      </c>
      <c r="H123" s="647" t="str">
        <f t="shared" si="10"/>
        <v>speellokaal</v>
      </c>
      <c r="I123" s="719" t="s">
        <v>491</v>
      </c>
      <c r="J123" s="623">
        <v>32.700000000000003</v>
      </c>
      <c r="K123" s="623"/>
      <c r="L123" s="653">
        <v>8153</v>
      </c>
      <c r="M123" s="557">
        <f t="shared" si="14"/>
        <v>107</v>
      </c>
      <c r="N123" s="453"/>
      <c r="O123" s="557">
        <f t="shared" si="15"/>
        <v>153</v>
      </c>
      <c r="P123" s="633">
        <v>1</v>
      </c>
      <c r="Q123" s="776">
        <f t="shared" si="16"/>
        <v>0</v>
      </c>
      <c r="R123" s="776">
        <f t="shared" si="17"/>
        <v>0</v>
      </c>
      <c r="S123" s="552">
        <f t="shared" si="18"/>
        <v>0</v>
      </c>
      <c r="T123" s="626">
        <f t="shared" si="11"/>
        <v>0</v>
      </c>
      <c r="U123" s="626">
        <f t="shared" si="12"/>
        <v>0</v>
      </c>
      <c r="V123" s="553">
        <f t="shared" si="13"/>
        <v>0</v>
      </c>
      <c r="W123" s="554" t="str">
        <f t="shared" si="19"/>
        <v>L</v>
      </c>
      <c r="X123" s="555"/>
      <c r="Y123" s="631">
        <f>IF(Q123=0,0,(Q123+R123)*'1.0-Contractblad'!$L$98)</f>
        <v>0</v>
      </c>
      <c r="Z123" s="632">
        <f ca="1">IF(J123=0,0,VLOOKUP(D123,'1.1a-Jaarprijzen'!$B$70:$P$124,14,FALSE)*(K123+J123))</f>
        <v>0</v>
      </c>
    </row>
    <row r="124" spans="1:26" hidden="1">
      <c r="A124" s="558"/>
      <c r="B124" s="548"/>
      <c r="C124" s="659">
        <v>3</v>
      </c>
      <c r="D124" s="549" t="s">
        <v>1466</v>
      </c>
      <c r="E124" s="550" t="s">
        <v>502</v>
      </c>
      <c r="F124" s="551" t="s">
        <v>618</v>
      </c>
      <c r="G124" s="649" t="s">
        <v>1274</v>
      </c>
      <c r="H124" s="647" t="str">
        <f t="shared" si="10"/>
        <v>leslokaal</v>
      </c>
      <c r="I124" s="719" t="s">
        <v>491</v>
      </c>
      <c r="J124" s="623">
        <v>73.2</v>
      </c>
      <c r="K124" s="623"/>
      <c r="L124" s="654">
        <v>7153</v>
      </c>
      <c r="M124" s="557">
        <f t="shared" si="14"/>
        <v>107</v>
      </c>
      <c r="N124" s="453"/>
      <c r="O124" s="557">
        <f t="shared" si="15"/>
        <v>153</v>
      </c>
      <c r="P124" s="633">
        <v>1</v>
      </c>
      <c r="Q124" s="776">
        <f t="shared" si="16"/>
        <v>0</v>
      </c>
      <c r="R124" s="776">
        <f t="shared" si="17"/>
        <v>0</v>
      </c>
      <c r="S124" s="552">
        <f t="shared" si="18"/>
        <v>0</v>
      </c>
      <c r="T124" s="626">
        <f t="shared" si="11"/>
        <v>0</v>
      </c>
      <c r="U124" s="626">
        <f t="shared" si="12"/>
        <v>0</v>
      </c>
      <c r="V124" s="553">
        <f t="shared" si="13"/>
        <v>0</v>
      </c>
      <c r="W124" s="554" t="str">
        <f t="shared" si="19"/>
        <v>L</v>
      </c>
      <c r="X124" s="555"/>
      <c r="Y124" s="631">
        <f>IF(Q124=0,0,(Q124+R124)*'1.0-Contractblad'!$L$98)</f>
        <v>0</v>
      </c>
      <c r="Z124" s="632">
        <f ca="1">IF(J124=0,0,VLOOKUP(D124,'1.1a-Jaarprijzen'!$B$70:$P$124,14,FALSE)*(K124+J124))</f>
        <v>0</v>
      </c>
    </row>
    <row r="125" spans="1:26" hidden="1">
      <c r="A125" s="558"/>
      <c r="B125" s="548"/>
      <c r="C125" s="659">
        <v>3</v>
      </c>
      <c r="D125" s="549" t="s">
        <v>1466</v>
      </c>
      <c r="E125" s="550" t="s">
        <v>502</v>
      </c>
      <c r="F125" s="551" t="s">
        <v>619</v>
      </c>
      <c r="G125" s="649" t="s">
        <v>1275</v>
      </c>
      <c r="H125" s="647" t="str">
        <f t="shared" si="10"/>
        <v>administratieve -, personeels- en vergaderruimte</v>
      </c>
      <c r="I125" s="719" t="s">
        <v>491</v>
      </c>
      <c r="J125" s="623">
        <v>39.799999999999997</v>
      </c>
      <c r="K125" s="623"/>
      <c r="L125" s="651">
        <v>1153</v>
      </c>
      <c r="M125" s="557">
        <f t="shared" si="14"/>
        <v>101</v>
      </c>
      <c r="N125" s="453"/>
      <c r="O125" s="557">
        <f t="shared" si="15"/>
        <v>153</v>
      </c>
      <c r="P125" s="633">
        <v>1</v>
      </c>
      <c r="Q125" s="776">
        <f t="shared" si="16"/>
        <v>0</v>
      </c>
      <c r="R125" s="776">
        <f t="shared" si="17"/>
        <v>0</v>
      </c>
      <c r="S125" s="552">
        <f t="shared" si="18"/>
        <v>0</v>
      </c>
      <c r="T125" s="626">
        <f t="shared" si="11"/>
        <v>0</v>
      </c>
      <c r="U125" s="626">
        <f t="shared" si="12"/>
        <v>0</v>
      </c>
      <c r="V125" s="553">
        <f t="shared" si="13"/>
        <v>0</v>
      </c>
      <c r="W125" s="554" t="str">
        <f t="shared" si="19"/>
        <v>B</v>
      </c>
      <c r="X125" s="454"/>
      <c r="Y125" s="631">
        <f>IF(Q125=0,0,(Q125+R125)*'1.0-Contractblad'!$L$98)</f>
        <v>0</v>
      </c>
      <c r="Z125" s="632">
        <f ca="1">IF(J125=0,0,VLOOKUP(D125,'1.1a-Jaarprijzen'!$B$70:$P$124,14,FALSE)*(K125+J125))</f>
        <v>0</v>
      </c>
    </row>
    <row r="126" spans="1:26" hidden="1">
      <c r="A126" s="558"/>
      <c r="B126" s="548"/>
      <c r="C126" s="659">
        <v>3</v>
      </c>
      <c r="D126" s="549" t="s">
        <v>1466</v>
      </c>
      <c r="E126" s="550" t="s">
        <v>502</v>
      </c>
      <c r="F126" s="551" t="s">
        <v>620</v>
      </c>
      <c r="G126" s="649" t="s">
        <v>1243</v>
      </c>
      <c r="H126" s="647" t="str">
        <f t="shared" si="10"/>
        <v>administratieve -, personeels- en vergaderruimte</v>
      </c>
      <c r="I126" s="719" t="s">
        <v>491</v>
      </c>
      <c r="J126" s="623">
        <v>15.6</v>
      </c>
      <c r="K126" s="623"/>
      <c r="L126" s="651">
        <v>1153</v>
      </c>
      <c r="M126" s="557">
        <f t="shared" si="14"/>
        <v>101</v>
      </c>
      <c r="N126" s="453"/>
      <c r="O126" s="557">
        <f t="shared" si="15"/>
        <v>153</v>
      </c>
      <c r="P126" s="633">
        <v>1</v>
      </c>
      <c r="Q126" s="776">
        <f t="shared" si="16"/>
        <v>0</v>
      </c>
      <c r="R126" s="776">
        <f t="shared" si="17"/>
        <v>0</v>
      </c>
      <c r="S126" s="552">
        <f t="shared" si="18"/>
        <v>0</v>
      </c>
      <c r="T126" s="626">
        <f t="shared" si="11"/>
        <v>0</v>
      </c>
      <c r="U126" s="626">
        <f t="shared" si="12"/>
        <v>0</v>
      </c>
      <c r="V126" s="553">
        <f t="shared" si="13"/>
        <v>0</v>
      </c>
      <c r="W126" s="554" t="str">
        <f t="shared" si="19"/>
        <v>B</v>
      </c>
      <c r="X126" s="556"/>
      <c r="Y126" s="631">
        <f>IF(Q126=0,0,(Q126+R126)*'1.0-Contractblad'!$L$98)</f>
        <v>0</v>
      </c>
      <c r="Z126" s="632">
        <f ca="1">IF(J126=0,0,VLOOKUP(D126,'1.1a-Jaarprijzen'!$B$70:$P$124,14,FALSE)*(K126+J126))</f>
        <v>0</v>
      </c>
    </row>
    <row r="127" spans="1:26" hidden="1">
      <c r="A127" s="558"/>
      <c r="B127" s="548"/>
      <c r="C127" s="659">
        <v>3</v>
      </c>
      <c r="D127" s="549" t="s">
        <v>1466</v>
      </c>
      <c r="E127" s="550" t="s">
        <v>502</v>
      </c>
      <c r="F127" s="551" t="s">
        <v>621</v>
      </c>
      <c r="G127" s="649" t="s">
        <v>487</v>
      </c>
      <c r="H127" s="647" t="str">
        <f t="shared" si="10"/>
        <v>entree, gang, hal, repro, kopieer, was/droogruimte</v>
      </c>
      <c r="I127" s="719" t="s">
        <v>491</v>
      </c>
      <c r="J127" s="623">
        <v>5.6</v>
      </c>
      <c r="K127" s="623"/>
      <c r="L127" s="651">
        <v>3153</v>
      </c>
      <c r="M127" s="557">
        <f t="shared" si="14"/>
        <v>103</v>
      </c>
      <c r="N127" s="453"/>
      <c r="O127" s="557">
        <f t="shared" si="15"/>
        <v>153</v>
      </c>
      <c r="P127" s="633">
        <v>1</v>
      </c>
      <c r="Q127" s="776">
        <f t="shared" si="16"/>
        <v>0</v>
      </c>
      <c r="R127" s="776">
        <f t="shared" si="17"/>
        <v>0</v>
      </c>
      <c r="S127" s="552">
        <f t="shared" si="18"/>
        <v>0</v>
      </c>
      <c r="T127" s="626">
        <f t="shared" si="11"/>
        <v>0</v>
      </c>
      <c r="U127" s="626">
        <f t="shared" si="12"/>
        <v>0</v>
      </c>
      <c r="V127" s="553">
        <f t="shared" si="13"/>
        <v>0</v>
      </c>
      <c r="W127" s="554" t="str">
        <f t="shared" si="19"/>
        <v>V</v>
      </c>
      <c r="X127" s="555"/>
      <c r="Y127" s="631">
        <f>IF(Q127=0,0,(Q127+R127)*'1.0-Contractblad'!$L$98)</f>
        <v>0</v>
      </c>
      <c r="Z127" s="632">
        <f ca="1">IF(J127=0,0,VLOOKUP(D127,'1.1a-Jaarprijzen'!$B$70:$P$124,14,FALSE)*(K127+J127))</f>
        <v>0</v>
      </c>
    </row>
    <row r="128" spans="1:26" hidden="1">
      <c r="A128" s="558"/>
      <c r="B128" s="548"/>
      <c r="C128" s="659">
        <v>3</v>
      </c>
      <c r="D128" s="549" t="s">
        <v>1466</v>
      </c>
      <c r="E128" s="550" t="s">
        <v>502</v>
      </c>
      <c r="F128" s="551" t="s">
        <v>622</v>
      </c>
      <c r="G128" s="649" t="s">
        <v>1276</v>
      </c>
      <c r="H128" s="647" t="str">
        <f t="shared" si="10"/>
        <v>Keuken</v>
      </c>
      <c r="I128" s="719" t="s">
        <v>84</v>
      </c>
      <c r="J128" s="623">
        <v>9.4</v>
      </c>
      <c r="K128" s="623"/>
      <c r="L128" s="559">
        <v>18153</v>
      </c>
      <c r="M128" s="557" t="str">
        <f t="shared" si="14"/>
        <v>nvt</v>
      </c>
      <c r="N128" s="453"/>
      <c r="O128" s="557">
        <f t="shared" si="15"/>
        <v>153</v>
      </c>
      <c r="P128" s="633">
        <v>1</v>
      </c>
      <c r="Q128" s="776">
        <f t="shared" si="16"/>
        <v>0</v>
      </c>
      <c r="R128" s="776">
        <f t="shared" si="17"/>
        <v>0</v>
      </c>
      <c r="S128" s="552">
        <f t="shared" si="18"/>
        <v>0</v>
      </c>
      <c r="T128" s="626">
        <f t="shared" si="11"/>
        <v>0</v>
      </c>
      <c r="U128" s="626">
        <f t="shared" si="12"/>
        <v>0</v>
      </c>
      <c r="V128" s="553">
        <f t="shared" si="13"/>
        <v>0</v>
      </c>
      <c r="W128" s="554" t="str">
        <f t="shared" si="19"/>
        <v>V</v>
      </c>
      <c r="X128" s="556"/>
      <c r="Y128" s="631">
        <f>IF(Q128=0,0,(Q128+R128)*'1.0-Contractblad'!$L$98)</f>
        <v>0</v>
      </c>
      <c r="Z128" s="632">
        <f ca="1">IF(J128=0,0,VLOOKUP(D128,'1.1a-Jaarprijzen'!$B$70:$P$124,14,FALSE)*(K128+J128))</f>
        <v>0</v>
      </c>
    </row>
    <row r="129" spans="1:26" hidden="1">
      <c r="A129" s="558"/>
      <c r="B129" s="548"/>
      <c r="C129" s="659">
        <v>3</v>
      </c>
      <c r="D129" s="549" t="s">
        <v>1466</v>
      </c>
      <c r="E129" s="550" t="s">
        <v>502</v>
      </c>
      <c r="F129" s="551" t="s">
        <v>623</v>
      </c>
      <c r="G129" s="649" t="s">
        <v>488</v>
      </c>
      <c r="H129" s="647" t="str">
        <f t="shared" si="10"/>
        <v>sanitaire ruimte (toilet-/doucheruimte)</v>
      </c>
      <c r="I129" s="719" t="s">
        <v>84</v>
      </c>
      <c r="J129" s="623">
        <v>2.6</v>
      </c>
      <c r="K129" s="623"/>
      <c r="L129" s="559">
        <v>4153</v>
      </c>
      <c r="M129" s="557">
        <f t="shared" si="14"/>
        <v>104</v>
      </c>
      <c r="N129" s="453"/>
      <c r="O129" s="557">
        <f t="shared" si="15"/>
        <v>153</v>
      </c>
      <c r="P129" s="633">
        <v>1</v>
      </c>
      <c r="Q129" s="776">
        <f t="shared" si="16"/>
        <v>0</v>
      </c>
      <c r="R129" s="776">
        <f t="shared" si="17"/>
        <v>0</v>
      </c>
      <c r="S129" s="552">
        <f t="shared" si="18"/>
        <v>0</v>
      </c>
      <c r="T129" s="626">
        <f t="shared" si="11"/>
        <v>0</v>
      </c>
      <c r="U129" s="626">
        <f t="shared" si="12"/>
        <v>0</v>
      </c>
      <c r="V129" s="553">
        <f t="shared" si="13"/>
        <v>0</v>
      </c>
      <c r="W129" s="554" t="str">
        <f t="shared" si="19"/>
        <v>S</v>
      </c>
      <c r="X129" s="555"/>
      <c r="Y129" s="631">
        <f>IF(Q129=0,0,(Q129+R129)*'1.0-Contractblad'!$L$98)</f>
        <v>0</v>
      </c>
      <c r="Z129" s="632">
        <f ca="1">IF(J129=0,0,VLOOKUP(D129,'1.1a-Jaarprijzen'!$B$70:$P$124,14,FALSE)*(K129+J129))</f>
        <v>0</v>
      </c>
    </row>
    <row r="130" spans="1:26" hidden="1">
      <c r="A130" s="558"/>
      <c r="B130" s="548"/>
      <c r="C130" s="659">
        <v>3</v>
      </c>
      <c r="D130" s="549" t="s">
        <v>1466</v>
      </c>
      <c r="E130" s="550" t="s">
        <v>502</v>
      </c>
      <c r="F130" s="551" t="s">
        <v>624</v>
      </c>
      <c r="G130" s="649" t="s">
        <v>1235</v>
      </c>
      <c r="H130" s="647" t="str">
        <f t="shared" si="10"/>
        <v>niet van toepassing</v>
      </c>
      <c r="I130" s="719"/>
      <c r="J130" s="623"/>
      <c r="K130" s="623"/>
      <c r="L130" s="668" t="s">
        <v>27</v>
      </c>
      <c r="M130" s="557">
        <f t="shared" si="14"/>
        <v>0</v>
      </c>
      <c r="N130" s="453"/>
      <c r="O130" s="557">
        <f t="shared" si="15"/>
        <v>0</v>
      </c>
      <c r="P130" s="633">
        <v>1</v>
      </c>
      <c r="Q130" s="776">
        <f t="shared" si="16"/>
        <v>0</v>
      </c>
      <c r="R130" s="776">
        <f t="shared" si="17"/>
        <v>0</v>
      </c>
      <c r="S130" s="552">
        <f t="shared" si="18"/>
        <v>0</v>
      </c>
      <c r="T130" s="626">
        <f t="shared" si="11"/>
        <v>0</v>
      </c>
      <c r="U130" s="626">
        <f t="shared" si="12"/>
        <v>0</v>
      </c>
      <c r="V130" s="553">
        <f t="shared" si="13"/>
        <v>0</v>
      </c>
      <c r="W130" s="554">
        <f t="shared" si="19"/>
        <v>0</v>
      </c>
      <c r="X130" s="454" t="s">
        <v>1454</v>
      </c>
      <c r="Y130" s="631">
        <f>IF(Q130=0,0,(Q130+R130)*'1.0-Contractblad'!$L$98)</f>
        <v>0</v>
      </c>
      <c r="Z130" s="632">
        <f>IF(J130=0,0,VLOOKUP(D130,'1.1a-Jaarprijzen'!$B$70:$P$124,14,FALSE)*(K130+J130))</f>
        <v>0</v>
      </c>
    </row>
    <row r="131" spans="1:26" hidden="1">
      <c r="A131" s="558"/>
      <c r="B131" s="548"/>
      <c r="C131" s="659">
        <v>3</v>
      </c>
      <c r="D131" s="549" t="s">
        <v>1466</v>
      </c>
      <c r="E131" s="550" t="s">
        <v>502</v>
      </c>
      <c r="F131" s="551" t="s">
        <v>625</v>
      </c>
      <c r="G131" s="649" t="s">
        <v>1217</v>
      </c>
      <c r="H131" s="647" t="str">
        <f t="shared" ref="H131:H194" si="20">IF(L131="","",VLOOKUP(L131,Kengetal,4,FALSE))</f>
        <v>entree, gang, hal, repro, kopieer, was/droogruimte</v>
      </c>
      <c r="I131" s="719" t="s">
        <v>1402</v>
      </c>
      <c r="J131" s="623">
        <v>7.9</v>
      </c>
      <c r="K131" s="623"/>
      <c r="L131" s="651">
        <v>3153</v>
      </c>
      <c r="M131" s="557">
        <f t="shared" si="14"/>
        <v>103</v>
      </c>
      <c r="N131" s="453"/>
      <c r="O131" s="557">
        <f t="shared" si="15"/>
        <v>153</v>
      </c>
      <c r="P131" s="633">
        <v>1</v>
      </c>
      <c r="Q131" s="776">
        <f t="shared" si="16"/>
        <v>0</v>
      </c>
      <c r="R131" s="776">
        <f t="shared" si="17"/>
        <v>0</v>
      </c>
      <c r="S131" s="552">
        <f t="shared" si="18"/>
        <v>0</v>
      </c>
      <c r="T131" s="626">
        <f t="shared" si="11"/>
        <v>0</v>
      </c>
      <c r="U131" s="626">
        <f t="shared" si="12"/>
        <v>0</v>
      </c>
      <c r="V131" s="553">
        <f t="shared" si="13"/>
        <v>0</v>
      </c>
      <c r="W131" s="554" t="str">
        <f t="shared" si="19"/>
        <v>V</v>
      </c>
      <c r="X131" s="555"/>
      <c r="Y131" s="631">
        <f>IF(Q131=0,0,(Q131+R131)*'1.0-Contractblad'!$L$98)</f>
        <v>0</v>
      </c>
      <c r="Z131" s="632">
        <f ca="1">IF(J131=0,0,VLOOKUP(D131,'1.1a-Jaarprijzen'!$B$70:$P$124,14,FALSE)*(K131+J131))</f>
        <v>0</v>
      </c>
    </row>
    <row r="132" spans="1:26" hidden="1">
      <c r="A132" s="558"/>
      <c r="B132" s="548"/>
      <c r="C132" s="659">
        <v>3</v>
      </c>
      <c r="D132" s="549" t="s">
        <v>1466</v>
      </c>
      <c r="E132" s="550" t="s">
        <v>502</v>
      </c>
      <c r="F132" s="551" t="s">
        <v>626</v>
      </c>
      <c r="G132" s="649" t="s">
        <v>1277</v>
      </c>
      <c r="H132" s="647" t="str">
        <f t="shared" si="20"/>
        <v>sanitaire ruimte (toilet-/doucheruimte)</v>
      </c>
      <c r="I132" s="719" t="s">
        <v>84</v>
      </c>
      <c r="J132" s="623">
        <v>6.1</v>
      </c>
      <c r="K132" s="623"/>
      <c r="L132" s="559">
        <v>4255</v>
      </c>
      <c r="M132" s="557">
        <f t="shared" si="14"/>
        <v>104</v>
      </c>
      <c r="N132" s="453"/>
      <c r="O132" s="557">
        <f t="shared" si="15"/>
        <v>255</v>
      </c>
      <c r="P132" s="633">
        <v>1</v>
      </c>
      <c r="Q132" s="776">
        <f t="shared" si="16"/>
        <v>0</v>
      </c>
      <c r="R132" s="776">
        <f t="shared" si="17"/>
        <v>0</v>
      </c>
      <c r="S132" s="552">
        <f t="shared" si="18"/>
        <v>0</v>
      </c>
      <c r="T132" s="626">
        <f t="shared" ref="T132:T195" si="21">VLOOKUP($L132,Kengetal,6,FALSE)</f>
        <v>0</v>
      </c>
      <c r="U132" s="626">
        <f t="shared" ref="U132:U195" si="22">VLOOKUP($L132,Kengetal,7,FALSE)</f>
        <v>0</v>
      </c>
      <c r="V132" s="553">
        <f t="shared" ref="V132:V195" si="23">VLOOKUP($N132,Kengetal,7,FALSE)</f>
        <v>0</v>
      </c>
      <c r="W132" s="554" t="str">
        <f t="shared" si="19"/>
        <v>S</v>
      </c>
      <c r="X132" s="555"/>
      <c r="Y132" s="631">
        <f>IF(Q132=0,0,(Q132+R132)*'1.0-Contractblad'!$L$98)</f>
        <v>0</v>
      </c>
      <c r="Z132" s="632">
        <f ca="1">IF(J132=0,0,VLOOKUP(D132,'1.1a-Jaarprijzen'!$B$70:$P$124,14,FALSE)*(K132+J132))</f>
        <v>0</v>
      </c>
    </row>
    <row r="133" spans="1:26" hidden="1">
      <c r="A133" s="558"/>
      <c r="B133" s="548"/>
      <c r="C133" s="659">
        <v>3</v>
      </c>
      <c r="D133" s="549" t="s">
        <v>1466</v>
      </c>
      <c r="E133" s="550" t="s">
        <v>502</v>
      </c>
      <c r="F133" s="551" t="s">
        <v>627</v>
      </c>
      <c r="G133" s="649" t="s">
        <v>1278</v>
      </c>
      <c r="H133" s="647" t="str">
        <f t="shared" si="20"/>
        <v>niet van toepassing</v>
      </c>
      <c r="I133" s="719"/>
      <c r="J133" s="623"/>
      <c r="K133" s="623"/>
      <c r="L133" s="668" t="s">
        <v>27</v>
      </c>
      <c r="M133" s="557">
        <f t="shared" ref="M133:M196" si="24">VLOOKUP(L133,Kengetal,2,FALSE)</f>
        <v>0</v>
      </c>
      <c r="N133" s="453"/>
      <c r="O133" s="557">
        <f t="shared" ref="O133:O196" si="25">VLOOKUP(L133,Kengetal,3,FALSE)</f>
        <v>0</v>
      </c>
      <c r="P133" s="633">
        <v>1</v>
      </c>
      <c r="Q133" s="776">
        <f t="shared" ref="Q133:Q196" si="26">T133*J133*P133</f>
        <v>0</v>
      </c>
      <c r="R133" s="776">
        <f t="shared" ref="R133:R196" si="27">U133*J133*P133</f>
        <v>0</v>
      </c>
      <c r="S133" s="552">
        <f t="shared" ref="S133:S196" si="28">V133*J133*P133</f>
        <v>0</v>
      </c>
      <c r="T133" s="626">
        <f t="shared" si="21"/>
        <v>0</v>
      </c>
      <c r="U133" s="626">
        <f t="shared" si="22"/>
        <v>0</v>
      </c>
      <c r="V133" s="553">
        <f t="shared" si="23"/>
        <v>0</v>
      </c>
      <c r="W133" s="554">
        <f t="shared" ref="W133:W196" si="29">IF(L133="","",VLOOKUP(L133,Kengetal,14,FALSE))</f>
        <v>0</v>
      </c>
      <c r="X133" s="454" t="s">
        <v>1454</v>
      </c>
      <c r="Y133" s="631">
        <f>IF(Q133=0,0,(Q133+R133)*'1.0-Contractblad'!$L$98)</f>
        <v>0</v>
      </c>
      <c r="Z133" s="632">
        <f>IF(J133=0,0,VLOOKUP(D133,'1.1a-Jaarprijzen'!$B$70:$P$124,14,FALSE)*(K133+J133))</f>
        <v>0</v>
      </c>
    </row>
    <row r="134" spans="1:26" hidden="1">
      <c r="A134" s="558"/>
      <c r="B134" s="548"/>
      <c r="C134" s="659">
        <v>3</v>
      </c>
      <c r="D134" s="549" t="s">
        <v>1466</v>
      </c>
      <c r="E134" s="550" t="s">
        <v>502</v>
      </c>
      <c r="F134" s="551" t="s">
        <v>628</v>
      </c>
      <c r="G134" s="649" t="s">
        <v>1279</v>
      </c>
      <c r="H134" s="647" t="str">
        <f t="shared" si="20"/>
        <v>aula, gemeenschappelijke ruimte, bibliotheek</v>
      </c>
      <c r="I134" s="719" t="s">
        <v>491</v>
      </c>
      <c r="J134" s="623">
        <v>11.4</v>
      </c>
      <c r="K134" s="623"/>
      <c r="L134" s="559">
        <v>2153</v>
      </c>
      <c r="M134" s="557">
        <f t="shared" si="24"/>
        <v>102</v>
      </c>
      <c r="N134" s="453"/>
      <c r="O134" s="557">
        <f t="shared" si="25"/>
        <v>153</v>
      </c>
      <c r="P134" s="633">
        <v>1</v>
      </c>
      <c r="Q134" s="776">
        <f t="shared" si="26"/>
        <v>0</v>
      </c>
      <c r="R134" s="776">
        <f t="shared" si="27"/>
        <v>0</v>
      </c>
      <c r="S134" s="552">
        <f t="shared" si="28"/>
        <v>0</v>
      </c>
      <c r="T134" s="626">
        <f t="shared" si="21"/>
        <v>0</v>
      </c>
      <c r="U134" s="626">
        <f t="shared" si="22"/>
        <v>0</v>
      </c>
      <c r="V134" s="553">
        <f t="shared" si="23"/>
        <v>0</v>
      </c>
      <c r="W134" s="554" t="str">
        <f t="shared" si="29"/>
        <v>V</v>
      </c>
      <c r="X134" s="556"/>
      <c r="Y134" s="631">
        <f>IF(Q134=0,0,(Q134+R134)*'1.0-Contractblad'!$L$98)</f>
        <v>0</v>
      </c>
      <c r="Z134" s="632">
        <f ca="1">IF(J134=0,0,VLOOKUP(D134,'1.1a-Jaarprijzen'!$B$70:$P$124,14,FALSE)*(K134+J134))</f>
        <v>0</v>
      </c>
    </row>
    <row r="135" spans="1:26" hidden="1">
      <c r="A135" s="558"/>
      <c r="B135" s="548"/>
      <c r="C135" s="659">
        <v>3</v>
      </c>
      <c r="D135" s="549" t="s">
        <v>1466</v>
      </c>
      <c r="E135" s="550" t="s">
        <v>502</v>
      </c>
      <c r="F135" s="551" t="s">
        <v>629</v>
      </c>
      <c r="G135" s="649" t="s">
        <v>488</v>
      </c>
      <c r="H135" s="647" t="str">
        <f t="shared" si="20"/>
        <v>sanitaire ruimte (toilet-/doucheruimte)</v>
      </c>
      <c r="I135" s="719" t="s">
        <v>84</v>
      </c>
      <c r="J135" s="623">
        <v>1.4</v>
      </c>
      <c r="K135" s="623"/>
      <c r="L135" s="559">
        <v>4153</v>
      </c>
      <c r="M135" s="557">
        <f t="shared" si="24"/>
        <v>104</v>
      </c>
      <c r="N135" s="453"/>
      <c r="O135" s="557">
        <f t="shared" si="25"/>
        <v>153</v>
      </c>
      <c r="P135" s="633">
        <v>1</v>
      </c>
      <c r="Q135" s="776">
        <f t="shared" si="26"/>
        <v>0</v>
      </c>
      <c r="R135" s="776">
        <f t="shared" si="27"/>
        <v>0</v>
      </c>
      <c r="S135" s="552">
        <f t="shared" si="28"/>
        <v>0</v>
      </c>
      <c r="T135" s="626">
        <f t="shared" si="21"/>
        <v>0</v>
      </c>
      <c r="U135" s="626">
        <f t="shared" si="22"/>
        <v>0</v>
      </c>
      <c r="V135" s="553">
        <f t="shared" si="23"/>
        <v>0</v>
      </c>
      <c r="W135" s="554" t="str">
        <f t="shared" si="29"/>
        <v>S</v>
      </c>
      <c r="X135" s="555"/>
      <c r="Y135" s="631">
        <f>IF(Q135=0,0,(Q135+R135)*'1.0-Contractblad'!$L$98)</f>
        <v>0</v>
      </c>
      <c r="Z135" s="632">
        <f ca="1">IF(J135=0,0,VLOOKUP(D135,'1.1a-Jaarprijzen'!$B$70:$P$124,14,FALSE)*(K135+J135))</f>
        <v>0</v>
      </c>
    </row>
    <row r="136" spans="1:26" hidden="1">
      <c r="A136" s="558"/>
      <c r="B136" s="548"/>
      <c r="C136" s="659">
        <v>3</v>
      </c>
      <c r="D136" s="549" t="s">
        <v>1466</v>
      </c>
      <c r="E136" s="550" t="s">
        <v>502</v>
      </c>
      <c r="F136" s="551" t="s">
        <v>630</v>
      </c>
      <c r="G136" s="649" t="s">
        <v>1280</v>
      </c>
      <c r="H136" s="647" t="str">
        <f t="shared" si="20"/>
        <v>sanitaire ruimte (toilet-/doucheruimte)</v>
      </c>
      <c r="I136" s="719" t="s">
        <v>84</v>
      </c>
      <c r="J136" s="623">
        <v>2</v>
      </c>
      <c r="K136" s="623"/>
      <c r="L136" s="559">
        <v>4153</v>
      </c>
      <c r="M136" s="557">
        <f t="shared" si="24"/>
        <v>104</v>
      </c>
      <c r="N136" s="453"/>
      <c r="O136" s="557">
        <f t="shared" si="25"/>
        <v>153</v>
      </c>
      <c r="P136" s="633">
        <v>1</v>
      </c>
      <c r="Q136" s="776">
        <f t="shared" si="26"/>
        <v>0</v>
      </c>
      <c r="R136" s="776">
        <f t="shared" si="27"/>
        <v>0</v>
      </c>
      <c r="S136" s="552">
        <f t="shared" si="28"/>
        <v>0</v>
      </c>
      <c r="T136" s="626">
        <f t="shared" si="21"/>
        <v>0</v>
      </c>
      <c r="U136" s="626">
        <f t="shared" si="22"/>
        <v>0</v>
      </c>
      <c r="V136" s="553">
        <f t="shared" si="23"/>
        <v>0</v>
      </c>
      <c r="W136" s="554" t="str">
        <f t="shared" si="29"/>
        <v>S</v>
      </c>
      <c r="X136" s="555"/>
      <c r="Y136" s="631">
        <f>IF(Q136=0,0,(Q136+R136)*'1.0-Contractblad'!$L$98)</f>
        <v>0</v>
      </c>
      <c r="Z136" s="632">
        <f ca="1">IF(J136=0,0,VLOOKUP(D136,'1.1a-Jaarprijzen'!$B$70:$P$124,14,FALSE)*(K136+J136))</f>
        <v>0</v>
      </c>
    </row>
    <row r="137" spans="1:26" hidden="1">
      <c r="A137" s="558"/>
      <c r="B137" s="548"/>
      <c r="C137" s="659">
        <v>3</v>
      </c>
      <c r="D137" s="549" t="s">
        <v>1466</v>
      </c>
      <c r="E137" s="550" t="s">
        <v>502</v>
      </c>
      <c r="F137" s="551" t="s">
        <v>631</v>
      </c>
      <c r="G137" s="649" t="s">
        <v>1281</v>
      </c>
      <c r="H137" s="647" t="str">
        <f t="shared" si="20"/>
        <v>Keuken</v>
      </c>
      <c r="I137" s="719" t="s">
        <v>84</v>
      </c>
      <c r="J137" s="623">
        <v>14.4</v>
      </c>
      <c r="K137" s="623"/>
      <c r="L137" s="559">
        <v>18255</v>
      </c>
      <c r="M137" s="557" t="str">
        <f t="shared" si="24"/>
        <v>nvt</v>
      </c>
      <c r="N137" s="453"/>
      <c r="O137" s="557">
        <f t="shared" si="25"/>
        <v>255</v>
      </c>
      <c r="P137" s="633">
        <v>1</v>
      </c>
      <c r="Q137" s="776">
        <f t="shared" si="26"/>
        <v>0</v>
      </c>
      <c r="R137" s="776">
        <f t="shared" si="27"/>
        <v>0</v>
      </c>
      <c r="S137" s="552">
        <f t="shared" si="28"/>
        <v>0</v>
      </c>
      <c r="T137" s="626">
        <f t="shared" si="21"/>
        <v>0</v>
      </c>
      <c r="U137" s="626">
        <f t="shared" si="22"/>
        <v>0</v>
      </c>
      <c r="V137" s="553">
        <f t="shared" si="23"/>
        <v>0</v>
      </c>
      <c r="W137" s="554" t="str">
        <f t="shared" si="29"/>
        <v>V</v>
      </c>
      <c r="X137" s="555"/>
      <c r="Y137" s="631">
        <f>IF(Q137=0,0,(Q137+R137)*'1.0-Contractblad'!$L$98)</f>
        <v>0</v>
      </c>
      <c r="Z137" s="632">
        <f ca="1">IF(J137=0,0,VLOOKUP(D137,'1.1a-Jaarprijzen'!$B$70:$P$124,14,FALSE)*(K137+J137))</f>
        <v>0</v>
      </c>
    </row>
    <row r="138" spans="1:26" hidden="1">
      <c r="A138" s="558"/>
      <c r="B138" s="548"/>
      <c r="C138" s="659">
        <v>3</v>
      </c>
      <c r="D138" s="549" t="s">
        <v>1467</v>
      </c>
      <c r="E138" s="550" t="s">
        <v>502</v>
      </c>
      <c r="F138" s="551" t="s">
        <v>632</v>
      </c>
      <c r="G138" s="649" t="s">
        <v>1237</v>
      </c>
      <c r="H138" s="647" t="str">
        <f t="shared" si="20"/>
        <v>trappenhuis</v>
      </c>
      <c r="I138" s="719" t="s">
        <v>1402</v>
      </c>
      <c r="J138" s="623">
        <v>5.7</v>
      </c>
      <c r="K138" s="623"/>
      <c r="L138" s="559">
        <v>9153</v>
      </c>
      <c r="M138" s="557">
        <f t="shared" si="24"/>
        <v>109</v>
      </c>
      <c r="N138" s="453"/>
      <c r="O138" s="557">
        <f t="shared" si="25"/>
        <v>153</v>
      </c>
      <c r="P138" s="633">
        <v>1</v>
      </c>
      <c r="Q138" s="776">
        <f t="shared" si="26"/>
        <v>0</v>
      </c>
      <c r="R138" s="776">
        <f t="shared" si="27"/>
        <v>0</v>
      </c>
      <c r="S138" s="552">
        <f t="shared" si="28"/>
        <v>0</v>
      </c>
      <c r="T138" s="626">
        <f t="shared" si="21"/>
        <v>0</v>
      </c>
      <c r="U138" s="626">
        <f t="shared" si="22"/>
        <v>0</v>
      </c>
      <c r="V138" s="553">
        <f t="shared" si="23"/>
        <v>0</v>
      </c>
      <c r="W138" s="554" t="str">
        <f t="shared" si="29"/>
        <v>V</v>
      </c>
      <c r="X138" s="555"/>
      <c r="Y138" s="631">
        <f>IF(Q138=0,0,(Q138+R138)*'1.0-Contractblad'!$L$98)</f>
        <v>0</v>
      </c>
      <c r="Z138" s="632">
        <f ca="1">IF(J138=0,0,VLOOKUP(D138,'1.1a-Jaarprijzen'!$B$70:$P$124,14,FALSE)*(K138+J138))</f>
        <v>0</v>
      </c>
    </row>
    <row r="139" spans="1:26" hidden="1">
      <c r="A139" s="558"/>
      <c r="B139" s="548"/>
      <c r="C139" s="659">
        <v>3</v>
      </c>
      <c r="D139" s="549" t="s">
        <v>1467</v>
      </c>
      <c r="E139" s="550" t="s">
        <v>502</v>
      </c>
      <c r="F139" s="551" t="s">
        <v>633</v>
      </c>
      <c r="G139" s="649" t="s">
        <v>1217</v>
      </c>
      <c r="H139" s="647" t="str">
        <f t="shared" si="20"/>
        <v>entree, gang, hal, repro, kopieer, was/droogruimte</v>
      </c>
      <c r="I139" s="719" t="s">
        <v>1402</v>
      </c>
      <c r="J139" s="623">
        <v>9.5</v>
      </c>
      <c r="K139" s="623"/>
      <c r="L139" s="651">
        <v>3153</v>
      </c>
      <c r="M139" s="557">
        <f t="shared" si="24"/>
        <v>103</v>
      </c>
      <c r="N139" s="453"/>
      <c r="O139" s="557">
        <f t="shared" si="25"/>
        <v>153</v>
      </c>
      <c r="P139" s="633">
        <v>1</v>
      </c>
      <c r="Q139" s="776">
        <f t="shared" si="26"/>
        <v>0</v>
      </c>
      <c r="R139" s="776">
        <f t="shared" si="27"/>
        <v>0</v>
      </c>
      <c r="S139" s="552">
        <f t="shared" si="28"/>
        <v>0</v>
      </c>
      <c r="T139" s="626">
        <f t="shared" si="21"/>
        <v>0</v>
      </c>
      <c r="U139" s="626">
        <f t="shared" si="22"/>
        <v>0</v>
      </c>
      <c r="V139" s="553">
        <f t="shared" si="23"/>
        <v>0</v>
      </c>
      <c r="W139" s="554" t="str">
        <f t="shared" si="29"/>
        <v>V</v>
      </c>
      <c r="X139" s="555"/>
      <c r="Y139" s="631">
        <f>IF(Q139=0,0,(Q139+R139)*'1.0-Contractblad'!$L$98)</f>
        <v>0</v>
      </c>
      <c r="Z139" s="632">
        <f ca="1">IF(J139=0,0,VLOOKUP(D139,'1.1a-Jaarprijzen'!$B$70:$P$124,14,FALSE)*(K139+J139))</f>
        <v>0</v>
      </c>
    </row>
    <row r="140" spans="1:26" hidden="1">
      <c r="A140" s="558"/>
      <c r="B140" s="548"/>
      <c r="C140" s="659">
        <v>3</v>
      </c>
      <c r="D140" s="549" t="s">
        <v>1467</v>
      </c>
      <c r="E140" s="550" t="s">
        <v>502</v>
      </c>
      <c r="F140" s="551" t="s">
        <v>634</v>
      </c>
      <c r="G140" s="649" t="s">
        <v>1221</v>
      </c>
      <c r="H140" s="647" t="str">
        <f t="shared" si="20"/>
        <v>entree, gang, hal, repro, kopieer, was/droogruimte</v>
      </c>
      <c r="I140" s="719" t="s">
        <v>106</v>
      </c>
      <c r="J140" s="623">
        <v>46.8</v>
      </c>
      <c r="K140" s="623"/>
      <c r="L140" s="651">
        <v>3153</v>
      </c>
      <c r="M140" s="557">
        <f t="shared" si="24"/>
        <v>103</v>
      </c>
      <c r="N140" s="453"/>
      <c r="O140" s="557">
        <f t="shared" si="25"/>
        <v>153</v>
      </c>
      <c r="P140" s="633">
        <v>1</v>
      </c>
      <c r="Q140" s="776">
        <f t="shared" si="26"/>
        <v>0</v>
      </c>
      <c r="R140" s="776">
        <f t="shared" si="27"/>
        <v>0</v>
      </c>
      <c r="S140" s="552">
        <f t="shared" si="28"/>
        <v>0</v>
      </c>
      <c r="T140" s="626">
        <f t="shared" si="21"/>
        <v>0</v>
      </c>
      <c r="U140" s="626">
        <f t="shared" si="22"/>
        <v>0</v>
      </c>
      <c r="V140" s="553">
        <f t="shared" si="23"/>
        <v>0</v>
      </c>
      <c r="W140" s="554" t="str">
        <f t="shared" si="29"/>
        <v>V</v>
      </c>
      <c r="X140" s="555"/>
      <c r="Y140" s="631">
        <f>IF(Q140=0,0,(Q140+R140)*'1.0-Contractblad'!$L$98)</f>
        <v>0</v>
      </c>
      <c r="Z140" s="632">
        <f ca="1">IF(J140=0,0,VLOOKUP(D140,'1.1a-Jaarprijzen'!$B$70:$P$124,14,FALSE)*(K140+J140))</f>
        <v>0</v>
      </c>
    </row>
    <row r="141" spans="1:26" hidden="1">
      <c r="A141" s="558"/>
      <c r="B141" s="701"/>
      <c r="C141" s="659">
        <v>3</v>
      </c>
      <c r="D141" s="549" t="s">
        <v>1467</v>
      </c>
      <c r="E141" s="550" t="s">
        <v>502</v>
      </c>
      <c r="F141" s="551" t="s">
        <v>635</v>
      </c>
      <c r="G141" s="649" t="s">
        <v>1270</v>
      </c>
      <c r="H141" s="647" t="str">
        <f t="shared" si="20"/>
        <v>niet van toepassing</v>
      </c>
      <c r="I141" s="719"/>
      <c r="J141" s="623"/>
      <c r="K141" s="623"/>
      <c r="L141" s="668" t="s">
        <v>27</v>
      </c>
      <c r="M141" s="557">
        <f t="shared" si="24"/>
        <v>0</v>
      </c>
      <c r="N141" s="453"/>
      <c r="O141" s="557">
        <f t="shared" si="25"/>
        <v>0</v>
      </c>
      <c r="P141" s="633">
        <v>1</v>
      </c>
      <c r="Q141" s="776">
        <f t="shared" si="26"/>
        <v>0</v>
      </c>
      <c r="R141" s="776">
        <f t="shared" si="27"/>
        <v>0</v>
      </c>
      <c r="S141" s="552">
        <f t="shared" si="28"/>
        <v>0</v>
      </c>
      <c r="T141" s="626">
        <f t="shared" si="21"/>
        <v>0</v>
      </c>
      <c r="U141" s="626">
        <f t="shared" si="22"/>
        <v>0</v>
      </c>
      <c r="V141" s="553">
        <f t="shared" si="23"/>
        <v>0</v>
      </c>
      <c r="W141" s="554">
        <f t="shared" si="29"/>
        <v>0</v>
      </c>
      <c r="X141" s="454" t="s">
        <v>1454</v>
      </c>
      <c r="Y141" s="631">
        <f>IF(Q141=0,0,(Q141+R141)*'1.0-Contractblad'!$L$98)</f>
        <v>0</v>
      </c>
      <c r="Z141" s="632">
        <f>IF(J141=0,0,VLOOKUP(D141,'1.1a-Jaarprijzen'!$B$70:$P$124,14,FALSE)*(K141+J141))</f>
        <v>0</v>
      </c>
    </row>
    <row r="142" spans="1:26" hidden="1">
      <c r="A142" s="558"/>
      <c r="B142" s="548"/>
      <c r="C142" s="659">
        <v>3</v>
      </c>
      <c r="D142" s="549" t="s">
        <v>1467</v>
      </c>
      <c r="E142" s="550" t="s">
        <v>502</v>
      </c>
      <c r="F142" s="551" t="s">
        <v>636</v>
      </c>
      <c r="G142" s="649" t="s">
        <v>1235</v>
      </c>
      <c r="H142" s="647" t="str">
        <f t="shared" si="20"/>
        <v>niet van toepassing</v>
      </c>
      <c r="I142" s="719"/>
      <c r="J142" s="623"/>
      <c r="K142" s="623"/>
      <c r="L142" s="668" t="s">
        <v>27</v>
      </c>
      <c r="M142" s="557">
        <f t="shared" si="24"/>
        <v>0</v>
      </c>
      <c r="N142" s="453"/>
      <c r="O142" s="557">
        <f t="shared" si="25"/>
        <v>0</v>
      </c>
      <c r="P142" s="633">
        <v>1</v>
      </c>
      <c r="Q142" s="776">
        <f t="shared" si="26"/>
        <v>0</v>
      </c>
      <c r="R142" s="776">
        <f t="shared" si="27"/>
        <v>0</v>
      </c>
      <c r="S142" s="552">
        <f t="shared" si="28"/>
        <v>0</v>
      </c>
      <c r="T142" s="626">
        <f t="shared" si="21"/>
        <v>0</v>
      </c>
      <c r="U142" s="626">
        <f t="shared" si="22"/>
        <v>0</v>
      </c>
      <c r="V142" s="553">
        <f t="shared" si="23"/>
        <v>0</v>
      </c>
      <c r="W142" s="554">
        <f t="shared" si="29"/>
        <v>0</v>
      </c>
      <c r="X142" s="454" t="s">
        <v>1454</v>
      </c>
      <c r="Y142" s="631">
        <f>IF(Q142=0,0,(Q142+R142)*'1.0-Contractblad'!$L$98)</f>
        <v>0</v>
      </c>
      <c r="Z142" s="632">
        <f>IF(J142=0,0,VLOOKUP(D142,'1.1a-Jaarprijzen'!$B$70:$P$124,14,FALSE)*(K142+J142))</f>
        <v>0</v>
      </c>
    </row>
    <row r="143" spans="1:26" hidden="1">
      <c r="A143" s="558"/>
      <c r="B143" s="548"/>
      <c r="C143" s="659">
        <v>3</v>
      </c>
      <c r="D143" s="549" t="s">
        <v>1467</v>
      </c>
      <c r="E143" s="550" t="s">
        <v>502</v>
      </c>
      <c r="F143" s="551" t="s">
        <v>637</v>
      </c>
      <c r="G143" s="649" t="s">
        <v>1271</v>
      </c>
      <c r="H143" s="647" t="str">
        <f t="shared" si="20"/>
        <v>niet van toepassing</v>
      </c>
      <c r="I143" s="719"/>
      <c r="J143" s="623"/>
      <c r="K143" s="623"/>
      <c r="L143" s="668" t="s">
        <v>27</v>
      </c>
      <c r="M143" s="557">
        <f t="shared" si="24"/>
        <v>0</v>
      </c>
      <c r="N143" s="453"/>
      <c r="O143" s="557">
        <f t="shared" si="25"/>
        <v>0</v>
      </c>
      <c r="P143" s="633">
        <v>1</v>
      </c>
      <c r="Q143" s="776">
        <f t="shared" si="26"/>
        <v>0</v>
      </c>
      <c r="R143" s="776">
        <f t="shared" si="27"/>
        <v>0</v>
      </c>
      <c r="S143" s="552">
        <f t="shared" si="28"/>
        <v>0</v>
      </c>
      <c r="T143" s="626">
        <f t="shared" si="21"/>
        <v>0</v>
      </c>
      <c r="U143" s="626">
        <f t="shared" si="22"/>
        <v>0</v>
      </c>
      <c r="V143" s="553">
        <f t="shared" si="23"/>
        <v>0</v>
      </c>
      <c r="W143" s="554">
        <f t="shared" si="29"/>
        <v>0</v>
      </c>
      <c r="X143" s="454" t="s">
        <v>1454</v>
      </c>
      <c r="Y143" s="631">
        <f>IF(Q143=0,0,(Q143+R143)*'1.0-Contractblad'!$L$98)</f>
        <v>0</v>
      </c>
      <c r="Z143" s="632">
        <f>IF(J143=0,0,VLOOKUP(D143,'1.1a-Jaarprijzen'!$B$70:$P$124,14,FALSE)*(K143+J143))</f>
        <v>0</v>
      </c>
    </row>
    <row r="144" spans="1:26" hidden="1">
      <c r="A144" s="558"/>
      <c r="B144" s="548"/>
      <c r="C144" s="659">
        <v>3</v>
      </c>
      <c r="D144" s="549" t="s">
        <v>1467</v>
      </c>
      <c r="E144" s="550" t="s">
        <v>502</v>
      </c>
      <c r="F144" s="551" t="s">
        <v>638</v>
      </c>
      <c r="G144" s="649" t="s">
        <v>1271</v>
      </c>
      <c r="H144" s="647" t="str">
        <f t="shared" si="20"/>
        <v>niet van toepassing</v>
      </c>
      <c r="I144" s="719"/>
      <c r="J144" s="623"/>
      <c r="K144" s="623"/>
      <c r="L144" s="668" t="s">
        <v>27</v>
      </c>
      <c r="M144" s="557">
        <f t="shared" si="24"/>
        <v>0</v>
      </c>
      <c r="N144" s="453"/>
      <c r="O144" s="557">
        <f t="shared" si="25"/>
        <v>0</v>
      </c>
      <c r="P144" s="633">
        <v>1</v>
      </c>
      <c r="Q144" s="776">
        <f t="shared" si="26"/>
        <v>0</v>
      </c>
      <c r="R144" s="776">
        <f t="shared" si="27"/>
        <v>0</v>
      </c>
      <c r="S144" s="552">
        <f t="shared" si="28"/>
        <v>0</v>
      </c>
      <c r="T144" s="626">
        <f t="shared" si="21"/>
        <v>0</v>
      </c>
      <c r="U144" s="626">
        <f t="shared" si="22"/>
        <v>0</v>
      </c>
      <c r="V144" s="553">
        <f t="shared" si="23"/>
        <v>0</v>
      </c>
      <c r="W144" s="554">
        <f t="shared" si="29"/>
        <v>0</v>
      </c>
      <c r="X144" s="454" t="s">
        <v>1454</v>
      </c>
      <c r="Y144" s="631">
        <f>IF(Q144=0,0,(Q144+R144)*'1.0-Contractblad'!$L$98)</f>
        <v>0</v>
      </c>
      <c r="Z144" s="632">
        <f>IF(J144=0,0,VLOOKUP(D144,'1.1a-Jaarprijzen'!$B$70:$P$124,14,FALSE)*(K144+J144))</f>
        <v>0</v>
      </c>
    </row>
    <row r="145" spans="1:26" hidden="1">
      <c r="A145" s="558"/>
      <c r="B145" s="548"/>
      <c r="C145" s="659">
        <v>3</v>
      </c>
      <c r="D145" s="549" t="s">
        <v>1467</v>
      </c>
      <c r="E145" s="550" t="s">
        <v>502</v>
      </c>
      <c r="F145" s="551" t="s">
        <v>639</v>
      </c>
      <c r="G145" s="649" t="s">
        <v>1271</v>
      </c>
      <c r="H145" s="647" t="str">
        <f t="shared" si="20"/>
        <v>niet van toepassing</v>
      </c>
      <c r="I145" s="719"/>
      <c r="J145" s="623"/>
      <c r="K145" s="623"/>
      <c r="L145" s="668" t="s">
        <v>27</v>
      </c>
      <c r="M145" s="557">
        <f t="shared" si="24"/>
        <v>0</v>
      </c>
      <c r="N145" s="453"/>
      <c r="O145" s="557">
        <f t="shared" si="25"/>
        <v>0</v>
      </c>
      <c r="P145" s="633">
        <v>1</v>
      </c>
      <c r="Q145" s="776">
        <f t="shared" si="26"/>
        <v>0</v>
      </c>
      <c r="R145" s="776">
        <f t="shared" si="27"/>
        <v>0</v>
      </c>
      <c r="S145" s="552">
        <f t="shared" si="28"/>
        <v>0</v>
      </c>
      <c r="T145" s="626">
        <f t="shared" si="21"/>
        <v>0</v>
      </c>
      <c r="U145" s="626">
        <f t="shared" si="22"/>
        <v>0</v>
      </c>
      <c r="V145" s="553">
        <f t="shared" si="23"/>
        <v>0</v>
      </c>
      <c r="W145" s="554">
        <f t="shared" si="29"/>
        <v>0</v>
      </c>
      <c r="X145" s="454" t="s">
        <v>1454</v>
      </c>
      <c r="Y145" s="631">
        <f>IF(Q145=0,0,(Q145+R145)*'1.0-Contractblad'!$L$98)</f>
        <v>0</v>
      </c>
      <c r="Z145" s="632">
        <f>IF(J145=0,0,VLOOKUP(D145,'1.1a-Jaarprijzen'!$B$70:$P$124,14,FALSE)*(K145+J145))</f>
        <v>0</v>
      </c>
    </row>
    <row r="146" spans="1:26" hidden="1">
      <c r="A146" s="558"/>
      <c r="B146" s="548"/>
      <c r="C146" s="659">
        <v>3</v>
      </c>
      <c r="D146" s="549" t="s">
        <v>1467</v>
      </c>
      <c r="E146" s="550" t="s">
        <v>502</v>
      </c>
      <c r="F146" s="551" t="s">
        <v>640</v>
      </c>
      <c r="G146" s="649" t="s">
        <v>1271</v>
      </c>
      <c r="H146" s="647" t="str">
        <f t="shared" si="20"/>
        <v>niet van toepassing</v>
      </c>
      <c r="I146" s="719"/>
      <c r="J146" s="623"/>
      <c r="K146" s="623"/>
      <c r="L146" s="668" t="s">
        <v>27</v>
      </c>
      <c r="M146" s="557">
        <f t="shared" si="24"/>
        <v>0</v>
      </c>
      <c r="N146" s="453"/>
      <c r="O146" s="557">
        <f t="shared" si="25"/>
        <v>0</v>
      </c>
      <c r="P146" s="633">
        <v>1</v>
      </c>
      <c r="Q146" s="776">
        <f t="shared" si="26"/>
        <v>0</v>
      </c>
      <c r="R146" s="776">
        <f t="shared" si="27"/>
        <v>0</v>
      </c>
      <c r="S146" s="552">
        <f t="shared" si="28"/>
        <v>0</v>
      </c>
      <c r="T146" s="626">
        <f t="shared" si="21"/>
        <v>0</v>
      </c>
      <c r="U146" s="626">
        <f t="shared" si="22"/>
        <v>0</v>
      </c>
      <c r="V146" s="553">
        <f t="shared" si="23"/>
        <v>0</v>
      </c>
      <c r="W146" s="554">
        <f t="shared" si="29"/>
        <v>0</v>
      </c>
      <c r="X146" s="454" t="s">
        <v>1454</v>
      </c>
      <c r="Y146" s="631">
        <f>IF(Q146=0,0,(Q146+R146)*'1.0-Contractblad'!$L$98)</f>
        <v>0</v>
      </c>
      <c r="Z146" s="632">
        <f>IF(J146=0,0,VLOOKUP(D146,'1.1a-Jaarprijzen'!$B$70:$P$124,14,FALSE)*(K146+J146))</f>
        <v>0</v>
      </c>
    </row>
    <row r="147" spans="1:26" hidden="1">
      <c r="A147" s="558"/>
      <c r="B147" s="548"/>
      <c r="C147" s="659">
        <v>3</v>
      </c>
      <c r="D147" s="549" t="s">
        <v>1467</v>
      </c>
      <c r="E147" s="660" t="s">
        <v>502</v>
      </c>
      <c r="F147" s="648" t="s">
        <v>641</v>
      </c>
      <c r="G147" s="649" t="s">
        <v>1271</v>
      </c>
      <c r="H147" s="647" t="str">
        <f t="shared" si="20"/>
        <v>niet van toepassing</v>
      </c>
      <c r="I147" s="718"/>
      <c r="J147" s="650"/>
      <c r="K147" s="661"/>
      <c r="L147" s="668" t="s">
        <v>27</v>
      </c>
      <c r="M147" s="557">
        <f t="shared" si="24"/>
        <v>0</v>
      </c>
      <c r="N147" s="453"/>
      <c r="O147" s="557">
        <f t="shared" si="25"/>
        <v>0</v>
      </c>
      <c r="P147" s="633">
        <v>1</v>
      </c>
      <c r="Q147" s="776">
        <f t="shared" si="26"/>
        <v>0</v>
      </c>
      <c r="R147" s="776">
        <f t="shared" si="27"/>
        <v>0</v>
      </c>
      <c r="S147" s="552">
        <f t="shared" si="28"/>
        <v>0</v>
      </c>
      <c r="T147" s="626">
        <f t="shared" si="21"/>
        <v>0</v>
      </c>
      <c r="U147" s="626">
        <f t="shared" si="22"/>
        <v>0</v>
      </c>
      <c r="V147" s="553">
        <f t="shared" si="23"/>
        <v>0</v>
      </c>
      <c r="W147" s="554">
        <f t="shared" si="29"/>
        <v>0</v>
      </c>
      <c r="X147" s="454" t="s">
        <v>1454</v>
      </c>
      <c r="Y147" s="631">
        <f>IF(Q147=0,0,(Q147+R147)*'1.0-Contractblad'!$L$98)</f>
        <v>0</v>
      </c>
      <c r="Z147" s="632">
        <f>IF(J147=0,0,VLOOKUP(D147,'1.1a-Jaarprijzen'!$B$70:$P$124,14,FALSE)*(K147+J147))</f>
        <v>0</v>
      </c>
    </row>
    <row r="148" spans="1:26" hidden="1">
      <c r="A148" s="558"/>
      <c r="B148" s="548"/>
      <c r="C148" s="659">
        <v>3</v>
      </c>
      <c r="D148" s="549" t="s">
        <v>1467</v>
      </c>
      <c r="E148" s="660" t="s">
        <v>502</v>
      </c>
      <c r="F148" s="648" t="s">
        <v>642</v>
      </c>
      <c r="G148" s="649" t="s">
        <v>1271</v>
      </c>
      <c r="H148" s="647" t="str">
        <f t="shared" si="20"/>
        <v>niet van toepassing</v>
      </c>
      <c r="I148" s="718"/>
      <c r="J148" s="650"/>
      <c r="K148" s="661"/>
      <c r="L148" s="668" t="s">
        <v>27</v>
      </c>
      <c r="M148" s="557">
        <f t="shared" si="24"/>
        <v>0</v>
      </c>
      <c r="N148" s="453"/>
      <c r="O148" s="557">
        <f t="shared" si="25"/>
        <v>0</v>
      </c>
      <c r="P148" s="633">
        <v>1</v>
      </c>
      <c r="Q148" s="776">
        <f t="shared" si="26"/>
        <v>0</v>
      </c>
      <c r="R148" s="776">
        <f t="shared" si="27"/>
        <v>0</v>
      </c>
      <c r="S148" s="552">
        <f t="shared" si="28"/>
        <v>0</v>
      </c>
      <c r="T148" s="626">
        <f t="shared" si="21"/>
        <v>0</v>
      </c>
      <c r="U148" s="626">
        <f t="shared" si="22"/>
        <v>0</v>
      </c>
      <c r="V148" s="553">
        <f t="shared" si="23"/>
        <v>0</v>
      </c>
      <c r="W148" s="554">
        <f t="shared" si="29"/>
        <v>0</v>
      </c>
      <c r="X148" s="454" t="s">
        <v>1454</v>
      </c>
      <c r="Y148" s="631">
        <f>IF(Q148=0,0,(Q148+R148)*'1.0-Contractblad'!$L$98)</f>
        <v>0</v>
      </c>
      <c r="Z148" s="632">
        <f>IF(J148=0,0,VLOOKUP(D148,'1.1a-Jaarprijzen'!$B$70:$P$124,14,FALSE)*(K148+J148))</f>
        <v>0</v>
      </c>
    </row>
    <row r="149" spans="1:26" hidden="1">
      <c r="A149" s="558"/>
      <c r="B149" s="548"/>
      <c r="C149" s="659">
        <v>3</v>
      </c>
      <c r="D149" s="549" t="s">
        <v>1467</v>
      </c>
      <c r="E149" s="660" t="s">
        <v>502</v>
      </c>
      <c r="F149" s="648" t="s">
        <v>643</v>
      </c>
      <c r="G149" s="649" t="s">
        <v>1271</v>
      </c>
      <c r="H149" s="647" t="str">
        <f t="shared" si="20"/>
        <v>niet van toepassing</v>
      </c>
      <c r="I149" s="718"/>
      <c r="J149" s="650"/>
      <c r="K149" s="661"/>
      <c r="L149" s="668" t="s">
        <v>27</v>
      </c>
      <c r="M149" s="557">
        <f t="shared" si="24"/>
        <v>0</v>
      </c>
      <c r="N149" s="453"/>
      <c r="O149" s="557">
        <f t="shared" si="25"/>
        <v>0</v>
      </c>
      <c r="P149" s="633">
        <v>1</v>
      </c>
      <c r="Q149" s="776">
        <f t="shared" si="26"/>
        <v>0</v>
      </c>
      <c r="R149" s="776">
        <f t="shared" si="27"/>
        <v>0</v>
      </c>
      <c r="S149" s="552">
        <f t="shared" si="28"/>
        <v>0</v>
      </c>
      <c r="T149" s="626">
        <f t="shared" si="21"/>
        <v>0</v>
      </c>
      <c r="U149" s="626">
        <f t="shared" si="22"/>
        <v>0</v>
      </c>
      <c r="V149" s="553">
        <f t="shared" si="23"/>
        <v>0</v>
      </c>
      <c r="W149" s="554">
        <f t="shared" si="29"/>
        <v>0</v>
      </c>
      <c r="X149" s="454" t="s">
        <v>1454</v>
      </c>
      <c r="Y149" s="631">
        <f>IF(Q149=0,0,(Q149+R149)*'1.0-Contractblad'!$L$98)</f>
        <v>0</v>
      </c>
      <c r="Z149" s="632">
        <f>IF(J149=0,0,VLOOKUP(D149,'1.1a-Jaarprijzen'!$B$70:$P$124,14,FALSE)*(K149+J149))</f>
        <v>0</v>
      </c>
    </row>
    <row r="150" spans="1:26" hidden="1">
      <c r="A150" s="558"/>
      <c r="B150" s="548"/>
      <c r="C150" s="659">
        <v>3</v>
      </c>
      <c r="D150" s="549" t="s">
        <v>1467</v>
      </c>
      <c r="E150" s="660" t="s">
        <v>502</v>
      </c>
      <c r="F150" s="648" t="s">
        <v>644</v>
      </c>
      <c r="G150" s="649" t="s">
        <v>1271</v>
      </c>
      <c r="H150" s="647" t="str">
        <f t="shared" si="20"/>
        <v>niet van toepassing</v>
      </c>
      <c r="I150" s="718"/>
      <c r="J150" s="650"/>
      <c r="K150" s="661"/>
      <c r="L150" s="668" t="s">
        <v>27</v>
      </c>
      <c r="M150" s="557">
        <f t="shared" si="24"/>
        <v>0</v>
      </c>
      <c r="N150" s="453"/>
      <c r="O150" s="557">
        <f t="shared" si="25"/>
        <v>0</v>
      </c>
      <c r="P150" s="633">
        <v>1</v>
      </c>
      <c r="Q150" s="776">
        <f t="shared" si="26"/>
        <v>0</v>
      </c>
      <c r="R150" s="776">
        <f t="shared" si="27"/>
        <v>0</v>
      </c>
      <c r="S150" s="552">
        <f t="shared" si="28"/>
        <v>0</v>
      </c>
      <c r="T150" s="626">
        <f t="shared" si="21"/>
        <v>0</v>
      </c>
      <c r="U150" s="626">
        <f t="shared" si="22"/>
        <v>0</v>
      </c>
      <c r="V150" s="553">
        <f t="shared" si="23"/>
        <v>0</v>
      </c>
      <c r="W150" s="554">
        <f t="shared" si="29"/>
        <v>0</v>
      </c>
      <c r="X150" s="454" t="s">
        <v>1454</v>
      </c>
      <c r="Y150" s="631">
        <f>IF(Q150=0,0,(Q150+R150)*'1.0-Contractblad'!$L$98)</f>
        <v>0</v>
      </c>
      <c r="Z150" s="632">
        <f>IF(J150=0,0,VLOOKUP(D150,'1.1a-Jaarprijzen'!$B$70:$P$124,14,FALSE)*(K150+J150))</f>
        <v>0</v>
      </c>
    </row>
    <row r="151" spans="1:26" hidden="1">
      <c r="A151" s="558"/>
      <c r="B151" s="548"/>
      <c r="C151" s="659">
        <v>3</v>
      </c>
      <c r="D151" s="549" t="s">
        <v>1467</v>
      </c>
      <c r="E151" s="660" t="s">
        <v>502</v>
      </c>
      <c r="F151" s="648" t="s">
        <v>645</v>
      </c>
      <c r="G151" s="649" t="s">
        <v>1282</v>
      </c>
      <c r="H151" s="647" t="str">
        <f t="shared" si="20"/>
        <v>niet van toepassing</v>
      </c>
      <c r="I151" s="718"/>
      <c r="J151" s="650"/>
      <c r="K151" s="661"/>
      <c r="L151" s="668" t="s">
        <v>27</v>
      </c>
      <c r="M151" s="557">
        <f t="shared" si="24"/>
        <v>0</v>
      </c>
      <c r="N151" s="453"/>
      <c r="O151" s="557">
        <f t="shared" si="25"/>
        <v>0</v>
      </c>
      <c r="P151" s="633">
        <v>1</v>
      </c>
      <c r="Q151" s="776">
        <f t="shared" si="26"/>
        <v>0</v>
      </c>
      <c r="R151" s="776">
        <f t="shared" si="27"/>
        <v>0</v>
      </c>
      <c r="S151" s="552">
        <f t="shared" si="28"/>
        <v>0</v>
      </c>
      <c r="T151" s="626">
        <f t="shared" si="21"/>
        <v>0</v>
      </c>
      <c r="U151" s="626">
        <f t="shared" si="22"/>
        <v>0</v>
      </c>
      <c r="V151" s="553">
        <f t="shared" si="23"/>
        <v>0</v>
      </c>
      <c r="W151" s="554">
        <f t="shared" si="29"/>
        <v>0</v>
      </c>
      <c r="X151" s="454" t="s">
        <v>1454</v>
      </c>
      <c r="Y151" s="631">
        <f>IF(Q151=0,0,(Q151+R151)*'1.0-Contractblad'!$L$98)</f>
        <v>0</v>
      </c>
      <c r="Z151" s="632">
        <f>IF(J151=0,0,VLOOKUP(D151,'1.1a-Jaarprijzen'!$B$70:$P$124,14,FALSE)*(K151+J151))</f>
        <v>0</v>
      </c>
    </row>
    <row r="152" spans="1:26" hidden="1">
      <c r="A152" s="558"/>
      <c r="B152" s="548"/>
      <c r="C152" s="659">
        <v>3</v>
      </c>
      <c r="D152" s="549" t="s">
        <v>1467</v>
      </c>
      <c r="E152" s="660" t="s">
        <v>502</v>
      </c>
      <c r="F152" s="648" t="s">
        <v>646</v>
      </c>
      <c r="G152" s="649" t="s">
        <v>489</v>
      </c>
      <c r="H152" s="647" t="str">
        <f t="shared" si="20"/>
        <v>sanitaire ruimte (toilet-/doucheruimte)</v>
      </c>
      <c r="I152" s="718" t="s">
        <v>84</v>
      </c>
      <c r="J152" s="650">
        <v>1.8</v>
      </c>
      <c r="K152" s="661"/>
      <c r="L152" s="559">
        <v>4255</v>
      </c>
      <c r="M152" s="557">
        <f t="shared" si="24"/>
        <v>104</v>
      </c>
      <c r="N152" s="453"/>
      <c r="O152" s="557">
        <f t="shared" si="25"/>
        <v>255</v>
      </c>
      <c r="P152" s="633">
        <v>1</v>
      </c>
      <c r="Q152" s="776">
        <f t="shared" si="26"/>
        <v>0</v>
      </c>
      <c r="R152" s="776">
        <f t="shared" si="27"/>
        <v>0</v>
      </c>
      <c r="S152" s="552">
        <f t="shared" si="28"/>
        <v>0</v>
      </c>
      <c r="T152" s="626">
        <f t="shared" si="21"/>
        <v>0</v>
      </c>
      <c r="U152" s="626">
        <f t="shared" si="22"/>
        <v>0</v>
      </c>
      <c r="V152" s="553">
        <f t="shared" si="23"/>
        <v>0</v>
      </c>
      <c r="W152" s="554" t="str">
        <f t="shared" si="29"/>
        <v>S</v>
      </c>
      <c r="X152" s="555"/>
      <c r="Y152" s="631">
        <f>IF(Q152=0,0,(Q152+R152)*'1.0-Contractblad'!$L$98)</f>
        <v>0</v>
      </c>
      <c r="Z152" s="632">
        <f ca="1">IF(J152=0,0,VLOOKUP(D152,'1.1a-Jaarprijzen'!$B$70:$P$124,14,FALSE)*(K152+J152))</f>
        <v>0</v>
      </c>
    </row>
    <row r="153" spans="1:26" hidden="1">
      <c r="A153" s="558"/>
      <c r="B153" s="548"/>
      <c r="C153" s="659">
        <v>3</v>
      </c>
      <c r="D153" s="549" t="s">
        <v>1467</v>
      </c>
      <c r="E153" s="660" t="s">
        <v>502</v>
      </c>
      <c r="F153" s="648" t="s">
        <v>647</v>
      </c>
      <c r="G153" s="649" t="s">
        <v>489</v>
      </c>
      <c r="H153" s="647" t="str">
        <f t="shared" si="20"/>
        <v>sanitaire ruimte (toilet-/doucheruimte)</v>
      </c>
      <c r="I153" s="718" t="s">
        <v>84</v>
      </c>
      <c r="J153" s="650">
        <v>2</v>
      </c>
      <c r="K153" s="650"/>
      <c r="L153" s="559">
        <v>4255</v>
      </c>
      <c r="M153" s="557">
        <f t="shared" si="24"/>
        <v>104</v>
      </c>
      <c r="N153" s="453"/>
      <c r="O153" s="557">
        <f t="shared" si="25"/>
        <v>255</v>
      </c>
      <c r="P153" s="633">
        <v>1</v>
      </c>
      <c r="Q153" s="776">
        <f t="shared" si="26"/>
        <v>0</v>
      </c>
      <c r="R153" s="776">
        <f t="shared" si="27"/>
        <v>0</v>
      </c>
      <c r="S153" s="552">
        <f t="shared" si="28"/>
        <v>0</v>
      </c>
      <c r="T153" s="626">
        <f t="shared" si="21"/>
        <v>0</v>
      </c>
      <c r="U153" s="626">
        <f t="shared" si="22"/>
        <v>0</v>
      </c>
      <c r="V153" s="553">
        <f t="shared" si="23"/>
        <v>0</v>
      </c>
      <c r="W153" s="554" t="str">
        <f t="shared" si="29"/>
        <v>S</v>
      </c>
      <c r="X153" s="555"/>
      <c r="Y153" s="631">
        <f>IF(Q153=0,0,(Q153+R153)*'1.0-Contractblad'!$L$98)</f>
        <v>0</v>
      </c>
      <c r="Z153" s="632">
        <f ca="1">IF(J153=0,0,VLOOKUP(D153,'1.1a-Jaarprijzen'!$B$70:$P$124,14,FALSE)*(K153+J153))</f>
        <v>0</v>
      </c>
    </row>
    <row r="154" spans="1:26" hidden="1">
      <c r="A154" s="558"/>
      <c r="B154" s="548"/>
      <c r="C154" s="659">
        <v>3</v>
      </c>
      <c r="D154" s="549" t="s">
        <v>1467</v>
      </c>
      <c r="E154" s="660" t="s">
        <v>502</v>
      </c>
      <c r="F154" s="648" t="s">
        <v>648</v>
      </c>
      <c r="G154" s="649" t="s">
        <v>489</v>
      </c>
      <c r="H154" s="647" t="str">
        <f t="shared" si="20"/>
        <v>sanitaire ruimte (toilet-/doucheruimte)</v>
      </c>
      <c r="I154" s="718" t="s">
        <v>84</v>
      </c>
      <c r="J154" s="650">
        <v>2.2999999999999998</v>
      </c>
      <c r="K154" s="650"/>
      <c r="L154" s="559">
        <v>4255</v>
      </c>
      <c r="M154" s="557">
        <f t="shared" si="24"/>
        <v>104</v>
      </c>
      <c r="N154" s="453"/>
      <c r="O154" s="557">
        <f t="shared" si="25"/>
        <v>255</v>
      </c>
      <c r="P154" s="633">
        <v>1</v>
      </c>
      <c r="Q154" s="776">
        <f t="shared" si="26"/>
        <v>0</v>
      </c>
      <c r="R154" s="776">
        <f t="shared" si="27"/>
        <v>0</v>
      </c>
      <c r="S154" s="552">
        <f t="shared" si="28"/>
        <v>0</v>
      </c>
      <c r="T154" s="626">
        <f t="shared" si="21"/>
        <v>0</v>
      </c>
      <c r="U154" s="626">
        <f t="shared" si="22"/>
        <v>0</v>
      </c>
      <c r="V154" s="553">
        <f t="shared" si="23"/>
        <v>0</v>
      </c>
      <c r="W154" s="554" t="str">
        <f t="shared" si="29"/>
        <v>S</v>
      </c>
      <c r="X154" s="555"/>
      <c r="Y154" s="631">
        <f>IF(Q154=0,0,(Q154+R154)*'1.0-Contractblad'!$L$98)</f>
        <v>0</v>
      </c>
      <c r="Z154" s="632">
        <f ca="1">IF(J154=0,0,VLOOKUP(D154,'1.1a-Jaarprijzen'!$B$70:$P$124,14,FALSE)*(K154+J154))</f>
        <v>0</v>
      </c>
    </row>
    <row r="155" spans="1:26" hidden="1">
      <c r="A155" s="558"/>
      <c r="B155" s="548"/>
      <c r="C155" s="659">
        <v>3</v>
      </c>
      <c r="D155" s="549" t="s">
        <v>1467</v>
      </c>
      <c r="E155" s="660" t="s">
        <v>502</v>
      </c>
      <c r="F155" s="648" t="s">
        <v>649</v>
      </c>
      <c r="G155" s="649" t="s">
        <v>488</v>
      </c>
      <c r="H155" s="647" t="str">
        <f t="shared" si="20"/>
        <v>sanitaire ruimte (toilet-/doucheruimte)</v>
      </c>
      <c r="I155" s="718" t="s">
        <v>84</v>
      </c>
      <c r="J155" s="650">
        <v>3.4</v>
      </c>
      <c r="K155" s="650"/>
      <c r="L155" s="559">
        <v>4153</v>
      </c>
      <c r="M155" s="557">
        <f t="shared" si="24"/>
        <v>104</v>
      </c>
      <c r="N155" s="453"/>
      <c r="O155" s="557">
        <f t="shared" si="25"/>
        <v>153</v>
      </c>
      <c r="P155" s="633">
        <v>1</v>
      </c>
      <c r="Q155" s="776">
        <f t="shared" si="26"/>
        <v>0</v>
      </c>
      <c r="R155" s="776">
        <f t="shared" si="27"/>
        <v>0</v>
      </c>
      <c r="S155" s="552">
        <f t="shared" si="28"/>
        <v>0</v>
      </c>
      <c r="T155" s="626">
        <f t="shared" si="21"/>
        <v>0</v>
      </c>
      <c r="U155" s="626">
        <f t="shared" si="22"/>
        <v>0</v>
      </c>
      <c r="V155" s="553">
        <f t="shared" si="23"/>
        <v>0</v>
      </c>
      <c r="W155" s="554" t="str">
        <f t="shared" si="29"/>
        <v>S</v>
      </c>
      <c r="X155" s="555"/>
      <c r="Y155" s="631">
        <f>IF(Q155=0,0,(Q155+R155)*'1.0-Contractblad'!$L$98)</f>
        <v>0</v>
      </c>
      <c r="Z155" s="632">
        <f ca="1">IF(J155=0,0,VLOOKUP(D155,'1.1a-Jaarprijzen'!$B$70:$P$124,14,FALSE)*(K155+J155))</f>
        <v>0</v>
      </c>
    </row>
    <row r="156" spans="1:26" hidden="1">
      <c r="A156" s="558"/>
      <c r="B156" s="548"/>
      <c r="C156" s="659">
        <v>3</v>
      </c>
      <c r="D156" s="549" t="s">
        <v>1467</v>
      </c>
      <c r="E156" s="660" t="s">
        <v>502</v>
      </c>
      <c r="F156" s="648" t="s">
        <v>650</v>
      </c>
      <c r="G156" s="649" t="s">
        <v>488</v>
      </c>
      <c r="H156" s="647" t="str">
        <f t="shared" si="20"/>
        <v>sanitaire ruimte (toilet-/doucheruimte)</v>
      </c>
      <c r="I156" s="718" t="s">
        <v>84</v>
      </c>
      <c r="J156" s="650">
        <v>3.8</v>
      </c>
      <c r="K156" s="650"/>
      <c r="L156" s="559">
        <v>4153</v>
      </c>
      <c r="M156" s="557">
        <f t="shared" si="24"/>
        <v>104</v>
      </c>
      <c r="N156" s="453"/>
      <c r="O156" s="557">
        <f t="shared" si="25"/>
        <v>153</v>
      </c>
      <c r="P156" s="633">
        <v>1</v>
      </c>
      <c r="Q156" s="776">
        <f t="shared" si="26"/>
        <v>0</v>
      </c>
      <c r="R156" s="776">
        <f t="shared" si="27"/>
        <v>0</v>
      </c>
      <c r="S156" s="552">
        <f t="shared" si="28"/>
        <v>0</v>
      </c>
      <c r="T156" s="626">
        <f t="shared" si="21"/>
        <v>0</v>
      </c>
      <c r="U156" s="626">
        <f t="shared" si="22"/>
        <v>0</v>
      </c>
      <c r="V156" s="553">
        <f t="shared" si="23"/>
        <v>0</v>
      </c>
      <c r="W156" s="554" t="str">
        <f t="shared" si="29"/>
        <v>S</v>
      </c>
      <c r="X156" s="555"/>
      <c r="Y156" s="631">
        <f>IF(Q156=0,0,(Q156+R156)*'1.0-Contractblad'!$L$98)</f>
        <v>0</v>
      </c>
      <c r="Z156" s="632">
        <f ca="1">IF(J156=0,0,VLOOKUP(D156,'1.1a-Jaarprijzen'!$B$70:$P$124,14,FALSE)*(K156+J156))</f>
        <v>0</v>
      </c>
    </row>
    <row r="157" spans="1:26" hidden="1">
      <c r="A157" s="558"/>
      <c r="B157" s="548"/>
      <c r="C157" s="659">
        <v>3</v>
      </c>
      <c r="D157" s="549" t="s">
        <v>1467</v>
      </c>
      <c r="E157" s="660" t="s">
        <v>502</v>
      </c>
      <c r="F157" s="648" t="s">
        <v>651</v>
      </c>
      <c r="G157" s="649" t="s">
        <v>1275</v>
      </c>
      <c r="H157" s="647" t="str">
        <f t="shared" si="20"/>
        <v>administratieve -, personeels- en vergaderruimte</v>
      </c>
      <c r="I157" s="718" t="s">
        <v>106</v>
      </c>
      <c r="J157" s="650">
        <v>17.7</v>
      </c>
      <c r="K157" s="650"/>
      <c r="L157" s="651">
        <v>1153</v>
      </c>
      <c r="M157" s="557">
        <f t="shared" si="24"/>
        <v>101</v>
      </c>
      <c r="N157" s="453"/>
      <c r="O157" s="557">
        <f t="shared" si="25"/>
        <v>153</v>
      </c>
      <c r="P157" s="633">
        <v>1</v>
      </c>
      <c r="Q157" s="776">
        <f t="shared" si="26"/>
        <v>0</v>
      </c>
      <c r="R157" s="776">
        <f t="shared" si="27"/>
        <v>0</v>
      </c>
      <c r="S157" s="552">
        <f t="shared" si="28"/>
        <v>0</v>
      </c>
      <c r="T157" s="626">
        <f t="shared" si="21"/>
        <v>0</v>
      </c>
      <c r="U157" s="626">
        <f t="shared" si="22"/>
        <v>0</v>
      </c>
      <c r="V157" s="553">
        <f t="shared" si="23"/>
        <v>0</v>
      </c>
      <c r="W157" s="554" t="str">
        <f t="shared" si="29"/>
        <v>B</v>
      </c>
      <c r="X157" s="454"/>
      <c r="Y157" s="631">
        <f>IF(Q157=0,0,(Q157+R157)*'1.0-Contractblad'!$L$98)</f>
        <v>0</v>
      </c>
      <c r="Z157" s="632">
        <f ca="1">IF(J157=0,0,VLOOKUP(D157,'1.1a-Jaarprijzen'!$B$70:$P$124,14,FALSE)*(K157+J157))</f>
        <v>0</v>
      </c>
    </row>
    <row r="158" spans="1:26" hidden="1">
      <c r="A158" s="558"/>
      <c r="B158" s="548"/>
      <c r="C158" s="659">
        <v>3</v>
      </c>
      <c r="D158" s="549" t="s">
        <v>1468</v>
      </c>
      <c r="E158" s="660" t="s">
        <v>478</v>
      </c>
      <c r="F158" s="648" t="s">
        <v>652</v>
      </c>
      <c r="G158" s="649" t="s">
        <v>1283</v>
      </c>
      <c r="H158" s="647" t="str">
        <f t="shared" si="20"/>
        <v>niet van toepassing</v>
      </c>
      <c r="I158" s="718"/>
      <c r="J158" s="650"/>
      <c r="K158" s="650"/>
      <c r="L158" s="668" t="s">
        <v>27</v>
      </c>
      <c r="M158" s="557">
        <f t="shared" si="24"/>
        <v>0</v>
      </c>
      <c r="N158" s="453"/>
      <c r="O158" s="557">
        <f t="shared" si="25"/>
        <v>0</v>
      </c>
      <c r="P158" s="633">
        <v>1</v>
      </c>
      <c r="Q158" s="776">
        <f t="shared" si="26"/>
        <v>0</v>
      </c>
      <c r="R158" s="776">
        <f t="shared" si="27"/>
        <v>0</v>
      </c>
      <c r="S158" s="552">
        <f t="shared" si="28"/>
        <v>0</v>
      </c>
      <c r="T158" s="626">
        <f t="shared" si="21"/>
        <v>0</v>
      </c>
      <c r="U158" s="626">
        <f t="shared" si="22"/>
        <v>0</v>
      </c>
      <c r="V158" s="553">
        <f t="shared" si="23"/>
        <v>0</v>
      </c>
      <c r="W158" s="554">
        <f t="shared" si="29"/>
        <v>0</v>
      </c>
      <c r="X158" s="454" t="s">
        <v>1454</v>
      </c>
      <c r="Y158" s="631">
        <f>IF(Q158=0,0,(Q158+R158)*'1.0-Contractblad'!$L$98)</f>
        <v>0</v>
      </c>
      <c r="Z158" s="632">
        <f>IF(J158=0,0,VLOOKUP(D158,'1.1a-Jaarprijzen'!$B$70:$P$124,14,FALSE)*(K158+J158))</f>
        <v>0</v>
      </c>
    </row>
    <row r="159" spans="1:26" hidden="1">
      <c r="A159" s="558"/>
      <c r="B159" s="548"/>
      <c r="C159" s="659">
        <v>3</v>
      </c>
      <c r="D159" s="549" t="s">
        <v>1467</v>
      </c>
      <c r="E159" s="660" t="s">
        <v>502</v>
      </c>
      <c r="F159" s="648" t="s">
        <v>653</v>
      </c>
      <c r="G159" s="649" t="s">
        <v>1284</v>
      </c>
      <c r="H159" s="647" t="str">
        <f t="shared" si="20"/>
        <v>entree, gang, hal, repro, kopieer, was/droogruimte</v>
      </c>
      <c r="I159" s="718" t="s">
        <v>84</v>
      </c>
      <c r="J159" s="650">
        <v>7.9</v>
      </c>
      <c r="K159" s="650"/>
      <c r="L159" s="559">
        <v>3153</v>
      </c>
      <c r="M159" s="557">
        <f t="shared" si="24"/>
        <v>103</v>
      </c>
      <c r="N159" s="453"/>
      <c r="O159" s="557">
        <f t="shared" si="25"/>
        <v>153</v>
      </c>
      <c r="P159" s="633">
        <v>1</v>
      </c>
      <c r="Q159" s="776">
        <f t="shared" si="26"/>
        <v>0</v>
      </c>
      <c r="R159" s="776">
        <f t="shared" si="27"/>
        <v>0</v>
      </c>
      <c r="S159" s="552">
        <f t="shared" si="28"/>
        <v>0</v>
      </c>
      <c r="T159" s="626">
        <f t="shared" si="21"/>
        <v>0</v>
      </c>
      <c r="U159" s="626">
        <f t="shared" si="22"/>
        <v>0</v>
      </c>
      <c r="V159" s="553">
        <f t="shared" si="23"/>
        <v>0</v>
      </c>
      <c r="W159" s="554" t="str">
        <f t="shared" si="29"/>
        <v>V</v>
      </c>
      <c r="X159" s="555"/>
      <c r="Y159" s="631">
        <f>IF(Q159=0,0,(Q159+R159)*'1.0-Contractblad'!$L$98)</f>
        <v>0</v>
      </c>
      <c r="Z159" s="632">
        <f ca="1">IF(J159=0,0,VLOOKUP(D159,'1.1a-Jaarprijzen'!$B$70:$P$124,14,FALSE)*(K159+J159))</f>
        <v>0</v>
      </c>
    </row>
    <row r="160" spans="1:26" hidden="1">
      <c r="A160" s="558"/>
      <c r="B160" s="548"/>
      <c r="C160" s="659">
        <v>3</v>
      </c>
      <c r="D160" s="549" t="s">
        <v>1467</v>
      </c>
      <c r="E160" s="660" t="s">
        <v>502</v>
      </c>
      <c r="F160" s="648" t="s">
        <v>654</v>
      </c>
      <c r="G160" s="649" t="s">
        <v>1273</v>
      </c>
      <c r="H160" s="647" t="str">
        <f t="shared" si="20"/>
        <v>speellokaal</v>
      </c>
      <c r="I160" s="718" t="s">
        <v>106</v>
      </c>
      <c r="J160" s="650">
        <v>40.6</v>
      </c>
      <c r="K160" s="650"/>
      <c r="L160" s="653">
        <v>8153</v>
      </c>
      <c r="M160" s="557">
        <f t="shared" si="24"/>
        <v>107</v>
      </c>
      <c r="N160" s="453"/>
      <c r="O160" s="557">
        <f t="shared" si="25"/>
        <v>153</v>
      </c>
      <c r="P160" s="633">
        <v>1</v>
      </c>
      <c r="Q160" s="776">
        <f t="shared" si="26"/>
        <v>0</v>
      </c>
      <c r="R160" s="776">
        <f t="shared" si="27"/>
        <v>0</v>
      </c>
      <c r="S160" s="552">
        <f t="shared" si="28"/>
        <v>0</v>
      </c>
      <c r="T160" s="626">
        <f t="shared" si="21"/>
        <v>0</v>
      </c>
      <c r="U160" s="626">
        <f t="shared" si="22"/>
        <v>0</v>
      </c>
      <c r="V160" s="553">
        <f t="shared" si="23"/>
        <v>0</v>
      </c>
      <c r="W160" s="554" t="str">
        <f t="shared" si="29"/>
        <v>L</v>
      </c>
      <c r="X160" s="555"/>
      <c r="Y160" s="631">
        <f>IF(Q160=0,0,(Q160+R160)*'1.0-Contractblad'!$L$98)</f>
        <v>0</v>
      </c>
      <c r="Z160" s="632">
        <f ca="1">IF(J160=0,0,VLOOKUP(D160,'1.1a-Jaarprijzen'!$B$70:$P$124,14,FALSE)*(K160+J160))</f>
        <v>0</v>
      </c>
    </row>
    <row r="161" spans="1:26" hidden="1">
      <c r="A161" s="558"/>
      <c r="B161" s="548"/>
      <c r="C161" s="659">
        <v>3</v>
      </c>
      <c r="D161" s="549" t="s">
        <v>1467</v>
      </c>
      <c r="E161" s="660" t="s">
        <v>502</v>
      </c>
      <c r="F161" s="648" t="s">
        <v>655</v>
      </c>
      <c r="G161" s="649" t="s">
        <v>1274</v>
      </c>
      <c r="H161" s="647" t="str">
        <f t="shared" si="20"/>
        <v>leslokaal</v>
      </c>
      <c r="I161" s="718" t="s">
        <v>106</v>
      </c>
      <c r="J161" s="650">
        <v>70.8</v>
      </c>
      <c r="K161" s="650"/>
      <c r="L161" s="654">
        <v>7153</v>
      </c>
      <c r="M161" s="557">
        <f t="shared" si="24"/>
        <v>107</v>
      </c>
      <c r="N161" s="453"/>
      <c r="O161" s="557">
        <f t="shared" si="25"/>
        <v>153</v>
      </c>
      <c r="P161" s="633">
        <v>1</v>
      </c>
      <c r="Q161" s="776">
        <f t="shared" si="26"/>
        <v>0</v>
      </c>
      <c r="R161" s="776">
        <f t="shared" si="27"/>
        <v>0</v>
      </c>
      <c r="S161" s="552">
        <f t="shared" si="28"/>
        <v>0</v>
      </c>
      <c r="T161" s="626">
        <f t="shared" si="21"/>
        <v>0</v>
      </c>
      <c r="U161" s="626">
        <f t="shared" si="22"/>
        <v>0</v>
      </c>
      <c r="V161" s="553">
        <f t="shared" si="23"/>
        <v>0</v>
      </c>
      <c r="W161" s="554" t="str">
        <f t="shared" si="29"/>
        <v>L</v>
      </c>
      <c r="X161" s="555"/>
      <c r="Y161" s="631">
        <f>IF(Q161=0,0,(Q161+R161)*'1.0-Contractblad'!$L$98)</f>
        <v>0</v>
      </c>
      <c r="Z161" s="632">
        <f ca="1">IF(J161=0,0,VLOOKUP(D161,'1.1a-Jaarprijzen'!$B$70:$P$124,14,FALSE)*(K161+J161))</f>
        <v>0</v>
      </c>
    </row>
    <row r="162" spans="1:26" hidden="1">
      <c r="A162" s="558"/>
      <c r="B162" s="548"/>
      <c r="C162" s="659">
        <v>3</v>
      </c>
      <c r="D162" s="549" t="s">
        <v>1467</v>
      </c>
      <c r="E162" s="550" t="s">
        <v>502</v>
      </c>
      <c r="F162" s="551" t="s">
        <v>656</v>
      </c>
      <c r="G162" s="649" t="s">
        <v>1451</v>
      </c>
      <c r="H162" s="647" t="str">
        <f t="shared" si="20"/>
        <v>Keuken</v>
      </c>
      <c r="I162" s="719" t="s">
        <v>84</v>
      </c>
      <c r="J162" s="623">
        <v>13.2</v>
      </c>
      <c r="K162" s="623"/>
      <c r="L162" s="559">
        <v>18255</v>
      </c>
      <c r="M162" s="557" t="str">
        <f t="shared" si="24"/>
        <v>nvt</v>
      </c>
      <c r="N162" s="453"/>
      <c r="O162" s="557">
        <f t="shared" si="25"/>
        <v>255</v>
      </c>
      <c r="P162" s="633">
        <v>1</v>
      </c>
      <c r="Q162" s="776">
        <f t="shared" si="26"/>
        <v>0</v>
      </c>
      <c r="R162" s="776">
        <f t="shared" si="27"/>
        <v>0</v>
      </c>
      <c r="S162" s="552">
        <f t="shared" si="28"/>
        <v>0</v>
      </c>
      <c r="T162" s="626">
        <f t="shared" si="21"/>
        <v>0</v>
      </c>
      <c r="U162" s="626">
        <f t="shared" si="22"/>
        <v>0</v>
      </c>
      <c r="V162" s="553">
        <f t="shared" si="23"/>
        <v>0</v>
      </c>
      <c r="W162" s="554" t="str">
        <f t="shared" si="29"/>
        <v>V</v>
      </c>
      <c r="X162" s="555"/>
      <c r="Y162" s="631">
        <f>IF(Q162=0,0,(Q162+R162)*'1.0-Contractblad'!$L$98)</f>
        <v>0</v>
      </c>
      <c r="Z162" s="632">
        <f ca="1">IF(J162=0,0,VLOOKUP(D162,'1.1a-Jaarprijzen'!$B$70:$P$124,14,FALSE)*(K162+J162))</f>
        <v>0</v>
      </c>
    </row>
    <row r="163" spans="1:26" hidden="1">
      <c r="A163" s="558"/>
      <c r="B163" s="548"/>
      <c r="C163" s="659">
        <v>3</v>
      </c>
      <c r="D163" s="549" t="s">
        <v>1467</v>
      </c>
      <c r="E163" s="550" t="s">
        <v>502</v>
      </c>
      <c r="F163" s="551" t="s">
        <v>657</v>
      </c>
      <c r="G163" s="649" t="s">
        <v>1276</v>
      </c>
      <c r="H163" s="647" t="str">
        <f t="shared" si="20"/>
        <v>Keuken</v>
      </c>
      <c r="I163" s="719" t="s">
        <v>84</v>
      </c>
      <c r="J163" s="623">
        <v>6.7</v>
      </c>
      <c r="K163" s="623"/>
      <c r="L163" s="559">
        <v>18153</v>
      </c>
      <c r="M163" s="557" t="str">
        <f t="shared" si="24"/>
        <v>nvt</v>
      </c>
      <c r="N163" s="453"/>
      <c r="O163" s="557">
        <f t="shared" si="25"/>
        <v>153</v>
      </c>
      <c r="P163" s="633">
        <v>1</v>
      </c>
      <c r="Q163" s="776">
        <f t="shared" si="26"/>
        <v>0</v>
      </c>
      <c r="R163" s="776">
        <f t="shared" si="27"/>
        <v>0</v>
      </c>
      <c r="S163" s="552">
        <f t="shared" si="28"/>
        <v>0</v>
      </c>
      <c r="T163" s="626">
        <f t="shared" si="21"/>
        <v>0</v>
      </c>
      <c r="U163" s="626">
        <f t="shared" si="22"/>
        <v>0</v>
      </c>
      <c r="V163" s="553">
        <f t="shared" si="23"/>
        <v>0</v>
      </c>
      <c r="W163" s="554" t="str">
        <f t="shared" si="29"/>
        <v>V</v>
      </c>
      <c r="X163" s="556"/>
      <c r="Y163" s="631">
        <f>IF(Q163=0,0,(Q163+R163)*'1.0-Contractblad'!$L$98)</f>
        <v>0</v>
      </c>
      <c r="Z163" s="632">
        <f ca="1">IF(J163=0,0,VLOOKUP(D163,'1.1a-Jaarprijzen'!$B$70:$P$124,14,FALSE)*(K163+J163))</f>
        <v>0</v>
      </c>
    </row>
    <row r="164" spans="1:26" hidden="1">
      <c r="A164" s="558"/>
      <c r="B164" s="548"/>
      <c r="C164" s="659">
        <v>3</v>
      </c>
      <c r="D164" s="549" t="s">
        <v>1467</v>
      </c>
      <c r="E164" s="550" t="s">
        <v>502</v>
      </c>
      <c r="F164" s="551" t="s">
        <v>658</v>
      </c>
      <c r="G164" s="649" t="s">
        <v>1264</v>
      </c>
      <c r="H164" s="647" t="str">
        <f t="shared" si="20"/>
        <v>entree, gang, hal, repro, kopieer, was/droogruimte</v>
      </c>
      <c r="I164" s="719" t="s">
        <v>106</v>
      </c>
      <c r="J164" s="623">
        <v>12.7</v>
      </c>
      <c r="K164" s="623"/>
      <c r="L164" s="651">
        <v>3153</v>
      </c>
      <c r="M164" s="557">
        <f t="shared" si="24"/>
        <v>103</v>
      </c>
      <c r="N164" s="453"/>
      <c r="O164" s="557">
        <f t="shared" si="25"/>
        <v>153</v>
      </c>
      <c r="P164" s="633">
        <v>1</v>
      </c>
      <c r="Q164" s="776">
        <f t="shared" si="26"/>
        <v>0</v>
      </c>
      <c r="R164" s="776">
        <f t="shared" si="27"/>
        <v>0</v>
      </c>
      <c r="S164" s="552">
        <f t="shared" si="28"/>
        <v>0</v>
      </c>
      <c r="T164" s="626">
        <f t="shared" si="21"/>
        <v>0</v>
      </c>
      <c r="U164" s="626">
        <f t="shared" si="22"/>
        <v>0</v>
      </c>
      <c r="V164" s="553">
        <f t="shared" si="23"/>
        <v>0</v>
      </c>
      <c r="W164" s="554" t="str">
        <f t="shared" si="29"/>
        <v>V</v>
      </c>
      <c r="X164" s="555"/>
      <c r="Y164" s="631">
        <f>IF(Q164=0,0,(Q164+R164)*'1.0-Contractblad'!$L$98)</f>
        <v>0</v>
      </c>
      <c r="Z164" s="632">
        <f ca="1">IF(J164=0,0,VLOOKUP(D164,'1.1a-Jaarprijzen'!$B$70:$P$124,14,FALSE)*(K164+J164))</f>
        <v>0</v>
      </c>
    </row>
    <row r="165" spans="1:26" hidden="1">
      <c r="A165" s="558"/>
      <c r="B165" s="548"/>
      <c r="C165" s="659">
        <v>3</v>
      </c>
      <c r="D165" s="549" t="s">
        <v>1467</v>
      </c>
      <c r="E165" s="550" t="s">
        <v>502</v>
      </c>
      <c r="F165" s="551" t="s">
        <v>659</v>
      </c>
      <c r="G165" s="649" t="s">
        <v>1243</v>
      </c>
      <c r="H165" s="647" t="str">
        <f t="shared" si="20"/>
        <v>administratieve -, personeels- en vergaderruimte</v>
      </c>
      <c r="I165" s="719" t="s">
        <v>106</v>
      </c>
      <c r="J165" s="623">
        <v>11.6</v>
      </c>
      <c r="K165" s="623"/>
      <c r="L165" s="651">
        <v>1153</v>
      </c>
      <c r="M165" s="557">
        <f t="shared" si="24"/>
        <v>101</v>
      </c>
      <c r="N165" s="453"/>
      <c r="O165" s="557">
        <f t="shared" si="25"/>
        <v>153</v>
      </c>
      <c r="P165" s="633">
        <v>1</v>
      </c>
      <c r="Q165" s="776">
        <f t="shared" si="26"/>
        <v>0</v>
      </c>
      <c r="R165" s="776">
        <f t="shared" si="27"/>
        <v>0</v>
      </c>
      <c r="S165" s="552">
        <f t="shared" si="28"/>
        <v>0</v>
      </c>
      <c r="T165" s="626">
        <f t="shared" si="21"/>
        <v>0</v>
      </c>
      <c r="U165" s="626">
        <f t="shared" si="22"/>
        <v>0</v>
      </c>
      <c r="V165" s="553">
        <f t="shared" si="23"/>
        <v>0</v>
      </c>
      <c r="W165" s="554" t="str">
        <f t="shared" si="29"/>
        <v>B</v>
      </c>
      <c r="X165" s="556"/>
      <c r="Y165" s="631">
        <f>IF(Q165=0,0,(Q165+R165)*'1.0-Contractblad'!$L$98)</f>
        <v>0</v>
      </c>
      <c r="Z165" s="632">
        <f ca="1">IF(J165=0,0,VLOOKUP(D165,'1.1a-Jaarprijzen'!$B$70:$P$124,14,FALSE)*(K165+J165))</f>
        <v>0</v>
      </c>
    </row>
    <row r="166" spans="1:26" hidden="1">
      <c r="A166" s="558"/>
      <c r="B166" s="548"/>
      <c r="C166" s="659">
        <v>3</v>
      </c>
      <c r="D166" s="549" t="s">
        <v>1467</v>
      </c>
      <c r="E166" s="550" t="s">
        <v>502</v>
      </c>
      <c r="F166" s="551" t="s">
        <v>660</v>
      </c>
      <c r="G166" s="649" t="s">
        <v>1221</v>
      </c>
      <c r="H166" s="647" t="str">
        <f t="shared" si="20"/>
        <v>entree, gang, hal, repro, kopieer, was/droogruimte</v>
      </c>
      <c r="I166" s="719" t="s">
        <v>106</v>
      </c>
      <c r="J166" s="623">
        <v>17.899999999999999</v>
      </c>
      <c r="K166" s="623"/>
      <c r="L166" s="651">
        <v>3153</v>
      </c>
      <c r="M166" s="557">
        <f t="shared" si="24"/>
        <v>103</v>
      </c>
      <c r="N166" s="453"/>
      <c r="O166" s="557">
        <f t="shared" si="25"/>
        <v>153</v>
      </c>
      <c r="P166" s="633">
        <v>1</v>
      </c>
      <c r="Q166" s="776">
        <f t="shared" si="26"/>
        <v>0</v>
      </c>
      <c r="R166" s="776">
        <f t="shared" si="27"/>
        <v>0</v>
      </c>
      <c r="S166" s="552">
        <f t="shared" si="28"/>
        <v>0</v>
      </c>
      <c r="T166" s="626">
        <f t="shared" si="21"/>
        <v>0</v>
      </c>
      <c r="U166" s="626">
        <f t="shared" si="22"/>
        <v>0</v>
      </c>
      <c r="V166" s="553">
        <f t="shared" si="23"/>
        <v>0</v>
      </c>
      <c r="W166" s="554" t="str">
        <f t="shared" si="29"/>
        <v>V</v>
      </c>
      <c r="X166" s="555"/>
      <c r="Y166" s="631">
        <f>IF(Q166=0,0,(Q166+R166)*'1.0-Contractblad'!$L$98)</f>
        <v>0</v>
      </c>
      <c r="Z166" s="632">
        <f ca="1">IF(J166=0,0,VLOOKUP(D166,'1.1a-Jaarprijzen'!$B$70:$P$124,14,FALSE)*(K166+J166))</f>
        <v>0</v>
      </c>
    </row>
    <row r="167" spans="1:26" hidden="1">
      <c r="A167" s="558"/>
      <c r="B167" s="548"/>
      <c r="C167" s="659">
        <v>3</v>
      </c>
      <c r="D167" s="549" t="s">
        <v>1467</v>
      </c>
      <c r="E167" s="550" t="s">
        <v>502</v>
      </c>
      <c r="F167" s="551" t="s">
        <v>661</v>
      </c>
      <c r="G167" s="649" t="s">
        <v>1237</v>
      </c>
      <c r="H167" s="647" t="str">
        <f t="shared" si="20"/>
        <v>trappenhuis</v>
      </c>
      <c r="I167" s="719" t="s">
        <v>1402</v>
      </c>
      <c r="J167" s="623">
        <v>3.1</v>
      </c>
      <c r="K167" s="623"/>
      <c r="L167" s="559">
        <v>9153</v>
      </c>
      <c r="M167" s="557">
        <f t="shared" si="24"/>
        <v>109</v>
      </c>
      <c r="N167" s="453"/>
      <c r="O167" s="557">
        <f t="shared" si="25"/>
        <v>153</v>
      </c>
      <c r="P167" s="633">
        <v>1</v>
      </c>
      <c r="Q167" s="776">
        <f t="shared" si="26"/>
        <v>0</v>
      </c>
      <c r="R167" s="776">
        <f t="shared" si="27"/>
        <v>0</v>
      </c>
      <c r="S167" s="552">
        <f t="shared" si="28"/>
        <v>0</v>
      </c>
      <c r="T167" s="626">
        <f t="shared" si="21"/>
        <v>0</v>
      </c>
      <c r="U167" s="626">
        <f t="shared" si="22"/>
        <v>0</v>
      </c>
      <c r="V167" s="553">
        <f t="shared" si="23"/>
        <v>0</v>
      </c>
      <c r="W167" s="554" t="str">
        <f t="shared" si="29"/>
        <v>V</v>
      </c>
      <c r="X167" s="555"/>
      <c r="Y167" s="631">
        <f>IF(Q167=0,0,(Q167+R167)*'1.0-Contractblad'!$L$98)</f>
        <v>0</v>
      </c>
      <c r="Z167" s="632">
        <f ca="1">IF(J167=0,0,VLOOKUP(D167,'1.1a-Jaarprijzen'!$B$70:$P$124,14,FALSE)*(K167+J167))</f>
        <v>0</v>
      </c>
    </row>
    <row r="168" spans="1:26" hidden="1">
      <c r="A168" s="558"/>
      <c r="B168" s="548"/>
      <c r="C168" s="659">
        <v>3</v>
      </c>
      <c r="D168" s="549" t="s">
        <v>1467</v>
      </c>
      <c r="E168" s="550" t="s">
        <v>502</v>
      </c>
      <c r="F168" s="551" t="s">
        <v>662</v>
      </c>
      <c r="G168" s="649" t="s">
        <v>1217</v>
      </c>
      <c r="H168" s="647" t="str">
        <f t="shared" si="20"/>
        <v>entree, gang, hal, repro, kopieer, was/droogruimte</v>
      </c>
      <c r="I168" s="719" t="s">
        <v>1402</v>
      </c>
      <c r="J168" s="623">
        <v>8.6999999999999993</v>
      </c>
      <c r="K168" s="623"/>
      <c r="L168" s="651">
        <v>3153</v>
      </c>
      <c r="M168" s="557">
        <f t="shared" si="24"/>
        <v>103</v>
      </c>
      <c r="N168" s="453"/>
      <c r="O168" s="557">
        <f t="shared" si="25"/>
        <v>153</v>
      </c>
      <c r="P168" s="633">
        <v>1</v>
      </c>
      <c r="Q168" s="776">
        <f t="shared" si="26"/>
        <v>0</v>
      </c>
      <c r="R168" s="776">
        <f t="shared" si="27"/>
        <v>0</v>
      </c>
      <c r="S168" s="552">
        <f t="shared" si="28"/>
        <v>0</v>
      </c>
      <c r="T168" s="626">
        <f t="shared" si="21"/>
        <v>0</v>
      </c>
      <c r="U168" s="626">
        <f t="shared" si="22"/>
        <v>0</v>
      </c>
      <c r="V168" s="553">
        <f t="shared" si="23"/>
        <v>0</v>
      </c>
      <c r="W168" s="554" t="str">
        <f t="shared" si="29"/>
        <v>V</v>
      </c>
      <c r="X168" s="555"/>
      <c r="Y168" s="631">
        <f>IF(Q168=0,0,(Q168+R168)*'1.0-Contractblad'!$L$98)</f>
        <v>0</v>
      </c>
      <c r="Z168" s="632">
        <f ca="1">IF(J168=0,0,VLOOKUP(D168,'1.1a-Jaarprijzen'!$B$70:$P$124,14,FALSE)*(K168+J168))</f>
        <v>0</v>
      </c>
    </row>
    <row r="169" spans="1:26" hidden="1">
      <c r="A169" s="558"/>
      <c r="B169" s="548"/>
      <c r="C169" s="659">
        <v>3</v>
      </c>
      <c r="D169" s="549" t="s">
        <v>1467</v>
      </c>
      <c r="E169" s="550" t="s">
        <v>502</v>
      </c>
      <c r="F169" s="551" t="s">
        <v>663</v>
      </c>
      <c r="G169" s="649" t="s">
        <v>1278</v>
      </c>
      <c r="H169" s="647" t="str">
        <f t="shared" si="20"/>
        <v>niet van toepassing</v>
      </c>
      <c r="I169" s="719"/>
      <c r="J169" s="623"/>
      <c r="K169" s="623"/>
      <c r="L169" s="668" t="s">
        <v>27</v>
      </c>
      <c r="M169" s="557">
        <f t="shared" si="24"/>
        <v>0</v>
      </c>
      <c r="N169" s="453"/>
      <c r="O169" s="557">
        <f t="shared" si="25"/>
        <v>0</v>
      </c>
      <c r="P169" s="633">
        <v>1</v>
      </c>
      <c r="Q169" s="776">
        <f t="shared" si="26"/>
        <v>0</v>
      </c>
      <c r="R169" s="776">
        <f t="shared" si="27"/>
        <v>0</v>
      </c>
      <c r="S169" s="552">
        <f t="shared" si="28"/>
        <v>0</v>
      </c>
      <c r="T169" s="626">
        <f t="shared" si="21"/>
        <v>0</v>
      </c>
      <c r="U169" s="626">
        <f t="shared" si="22"/>
        <v>0</v>
      </c>
      <c r="V169" s="553">
        <f t="shared" si="23"/>
        <v>0</v>
      </c>
      <c r="W169" s="554">
        <f t="shared" si="29"/>
        <v>0</v>
      </c>
      <c r="X169" s="454" t="s">
        <v>1454</v>
      </c>
      <c r="Y169" s="631">
        <f>IF(Q169=0,0,(Q169+R169)*'1.0-Contractblad'!$L$98)</f>
        <v>0</v>
      </c>
      <c r="Z169" s="632">
        <f>IF(J169=0,0,VLOOKUP(D169,'1.1a-Jaarprijzen'!$B$70:$P$124,14,FALSE)*(K169+J169))</f>
        <v>0</v>
      </c>
    </row>
    <row r="170" spans="1:26" hidden="1">
      <c r="A170" s="558"/>
      <c r="B170" s="548"/>
      <c r="C170" s="659">
        <v>3</v>
      </c>
      <c r="D170" s="549" t="s">
        <v>1467</v>
      </c>
      <c r="E170" s="550" t="s">
        <v>502</v>
      </c>
      <c r="F170" s="551" t="s">
        <v>664</v>
      </c>
      <c r="G170" s="649" t="s">
        <v>1279</v>
      </c>
      <c r="H170" s="647" t="str">
        <f t="shared" si="20"/>
        <v>aula, gemeenschappelijke ruimte, bibliotheek</v>
      </c>
      <c r="I170" s="719" t="s">
        <v>106</v>
      </c>
      <c r="J170" s="623">
        <v>9.6999999999999993</v>
      </c>
      <c r="K170" s="623"/>
      <c r="L170" s="559">
        <v>2153</v>
      </c>
      <c r="M170" s="557">
        <f t="shared" si="24"/>
        <v>102</v>
      </c>
      <c r="N170" s="453"/>
      <c r="O170" s="557">
        <f t="shared" si="25"/>
        <v>153</v>
      </c>
      <c r="P170" s="633">
        <v>1</v>
      </c>
      <c r="Q170" s="776">
        <f t="shared" si="26"/>
        <v>0</v>
      </c>
      <c r="R170" s="776">
        <f t="shared" si="27"/>
        <v>0</v>
      </c>
      <c r="S170" s="552">
        <f t="shared" si="28"/>
        <v>0</v>
      </c>
      <c r="T170" s="626">
        <f t="shared" si="21"/>
        <v>0</v>
      </c>
      <c r="U170" s="626">
        <f t="shared" si="22"/>
        <v>0</v>
      </c>
      <c r="V170" s="553">
        <f t="shared" si="23"/>
        <v>0</v>
      </c>
      <c r="W170" s="554" t="str">
        <f t="shared" si="29"/>
        <v>V</v>
      </c>
      <c r="X170" s="556"/>
      <c r="Y170" s="631">
        <f>IF(Q170=0,0,(Q170+R170)*'1.0-Contractblad'!$L$98)</f>
        <v>0</v>
      </c>
      <c r="Z170" s="632">
        <f ca="1">IF(J170=0,0,VLOOKUP(D170,'1.1a-Jaarprijzen'!$B$70:$P$124,14,FALSE)*(K170+J170))</f>
        <v>0</v>
      </c>
    </row>
    <row r="171" spans="1:26" hidden="1">
      <c r="A171" s="558"/>
      <c r="B171" s="548"/>
      <c r="C171" s="659">
        <v>3</v>
      </c>
      <c r="D171" s="549" t="s">
        <v>1467</v>
      </c>
      <c r="E171" s="550" t="s">
        <v>502</v>
      </c>
      <c r="F171" s="551" t="s">
        <v>665</v>
      </c>
      <c r="G171" s="649" t="s">
        <v>1277</v>
      </c>
      <c r="H171" s="647" t="str">
        <f t="shared" si="20"/>
        <v>sanitaire ruimte (toilet-/doucheruimte)</v>
      </c>
      <c r="I171" s="719" t="s">
        <v>84</v>
      </c>
      <c r="J171" s="623">
        <v>5.0999999999999996</v>
      </c>
      <c r="K171" s="623"/>
      <c r="L171" s="559">
        <v>4255</v>
      </c>
      <c r="M171" s="557">
        <f t="shared" si="24"/>
        <v>104</v>
      </c>
      <c r="N171" s="453"/>
      <c r="O171" s="557">
        <f t="shared" si="25"/>
        <v>255</v>
      </c>
      <c r="P171" s="633">
        <v>1</v>
      </c>
      <c r="Q171" s="776">
        <f t="shared" si="26"/>
        <v>0</v>
      </c>
      <c r="R171" s="776">
        <f t="shared" si="27"/>
        <v>0</v>
      </c>
      <c r="S171" s="552">
        <f t="shared" si="28"/>
        <v>0</v>
      </c>
      <c r="T171" s="626">
        <f t="shared" si="21"/>
        <v>0</v>
      </c>
      <c r="U171" s="626">
        <f t="shared" si="22"/>
        <v>0</v>
      </c>
      <c r="V171" s="553">
        <f t="shared" si="23"/>
        <v>0</v>
      </c>
      <c r="W171" s="554" t="str">
        <f t="shared" si="29"/>
        <v>S</v>
      </c>
      <c r="X171" s="555"/>
      <c r="Y171" s="631">
        <f>IF(Q171=0,0,(Q171+R171)*'1.0-Contractblad'!$L$98)</f>
        <v>0</v>
      </c>
      <c r="Z171" s="632">
        <f ca="1">IF(J171=0,0,VLOOKUP(D171,'1.1a-Jaarprijzen'!$B$70:$P$124,14,FALSE)*(K171+J171))</f>
        <v>0</v>
      </c>
    </row>
    <row r="172" spans="1:26" hidden="1">
      <c r="A172" s="558"/>
      <c r="B172" s="548"/>
      <c r="C172" s="659">
        <v>3</v>
      </c>
      <c r="D172" s="549" t="s">
        <v>1467</v>
      </c>
      <c r="E172" s="550" t="s">
        <v>502</v>
      </c>
      <c r="F172" s="551" t="s">
        <v>666</v>
      </c>
      <c r="G172" s="649" t="s">
        <v>486</v>
      </c>
      <c r="H172" s="647" t="str">
        <f t="shared" si="20"/>
        <v>niet van toepassing</v>
      </c>
      <c r="I172" s="719"/>
      <c r="J172" s="623"/>
      <c r="K172" s="623"/>
      <c r="L172" s="668" t="s">
        <v>27</v>
      </c>
      <c r="M172" s="557">
        <f t="shared" si="24"/>
        <v>0</v>
      </c>
      <c r="N172" s="453"/>
      <c r="O172" s="557">
        <f t="shared" si="25"/>
        <v>0</v>
      </c>
      <c r="P172" s="633">
        <v>1</v>
      </c>
      <c r="Q172" s="776">
        <f t="shared" si="26"/>
        <v>0</v>
      </c>
      <c r="R172" s="776">
        <f t="shared" si="27"/>
        <v>0</v>
      </c>
      <c r="S172" s="552">
        <f t="shared" si="28"/>
        <v>0</v>
      </c>
      <c r="T172" s="626">
        <f t="shared" si="21"/>
        <v>0</v>
      </c>
      <c r="U172" s="626">
        <f t="shared" si="22"/>
        <v>0</v>
      </c>
      <c r="V172" s="553">
        <f t="shared" si="23"/>
        <v>0</v>
      </c>
      <c r="W172" s="554">
        <f t="shared" si="29"/>
        <v>0</v>
      </c>
      <c r="X172" s="454" t="s">
        <v>1454</v>
      </c>
      <c r="Y172" s="631">
        <f>IF(Q172=0,0,(Q172+R172)*'1.0-Contractblad'!$L$98)</f>
        <v>0</v>
      </c>
      <c r="Z172" s="632">
        <f>IF(J172=0,0,VLOOKUP(D172,'1.1a-Jaarprijzen'!$B$70:$P$124,14,FALSE)*(K172+J172))</f>
        <v>0</v>
      </c>
    </row>
    <row r="173" spans="1:26" hidden="1">
      <c r="A173" s="558"/>
      <c r="B173" s="548"/>
      <c r="C173" s="659">
        <v>3</v>
      </c>
      <c r="D173" s="549" t="s">
        <v>1467</v>
      </c>
      <c r="E173" s="550" t="s">
        <v>502</v>
      </c>
      <c r="F173" s="551" t="s">
        <v>667</v>
      </c>
      <c r="G173" s="649" t="s">
        <v>1239</v>
      </c>
      <c r="H173" s="647" t="str">
        <f t="shared" si="20"/>
        <v>administratieve -, personeels- en vergaderruimte</v>
      </c>
      <c r="I173" s="719" t="s">
        <v>106</v>
      </c>
      <c r="J173" s="623">
        <v>17.5</v>
      </c>
      <c r="K173" s="623"/>
      <c r="L173" s="651">
        <v>1102</v>
      </c>
      <c r="M173" s="557">
        <f t="shared" si="24"/>
        <v>101</v>
      </c>
      <c r="N173" s="453"/>
      <c r="O173" s="557">
        <f t="shared" si="25"/>
        <v>102</v>
      </c>
      <c r="P173" s="633">
        <v>1</v>
      </c>
      <c r="Q173" s="776">
        <f t="shared" si="26"/>
        <v>0</v>
      </c>
      <c r="R173" s="776">
        <f t="shared" si="27"/>
        <v>0</v>
      </c>
      <c r="S173" s="552">
        <f t="shared" si="28"/>
        <v>0</v>
      </c>
      <c r="T173" s="626">
        <f t="shared" si="21"/>
        <v>0</v>
      </c>
      <c r="U173" s="626">
        <f t="shared" si="22"/>
        <v>0</v>
      </c>
      <c r="V173" s="553">
        <f t="shared" si="23"/>
        <v>0</v>
      </c>
      <c r="W173" s="554" t="str">
        <f t="shared" si="29"/>
        <v>B</v>
      </c>
      <c r="X173" s="555"/>
      <c r="Y173" s="631">
        <f>IF(Q173=0,0,(Q173+R173)*'1.0-Contractblad'!$L$98)</f>
        <v>0</v>
      </c>
      <c r="Z173" s="632">
        <f ca="1">IF(J173=0,0,VLOOKUP(D173,'1.1a-Jaarprijzen'!$B$70:$P$124,14,FALSE)*(K173+J173))</f>
        <v>0</v>
      </c>
    </row>
    <row r="174" spans="1:26" hidden="1">
      <c r="A174" s="558"/>
      <c r="B174" s="548"/>
      <c r="C174" s="659">
        <v>3</v>
      </c>
      <c r="D174" s="549" t="s">
        <v>1469</v>
      </c>
      <c r="E174" s="660" t="s">
        <v>478</v>
      </c>
      <c r="F174" s="551" t="s">
        <v>668</v>
      </c>
      <c r="G174" s="649" t="s">
        <v>1285</v>
      </c>
      <c r="H174" s="647" t="str">
        <f t="shared" si="20"/>
        <v>niet van toepassing</v>
      </c>
      <c r="I174" s="719"/>
      <c r="J174" s="623"/>
      <c r="K174" s="623"/>
      <c r="L174" s="668" t="s">
        <v>27</v>
      </c>
      <c r="M174" s="557">
        <f t="shared" si="24"/>
        <v>0</v>
      </c>
      <c r="N174" s="453"/>
      <c r="O174" s="557">
        <f t="shared" si="25"/>
        <v>0</v>
      </c>
      <c r="P174" s="633">
        <v>1</v>
      </c>
      <c r="Q174" s="776">
        <f t="shared" si="26"/>
        <v>0</v>
      </c>
      <c r="R174" s="776">
        <f t="shared" si="27"/>
        <v>0</v>
      </c>
      <c r="S174" s="552">
        <f t="shared" si="28"/>
        <v>0</v>
      </c>
      <c r="T174" s="626">
        <f t="shared" si="21"/>
        <v>0</v>
      </c>
      <c r="U174" s="626">
        <f t="shared" si="22"/>
        <v>0</v>
      </c>
      <c r="V174" s="553">
        <f t="shared" si="23"/>
        <v>0</v>
      </c>
      <c r="W174" s="554">
        <f t="shared" si="29"/>
        <v>0</v>
      </c>
      <c r="X174" s="454" t="s">
        <v>1454</v>
      </c>
      <c r="Y174" s="631">
        <f>IF(Q174=0,0,(Q174+R174)*'1.0-Contractblad'!$L$98)</f>
        <v>0</v>
      </c>
      <c r="Z174" s="632">
        <f>IF(J174=0,0,VLOOKUP(D174,'1.1a-Jaarprijzen'!$B$70:$P$124,14,FALSE)*(K174+J174))</f>
        <v>0</v>
      </c>
    </row>
    <row r="175" spans="1:26" hidden="1">
      <c r="A175" s="558"/>
      <c r="B175" s="548"/>
      <c r="C175" s="659">
        <v>3</v>
      </c>
      <c r="D175" s="549" t="s">
        <v>1470</v>
      </c>
      <c r="E175" s="550" t="s">
        <v>502</v>
      </c>
      <c r="F175" s="551" t="s">
        <v>669</v>
      </c>
      <c r="G175" s="649" t="s">
        <v>1237</v>
      </c>
      <c r="H175" s="647" t="str">
        <f t="shared" si="20"/>
        <v>trappenhuis</v>
      </c>
      <c r="I175" s="719" t="s">
        <v>492</v>
      </c>
      <c r="J175" s="623">
        <v>5.7</v>
      </c>
      <c r="K175" s="623"/>
      <c r="L175" s="559">
        <v>9153</v>
      </c>
      <c r="M175" s="557">
        <f t="shared" si="24"/>
        <v>109</v>
      </c>
      <c r="N175" s="453"/>
      <c r="O175" s="557">
        <f t="shared" si="25"/>
        <v>153</v>
      </c>
      <c r="P175" s="633">
        <v>1</v>
      </c>
      <c r="Q175" s="776">
        <f t="shared" si="26"/>
        <v>0</v>
      </c>
      <c r="R175" s="776">
        <f t="shared" si="27"/>
        <v>0</v>
      </c>
      <c r="S175" s="552">
        <f t="shared" si="28"/>
        <v>0</v>
      </c>
      <c r="T175" s="626">
        <f t="shared" si="21"/>
        <v>0</v>
      </c>
      <c r="U175" s="626">
        <f t="shared" si="22"/>
        <v>0</v>
      </c>
      <c r="V175" s="553">
        <f t="shared" si="23"/>
        <v>0</v>
      </c>
      <c r="W175" s="554" t="str">
        <f t="shared" si="29"/>
        <v>V</v>
      </c>
      <c r="X175" s="555"/>
      <c r="Y175" s="631">
        <f>IF(Q175=0,0,(Q175+R175)*'1.0-Contractblad'!$L$98)</f>
        <v>0</v>
      </c>
      <c r="Z175" s="632">
        <f ca="1">IF(J175=0,0,VLOOKUP(D175,'1.1a-Jaarprijzen'!$B$70:$P$124,14,FALSE)*(K175+J175))</f>
        <v>0</v>
      </c>
    </row>
    <row r="176" spans="1:26" hidden="1">
      <c r="A176" s="558"/>
      <c r="B176" s="548"/>
      <c r="C176" s="659">
        <v>3</v>
      </c>
      <c r="D176" s="549" t="s">
        <v>1470</v>
      </c>
      <c r="E176" s="550" t="s">
        <v>502</v>
      </c>
      <c r="F176" s="551" t="s">
        <v>670</v>
      </c>
      <c r="G176" s="649" t="s">
        <v>1217</v>
      </c>
      <c r="H176" s="647" t="str">
        <f t="shared" si="20"/>
        <v>entree, gang, hal, repro, kopieer, was/droogruimte</v>
      </c>
      <c r="I176" s="719" t="s">
        <v>106</v>
      </c>
      <c r="J176" s="623">
        <v>9.8000000000000007</v>
      </c>
      <c r="K176" s="623"/>
      <c r="L176" s="651">
        <v>3153</v>
      </c>
      <c r="M176" s="557">
        <f t="shared" si="24"/>
        <v>103</v>
      </c>
      <c r="N176" s="453"/>
      <c r="O176" s="557">
        <f t="shared" si="25"/>
        <v>153</v>
      </c>
      <c r="P176" s="633">
        <v>1</v>
      </c>
      <c r="Q176" s="776">
        <f t="shared" si="26"/>
        <v>0</v>
      </c>
      <c r="R176" s="776">
        <f t="shared" si="27"/>
        <v>0</v>
      </c>
      <c r="S176" s="552">
        <f t="shared" si="28"/>
        <v>0</v>
      </c>
      <c r="T176" s="626">
        <f t="shared" si="21"/>
        <v>0</v>
      </c>
      <c r="U176" s="626">
        <f t="shared" si="22"/>
        <v>0</v>
      </c>
      <c r="V176" s="553">
        <f t="shared" si="23"/>
        <v>0</v>
      </c>
      <c r="W176" s="554" t="str">
        <f t="shared" si="29"/>
        <v>V</v>
      </c>
      <c r="X176" s="555"/>
      <c r="Y176" s="631">
        <f>IF(Q176=0,0,(Q176+R176)*'1.0-Contractblad'!$L$98)</f>
        <v>0</v>
      </c>
      <c r="Z176" s="632">
        <f ca="1">IF(J176=0,0,VLOOKUP(D176,'1.1a-Jaarprijzen'!$B$70:$P$124,14,FALSE)*(K176+J176))</f>
        <v>0</v>
      </c>
    </row>
    <row r="177" spans="1:26" hidden="1">
      <c r="A177" s="558"/>
      <c r="B177" s="548"/>
      <c r="C177" s="659">
        <v>3</v>
      </c>
      <c r="D177" s="549" t="s">
        <v>1470</v>
      </c>
      <c r="E177" s="550" t="s">
        <v>502</v>
      </c>
      <c r="F177" s="551" t="s">
        <v>671</v>
      </c>
      <c r="G177" s="649" t="s">
        <v>1221</v>
      </c>
      <c r="H177" s="647" t="str">
        <f t="shared" si="20"/>
        <v>entree, gang, hal, repro, kopieer, was/droogruimte</v>
      </c>
      <c r="I177" s="719" t="s">
        <v>106</v>
      </c>
      <c r="J177" s="623">
        <v>46.8</v>
      </c>
      <c r="K177" s="623"/>
      <c r="L177" s="651">
        <v>3153</v>
      </c>
      <c r="M177" s="557">
        <f t="shared" si="24"/>
        <v>103</v>
      </c>
      <c r="N177" s="453"/>
      <c r="O177" s="557">
        <f t="shared" si="25"/>
        <v>153</v>
      </c>
      <c r="P177" s="633">
        <v>1</v>
      </c>
      <c r="Q177" s="776">
        <f t="shared" si="26"/>
        <v>0</v>
      </c>
      <c r="R177" s="776">
        <f t="shared" si="27"/>
        <v>0</v>
      </c>
      <c r="S177" s="552">
        <f t="shared" si="28"/>
        <v>0</v>
      </c>
      <c r="T177" s="626">
        <f t="shared" si="21"/>
        <v>0</v>
      </c>
      <c r="U177" s="626">
        <f t="shared" si="22"/>
        <v>0</v>
      </c>
      <c r="V177" s="553">
        <f t="shared" si="23"/>
        <v>0</v>
      </c>
      <c r="W177" s="554" t="str">
        <f t="shared" si="29"/>
        <v>V</v>
      </c>
      <c r="X177" s="555"/>
      <c r="Y177" s="631">
        <f>IF(Q177=0,0,(Q177+R177)*'1.0-Contractblad'!$L$98)</f>
        <v>0</v>
      </c>
      <c r="Z177" s="632">
        <f ca="1">IF(J177=0,0,VLOOKUP(D177,'1.1a-Jaarprijzen'!$B$70:$P$124,14,FALSE)*(K177+J177))</f>
        <v>0</v>
      </c>
    </row>
    <row r="178" spans="1:26" hidden="1">
      <c r="A178" s="558"/>
      <c r="B178" s="701"/>
      <c r="C178" s="659">
        <v>3</v>
      </c>
      <c r="D178" s="549" t="s">
        <v>1470</v>
      </c>
      <c r="E178" s="550" t="s">
        <v>502</v>
      </c>
      <c r="F178" s="551" t="s">
        <v>672</v>
      </c>
      <c r="G178" s="649" t="s">
        <v>1270</v>
      </c>
      <c r="H178" s="647" t="str">
        <f t="shared" si="20"/>
        <v>niet van toepassing</v>
      </c>
      <c r="I178" s="719" t="s">
        <v>106</v>
      </c>
      <c r="J178" s="650"/>
      <c r="K178" s="650"/>
      <c r="L178" s="668" t="s">
        <v>27</v>
      </c>
      <c r="M178" s="557">
        <f t="shared" si="24"/>
        <v>0</v>
      </c>
      <c r="N178" s="453"/>
      <c r="O178" s="557">
        <f t="shared" si="25"/>
        <v>0</v>
      </c>
      <c r="P178" s="633">
        <v>1</v>
      </c>
      <c r="Q178" s="776">
        <f t="shared" si="26"/>
        <v>0</v>
      </c>
      <c r="R178" s="776">
        <f t="shared" si="27"/>
        <v>0</v>
      </c>
      <c r="S178" s="552">
        <f t="shared" si="28"/>
        <v>0</v>
      </c>
      <c r="T178" s="626">
        <f t="shared" si="21"/>
        <v>0</v>
      </c>
      <c r="U178" s="626">
        <f t="shared" si="22"/>
        <v>0</v>
      </c>
      <c r="V178" s="553">
        <f t="shared" si="23"/>
        <v>0</v>
      </c>
      <c r="W178" s="554">
        <f t="shared" si="29"/>
        <v>0</v>
      </c>
      <c r="X178" s="454" t="s">
        <v>1454</v>
      </c>
      <c r="Y178" s="631">
        <f>IF(Q178=0,0,(Q178+R178)*'1.0-Contractblad'!$L$98)</f>
        <v>0</v>
      </c>
      <c r="Z178" s="632">
        <f>IF(J178=0,0,VLOOKUP(D178,'1.1a-Jaarprijzen'!$B$70:$P$124,14,FALSE)*(K178+J178))</f>
        <v>0</v>
      </c>
    </row>
    <row r="179" spans="1:26" hidden="1">
      <c r="A179" s="558"/>
      <c r="B179" s="548"/>
      <c r="C179" s="659">
        <v>3</v>
      </c>
      <c r="D179" s="549" t="s">
        <v>1470</v>
      </c>
      <c r="E179" s="550" t="s">
        <v>502</v>
      </c>
      <c r="F179" s="551" t="s">
        <v>673</v>
      </c>
      <c r="G179" s="649" t="s">
        <v>1235</v>
      </c>
      <c r="H179" s="647" t="str">
        <f t="shared" si="20"/>
        <v>niet van toepassing</v>
      </c>
      <c r="I179" s="719" t="s">
        <v>106</v>
      </c>
      <c r="J179" s="623"/>
      <c r="K179" s="623"/>
      <c r="L179" s="668" t="s">
        <v>27</v>
      </c>
      <c r="M179" s="557">
        <f t="shared" si="24"/>
        <v>0</v>
      </c>
      <c r="N179" s="453"/>
      <c r="O179" s="557">
        <f t="shared" si="25"/>
        <v>0</v>
      </c>
      <c r="P179" s="633">
        <v>1</v>
      </c>
      <c r="Q179" s="776">
        <f t="shared" si="26"/>
        <v>0</v>
      </c>
      <c r="R179" s="776">
        <f t="shared" si="27"/>
        <v>0</v>
      </c>
      <c r="S179" s="552">
        <f t="shared" si="28"/>
        <v>0</v>
      </c>
      <c r="T179" s="626">
        <f t="shared" si="21"/>
        <v>0</v>
      </c>
      <c r="U179" s="626">
        <f t="shared" si="22"/>
        <v>0</v>
      </c>
      <c r="V179" s="553">
        <f t="shared" si="23"/>
        <v>0</v>
      </c>
      <c r="W179" s="554">
        <f t="shared" si="29"/>
        <v>0</v>
      </c>
      <c r="X179" s="454" t="s">
        <v>1454</v>
      </c>
      <c r="Y179" s="631">
        <f>IF(Q179=0,0,(Q179+R179)*'1.0-Contractblad'!$L$98)</f>
        <v>0</v>
      </c>
      <c r="Z179" s="632">
        <f>IF(J179=0,0,VLOOKUP(D179,'1.1a-Jaarprijzen'!$B$70:$P$124,14,FALSE)*(K179+J179))</f>
        <v>0</v>
      </c>
    </row>
    <row r="180" spans="1:26" hidden="1">
      <c r="A180" s="558"/>
      <c r="B180" s="548"/>
      <c r="C180" s="659">
        <v>3</v>
      </c>
      <c r="D180" s="549" t="s">
        <v>1470</v>
      </c>
      <c r="E180" s="550" t="s">
        <v>502</v>
      </c>
      <c r="F180" s="551" t="s">
        <v>674</v>
      </c>
      <c r="G180" s="649" t="s">
        <v>1271</v>
      </c>
      <c r="H180" s="647" t="str">
        <f t="shared" si="20"/>
        <v>niet van toepassing</v>
      </c>
      <c r="I180" s="719" t="s">
        <v>106</v>
      </c>
      <c r="J180" s="623"/>
      <c r="K180" s="623"/>
      <c r="L180" s="668" t="s">
        <v>27</v>
      </c>
      <c r="M180" s="557">
        <f t="shared" si="24"/>
        <v>0</v>
      </c>
      <c r="N180" s="453"/>
      <c r="O180" s="557">
        <f t="shared" si="25"/>
        <v>0</v>
      </c>
      <c r="P180" s="633">
        <v>1</v>
      </c>
      <c r="Q180" s="776">
        <f t="shared" si="26"/>
        <v>0</v>
      </c>
      <c r="R180" s="776">
        <f t="shared" si="27"/>
        <v>0</v>
      </c>
      <c r="S180" s="552">
        <f t="shared" si="28"/>
        <v>0</v>
      </c>
      <c r="T180" s="626">
        <f t="shared" si="21"/>
        <v>0</v>
      </c>
      <c r="U180" s="626">
        <f t="shared" si="22"/>
        <v>0</v>
      </c>
      <c r="V180" s="553">
        <f t="shared" si="23"/>
        <v>0</v>
      </c>
      <c r="W180" s="554">
        <f t="shared" si="29"/>
        <v>0</v>
      </c>
      <c r="X180" s="454" t="s">
        <v>1454</v>
      </c>
      <c r="Y180" s="631">
        <f>IF(Q180=0,0,(Q180+R180)*'1.0-Contractblad'!$L$98)</f>
        <v>0</v>
      </c>
      <c r="Z180" s="632">
        <f>IF(J180=0,0,VLOOKUP(D180,'1.1a-Jaarprijzen'!$B$70:$P$124,14,FALSE)*(K180+J180))</f>
        <v>0</v>
      </c>
    </row>
    <row r="181" spans="1:26" hidden="1">
      <c r="A181" s="558"/>
      <c r="B181" s="548"/>
      <c r="C181" s="659">
        <v>3</v>
      </c>
      <c r="D181" s="549" t="s">
        <v>1470</v>
      </c>
      <c r="E181" s="550" t="s">
        <v>502</v>
      </c>
      <c r="F181" s="551" t="s">
        <v>675</v>
      </c>
      <c r="G181" s="649" t="s">
        <v>1271</v>
      </c>
      <c r="H181" s="647" t="str">
        <f t="shared" si="20"/>
        <v>niet van toepassing</v>
      </c>
      <c r="I181" s="719" t="s">
        <v>106</v>
      </c>
      <c r="J181" s="623"/>
      <c r="K181" s="623"/>
      <c r="L181" s="668" t="s">
        <v>27</v>
      </c>
      <c r="M181" s="557">
        <f t="shared" si="24"/>
        <v>0</v>
      </c>
      <c r="N181" s="453"/>
      <c r="O181" s="557">
        <f t="shared" si="25"/>
        <v>0</v>
      </c>
      <c r="P181" s="633">
        <v>1</v>
      </c>
      <c r="Q181" s="776">
        <f t="shared" si="26"/>
        <v>0</v>
      </c>
      <c r="R181" s="776">
        <f t="shared" si="27"/>
        <v>0</v>
      </c>
      <c r="S181" s="552">
        <f t="shared" si="28"/>
        <v>0</v>
      </c>
      <c r="T181" s="626">
        <f t="shared" si="21"/>
        <v>0</v>
      </c>
      <c r="U181" s="626">
        <f t="shared" si="22"/>
        <v>0</v>
      </c>
      <c r="V181" s="553">
        <f t="shared" si="23"/>
        <v>0</v>
      </c>
      <c r="W181" s="554">
        <f t="shared" si="29"/>
        <v>0</v>
      </c>
      <c r="X181" s="454" t="s">
        <v>1454</v>
      </c>
      <c r="Y181" s="631">
        <f>IF(Q181=0,0,(Q181+R181)*'1.0-Contractblad'!$L$98)</f>
        <v>0</v>
      </c>
      <c r="Z181" s="632">
        <f>IF(J181=0,0,VLOOKUP(D181,'1.1a-Jaarprijzen'!$B$70:$P$124,14,FALSE)*(K181+J181))</f>
        <v>0</v>
      </c>
    </row>
    <row r="182" spans="1:26" hidden="1">
      <c r="A182" s="558"/>
      <c r="B182" s="548"/>
      <c r="C182" s="659">
        <v>3</v>
      </c>
      <c r="D182" s="549" t="s">
        <v>1470</v>
      </c>
      <c r="E182" s="550" t="s">
        <v>502</v>
      </c>
      <c r="F182" s="551" t="s">
        <v>676</v>
      </c>
      <c r="G182" s="649" t="s">
        <v>1271</v>
      </c>
      <c r="H182" s="647" t="str">
        <f t="shared" si="20"/>
        <v>niet van toepassing</v>
      </c>
      <c r="I182" s="719" t="s">
        <v>106</v>
      </c>
      <c r="J182" s="623"/>
      <c r="K182" s="623"/>
      <c r="L182" s="668" t="s">
        <v>27</v>
      </c>
      <c r="M182" s="557">
        <f t="shared" si="24"/>
        <v>0</v>
      </c>
      <c r="N182" s="453"/>
      <c r="O182" s="557">
        <f t="shared" si="25"/>
        <v>0</v>
      </c>
      <c r="P182" s="633">
        <v>1</v>
      </c>
      <c r="Q182" s="776">
        <f t="shared" si="26"/>
        <v>0</v>
      </c>
      <c r="R182" s="776">
        <f t="shared" si="27"/>
        <v>0</v>
      </c>
      <c r="S182" s="552">
        <f t="shared" si="28"/>
        <v>0</v>
      </c>
      <c r="T182" s="626">
        <f t="shared" si="21"/>
        <v>0</v>
      </c>
      <c r="U182" s="626">
        <f t="shared" si="22"/>
        <v>0</v>
      </c>
      <c r="V182" s="553">
        <f t="shared" si="23"/>
        <v>0</v>
      </c>
      <c r="W182" s="554">
        <f t="shared" si="29"/>
        <v>0</v>
      </c>
      <c r="X182" s="454" t="s">
        <v>1454</v>
      </c>
      <c r="Y182" s="631">
        <f>IF(Q182=0,0,(Q182+R182)*'1.0-Contractblad'!$L$98)</f>
        <v>0</v>
      </c>
      <c r="Z182" s="632">
        <f>IF(J182=0,0,VLOOKUP(D182,'1.1a-Jaarprijzen'!$B$70:$P$124,14,FALSE)*(K182+J182))</f>
        <v>0</v>
      </c>
    </row>
    <row r="183" spans="1:26" hidden="1">
      <c r="A183" s="558"/>
      <c r="B183" s="548"/>
      <c r="C183" s="659">
        <v>3</v>
      </c>
      <c r="D183" s="549" t="s">
        <v>1470</v>
      </c>
      <c r="E183" s="550" t="s">
        <v>502</v>
      </c>
      <c r="F183" s="551" t="s">
        <v>677</v>
      </c>
      <c r="G183" s="649" t="s">
        <v>1271</v>
      </c>
      <c r="H183" s="647" t="str">
        <f t="shared" si="20"/>
        <v>niet van toepassing</v>
      </c>
      <c r="I183" s="719" t="s">
        <v>106</v>
      </c>
      <c r="J183" s="623"/>
      <c r="K183" s="623"/>
      <c r="L183" s="668" t="s">
        <v>27</v>
      </c>
      <c r="M183" s="557">
        <f t="shared" si="24"/>
        <v>0</v>
      </c>
      <c r="N183" s="453"/>
      <c r="O183" s="557">
        <f t="shared" si="25"/>
        <v>0</v>
      </c>
      <c r="P183" s="633">
        <v>1</v>
      </c>
      <c r="Q183" s="776">
        <f t="shared" si="26"/>
        <v>0</v>
      </c>
      <c r="R183" s="776">
        <f t="shared" si="27"/>
        <v>0</v>
      </c>
      <c r="S183" s="552">
        <f t="shared" si="28"/>
        <v>0</v>
      </c>
      <c r="T183" s="626">
        <f t="shared" si="21"/>
        <v>0</v>
      </c>
      <c r="U183" s="626">
        <f t="shared" si="22"/>
        <v>0</v>
      </c>
      <c r="V183" s="553">
        <f t="shared" si="23"/>
        <v>0</v>
      </c>
      <c r="W183" s="554">
        <f t="shared" si="29"/>
        <v>0</v>
      </c>
      <c r="X183" s="454" t="s">
        <v>1454</v>
      </c>
      <c r="Y183" s="631">
        <f>IF(Q183=0,0,(Q183+R183)*'1.0-Contractblad'!$L$98)</f>
        <v>0</v>
      </c>
      <c r="Z183" s="632">
        <f>IF(J183=0,0,VLOOKUP(D183,'1.1a-Jaarprijzen'!$B$70:$P$124,14,FALSE)*(K183+J183))</f>
        <v>0</v>
      </c>
    </row>
    <row r="184" spans="1:26" hidden="1">
      <c r="A184" s="558"/>
      <c r="B184" s="548"/>
      <c r="C184" s="659">
        <v>3</v>
      </c>
      <c r="D184" s="549" t="s">
        <v>1470</v>
      </c>
      <c r="E184" s="550" t="s">
        <v>502</v>
      </c>
      <c r="F184" s="551" t="s">
        <v>678</v>
      </c>
      <c r="G184" s="649" t="s">
        <v>1271</v>
      </c>
      <c r="H184" s="647" t="str">
        <f t="shared" si="20"/>
        <v>niet van toepassing</v>
      </c>
      <c r="I184" s="719" t="s">
        <v>106</v>
      </c>
      <c r="J184" s="623"/>
      <c r="K184" s="623"/>
      <c r="L184" s="668" t="s">
        <v>27</v>
      </c>
      <c r="M184" s="557">
        <f t="shared" si="24"/>
        <v>0</v>
      </c>
      <c r="N184" s="453"/>
      <c r="O184" s="557">
        <f t="shared" si="25"/>
        <v>0</v>
      </c>
      <c r="P184" s="633">
        <v>1</v>
      </c>
      <c r="Q184" s="776">
        <f t="shared" si="26"/>
        <v>0</v>
      </c>
      <c r="R184" s="776">
        <f t="shared" si="27"/>
        <v>0</v>
      </c>
      <c r="S184" s="552">
        <f t="shared" si="28"/>
        <v>0</v>
      </c>
      <c r="T184" s="626">
        <f t="shared" si="21"/>
        <v>0</v>
      </c>
      <c r="U184" s="626">
        <f t="shared" si="22"/>
        <v>0</v>
      </c>
      <c r="V184" s="553">
        <f t="shared" si="23"/>
        <v>0</v>
      </c>
      <c r="W184" s="554">
        <f t="shared" si="29"/>
        <v>0</v>
      </c>
      <c r="X184" s="454" t="s">
        <v>1454</v>
      </c>
      <c r="Y184" s="631">
        <f>IF(Q184=0,0,(Q184+R184)*'1.0-Contractblad'!$L$98)</f>
        <v>0</v>
      </c>
      <c r="Z184" s="632">
        <f>IF(J184=0,0,VLOOKUP(D184,'1.1a-Jaarprijzen'!$B$70:$P$124,14,FALSE)*(K184+J184))</f>
        <v>0</v>
      </c>
    </row>
    <row r="185" spans="1:26" hidden="1">
      <c r="A185" s="558"/>
      <c r="B185" s="548"/>
      <c r="C185" s="659">
        <v>3</v>
      </c>
      <c r="D185" s="549" t="s">
        <v>1470</v>
      </c>
      <c r="E185" s="550" t="s">
        <v>502</v>
      </c>
      <c r="F185" s="551" t="s">
        <v>679</v>
      </c>
      <c r="G185" s="649" t="s">
        <v>1271</v>
      </c>
      <c r="H185" s="647" t="str">
        <f t="shared" si="20"/>
        <v>niet van toepassing</v>
      </c>
      <c r="I185" s="719" t="s">
        <v>106</v>
      </c>
      <c r="J185" s="623"/>
      <c r="K185" s="623"/>
      <c r="L185" s="668" t="s">
        <v>27</v>
      </c>
      <c r="M185" s="557">
        <f t="shared" si="24"/>
        <v>0</v>
      </c>
      <c r="N185" s="453"/>
      <c r="O185" s="557">
        <f t="shared" si="25"/>
        <v>0</v>
      </c>
      <c r="P185" s="633">
        <v>1</v>
      </c>
      <c r="Q185" s="776">
        <f t="shared" si="26"/>
        <v>0</v>
      </c>
      <c r="R185" s="776">
        <f t="shared" si="27"/>
        <v>0</v>
      </c>
      <c r="S185" s="552">
        <f t="shared" si="28"/>
        <v>0</v>
      </c>
      <c r="T185" s="626">
        <f t="shared" si="21"/>
        <v>0</v>
      </c>
      <c r="U185" s="626">
        <f t="shared" si="22"/>
        <v>0</v>
      </c>
      <c r="V185" s="553">
        <f t="shared" si="23"/>
        <v>0</v>
      </c>
      <c r="W185" s="554">
        <f t="shared" si="29"/>
        <v>0</v>
      </c>
      <c r="X185" s="454" t="s">
        <v>1454</v>
      </c>
      <c r="Y185" s="631">
        <f>IF(Q185=0,0,(Q185+R185)*'1.0-Contractblad'!$L$98)</f>
        <v>0</v>
      </c>
      <c r="Z185" s="632">
        <f>IF(J185=0,0,VLOOKUP(D185,'1.1a-Jaarprijzen'!$B$70:$P$124,14,FALSE)*(K185+J185))</f>
        <v>0</v>
      </c>
    </row>
    <row r="186" spans="1:26" hidden="1">
      <c r="A186" s="558"/>
      <c r="B186" s="548"/>
      <c r="C186" s="659">
        <v>3</v>
      </c>
      <c r="D186" s="549" t="s">
        <v>1470</v>
      </c>
      <c r="E186" s="550" t="s">
        <v>502</v>
      </c>
      <c r="F186" s="551" t="s">
        <v>680</v>
      </c>
      <c r="G186" s="649" t="s">
        <v>1271</v>
      </c>
      <c r="H186" s="647" t="str">
        <f t="shared" si="20"/>
        <v>niet van toepassing</v>
      </c>
      <c r="I186" s="719" t="s">
        <v>106</v>
      </c>
      <c r="J186" s="623"/>
      <c r="K186" s="623"/>
      <c r="L186" s="668" t="s">
        <v>27</v>
      </c>
      <c r="M186" s="557">
        <f t="shared" si="24"/>
        <v>0</v>
      </c>
      <c r="N186" s="453"/>
      <c r="O186" s="557">
        <f t="shared" si="25"/>
        <v>0</v>
      </c>
      <c r="P186" s="633">
        <v>1</v>
      </c>
      <c r="Q186" s="776">
        <f t="shared" si="26"/>
        <v>0</v>
      </c>
      <c r="R186" s="776">
        <f t="shared" si="27"/>
        <v>0</v>
      </c>
      <c r="S186" s="552">
        <f t="shared" si="28"/>
        <v>0</v>
      </c>
      <c r="T186" s="626">
        <f t="shared" si="21"/>
        <v>0</v>
      </c>
      <c r="U186" s="626">
        <f t="shared" si="22"/>
        <v>0</v>
      </c>
      <c r="V186" s="553">
        <f t="shared" si="23"/>
        <v>0</v>
      </c>
      <c r="W186" s="554">
        <f t="shared" si="29"/>
        <v>0</v>
      </c>
      <c r="X186" s="454" t="s">
        <v>1454</v>
      </c>
      <c r="Y186" s="631">
        <f>IF(Q186=0,0,(Q186+R186)*'1.0-Contractblad'!$L$98)</f>
        <v>0</v>
      </c>
      <c r="Z186" s="632">
        <f>IF(J186=0,0,VLOOKUP(D186,'1.1a-Jaarprijzen'!$B$70:$P$124,14,FALSE)*(K186+J186))</f>
        <v>0</v>
      </c>
    </row>
    <row r="187" spans="1:26" hidden="1">
      <c r="A187" s="558"/>
      <c r="B187" s="548"/>
      <c r="C187" s="659">
        <v>3</v>
      </c>
      <c r="D187" s="549" t="s">
        <v>1470</v>
      </c>
      <c r="E187" s="550" t="s">
        <v>502</v>
      </c>
      <c r="F187" s="551" t="s">
        <v>681</v>
      </c>
      <c r="G187" s="649" t="s">
        <v>1271</v>
      </c>
      <c r="H187" s="647" t="str">
        <f t="shared" si="20"/>
        <v>niet van toepassing</v>
      </c>
      <c r="I187" s="719" t="s">
        <v>106</v>
      </c>
      <c r="J187" s="623"/>
      <c r="K187" s="623"/>
      <c r="L187" s="668" t="s">
        <v>27</v>
      </c>
      <c r="M187" s="557">
        <f t="shared" si="24"/>
        <v>0</v>
      </c>
      <c r="N187" s="453"/>
      <c r="O187" s="557">
        <f t="shared" si="25"/>
        <v>0</v>
      </c>
      <c r="P187" s="633">
        <v>1</v>
      </c>
      <c r="Q187" s="776">
        <f t="shared" si="26"/>
        <v>0</v>
      </c>
      <c r="R187" s="776">
        <f t="shared" si="27"/>
        <v>0</v>
      </c>
      <c r="S187" s="552">
        <f t="shared" si="28"/>
        <v>0</v>
      </c>
      <c r="T187" s="626">
        <f t="shared" si="21"/>
        <v>0</v>
      </c>
      <c r="U187" s="626">
        <f t="shared" si="22"/>
        <v>0</v>
      </c>
      <c r="V187" s="553">
        <f t="shared" si="23"/>
        <v>0</v>
      </c>
      <c r="W187" s="554">
        <f t="shared" si="29"/>
        <v>0</v>
      </c>
      <c r="X187" s="454" t="s">
        <v>1454</v>
      </c>
      <c r="Y187" s="631">
        <f>IF(Q187=0,0,(Q187+R187)*'1.0-Contractblad'!$L$98)</f>
        <v>0</v>
      </c>
      <c r="Z187" s="632">
        <f>IF(J187=0,0,VLOOKUP(D187,'1.1a-Jaarprijzen'!$B$70:$P$124,14,FALSE)*(K187+J187))</f>
        <v>0</v>
      </c>
    </row>
    <row r="188" spans="1:26" hidden="1">
      <c r="A188" s="558"/>
      <c r="B188" s="548"/>
      <c r="C188" s="659">
        <v>3</v>
      </c>
      <c r="D188" s="549" t="s">
        <v>1470</v>
      </c>
      <c r="E188" s="550" t="s">
        <v>502</v>
      </c>
      <c r="F188" s="551" t="s">
        <v>682</v>
      </c>
      <c r="G188" s="649" t="s">
        <v>486</v>
      </c>
      <c r="H188" s="647" t="str">
        <f t="shared" si="20"/>
        <v>niet van toepassing</v>
      </c>
      <c r="I188" s="719"/>
      <c r="J188" s="623"/>
      <c r="K188" s="623"/>
      <c r="L188" s="668" t="s">
        <v>27</v>
      </c>
      <c r="M188" s="557">
        <f t="shared" si="24"/>
        <v>0</v>
      </c>
      <c r="N188" s="453"/>
      <c r="O188" s="557">
        <f t="shared" si="25"/>
        <v>0</v>
      </c>
      <c r="P188" s="633">
        <v>1</v>
      </c>
      <c r="Q188" s="776">
        <f t="shared" si="26"/>
        <v>0</v>
      </c>
      <c r="R188" s="776">
        <f t="shared" si="27"/>
        <v>0</v>
      </c>
      <c r="S188" s="552">
        <f t="shared" si="28"/>
        <v>0</v>
      </c>
      <c r="T188" s="626">
        <f t="shared" si="21"/>
        <v>0</v>
      </c>
      <c r="U188" s="626">
        <f t="shared" si="22"/>
        <v>0</v>
      </c>
      <c r="V188" s="553">
        <f t="shared" si="23"/>
        <v>0</v>
      </c>
      <c r="W188" s="554">
        <f t="shared" si="29"/>
        <v>0</v>
      </c>
      <c r="X188" s="454" t="s">
        <v>1454</v>
      </c>
      <c r="Y188" s="631">
        <f>IF(Q188=0,0,(Q188+R188)*'1.0-Contractblad'!$L$98)</f>
        <v>0</v>
      </c>
      <c r="Z188" s="632">
        <f>IF(J188=0,0,VLOOKUP(D188,'1.1a-Jaarprijzen'!$B$70:$P$124,14,FALSE)*(K188+J188))</f>
        <v>0</v>
      </c>
    </row>
    <row r="189" spans="1:26" hidden="1">
      <c r="A189" s="558"/>
      <c r="B189" s="548"/>
      <c r="C189" s="659">
        <v>3</v>
      </c>
      <c r="D189" s="549" t="s">
        <v>1470</v>
      </c>
      <c r="E189" s="550" t="s">
        <v>502</v>
      </c>
      <c r="F189" s="551" t="s">
        <v>683</v>
      </c>
      <c r="G189" s="649" t="s">
        <v>489</v>
      </c>
      <c r="H189" s="647" t="str">
        <f t="shared" si="20"/>
        <v>sanitaire ruimte (toilet-/doucheruimte)</v>
      </c>
      <c r="I189" s="719" t="s">
        <v>84</v>
      </c>
      <c r="J189" s="623">
        <v>1.9</v>
      </c>
      <c r="K189" s="623"/>
      <c r="L189" s="559">
        <v>4255</v>
      </c>
      <c r="M189" s="557">
        <f t="shared" si="24"/>
        <v>104</v>
      </c>
      <c r="N189" s="453"/>
      <c r="O189" s="557">
        <f t="shared" si="25"/>
        <v>255</v>
      </c>
      <c r="P189" s="633">
        <v>1</v>
      </c>
      <c r="Q189" s="776">
        <f t="shared" si="26"/>
        <v>0</v>
      </c>
      <c r="R189" s="776">
        <f t="shared" si="27"/>
        <v>0</v>
      </c>
      <c r="S189" s="552">
        <f t="shared" si="28"/>
        <v>0</v>
      </c>
      <c r="T189" s="626">
        <f t="shared" si="21"/>
        <v>0</v>
      </c>
      <c r="U189" s="626">
        <f t="shared" si="22"/>
        <v>0</v>
      </c>
      <c r="V189" s="553">
        <f t="shared" si="23"/>
        <v>0</v>
      </c>
      <c r="W189" s="554" t="str">
        <f t="shared" si="29"/>
        <v>S</v>
      </c>
      <c r="X189" s="555"/>
      <c r="Y189" s="631">
        <f>IF(Q189=0,0,(Q189+R189)*'1.0-Contractblad'!$L$98)</f>
        <v>0</v>
      </c>
      <c r="Z189" s="632">
        <f ca="1">IF(J189=0,0,VLOOKUP(D189,'1.1a-Jaarprijzen'!$B$70:$P$124,14,FALSE)*(K189+J189))</f>
        <v>0</v>
      </c>
    </row>
    <row r="190" spans="1:26" hidden="1">
      <c r="A190" s="558"/>
      <c r="B190" s="548"/>
      <c r="C190" s="659">
        <v>3</v>
      </c>
      <c r="D190" s="549" t="s">
        <v>1470</v>
      </c>
      <c r="E190" s="550" t="s">
        <v>502</v>
      </c>
      <c r="F190" s="551" t="s">
        <v>684</v>
      </c>
      <c r="G190" s="649" t="s">
        <v>489</v>
      </c>
      <c r="H190" s="647" t="str">
        <f t="shared" si="20"/>
        <v>sanitaire ruimte (toilet-/doucheruimte)</v>
      </c>
      <c r="I190" s="719" t="s">
        <v>84</v>
      </c>
      <c r="J190" s="623">
        <v>2.1</v>
      </c>
      <c r="K190" s="623"/>
      <c r="L190" s="559">
        <v>4255</v>
      </c>
      <c r="M190" s="557">
        <f t="shared" si="24"/>
        <v>104</v>
      </c>
      <c r="N190" s="453"/>
      <c r="O190" s="557">
        <f t="shared" si="25"/>
        <v>255</v>
      </c>
      <c r="P190" s="633">
        <v>1</v>
      </c>
      <c r="Q190" s="776">
        <f t="shared" si="26"/>
        <v>0</v>
      </c>
      <c r="R190" s="776">
        <f t="shared" si="27"/>
        <v>0</v>
      </c>
      <c r="S190" s="552">
        <f t="shared" si="28"/>
        <v>0</v>
      </c>
      <c r="T190" s="626">
        <f t="shared" si="21"/>
        <v>0</v>
      </c>
      <c r="U190" s="626">
        <f t="shared" si="22"/>
        <v>0</v>
      </c>
      <c r="V190" s="553">
        <f t="shared" si="23"/>
        <v>0</v>
      </c>
      <c r="W190" s="554" t="str">
        <f t="shared" si="29"/>
        <v>S</v>
      </c>
      <c r="X190" s="555"/>
      <c r="Y190" s="631">
        <f>IF(Q190=0,0,(Q190+R190)*'1.0-Contractblad'!$L$98)</f>
        <v>0</v>
      </c>
      <c r="Z190" s="632">
        <f ca="1">IF(J190=0,0,VLOOKUP(D190,'1.1a-Jaarprijzen'!$B$70:$P$124,14,FALSE)*(K190+J190))</f>
        <v>0</v>
      </c>
    </row>
    <row r="191" spans="1:26" hidden="1">
      <c r="A191" s="558"/>
      <c r="B191" s="548"/>
      <c r="C191" s="659">
        <v>3</v>
      </c>
      <c r="D191" s="549" t="s">
        <v>1470</v>
      </c>
      <c r="E191" s="550" t="s">
        <v>502</v>
      </c>
      <c r="F191" s="551" t="s">
        <v>685</v>
      </c>
      <c r="G191" s="649" t="s">
        <v>489</v>
      </c>
      <c r="H191" s="647" t="str">
        <f t="shared" si="20"/>
        <v>sanitaire ruimte (toilet-/doucheruimte)</v>
      </c>
      <c r="I191" s="719" t="s">
        <v>84</v>
      </c>
      <c r="J191" s="623">
        <v>2.2999999999999998</v>
      </c>
      <c r="K191" s="623"/>
      <c r="L191" s="559">
        <v>4255</v>
      </c>
      <c r="M191" s="557">
        <f t="shared" si="24"/>
        <v>104</v>
      </c>
      <c r="N191" s="453"/>
      <c r="O191" s="557">
        <f t="shared" si="25"/>
        <v>255</v>
      </c>
      <c r="P191" s="633">
        <v>1</v>
      </c>
      <c r="Q191" s="776">
        <f t="shared" si="26"/>
        <v>0</v>
      </c>
      <c r="R191" s="776">
        <f t="shared" si="27"/>
        <v>0</v>
      </c>
      <c r="S191" s="552">
        <f t="shared" si="28"/>
        <v>0</v>
      </c>
      <c r="T191" s="626">
        <f t="shared" si="21"/>
        <v>0</v>
      </c>
      <c r="U191" s="626">
        <f t="shared" si="22"/>
        <v>0</v>
      </c>
      <c r="V191" s="553">
        <f t="shared" si="23"/>
        <v>0</v>
      </c>
      <c r="W191" s="554" t="str">
        <f t="shared" si="29"/>
        <v>S</v>
      </c>
      <c r="X191" s="555"/>
      <c r="Y191" s="631">
        <f>IF(Q191=0,0,(Q191+R191)*'1.0-Contractblad'!$L$98)</f>
        <v>0</v>
      </c>
      <c r="Z191" s="632">
        <f ca="1">IF(J191=0,0,VLOOKUP(D191,'1.1a-Jaarprijzen'!$B$70:$P$124,14,FALSE)*(K191+J191))</f>
        <v>0</v>
      </c>
    </row>
    <row r="192" spans="1:26" hidden="1">
      <c r="A192" s="558"/>
      <c r="B192" s="548"/>
      <c r="C192" s="659">
        <v>3</v>
      </c>
      <c r="D192" s="549" t="s">
        <v>1470</v>
      </c>
      <c r="E192" s="550" t="s">
        <v>502</v>
      </c>
      <c r="F192" s="551" t="s">
        <v>686</v>
      </c>
      <c r="G192" s="649" t="s">
        <v>1216</v>
      </c>
      <c r="H192" s="647" t="str">
        <f t="shared" si="20"/>
        <v>sanitaire ruimte (toilet-/doucheruimte)</v>
      </c>
      <c r="I192" s="719" t="s">
        <v>84</v>
      </c>
      <c r="J192" s="623">
        <v>3.4</v>
      </c>
      <c r="K192" s="623"/>
      <c r="L192" s="559">
        <v>4153</v>
      </c>
      <c r="M192" s="557">
        <f t="shared" si="24"/>
        <v>104</v>
      </c>
      <c r="N192" s="453"/>
      <c r="O192" s="557">
        <f t="shared" si="25"/>
        <v>153</v>
      </c>
      <c r="P192" s="633">
        <v>1</v>
      </c>
      <c r="Q192" s="776">
        <f t="shared" si="26"/>
        <v>0</v>
      </c>
      <c r="R192" s="776">
        <f t="shared" si="27"/>
        <v>0</v>
      </c>
      <c r="S192" s="552">
        <f t="shared" si="28"/>
        <v>0</v>
      </c>
      <c r="T192" s="626">
        <f t="shared" si="21"/>
        <v>0</v>
      </c>
      <c r="U192" s="626">
        <f t="shared" si="22"/>
        <v>0</v>
      </c>
      <c r="V192" s="553">
        <f t="shared" si="23"/>
        <v>0</v>
      </c>
      <c r="W192" s="554" t="str">
        <f t="shared" si="29"/>
        <v>S</v>
      </c>
      <c r="X192" s="555"/>
      <c r="Y192" s="631">
        <f>IF(Q192=0,0,(Q192+R192)*'1.0-Contractblad'!$L$98)</f>
        <v>0</v>
      </c>
      <c r="Z192" s="632">
        <f ca="1">IF(J192=0,0,VLOOKUP(D192,'1.1a-Jaarprijzen'!$B$70:$P$124,14,FALSE)*(K192+J192))</f>
        <v>0</v>
      </c>
    </row>
    <row r="193" spans="1:26" hidden="1">
      <c r="A193" s="558"/>
      <c r="B193" s="548"/>
      <c r="C193" s="659">
        <v>3</v>
      </c>
      <c r="D193" s="549" t="s">
        <v>1470</v>
      </c>
      <c r="E193" s="550" t="s">
        <v>502</v>
      </c>
      <c r="F193" s="551" t="s">
        <v>687</v>
      </c>
      <c r="G193" s="649" t="s">
        <v>1216</v>
      </c>
      <c r="H193" s="647" t="str">
        <f t="shared" si="20"/>
        <v>sanitaire ruimte (toilet-/doucheruimte)</v>
      </c>
      <c r="I193" s="719" t="s">
        <v>84</v>
      </c>
      <c r="J193" s="623">
        <v>3.9</v>
      </c>
      <c r="K193" s="623"/>
      <c r="L193" s="559">
        <v>4153</v>
      </c>
      <c r="M193" s="557">
        <f t="shared" si="24"/>
        <v>104</v>
      </c>
      <c r="N193" s="453"/>
      <c r="O193" s="557">
        <f t="shared" si="25"/>
        <v>153</v>
      </c>
      <c r="P193" s="633">
        <v>1</v>
      </c>
      <c r="Q193" s="776">
        <f t="shared" si="26"/>
        <v>0</v>
      </c>
      <c r="R193" s="776">
        <f t="shared" si="27"/>
        <v>0</v>
      </c>
      <c r="S193" s="552">
        <f t="shared" si="28"/>
        <v>0</v>
      </c>
      <c r="T193" s="626">
        <f t="shared" si="21"/>
        <v>0</v>
      </c>
      <c r="U193" s="626">
        <f t="shared" si="22"/>
        <v>0</v>
      </c>
      <c r="V193" s="553">
        <f t="shared" si="23"/>
        <v>0</v>
      </c>
      <c r="W193" s="554" t="str">
        <f t="shared" si="29"/>
        <v>S</v>
      </c>
      <c r="X193" s="555"/>
      <c r="Y193" s="631">
        <f>IF(Q193=0,0,(Q193+R193)*'1.0-Contractblad'!$L$98)</f>
        <v>0</v>
      </c>
      <c r="Z193" s="632">
        <f ca="1">IF(J193=0,0,VLOOKUP(D193,'1.1a-Jaarprijzen'!$B$70:$P$124,14,FALSE)*(K193+J193))</f>
        <v>0</v>
      </c>
    </row>
    <row r="194" spans="1:26" hidden="1">
      <c r="A194" s="558"/>
      <c r="B194" s="548"/>
      <c r="C194" s="659">
        <v>3</v>
      </c>
      <c r="D194" s="549" t="s">
        <v>1470</v>
      </c>
      <c r="E194" s="550" t="s">
        <v>502</v>
      </c>
      <c r="F194" s="551" t="s">
        <v>688</v>
      </c>
      <c r="G194" s="649" t="s">
        <v>1275</v>
      </c>
      <c r="H194" s="647" t="str">
        <f t="shared" si="20"/>
        <v>administratieve -, personeels- en vergaderruimte</v>
      </c>
      <c r="I194" s="719" t="s">
        <v>106</v>
      </c>
      <c r="J194" s="623">
        <v>18.399999999999999</v>
      </c>
      <c r="K194" s="623"/>
      <c r="L194" s="651">
        <v>1153</v>
      </c>
      <c r="M194" s="557">
        <f t="shared" si="24"/>
        <v>101</v>
      </c>
      <c r="N194" s="453"/>
      <c r="O194" s="557">
        <f t="shared" si="25"/>
        <v>153</v>
      </c>
      <c r="P194" s="633">
        <v>1</v>
      </c>
      <c r="Q194" s="776">
        <f t="shared" si="26"/>
        <v>0</v>
      </c>
      <c r="R194" s="776">
        <f t="shared" si="27"/>
        <v>0</v>
      </c>
      <c r="S194" s="552">
        <f t="shared" si="28"/>
        <v>0</v>
      </c>
      <c r="T194" s="626">
        <f t="shared" si="21"/>
        <v>0</v>
      </c>
      <c r="U194" s="626">
        <f t="shared" si="22"/>
        <v>0</v>
      </c>
      <c r="V194" s="553">
        <f t="shared" si="23"/>
        <v>0</v>
      </c>
      <c r="W194" s="554" t="str">
        <f t="shared" si="29"/>
        <v>B</v>
      </c>
      <c r="X194" s="454"/>
      <c r="Y194" s="631">
        <f>IF(Q194=0,0,(Q194+R194)*'1.0-Contractblad'!$L$98)</f>
        <v>0</v>
      </c>
      <c r="Z194" s="632">
        <f ca="1">IF(J194=0,0,VLOOKUP(D194,'1.1a-Jaarprijzen'!$B$70:$P$124,14,FALSE)*(K194+J194))</f>
        <v>0</v>
      </c>
    </row>
    <row r="195" spans="1:26" hidden="1">
      <c r="A195" s="558"/>
      <c r="B195" s="548"/>
      <c r="C195" s="659">
        <v>3</v>
      </c>
      <c r="D195" s="549" t="s">
        <v>1470</v>
      </c>
      <c r="E195" s="550" t="s">
        <v>502</v>
      </c>
      <c r="F195" s="551" t="s">
        <v>689</v>
      </c>
      <c r="G195" s="649" t="s">
        <v>1284</v>
      </c>
      <c r="H195" s="647" t="str">
        <f t="shared" ref="H195:H258" si="30">IF(L195="","",VLOOKUP(L195,Kengetal,4,FALSE))</f>
        <v>entree, gang, hal, repro, kopieer, was/droogruimte</v>
      </c>
      <c r="I195" s="719" t="s">
        <v>84</v>
      </c>
      <c r="J195" s="623">
        <v>7.9</v>
      </c>
      <c r="K195" s="623"/>
      <c r="L195" s="559">
        <v>3153</v>
      </c>
      <c r="M195" s="557">
        <f t="shared" si="24"/>
        <v>103</v>
      </c>
      <c r="N195" s="453"/>
      <c r="O195" s="557">
        <f t="shared" si="25"/>
        <v>153</v>
      </c>
      <c r="P195" s="633">
        <v>1</v>
      </c>
      <c r="Q195" s="776">
        <f t="shared" si="26"/>
        <v>0</v>
      </c>
      <c r="R195" s="776">
        <f t="shared" si="27"/>
        <v>0</v>
      </c>
      <c r="S195" s="552">
        <f t="shared" si="28"/>
        <v>0</v>
      </c>
      <c r="T195" s="626">
        <f t="shared" si="21"/>
        <v>0</v>
      </c>
      <c r="U195" s="626">
        <f t="shared" si="22"/>
        <v>0</v>
      </c>
      <c r="V195" s="553">
        <f t="shared" si="23"/>
        <v>0</v>
      </c>
      <c r="W195" s="554" t="str">
        <f t="shared" si="29"/>
        <v>V</v>
      </c>
      <c r="X195" s="555"/>
      <c r="Y195" s="631">
        <f>IF(Q195=0,0,(Q195+R195)*'1.0-Contractblad'!$L$98)</f>
        <v>0</v>
      </c>
      <c r="Z195" s="632">
        <f ca="1">IF(J195=0,0,VLOOKUP(D195,'1.1a-Jaarprijzen'!$B$70:$P$124,14,FALSE)*(K195+J195))</f>
        <v>0</v>
      </c>
    </row>
    <row r="196" spans="1:26" hidden="1">
      <c r="A196" s="558"/>
      <c r="B196" s="548"/>
      <c r="C196" s="659">
        <v>3</v>
      </c>
      <c r="D196" s="549" t="s">
        <v>1470</v>
      </c>
      <c r="E196" s="550" t="s">
        <v>502</v>
      </c>
      <c r="F196" s="551" t="s">
        <v>690</v>
      </c>
      <c r="G196" s="649" t="s">
        <v>1273</v>
      </c>
      <c r="H196" s="647" t="str">
        <f t="shared" si="30"/>
        <v>speellokaal</v>
      </c>
      <c r="I196" s="719" t="s">
        <v>106</v>
      </c>
      <c r="J196" s="623">
        <v>40.6</v>
      </c>
      <c r="K196" s="623"/>
      <c r="L196" s="653">
        <v>8153</v>
      </c>
      <c r="M196" s="557">
        <f t="shared" si="24"/>
        <v>107</v>
      </c>
      <c r="N196" s="453"/>
      <c r="O196" s="557">
        <f t="shared" si="25"/>
        <v>153</v>
      </c>
      <c r="P196" s="633">
        <v>1</v>
      </c>
      <c r="Q196" s="776">
        <f t="shared" si="26"/>
        <v>0</v>
      </c>
      <c r="R196" s="776">
        <f t="shared" si="27"/>
        <v>0</v>
      </c>
      <c r="S196" s="552">
        <f t="shared" si="28"/>
        <v>0</v>
      </c>
      <c r="T196" s="626">
        <f t="shared" ref="T196:T259" si="31">VLOOKUP($L196,Kengetal,6,FALSE)</f>
        <v>0</v>
      </c>
      <c r="U196" s="626">
        <f t="shared" ref="U196:U259" si="32">VLOOKUP($L196,Kengetal,7,FALSE)</f>
        <v>0</v>
      </c>
      <c r="V196" s="553">
        <f t="shared" ref="V196:V259" si="33">VLOOKUP($N196,Kengetal,7,FALSE)</f>
        <v>0</v>
      </c>
      <c r="W196" s="554" t="str">
        <f t="shared" si="29"/>
        <v>L</v>
      </c>
      <c r="X196" s="555"/>
      <c r="Y196" s="631">
        <f>IF(Q196=0,0,(Q196+R196)*'1.0-Contractblad'!$L$98)</f>
        <v>0</v>
      </c>
      <c r="Z196" s="632">
        <f ca="1">IF(J196=0,0,VLOOKUP(D196,'1.1a-Jaarprijzen'!$B$70:$P$124,14,FALSE)*(K196+J196))</f>
        <v>0</v>
      </c>
    </row>
    <row r="197" spans="1:26" hidden="1">
      <c r="A197" s="558"/>
      <c r="B197" s="548"/>
      <c r="C197" s="659">
        <v>3</v>
      </c>
      <c r="D197" s="549" t="s">
        <v>1470</v>
      </c>
      <c r="E197" s="550" t="s">
        <v>502</v>
      </c>
      <c r="F197" s="551" t="s">
        <v>691</v>
      </c>
      <c r="G197" s="649" t="s">
        <v>1274</v>
      </c>
      <c r="H197" s="647" t="str">
        <f t="shared" si="30"/>
        <v>leslokaal</v>
      </c>
      <c r="I197" s="719" t="s">
        <v>106</v>
      </c>
      <c r="J197" s="623">
        <v>70.8</v>
      </c>
      <c r="K197" s="623"/>
      <c r="L197" s="654">
        <v>7153</v>
      </c>
      <c r="M197" s="557">
        <f t="shared" ref="M197:M260" si="34">VLOOKUP(L197,Kengetal,2,FALSE)</f>
        <v>107</v>
      </c>
      <c r="N197" s="453"/>
      <c r="O197" s="557">
        <f t="shared" ref="O197:O260" si="35">VLOOKUP(L197,Kengetal,3,FALSE)</f>
        <v>153</v>
      </c>
      <c r="P197" s="633">
        <v>1</v>
      </c>
      <c r="Q197" s="776">
        <f t="shared" ref="Q197:Q260" si="36">T197*J197*P197</f>
        <v>0</v>
      </c>
      <c r="R197" s="776">
        <f t="shared" ref="R197:R260" si="37">U197*J197*P197</f>
        <v>0</v>
      </c>
      <c r="S197" s="552">
        <f t="shared" ref="S197:S260" si="38">V197*J197*P197</f>
        <v>0</v>
      </c>
      <c r="T197" s="626">
        <f t="shared" si="31"/>
        <v>0</v>
      </c>
      <c r="U197" s="626">
        <f t="shared" si="32"/>
        <v>0</v>
      </c>
      <c r="V197" s="553">
        <f t="shared" si="33"/>
        <v>0</v>
      </c>
      <c r="W197" s="554" t="str">
        <f t="shared" ref="W197:W260" si="39">IF(L197="","",VLOOKUP(L197,Kengetal,14,FALSE))</f>
        <v>L</v>
      </c>
      <c r="X197" s="555"/>
      <c r="Y197" s="631">
        <f>IF(Q197=0,0,(Q197+R197)*'1.0-Contractblad'!$L$98)</f>
        <v>0</v>
      </c>
      <c r="Z197" s="632">
        <f ca="1">IF(J197=0,0,VLOOKUP(D197,'1.1a-Jaarprijzen'!$B$70:$P$124,14,FALSE)*(K197+J197))</f>
        <v>0</v>
      </c>
    </row>
    <row r="198" spans="1:26" hidden="1">
      <c r="A198" s="558"/>
      <c r="B198" s="548"/>
      <c r="C198" s="659">
        <v>3</v>
      </c>
      <c r="D198" s="549" t="s">
        <v>1470</v>
      </c>
      <c r="E198" s="550" t="s">
        <v>502</v>
      </c>
      <c r="F198" s="551" t="s">
        <v>692</v>
      </c>
      <c r="G198" s="649" t="s">
        <v>1451</v>
      </c>
      <c r="H198" s="647" t="str">
        <f t="shared" si="30"/>
        <v>Keuken</v>
      </c>
      <c r="I198" s="719" t="s">
        <v>84</v>
      </c>
      <c r="J198" s="623">
        <v>13.2</v>
      </c>
      <c r="K198" s="623"/>
      <c r="L198" s="559">
        <v>18255</v>
      </c>
      <c r="M198" s="557" t="str">
        <f t="shared" si="34"/>
        <v>nvt</v>
      </c>
      <c r="N198" s="453"/>
      <c r="O198" s="557">
        <f t="shared" si="35"/>
        <v>255</v>
      </c>
      <c r="P198" s="633">
        <v>1</v>
      </c>
      <c r="Q198" s="776">
        <f t="shared" si="36"/>
        <v>0</v>
      </c>
      <c r="R198" s="776">
        <f t="shared" si="37"/>
        <v>0</v>
      </c>
      <c r="S198" s="552">
        <f t="shared" si="38"/>
        <v>0</v>
      </c>
      <c r="T198" s="626">
        <f t="shared" si="31"/>
        <v>0</v>
      </c>
      <c r="U198" s="626">
        <f t="shared" si="32"/>
        <v>0</v>
      </c>
      <c r="V198" s="553">
        <f t="shared" si="33"/>
        <v>0</v>
      </c>
      <c r="W198" s="554" t="str">
        <f t="shared" si="39"/>
        <v>V</v>
      </c>
      <c r="X198" s="555"/>
      <c r="Y198" s="631">
        <f>IF(Q198=0,0,(Q198+R198)*'1.0-Contractblad'!$L$98)</f>
        <v>0</v>
      </c>
      <c r="Z198" s="632">
        <f ca="1">IF(J198=0,0,VLOOKUP(D198,'1.1a-Jaarprijzen'!$B$70:$P$124,14,FALSE)*(K198+J198))</f>
        <v>0</v>
      </c>
    </row>
    <row r="199" spans="1:26" hidden="1">
      <c r="A199" s="558"/>
      <c r="B199" s="548"/>
      <c r="C199" s="659">
        <v>3</v>
      </c>
      <c r="D199" s="549" t="s">
        <v>1470</v>
      </c>
      <c r="E199" s="550" t="s">
        <v>502</v>
      </c>
      <c r="F199" s="551" t="s">
        <v>693</v>
      </c>
      <c r="G199" s="649" t="s">
        <v>1276</v>
      </c>
      <c r="H199" s="647" t="str">
        <f t="shared" si="30"/>
        <v>Keuken</v>
      </c>
      <c r="I199" s="719" t="s">
        <v>84</v>
      </c>
      <c r="J199" s="623">
        <v>6.7</v>
      </c>
      <c r="K199" s="623"/>
      <c r="L199" s="559">
        <v>18153</v>
      </c>
      <c r="M199" s="557" t="str">
        <f t="shared" si="34"/>
        <v>nvt</v>
      </c>
      <c r="N199" s="453"/>
      <c r="O199" s="557">
        <f t="shared" si="35"/>
        <v>153</v>
      </c>
      <c r="P199" s="633">
        <v>1</v>
      </c>
      <c r="Q199" s="776">
        <f t="shared" si="36"/>
        <v>0</v>
      </c>
      <c r="R199" s="776">
        <f t="shared" si="37"/>
        <v>0</v>
      </c>
      <c r="S199" s="552">
        <f t="shared" si="38"/>
        <v>0</v>
      </c>
      <c r="T199" s="626">
        <f t="shared" si="31"/>
        <v>0</v>
      </c>
      <c r="U199" s="626">
        <f t="shared" si="32"/>
        <v>0</v>
      </c>
      <c r="V199" s="553">
        <f t="shared" si="33"/>
        <v>0</v>
      </c>
      <c r="W199" s="554" t="str">
        <f t="shared" si="39"/>
        <v>V</v>
      </c>
      <c r="X199" s="556"/>
      <c r="Y199" s="631">
        <f>IF(Q199=0,0,(Q199+R199)*'1.0-Contractblad'!$L$98)</f>
        <v>0</v>
      </c>
      <c r="Z199" s="632">
        <f ca="1">IF(J199=0,0,VLOOKUP(D199,'1.1a-Jaarprijzen'!$B$70:$P$124,14,FALSE)*(K199+J199))</f>
        <v>0</v>
      </c>
    </row>
    <row r="200" spans="1:26" hidden="1">
      <c r="A200" s="558"/>
      <c r="B200" s="548"/>
      <c r="C200" s="659">
        <v>3</v>
      </c>
      <c r="D200" s="549" t="s">
        <v>1470</v>
      </c>
      <c r="E200" s="550" t="s">
        <v>502</v>
      </c>
      <c r="F200" s="551" t="s">
        <v>694</v>
      </c>
      <c r="G200" s="649" t="s">
        <v>1264</v>
      </c>
      <c r="H200" s="647" t="str">
        <f t="shared" si="30"/>
        <v>entree, gang, hal, repro, kopieer, was/droogruimte</v>
      </c>
      <c r="I200" s="719" t="s">
        <v>106</v>
      </c>
      <c r="J200" s="623">
        <v>12.7</v>
      </c>
      <c r="K200" s="623"/>
      <c r="L200" s="651">
        <v>3153</v>
      </c>
      <c r="M200" s="557">
        <f t="shared" si="34"/>
        <v>103</v>
      </c>
      <c r="N200" s="453"/>
      <c r="O200" s="557">
        <f t="shared" si="35"/>
        <v>153</v>
      </c>
      <c r="P200" s="633">
        <v>1</v>
      </c>
      <c r="Q200" s="776">
        <f t="shared" si="36"/>
        <v>0</v>
      </c>
      <c r="R200" s="776">
        <f t="shared" si="37"/>
        <v>0</v>
      </c>
      <c r="S200" s="552">
        <f t="shared" si="38"/>
        <v>0</v>
      </c>
      <c r="T200" s="626">
        <f t="shared" si="31"/>
        <v>0</v>
      </c>
      <c r="U200" s="626">
        <f t="shared" si="32"/>
        <v>0</v>
      </c>
      <c r="V200" s="553">
        <f t="shared" si="33"/>
        <v>0</v>
      </c>
      <c r="W200" s="554" t="str">
        <f t="shared" si="39"/>
        <v>V</v>
      </c>
      <c r="X200" s="555"/>
      <c r="Y200" s="631">
        <f>IF(Q200=0,0,(Q200+R200)*'1.0-Contractblad'!$L$98)</f>
        <v>0</v>
      </c>
      <c r="Z200" s="632">
        <f ca="1">IF(J200=0,0,VLOOKUP(D200,'1.1a-Jaarprijzen'!$B$70:$P$124,14,FALSE)*(K200+J200))</f>
        <v>0</v>
      </c>
    </row>
    <row r="201" spans="1:26" hidden="1">
      <c r="A201" s="558"/>
      <c r="B201" s="548"/>
      <c r="C201" s="659">
        <v>3</v>
      </c>
      <c r="D201" s="549" t="s">
        <v>1470</v>
      </c>
      <c r="E201" s="550" t="s">
        <v>502</v>
      </c>
      <c r="F201" s="551" t="s">
        <v>695</v>
      </c>
      <c r="G201" s="649" t="s">
        <v>1243</v>
      </c>
      <c r="H201" s="647" t="str">
        <f t="shared" si="30"/>
        <v>administratieve -, personeels- en vergaderruimte</v>
      </c>
      <c r="I201" s="719" t="s">
        <v>106</v>
      </c>
      <c r="J201" s="623">
        <v>12.5</v>
      </c>
      <c r="K201" s="623"/>
      <c r="L201" s="651">
        <v>1153</v>
      </c>
      <c r="M201" s="557">
        <f t="shared" si="34"/>
        <v>101</v>
      </c>
      <c r="N201" s="453"/>
      <c r="O201" s="557">
        <f t="shared" si="35"/>
        <v>153</v>
      </c>
      <c r="P201" s="633">
        <v>1</v>
      </c>
      <c r="Q201" s="776">
        <f t="shared" si="36"/>
        <v>0</v>
      </c>
      <c r="R201" s="776">
        <f t="shared" si="37"/>
        <v>0</v>
      </c>
      <c r="S201" s="552">
        <f t="shared" si="38"/>
        <v>0</v>
      </c>
      <c r="T201" s="626">
        <f t="shared" si="31"/>
        <v>0</v>
      </c>
      <c r="U201" s="626">
        <f t="shared" si="32"/>
        <v>0</v>
      </c>
      <c r="V201" s="553">
        <f t="shared" si="33"/>
        <v>0</v>
      </c>
      <c r="W201" s="554" t="str">
        <f t="shared" si="39"/>
        <v>B</v>
      </c>
      <c r="X201" s="556"/>
      <c r="Y201" s="631">
        <f>IF(Q201=0,0,(Q201+R201)*'1.0-Contractblad'!$L$98)</f>
        <v>0</v>
      </c>
      <c r="Z201" s="632">
        <f ca="1">IF(J201=0,0,VLOOKUP(D201,'1.1a-Jaarprijzen'!$B$70:$P$124,14,FALSE)*(K201+J201))</f>
        <v>0</v>
      </c>
    </row>
    <row r="202" spans="1:26" hidden="1">
      <c r="A202" s="558"/>
      <c r="B202" s="548"/>
      <c r="C202" s="659">
        <v>3</v>
      </c>
      <c r="D202" s="549" t="s">
        <v>1470</v>
      </c>
      <c r="E202" s="550" t="s">
        <v>502</v>
      </c>
      <c r="F202" s="551" t="s">
        <v>696</v>
      </c>
      <c r="G202" s="649" t="s">
        <v>1221</v>
      </c>
      <c r="H202" s="647" t="str">
        <f t="shared" si="30"/>
        <v>entree, gang, hal, repro, kopieer, was/droogruimte</v>
      </c>
      <c r="I202" s="719" t="s">
        <v>106</v>
      </c>
      <c r="J202" s="623">
        <v>17.899999999999999</v>
      </c>
      <c r="K202" s="623"/>
      <c r="L202" s="651">
        <v>3153</v>
      </c>
      <c r="M202" s="557">
        <f t="shared" si="34"/>
        <v>103</v>
      </c>
      <c r="N202" s="453"/>
      <c r="O202" s="557">
        <f t="shared" si="35"/>
        <v>153</v>
      </c>
      <c r="P202" s="633">
        <v>1</v>
      </c>
      <c r="Q202" s="776">
        <f t="shared" si="36"/>
        <v>0</v>
      </c>
      <c r="R202" s="776">
        <f t="shared" si="37"/>
        <v>0</v>
      </c>
      <c r="S202" s="552">
        <f t="shared" si="38"/>
        <v>0</v>
      </c>
      <c r="T202" s="626">
        <f t="shared" si="31"/>
        <v>0</v>
      </c>
      <c r="U202" s="626">
        <f t="shared" si="32"/>
        <v>0</v>
      </c>
      <c r="V202" s="553">
        <f t="shared" si="33"/>
        <v>0</v>
      </c>
      <c r="W202" s="554" t="str">
        <f t="shared" si="39"/>
        <v>V</v>
      </c>
      <c r="X202" s="555"/>
      <c r="Y202" s="631">
        <f>IF(Q202=0,0,(Q202+R202)*'1.0-Contractblad'!$L$98)</f>
        <v>0</v>
      </c>
      <c r="Z202" s="632">
        <f ca="1">IF(J202=0,0,VLOOKUP(D202,'1.1a-Jaarprijzen'!$B$70:$P$124,14,FALSE)*(K202+J202))</f>
        <v>0</v>
      </c>
    </row>
    <row r="203" spans="1:26" hidden="1">
      <c r="A203" s="558"/>
      <c r="B203" s="548"/>
      <c r="C203" s="659">
        <v>3</v>
      </c>
      <c r="D203" s="549" t="s">
        <v>1470</v>
      </c>
      <c r="E203" s="550" t="s">
        <v>502</v>
      </c>
      <c r="F203" s="551" t="s">
        <v>697</v>
      </c>
      <c r="G203" s="649" t="s">
        <v>1237</v>
      </c>
      <c r="H203" s="647" t="str">
        <f t="shared" si="30"/>
        <v>trappenhuis</v>
      </c>
      <c r="I203" s="719" t="s">
        <v>492</v>
      </c>
      <c r="J203" s="623">
        <v>3.1</v>
      </c>
      <c r="K203" s="623"/>
      <c r="L203" s="559">
        <v>9153</v>
      </c>
      <c r="M203" s="557">
        <f t="shared" si="34"/>
        <v>109</v>
      </c>
      <c r="N203" s="453"/>
      <c r="O203" s="557">
        <f t="shared" si="35"/>
        <v>153</v>
      </c>
      <c r="P203" s="633">
        <v>1</v>
      </c>
      <c r="Q203" s="776">
        <f t="shared" si="36"/>
        <v>0</v>
      </c>
      <c r="R203" s="776">
        <f t="shared" si="37"/>
        <v>0</v>
      </c>
      <c r="S203" s="552">
        <f t="shared" si="38"/>
        <v>0</v>
      </c>
      <c r="T203" s="626">
        <f t="shared" si="31"/>
        <v>0</v>
      </c>
      <c r="U203" s="626">
        <f t="shared" si="32"/>
        <v>0</v>
      </c>
      <c r="V203" s="553">
        <f t="shared" si="33"/>
        <v>0</v>
      </c>
      <c r="W203" s="554" t="str">
        <f t="shared" si="39"/>
        <v>V</v>
      </c>
      <c r="X203" s="555"/>
      <c r="Y203" s="631">
        <f>IF(Q203=0,0,(Q203+R203)*'1.0-Contractblad'!$L$98)</f>
        <v>0</v>
      </c>
      <c r="Z203" s="632">
        <f ca="1">IF(J203=0,0,VLOOKUP(D203,'1.1a-Jaarprijzen'!$B$70:$P$124,14,FALSE)*(K203+J203))</f>
        <v>0</v>
      </c>
    </row>
    <row r="204" spans="1:26" hidden="1">
      <c r="A204" s="558"/>
      <c r="B204" s="548"/>
      <c r="C204" s="659">
        <v>3</v>
      </c>
      <c r="D204" s="549" t="s">
        <v>1470</v>
      </c>
      <c r="E204" s="550" t="s">
        <v>502</v>
      </c>
      <c r="F204" s="551" t="s">
        <v>698</v>
      </c>
      <c r="G204" s="649" t="s">
        <v>1217</v>
      </c>
      <c r="H204" s="647" t="str">
        <f t="shared" si="30"/>
        <v>entree, gang, hal, repro, kopieer, was/droogruimte</v>
      </c>
      <c r="I204" s="719" t="s">
        <v>492</v>
      </c>
      <c r="J204" s="623">
        <v>8.6999999999999993</v>
      </c>
      <c r="K204" s="623"/>
      <c r="L204" s="651">
        <v>3153</v>
      </c>
      <c r="M204" s="557">
        <f t="shared" si="34"/>
        <v>103</v>
      </c>
      <c r="N204" s="453"/>
      <c r="O204" s="557">
        <f t="shared" si="35"/>
        <v>153</v>
      </c>
      <c r="P204" s="633">
        <v>1</v>
      </c>
      <c r="Q204" s="776">
        <f t="shared" si="36"/>
        <v>0</v>
      </c>
      <c r="R204" s="776">
        <f t="shared" si="37"/>
        <v>0</v>
      </c>
      <c r="S204" s="552">
        <f t="shared" si="38"/>
        <v>0</v>
      </c>
      <c r="T204" s="626">
        <f t="shared" si="31"/>
        <v>0</v>
      </c>
      <c r="U204" s="626">
        <f t="shared" si="32"/>
        <v>0</v>
      </c>
      <c r="V204" s="553">
        <f t="shared" si="33"/>
        <v>0</v>
      </c>
      <c r="W204" s="554" t="str">
        <f t="shared" si="39"/>
        <v>V</v>
      </c>
      <c r="X204" s="555"/>
      <c r="Y204" s="631">
        <f>IF(Q204=0,0,(Q204+R204)*'1.0-Contractblad'!$L$98)</f>
        <v>0</v>
      </c>
      <c r="Z204" s="632">
        <f ca="1">IF(J204=0,0,VLOOKUP(D204,'1.1a-Jaarprijzen'!$B$70:$P$124,14,FALSE)*(K204+J204))</f>
        <v>0</v>
      </c>
    </row>
    <row r="205" spans="1:26" hidden="1">
      <c r="A205" s="558"/>
      <c r="B205" s="548"/>
      <c r="C205" s="659">
        <v>3</v>
      </c>
      <c r="D205" s="549" t="s">
        <v>1470</v>
      </c>
      <c r="E205" s="550" t="s">
        <v>502</v>
      </c>
      <c r="F205" s="551" t="s">
        <v>699</v>
      </c>
      <c r="G205" s="649" t="s">
        <v>1278</v>
      </c>
      <c r="H205" s="647" t="str">
        <f t="shared" si="30"/>
        <v>niet van toepassing</v>
      </c>
      <c r="I205" s="719" t="s">
        <v>492</v>
      </c>
      <c r="J205" s="623"/>
      <c r="K205" s="623"/>
      <c r="L205" s="668" t="s">
        <v>27</v>
      </c>
      <c r="M205" s="557">
        <f t="shared" si="34"/>
        <v>0</v>
      </c>
      <c r="N205" s="453"/>
      <c r="O205" s="557">
        <f t="shared" si="35"/>
        <v>0</v>
      </c>
      <c r="P205" s="633">
        <v>1</v>
      </c>
      <c r="Q205" s="776">
        <f t="shared" si="36"/>
        <v>0</v>
      </c>
      <c r="R205" s="776">
        <f t="shared" si="37"/>
        <v>0</v>
      </c>
      <c r="S205" s="552">
        <f t="shared" si="38"/>
        <v>0</v>
      </c>
      <c r="T205" s="626">
        <f t="shared" si="31"/>
        <v>0</v>
      </c>
      <c r="U205" s="626">
        <f t="shared" si="32"/>
        <v>0</v>
      </c>
      <c r="V205" s="553">
        <f t="shared" si="33"/>
        <v>0</v>
      </c>
      <c r="W205" s="554">
        <f t="shared" si="39"/>
        <v>0</v>
      </c>
      <c r="X205" s="454" t="s">
        <v>1454</v>
      </c>
      <c r="Y205" s="631">
        <f>IF(Q205=0,0,(Q205+R205)*'1.0-Contractblad'!$L$98)</f>
        <v>0</v>
      </c>
      <c r="Z205" s="632">
        <f>IF(J205=0,0,VLOOKUP(D205,'1.1a-Jaarprijzen'!$B$70:$P$124,14,FALSE)*(K205+J205))</f>
        <v>0</v>
      </c>
    </row>
    <row r="206" spans="1:26" hidden="1">
      <c r="A206" s="558"/>
      <c r="B206" s="548"/>
      <c r="C206" s="659">
        <v>3</v>
      </c>
      <c r="D206" s="549" t="s">
        <v>1470</v>
      </c>
      <c r="E206" s="550" t="s">
        <v>502</v>
      </c>
      <c r="F206" s="551" t="s">
        <v>700</v>
      </c>
      <c r="G206" s="649" t="s">
        <v>1279</v>
      </c>
      <c r="H206" s="647" t="str">
        <f t="shared" si="30"/>
        <v>aula, gemeenschappelijke ruimte, bibliotheek</v>
      </c>
      <c r="I206" s="719" t="s">
        <v>106</v>
      </c>
      <c r="J206" s="623">
        <v>9.6999999999999993</v>
      </c>
      <c r="K206" s="623"/>
      <c r="L206" s="559">
        <v>2153</v>
      </c>
      <c r="M206" s="557">
        <f t="shared" si="34"/>
        <v>102</v>
      </c>
      <c r="N206" s="453"/>
      <c r="O206" s="557">
        <f t="shared" si="35"/>
        <v>153</v>
      </c>
      <c r="P206" s="633">
        <v>1</v>
      </c>
      <c r="Q206" s="776">
        <f t="shared" si="36"/>
        <v>0</v>
      </c>
      <c r="R206" s="776">
        <f t="shared" si="37"/>
        <v>0</v>
      </c>
      <c r="S206" s="552">
        <f t="shared" si="38"/>
        <v>0</v>
      </c>
      <c r="T206" s="626">
        <f t="shared" si="31"/>
        <v>0</v>
      </c>
      <c r="U206" s="626">
        <f t="shared" si="32"/>
        <v>0</v>
      </c>
      <c r="V206" s="553">
        <f t="shared" si="33"/>
        <v>0</v>
      </c>
      <c r="W206" s="554" t="str">
        <f t="shared" si="39"/>
        <v>V</v>
      </c>
      <c r="X206" s="556"/>
      <c r="Y206" s="631">
        <f>IF(Q206=0,0,(Q206+R206)*'1.0-Contractblad'!$L$98)</f>
        <v>0</v>
      </c>
      <c r="Z206" s="632">
        <f ca="1">IF(J206=0,0,VLOOKUP(D206,'1.1a-Jaarprijzen'!$B$70:$P$124,14,FALSE)*(K206+J206))</f>
        <v>0</v>
      </c>
    </row>
    <row r="207" spans="1:26" hidden="1">
      <c r="A207" s="558"/>
      <c r="B207" s="548"/>
      <c r="C207" s="659">
        <v>3</v>
      </c>
      <c r="D207" s="549" t="s">
        <v>1470</v>
      </c>
      <c r="E207" s="550" t="s">
        <v>502</v>
      </c>
      <c r="F207" s="551" t="s">
        <v>701</v>
      </c>
      <c r="G207" s="649" t="s">
        <v>1277</v>
      </c>
      <c r="H207" s="647" t="str">
        <f t="shared" si="30"/>
        <v>sanitaire ruimte (toilet-/doucheruimte)</v>
      </c>
      <c r="I207" s="719" t="s">
        <v>84</v>
      </c>
      <c r="J207" s="623">
        <v>5.0999999999999996</v>
      </c>
      <c r="K207" s="623"/>
      <c r="L207" s="559">
        <v>4255</v>
      </c>
      <c r="M207" s="557">
        <f t="shared" si="34"/>
        <v>104</v>
      </c>
      <c r="N207" s="453"/>
      <c r="O207" s="557">
        <f t="shared" si="35"/>
        <v>255</v>
      </c>
      <c r="P207" s="633">
        <v>1</v>
      </c>
      <c r="Q207" s="776">
        <f t="shared" si="36"/>
        <v>0</v>
      </c>
      <c r="R207" s="776">
        <f t="shared" si="37"/>
        <v>0</v>
      </c>
      <c r="S207" s="552">
        <f t="shared" si="38"/>
        <v>0</v>
      </c>
      <c r="T207" s="626">
        <f t="shared" si="31"/>
        <v>0</v>
      </c>
      <c r="U207" s="626">
        <f t="shared" si="32"/>
        <v>0</v>
      </c>
      <c r="V207" s="553">
        <f t="shared" si="33"/>
        <v>0</v>
      </c>
      <c r="W207" s="554" t="str">
        <f t="shared" si="39"/>
        <v>S</v>
      </c>
      <c r="X207" s="555"/>
      <c r="Y207" s="631">
        <f>IF(Q207=0,0,(Q207+R207)*'1.0-Contractblad'!$L$98)</f>
        <v>0</v>
      </c>
      <c r="Z207" s="632">
        <f ca="1">IF(J207=0,0,VLOOKUP(D207,'1.1a-Jaarprijzen'!$B$70:$P$124,14,FALSE)*(K207+J207))</f>
        <v>0</v>
      </c>
    </row>
    <row r="208" spans="1:26" hidden="1">
      <c r="A208" s="558"/>
      <c r="B208" s="548"/>
      <c r="C208" s="659">
        <v>3</v>
      </c>
      <c r="D208" s="549" t="s">
        <v>1470</v>
      </c>
      <c r="E208" s="550" t="s">
        <v>502</v>
      </c>
      <c r="F208" s="551" t="s">
        <v>702</v>
      </c>
      <c r="G208" s="649" t="s">
        <v>1286</v>
      </c>
      <c r="H208" s="647" t="str">
        <f t="shared" si="30"/>
        <v>niet van toepassing</v>
      </c>
      <c r="I208" s="719"/>
      <c r="J208" s="623"/>
      <c r="K208" s="623"/>
      <c r="L208" s="668" t="s">
        <v>27</v>
      </c>
      <c r="M208" s="557">
        <f t="shared" si="34"/>
        <v>0</v>
      </c>
      <c r="N208" s="453"/>
      <c r="O208" s="557">
        <f t="shared" si="35"/>
        <v>0</v>
      </c>
      <c r="P208" s="633">
        <v>1</v>
      </c>
      <c r="Q208" s="776">
        <f t="shared" si="36"/>
        <v>0</v>
      </c>
      <c r="R208" s="776">
        <f t="shared" si="37"/>
        <v>0</v>
      </c>
      <c r="S208" s="552">
        <f t="shared" si="38"/>
        <v>0</v>
      </c>
      <c r="T208" s="626">
        <f t="shared" si="31"/>
        <v>0</v>
      </c>
      <c r="U208" s="626">
        <f t="shared" si="32"/>
        <v>0</v>
      </c>
      <c r="V208" s="553">
        <f t="shared" si="33"/>
        <v>0</v>
      </c>
      <c r="W208" s="554">
        <f t="shared" si="39"/>
        <v>0</v>
      </c>
      <c r="X208" s="454" t="s">
        <v>1454</v>
      </c>
      <c r="Y208" s="631">
        <f>IF(Q208=0,0,(Q208+R208)*'1.0-Contractblad'!$L$98)</f>
        <v>0</v>
      </c>
      <c r="Z208" s="632">
        <f>IF(J208=0,0,VLOOKUP(D208,'1.1a-Jaarprijzen'!$B$70:$P$124,14,FALSE)*(K208+J208))</f>
        <v>0</v>
      </c>
    </row>
    <row r="209" spans="1:26" hidden="1">
      <c r="A209" s="558"/>
      <c r="B209" s="548"/>
      <c r="C209" s="659">
        <v>3</v>
      </c>
      <c r="D209" s="549" t="s">
        <v>1470</v>
      </c>
      <c r="E209" s="550" t="s">
        <v>502</v>
      </c>
      <c r="F209" s="551" t="s">
        <v>703</v>
      </c>
      <c r="G209" s="649" t="s">
        <v>1239</v>
      </c>
      <c r="H209" s="647" t="str">
        <f t="shared" si="30"/>
        <v>administratieve -, personeels- en vergaderruimte</v>
      </c>
      <c r="I209" s="719" t="s">
        <v>106</v>
      </c>
      <c r="J209" s="623">
        <v>17.5</v>
      </c>
      <c r="K209" s="623"/>
      <c r="L209" s="651">
        <v>1102</v>
      </c>
      <c r="M209" s="557">
        <f t="shared" si="34"/>
        <v>101</v>
      </c>
      <c r="N209" s="453"/>
      <c r="O209" s="557">
        <f t="shared" si="35"/>
        <v>102</v>
      </c>
      <c r="P209" s="633">
        <v>1</v>
      </c>
      <c r="Q209" s="776">
        <f t="shared" si="36"/>
        <v>0</v>
      </c>
      <c r="R209" s="776">
        <f t="shared" si="37"/>
        <v>0</v>
      </c>
      <c r="S209" s="552">
        <f t="shared" si="38"/>
        <v>0</v>
      </c>
      <c r="T209" s="626">
        <f t="shared" si="31"/>
        <v>0</v>
      </c>
      <c r="U209" s="626">
        <f t="shared" si="32"/>
        <v>0</v>
      </c>
      <c r="V209" s="553">
        <f t="shared" si="33"/>
        <v>0</v>
      </c>
      <c r="W209" s="554" t="str">
        <f t="shared" si="39"/>
        <v>B</v>
      </c>
      <c r="X209" s="555"/>
      <c r="Y209" s="631">
        <f>IF(Q209=0,0,(Q209+R209)*'1.0-Contractblad'!$L$98)</f>
        <v>0</v>
      </c>
      <c r="Z209" s="632">
        <f ca="1">IF(J209=0,0,VLOOKUP(D209,'1.1a-Jaarprijzen'!$B$70:$P$124,14,FALSE)*(K209+J209))</f>
        <v>0</v>
      </c>
    </row>
    <row r="210" spans="1:26" hidden="1">
      <c r="A210" s="558"/>
      <c r="B210" s="548"/>
      <c r="C210" s="659">
        <v>3</v>
      </c>
      <c r="D210" s="549" t="s">
        <v>1469</v>
      </c>
      <c r="E210" s="550" t="s">
        <v>502</v>
      </c>
      <c r="F210" s="551" t="s">
        <v>704</v>
      </c>
      <c r="G210" s="649" t="s">
        <v>1287</v>
      </c>
      <c r="H210" s="647" t="str">
        <f t="shared" si="30"/>
        <v>sanitaire ruimte (toilet-/doucheruimte)</v>
      </c>
      <c r="I210" s="719" t="s">
        <v>84</v>
      </c>
      <c r="J210" s="623">
        <v>8.5</v>
      </c>
      <c r="K210" s="623"/>
      <c r="L210" s="559">
        <v>4153</v>
      </c>
      <c r="M210" s="557">
        <f t="shared" si="34"/>
        <v>104</v>
      </c>
      <c r="N210" s="453"/>
      <c r="O210" s="557">
        <f t="shared" si="35"/>
        <v>153</v>
      </c>
      <c r="P210" s="633">
        <v>1</v>
      </c>
      <c r="Q210" s="776">
        <f t="shared" si="36"/>
        <v>0</v>
      </c>
      <c r="R210" s="776">
        <f t="shared" si="37"/>
        <v>0</v>
      </c>
      <c r="S210" s="552">
        <f t="shared" si="38"/>
        <v>0</v>
      </c>
      <c r="T210" s="626">
        <f t="shared" si="31"/>
        <v>0</v>
      </c>
      <c r="U210" s="626">
        <f t="shared" si="32"/>
        <v>0</v>
      </c>
      <c r="V210" s="553">
        <f t="shared" si="33"/>
        <v>0</v>
      </c>
      <c r="W210" s="554" t="str">
        <f t="shared" si="39"/>
        <v>S</v>
      </c>
      <c r="X210" s="555"/>
      <c r="Y210" s="631">
        <f>IF(Q210=0,0,(Q210+R210)*'1.0-Contractblad'!$L$98)</f>
        <v>0</v>
      </c>
      <c r="Z210" s="632">
        <f ca="1">IF(J210=0,0,VLOOKUP(D210,'1.1a-Jaarprijzen'!$B$70:$P$124,14,FALSE)*(K210+J210))</f>
        <v>0</v>
      </c>
    </row>
    <row r="211" spans="1:26" hidden="1">
      <c r="A211" s="558"/>
      <c r="B211" s="548"/>
      <c r="C211" s="659">
        <v>3</v>
      </c>
      <c r="D211" s="549" t="s">
        <v>1469</v>
      </c>
      <c r="E211" s="550" t="s">
        <v>502</v>
      </c>
      <c r="F211" s="551" t="s">
        <v>705</v>
      </c>
      <c r="G211" s="649" t="s">
        <v>1287</v>
      </c>
      <c r="H211" s="647" t="str">
        <f t="shared" si="30"/>
        <v>sanitaire ruimte (toilet-/doucheruimte)</v>
      </c>
      <c r="I211" s="719" t="s">
        <v>84</v>
      </c>
      <c r="J211" s="623">
        <v>8.6999999999999993</v>
      </c>
      <c r="K211" s="623"/>
      <c r="L211" s="559">
        <v>4153</v>
      </c>
      <c r="M211" s="557">
        <f t="shared" si="34"/>
        <v>104</v>
      </c>
      <c r="N211" s="453"/>
      <c r="O211" s="557">
        <f t="shared" si="35"/>
        <v>153</v>
      </c>
      <c r="P211" s="633">
        <v>1</v>
      </c>
      <c r="Q211" s="776">
        <f t="shared" si="36"/>
        <v>0</v>
      </c>
      <c r="R211" s="776">
        <f t="shared" si="37"/>
        <v>0</v>
      </c>
      <c r="S211" s="552">
        <f t="shared" si="38"/>
        <v>0</v>
      </c>
      <c r="T211" s="626">
        <f t="shared" si="31"/>
        <v>0</v>
      </c>
      <c r="U211" s="626">
        <f t="shared" si="32"/>
        <v>0</v>
      </c>
      <c r="V211" s="553">
        <f t="shared" si="33"/>
        <v>0</v>
      </c>
      <c r="W211" s="554" t="str">
        <f t="shared" si="39"/>
        <v>S</v>
      </c>
      <c r="X211" s="555"/>
      <c r="Y211" s="631">
        <f>IF(Q211=0,0,(Q211+R211)*'1.0-Contractblad'!$L$98)</f>
        <v>0</v>
      </c>
      <c r="Z211" s="632">
        <f ca="1">IF(J211=0,0,VLOOKUP(D211,'1.1a-Jaarprijzen'!$B$70:$P$124,14,FALSE)*(K211+J211))</f>
        <v>0</v>
      </c>
    </row>
    <row r="212" spans="1:26" hidden="1">
      <c r="A212" s="558"/>
      <c r="B212" s="548"/>
      <c r="C212" s="659">
        <v>3</v>
      </c>
      <c r="D212" s="549" t="s">
        <v>1469</v>
      </c>
      <c r="E212" s="550" t="s">
        <v>502</v>
      </c>
      <c r="F212" s="551" t="s">
        <v>706</v>
      </c>
      <c r="G212" s="649" t="s">
        <v>1283</v>
      </c>
      <c r="H212" s="647" t="str">
        <f t="shared" si="30"/>
        <v>niet van toepassing</v>
      </c>
      <c r="I212" s="719"/>
      <c r="J212" s="623"/>
      <c r="K212" s="623"/>
      <c r="L212" s="668" t="s">
        <v>27</v>
      </c>
      <c r="M212" s="557">
        <f t="shared" si="34"/>
        <v>0</v>
      </c>
      <c r="N212" s="453"/>
      <c r="O212" s="557">
        <f t="shared" si="35"/>
        <v>0</v>
      </c>
      <c r="P212" s="633">
        <v>1</v>
      </c>
      <c r="Q212" s="776">
        <f t="shared" si="36"/>
        <v>0</v>
      </c>
      <c r="R212" s="776">
        <f t="shared" si="37"/>
        <v>0</v>
      </c>
      <c r="S212" s="552">
        <f t="shared" si="38"/>
        <v>0</v>
      </c>
      <c r="T212" s="626">
        <f t="shared" si="31"/>
        <v>0</v>
      </c>
      <c r="U212" s="626">
        <f t="shared" si="32"/>
        <v>0</v>
      </c>
      <c r="V212" s="553">
        <f t="shared" si="33"/>
        <v>0</v>
      </c>
      <c r="W212" s="554">
        <f t="shared" si="39"/>
        <v>0</v>
      </c>
      <c r="X212" s="454" t="s">
        <v>1454</v>
      </c>
      <c r="Y212" s="631">
        <f>IF(Q212=0,0,(Q212+R212)*'1.0-Contractblad'!$L$98)</f>
        <v>0</v>
      </c>
      <c r="Z212" s="632">
        <f>IF(J212=0,0,VLOOKUP(D212,'1.1a-Jaarprijzen'!$B$70:$P$124,14,FALSE)*(K212+J212))</f>
        <v>0</v>
      </c>
    </row>
    <row r="213" spans="1:26" hidden="1">
      <c r="A213" s="558"/>
      <c r="B213" s="548"/>
      <c r="C213" s="659">
        <v>3</v>
      </c>
      <c r="D213" s="549" t="s">
        <v>1471</v>
      </c>
      <c r="E213" s="550" t="s">
        <v>502</v>
      </c>
      <c r="F213" s="551" t="s">
        <v>707</v>
      </c>
      <c r="G213" s="649" t="s">
        <v>1237</v>
      </c>
      <c r="H213" s="647" t="str">
        <f t="shared" si="30"/>
        <v>trappenhuis</v>
      </c>
      <c r="I213" s="719" t="s">
        <v>1402</v>
      </c>
      <c r="J213" s="623">
        <v>5.7</v>
      </c>
      <c r="K213" s="623"/>
      <c r="L213" s="559">
        <v>9153</v>
      </c>
      <c r="M213" s="557">
        <f t="shared" si="34"/>
        <v>109</v>
      </c>
      <c r="N213" s="453"/>
      <c r="O213" s="557">
        <f t="shared" si="35"/>
        <v>153</v>
      </c>
      <c r="P213" s="633">
        <v>1</v>
      </c>
      <c r="Q213" s="776">
        <f t="shared" si="36"/>
        <v>0</v>
      </c>
      <c r="R213" s="776">
        <f t="shared" si="37"/>
        <v>0</v>
      </c>
      <c r="S213" s="552">
        <f t="shared" si="38"/>
        <v>0</v>
      </c>
      <c r="T213" s="626">
        <f t="shared" si="31"/>
        <v>0</v>
      </c>
      <c r="U213" s="626">
        <f t="shared" si="32"/>
        <v>0</v>
      </c>
      <c r="V213" s="553">
        <f t="shared" si="33"/>
        <v>0</v>
      </c>
      <c r="W213" s="554" t="str">
        <f t="shared" si="39"/>
        <v>V</v>
      </c>
      <c r="X213" s="555"/>
      <c r="Y213" s="631">
        <f>IF(Q213=0,0,(Q213+R213)*'1.0-Contractblad'!$L$98)</f>
        <v>0</v>
      </c>
      <c r="Z213" s="632">
        <f ca="1">IF(J213=0,0,VLOOKUP(D213,'1.1a-Jaarprijzen'!$B$70:$P$124,14,FALSE)*(K213+J213))</f>
        <v>0</v>
      </c>
    </row>
    <row r="214" spans="1:26" hidden="1">
      <c r="A214" s="501"/>
      <c r="B214" s="548"/>
      <c r="C214" s="659">
        <v>3</v>
      </c>
      <c r="D214" s="549" t="s">
        <v>1471</v>
      </c>
      <c r="E214" s="660" t="s">
        <v>502</v>
      </c>
      <c r="F214" s="648" t="s">
        <v>708</v>
      </c>
      <c r="G214" s="649" t="s">
        <v>1217</v>
      </c>
      <c r="H214" s="647" t="str">
        <f t="shared" si="30"/>
        <v>entree, gang, hal, repro, kopieer, was/droogruimte</v>
      </c>
      <c r="I214" s="718" t="s">
        <v>1402</v>
      </c>
      <c r="J214" s="650">
        <v>9.5</v>
      </c>
      <c r="K214" s="661"/>
      <c r="L214" s="651">
        <v>3153</v>
      </c>
      <c r="M214" s="557">
        <f t="shared" si="34"/>
        <v>103</v>
      </c>
      <c r="N214" s="453"/>
      <c r="O214" s="557">
        <f t="shared" si="35"/>
        <v>153</v>
      </c>
      <c r="P214" s="633">
        <v>1</v>
      </c>
      <c r="Q214" s="776">
        <f t="shared" si="36"/>
        <v>0</v>
      </c>
      <c r="R214" s="776">
        <f t="shared" si="37"/>
        <v>0</v>
      </c>
      <c r="S214" s="552">
        <f t="shared" si="38"/>
        <v>0</v>
      </c>
      <c r="T214" s="626">
        <f t="shared" si="31"/>
        <v>0</v>
      </c>
      <c r="U214" s="626">
        <f t="shared" si="32"/>
        <v>0</v>
      </c>
      <c r="V214" s="553">
        <f t="shared" si="33"/>
        <v>0</v>
      </c>
      <c r="W214" s="554" t="str">
        <f t="shared" si="39"/>
        <v>V</v>
      </c>
      <c r="X214" s="555"/>
      <c r="Y214" s="631">
        <f>IF(Q214=0,0,(Q214+R214)*'1.0-Contractblad'!$L$98)</f>
        <v>0</v>
      </c>
      <c r="Z214" s="632">
        <f ca="1">IF(J214=0,0,VLOOKUP(D214,'1.1a-Jaarprijzen'!$B$70:$P$124,14,FALSE)*(K214+J214))</f>
        <v>0</v>
      </c>
    </row>
    <row r="215" spans="1:26" hidden="1">
      <c r="A215" s="501"/>
      <c r="B215" s="548"/>
      <c r="C215" s="659">
        <v>3</v>
      </c>
      <c r="D215" s="549" t="s">
        <v>1471</v>
      </c>
      <c r="E215" s="660" t="s">
        <v>502</v>
      </c>
      <c r="F215" s="648" t="s">
        <v>709</v>
      </c>
      <c r="G215" s="649" t="s">
        <v>1221</v>
      </c>
      <c r="H215" s="647" t="str">
        <f t="shared" si="30"/>
        <v>entree, gang, hal, repro, kopieer, was/droogruimte</v>
      </c>
      <c r="I215" s="718" t="s">
        <v>491</v>
      </c>
      <c r="J215" s="650">
        <v>46.8</v>
      </c>
      <c r="K215" s="661"/>
      <c r="L215" s="651">
        <v>3153</v>
      </c>
      <c r="M215" s="557">
        <f t="shared" si="34"/>
        <v>103</v>
      </c>
      <c r="N215" s="453"/>
      <c r="O215" s="557">
        <f t="shared" si="35"/>
        <v>153</v>
      </c>
      <c r="P215" s="633">
        <v>1</v>
      </c>
      <c r="Q215" s="776">
        <f t="shared" si="36"/>
        <v>0</v>
      </c>
      <c r="R215" s="776">
        <f t="shared" si="37"/>
        <v>0</v>
      </c>
      <c r="S215" s="552">
        <f t="shared" si="38"/>
        <v>0</v>
      </c>
      <c r="T215" s="626">
        <f t="shared" si="31"/>
        <v>0</v>
      </c>
      <c r="U215" s="626">
        <f t="shared" si="32"/>
        <v>0</v>
      </c>
      <c r="V215" s="553">
        <f t="shared" si="33"/>
        <v>0</v>
      </c>
      <c r="W215" s="554" t="str">
        <f t="shared" si="39"/>
        <v>V</v>
      </c>
      <c r="X215" s="555"/>
      <c r="Y215" s="631">
        <f>IF(Q215=0,0,(Q215+R215)*'1.0-Contractblad'!$L$98)</f>
        <v>0</v>
      </c>
      <c r="Z215" s="632">
        <f ca="1">IF(J215=0,0,VLOOKUP(D215,'1.1a-Jaarprijzen'!$B$70:$P$124,14,FALSE)*(K215+J215))</f>
        <v>0</v>
      </c>
    </row>
    <row r="216" spans="1:26" hidden="1">
      <c r="A216" s="501"/>
      <c r="B216" s="548"/>
      <c r="C216" s="659">
        <v>3</v>
      </c>
      <c r="D216" s="549" t="s">
        <v>1471</v>
      </c>
      <c r="E216" s="660" t="s">
        <v>502</v>
      </c>
      <c r="F216" s="648" t="s">
        <v>710</v>
      </c>
      <c r="G216" s="649" t="s">
        <v>1288</v>
      </c>
      <c r="H216" s="647" t="str">
        <f t="shared" si="30"/>
        <v>niet van toepassing</v>
      </c>
      <c r="I216" s="718" t="s">
        <v>106</v>
      </c>
      <c r="J216" s="650"/>
      <c r="K216" s="661"/>
      <c r="L216" s="668" t="s">
        <v>27</v>
      </c>
      <c r="M216" s="557">
        <f t="shared" si="34"/>
        <v>0</v>
      </c>
      <c r="N216" s="453"/>
      <c r="O216" s="557">
        <f t="shared" si="35"/>
        <v>0</v>
      </c>
      <c r="P216" s="633">
        <v>1</v>
      </c>
      <c r="Q216" s="776">
        <f t="shared" si="36"/>
        <v>0</v>
      </c>
      <c r="R216" s="776">
        <f t="shared" si="37"/>
        <v>0</v>
      </c>
      <c r="S216" s="552">
        <f t="shared" si="38"/>
        <v>0</v>
      </c>
      <c r="T216" s="626">
        <f t="shared" si="31"/>
        <v>0</v>
      </c>
      <c r="U216" s="626">
        <f t="shared" si="32"/>
        <v>0</v>
      </c>
      <c r="V216" s="553">
        <f t="shared" si="33"/>
        <v>0</v>
      </c>
      <c r="W216" s="554">
        <f t="shared" si="39"/>
        <v>0</v>
      </c>
      <c r="X216" s="454" t="s">
        <v>1454</v>
      </c>
      <c r="Y216" s="631">
        <f>IF(Q216=0,0,(Q216+R216)*'1.0-Contractblad'!$L$98)</f>
        <v>0</v>
      </c>
      <c r="Z216" s="632">
        <f>IF(J216=0,0,VLOOKUP(D216,'1.1a-Jaarprijzen'!$B$70:$P$124,14,FALSE)*(K216+J216))</f>
        <v>0</v>
      </c>
    </row>
    <row r="217" spans="1:26" hidden="1">
      <c r="A217" s="501"/>
      <c r="B217" s="548"/>
      <c r="C217" s="659">
        <v>3</v>
      </c>
      <c r="D217" s="549" t="s">
        <v>1471</v>
      </c>
      <c r="E217" s="660" t="s">
        <v>502</v>
      </c>
      <c r="F217" s="648" t="s">
        <v>711</v>
      </c>
      <c r="G217" s="649" t="s">
        <v>1288</v>
      </c>
      <c r="H217" s="647" t="str">
        <f t="shared" si="30"/>
        <v>niet van toepassing</v>
      </c>
      <c r="I217" s="718" t="s">
        <v>106</v>
      </c>
      <c r="J217" s="650"/>
      <c r="K217" s="661"/>
      <c r="L217" s="668" t="s">
        <v>27</v>
      </c>
      <c r="M217" s="557">
        <f t="shared" si="34"/>
        <v>0</v>
      </c>
      <c r="N217" s="453"/>
      <c r="O217" s="557">
        <f t="shared" si="35"/>
        <v>0</v>
      </c>
      <c r="P217" s="633">
        <v>1</v>
      </c>
      <c r="Q217" s="776">
        <f t="shared" si="36"/>
        <v>0</v>
      </c>
      <c r="R217" s="776">
        <f t="shared" si="37"/>
        <v>0</v>
      </c>
      <c r="S217" s="552">
        <f t="shared" si="38"/>
        <v>0</v>
      </c>
      <c r="T217" s="626">
        <f t="shared" si="31"/>
        <v>0</v>
      </c>
      <c r="U217" s="626">
        <f t="shared" si="32"/>
        <v>0</v>
      </c>
      <c r="V217" s="553">
        <f t="shared" si="33"/>
        <v>0</v>
      </c>
      <c r="W217" s="554">
        <f t="shared" si="39"/>
        <v>0</v>
      </c>
      <c r="X217" s="454" t="s">
        <v>1454</v>
      </c>
      <c r="Y217" s="631">
        <f>IF(Q217=0,0,(Q217+R217)*'1.0-Contractblad'!$L$98)</f>
        <v>0</v>
      </c>
      <c r="Z217" s="632">
        <f>IF(J217=0,0,VLOOKUP(D217,'1.1a-Jaarprijzen'!$B$70:$P$124,14,FALSE)*(K217+J217))</f>
        <v>0</v>
      </c>
    </row>
    <row r="218" spans="1:26" hidden="1">
      <c r="A218" s="501"/>
      <c r="B218" s="548"/>
      <c r="C218" s="659">
        <v>3</v>
      </c>
      <c r="D218" s="549" t="s">
        <v>1471</v>
      </c>
      <c r="E218" s="660" t="s">
        <v>502</v>
      </c>
      <c r="F218" s="648" t="s">
        <v>712</v>
      </c>
      <c r="G218" s="649" t="s">
        <v>1288</v>
      </c>
      <c r="H218" s="647" t="str">
        <f t="shared" si="30"/>
        <v>niet van toepassing</v>
      </c>
      <c r="I218" s="718" t="s">
        <v>106</v>
      </c>
      <c r="J218" s="650"/>
      <c r="K218" s="661"/>
      <c r="L218" s="668" t="s">
        <v>27</v>
      </c>
      <c r="M218" s="557">
        <f t="shared" si="34"/>
        <v>0</v>
      </c>
      <c r="N218" s="453"/>
      <c r="O218" s="557">
        <f t="shared" si="35"/>
        <v>0</v>
      </c>
      <c r="P218" s="633">
        <v>1</v>
      </c>
      <c r="Q218" s="776">
        <f t="shared" si="36"/>
        <v>0</v>
      </c>
      <c r="R218" s="776">
        <f t="shared" si="37"/>
        <v>0</v>
      </c>
      <c r="S218" s="552">
        <f t="shared" si="38"/>
        <v>0</v>
      </c>
      <c r="T218" s="626">
        <f t="shared" si="31"/>
        <v>0</v>
      </c>
      <c r="U218" s="626">
        <f t="shared" si="32"/>
        <v>0</v>
      </c>
      <c r="V218" s="553">
        <f t="shared" si="33"/>
        <v>0</v>
      </c>
      <c r="W218" s="554">
        <f t="shared" si="39"/>
        <v>0</v>
      </c>
      <c r="X218" s="454" t="s">
        <v>1454</v>
      </c>
      <c r="Y218" s="631">
        <f>IF(Q218=0,0,(Q218+R218)*'1.0-Contractblad'!$L$98)</f>
        <v>0</v>
      </c>
      <c r="Z218" s="632">
        <f>IF(J218=0,0,VLOOKUP(D218,'1.1a-Jaarprijzen'!$B$70:$P$124,14,FALSE)*(K218+J218))</f>
        <v>0</v>
      </c>
    </row>
    <row r="219" spans="1:26" hidden="1">
      <c r="A219" s="501"/>
      <c r="B219" s="548"/>
      <c r="C219" s="659">
        <v>3</v>
      </c>
      <c r="D219" s="549" t="s">
        <v>1471</v>
      </c>
      <c r="E219" s="660" t="s">
        <v>502</v>
      </c>
      <c r="F219" s="648" t="s">
        <v>713</v>
      </c>
      <c r="G219" s="649" t="s">
        <v>1288</v>
      </c>
      <c r="H219" s="647" t="str">
        <f t="shared" si="30"/>
        <v>niet van toepassing</v>
      </c>
      <c r="I219" s="718" t="s">
        <v>106</v>
      </c>
      <c r="J219" s="650"/>
      <c r="K219" s="661"/>
      <c r="L219" s="668" t="s">
        <v>27</v>
      </c>
      <c r="M219" s="557">
        <f t="shared" si="34"/>
        <v>0</v>
      </c>
      <c r="N219" s="453"/>
      <c r="O219" s="557">
        <f t="shared" si="35"/>
        <v>0</v>
      </c>
      <c r="P219" s="633">
        <v>1</v>
      </c>
      <c r="Q219" s="776">
        <f t="shared" si="36"/>
        <v>0</v>
      </c>
      <c r="R219" s="776">
        <f t="shared" si="37"/>
        <v>0</v>
      </c>
      <c r="S219" s="552">
        <f t="shared" si="38"/>
        <v>0</v>
      </c>
      <c r="T219" s="626">
        <f t="shared" si="31"/>
        <v>0</v>
      </c>
      <c r="U219" s="626">
        <f t="shared" si="32"/>
        <v>0</v>
      </c>
      <c r="V219" s="553">
        <f t="shared" si="33"/>
        <v>0</v>
      </c>
      <c r="W219" s="554">
        <f t="shared" si="39"/>
        <v>0</v>
      </c>
      <c r="X219" s="454" t="s">
        <v>1454</v>
      </c>
      <c r="Y219" s="631">
        <f>IF(Q219=0,0,(Q219+R219)*'1.0-Contractblad'!$L$98)</f>
        <v>0</v>
      </c>
      <c r="Z219" s="632">
        <f>IF(J219=0,0,VLOOKUP(D219,'1.1a-Jaarprijzen'!$B$70:$P$124,14,FALSE)*(K219+J219))</f>
        <v>0</v>
      </c>
    </row>
    <row r="220" spans="1:26" hidden="1">
      <c r="A220" s="558"/>
      <c r="B220" s="548"/>
      <c r="C220" s="659">
        <v>3</v>
      </c>
      <c r="D220" s="549" t="s">
        <v>1471</v>
      </c>
      <c r="E220" s="660" t="s">
        <v>502</v>
      </c>
      <c r="F220" s="648" t="s">
        <v>714</v>
      </c>
      <c r="G220" s="649" t="s">
        <v>1288</v>
      </c>
      <c r="H220" s="647" t="str">
        <f t="shared" si="30"/>
        <v>niet van toepassing</v>
      </c>
      <c r="I220" s="718" t="s">
        <v>106</v>
      </c>
      <c r="J220" s="650"/>
      <c r="K220" s="650"/>
      <c r="L220" s="668" t="s">
        <v>27</v>
      </c>
      <c r="M220" s="557">
        <f t="shared" si="34"/>
        <v>0</v>
      </c>
      <c r="N220" s="453"/>
      <c r="O220" s="557">
        <f t="shared" si="35"/>
        <v>0</v>
      </c>
      <c r="P220" s="633">
        <v>1</v>
      </c>
      <c r="Q220" s="776">
        <f t="shared" si="36"/>
        <v>0</v>
      </c>
      <c r="R220" s="776">
        <f t="shared" si="37"/>
        <v>0</v>
      </c>
      <c r="S220" s="552">
        <f t="shared" si="38"/>
        <v>0</v>
      </c>
      <c r="T220" s="626">
        <f t="shared" si="31"/>
        <v>0</v>
      </c>
      <c r="U220" s="626">
        <f t="shared" si="32"/>
        <v>0</v>
      </c>
      <c r="V220" s="553">
        <f t="shared" si="33"/>
        <v>0</v>
      </c>
      <c r="W220" s="554">
        <f t="shared" si="39"/>
        <v>0</v>
      </c>
      <c r="X220" s="454" t="s">
        <v>1454</v>
      </c>
      <c r="Y220" s="631">
        <f>IF(Q220=0,0,(Q220+R220)*'1.0-Contractblad'!$L$98)</f>
        <v>0</v>
      </c>
      <c r="Z220" s="632">
        <f>IF(J220=0,0,VLOOKUP(D220,'1.1a-Jaarprijzen'!$B$70:$P$124,14,FALSE)*(K220+J220))</f>
        <v>0</v>
      </c>
    </row>
    <row r="221" spans="1:26" hidden="1">
      <c r="A221" s="558"/>
      <c r="B221" s="548"/>
      <c r="C221" s="659">
        <v>3</v>
      </c>
      <c r="D221" s="549" t="s">
        <v>1471</v>
      </c>
      <c r="E221" s="660" t="s">
        <v>502</v>
      </c>
      <c r="F221" s="648" t="s">
        <v>715</v>
      </c>
      <c r="G221" s="649" t="s">
        <v>1288</v>
      </c>
      <c r="H221" s="647" t="str">
        <f t="shared" si="30"/>
        <v>niet van toepassing</v>
      </c>
      <c r="I221" s="718" t="s">
        <v>106</v>
      </c>
      <c r="J221" s="650"/>
      <c r="K221" s="650"/>
      <c r="L221" s="668" t="s">
        <v>27</v>
      </c>
      <c r="M221" s="557">
        <f t="shared" si="34"/>
        <v>0</v>
      </c>
      <c r="N221" s="453"/>
      <c r="O221" s="557">
        <f t="shared" si="35"/>
        <v>0</v>
      </c>
      <c r="P221" s="633">
        <v>1</v>
      </c>
      <c r="Q221" s="776">
        <f t="shared" si="36"/>
        <v>0</v>
      </c>
      <c r="R221" s="776">
        <f t="shared" si="37"/>
        <v>0</v>
      </c>
      <c r="S221" s="552">
        <f t="shared" si="38"/>
        <v>0</v>
      </c>
      <c r="T221" s="626">
        <f t="shared" si="31"/>
        <v>0</v>
      </c>
      <c r="U221" s="626">
        <f t="shared" si="32"/>
        <v>0</v>
      </c>
      <c r="V221" s="553">
        <f t="shared" si="33"/>
        <v>0</v>
      </c>
      <c r="W221" s="554">
        <f t="shared" si="39"/>
        <v>0</v>
      </c>
      <c r="X221" s="454" t="s">
        <v>1454</v>
      </c>
      <c r="Y221" s="631">
        <f>IF(Q221=0,0,(Q221+R221)*'1.0-Contractblad'!$L$98)</f>
        <v>0</v>
      </c>
      <c r="Z221" s="632">
        <f>IF(J221=0,0,VLOOKUP(D221,'1.1a-Jaarprijzen'!$B$70:$P$124,14,FALSE)*(K221+J221))</f>
        <v>0</v>
      </c>
    </row>
    <row r="222" spans="1:26" hidden="1">
      <c r="A222" s="558"/>
      <c r="B222" s="548"/>
      <c r="C222" s="659">
        <v>3</v>
      </c>
      <c r="D222" s="549" t="s">
        <v>1471</v>
      </c>
      <c r="E222" s="660" t="s">
        <v>502</v>
      </c>
      <c r="F222" s="648" t="s">
        <v>716</v>
      </c>
      <c r="G222" s="649" t="s">
        <v>1288</v>
      </c>
      <c r="H222" s="647" t="str">
        <f t="shared" si="30"/>
        <v>niet van toepassing</v>
      </c>
      <c r="I222" s="718" t="s">
        <v>106</v>
      </c>
      <c r="J222" s="650"/>
      <c r="K222" s="650"/>
      <c r="L222" s="668" t="s">
        <v>27</v>
      </c>
      <c r="M222" s="557">
        <f t="shared" si="34"/>
        <v>0</v>
      </c>
      <c r="N222" s="453"/>
      <c r="O222" s="557">
        <f t="shared" si="35"/>
        <v>0</v>
      </c>
      <c r="P222" s="633">
        <v>1</v>
      </c>
      <c r="Q222" s="776">
        <f t="shared" si="36"/>
        <v>0</v>
      </c>
      <c r="R222" s="776">
        <f t="shared" si="37"/>
        <v>0</v>
      </c>
      <c r="S222" s="552">
        <f t="shared" si="38"/>
        <v>0</v>
      </c>
      <c r="T222" s="626">
        <f t="shared" si="31"/>
        <v>0</v>
      </c>
      <c r="U222" s="626">
        <f t="shared" si="32"/>
        <v>0</v>
      </c>
      <c r="V222" s="553">
        <f t="shared" si="33"/>
        <v>0</v>
      </c>
      <c r="W222" s="554">
        <f t="shared" si="39"/>
        <v>0</v>
      </c>
      <c r="X222" s="454" t="s">
        <v>1454</v>
      </c>
      <c r="Y222" s="631">
        <f>IF(Q222=0,0,(Q222+R222)*'1.0-Contractblad'!$L$98)</f>
        <v>0</v>
      </c>
      <c r="Z222" s="632">
        <f>IF(J222=0,0,VLOOKUP(D222,'1.1a-Jaarprijzen'!$B$70:$P$124,14,FALSE)*(K222+J222))</f>
        <v>0</v>
      </c>
    </row>
    <row r="223" spans="1:26" hidden="1">
      <c r="A223" s="558"/>
      <c r="B223" s="548"/>
      <c r="C223" s="659">
        <v>3</v>
      </c>
      <c r="D223" s="549" t="s">
        <v>1471</v>
      </c>
      <c r="E223" s="660" t="s">
        <v>502</v>
      </c>
      <c r="F223" s="648" t="s">
        <v>717</v>
      </c>
      <c r="G223" s="649" t="s">
        <v>1288</v>
      </c>
      <c r="H223" s="647" t="str">
        <f t="shared" si="30"/>
        <v>niet van toepassing</v>
      </c>
      <c r="I223" s="718" t="s">
        <v>106</v>
      </c>
      <c r="J223" s="650"/>
      <c r="K223" s="650"/>
      <c r="L223" s="668" t="s">
        <v>27</v>
      </c>
      <c r="M223" s="557">
        <f t="shared" si="34"/>
        <v>0</v>
      </c>
      <c r="N223" s="453"/>
      <c r="O223" s="557">
        <f t="shared" si="35"/>
        <v>0</v>
      </c>
      <c r="P223" s="633">
        <v>1</v>
      </c>
      <c r="Q223" s="776">
        <f t="shared" si="36"/>
        <v>0</v>
      </c>
      <c r="R223" s="776">
        <f t="shared" si="37"/>
        <v>0</v>
      </c>
      <c r="S223" s="552">
        <f t="shared" si="38"/>
        <v>0</v>
      </c>
      <c r="T223" s="626">
        <f t="shared" si="31"/>
        <v>0</v>
      </c>
      <c r="U223" s="626">
        <f t="shared" si="32"/>
        <v>0</v>
      </c>
      <c r="V223" s="553">
        <f t="shared" si="33"/>
        <v>0</v>
      </c>
      <c r="W223" s="554">
        <f t="shared" si="39"/>
        <v>0</v>
      </c>
      <c r="X223" s="454" t="s">
        <v>1454</v>
      </c>
      <c r="Y223" s="631">
        <f>IF(Q223=0,0,(Q223+R223)*'1.0-Contractblad'!$L$98)</f>
        <v>0</v>
      </c>
      <c r="Z223" s="632">
        <f>IF(J223=0,0,VLOOKUP(D223,'1.1a-Jaarprijzen'!$B$70:$P$124,14,FALSE)*(K223+J223))</f>
        <v>0</v>
      </c>
    </row>
    <row r="224" spans="1:26" hidden="1">
      <c r="A224" s="558"/>
      <c r="B224" s="548"/>
      <c r="C224" s="659">
        <v>3</v>
      </c>
      <c r="D224" s="549" t="s">
        <v>1471</v>
      </c>
      <c r="E224" s="660" t="s">
        <v>502</v>
      </c>
      <c r="F224" s="648" t="s">
        <v>718</v>
      </c>
      <c r="G224" s="649" t="s">
        <v>1288</v>
      </c>
      <c r="H224" s="647" t="str">
        <f t="shared" si="30"/>
        <v>niet van toepassing</v>
      </c>
      <c r="I224" s="718" t="s">
        <v>106</v>
      </c>
      <c r="J224" s="650"/>
      <c r="K224" s="650"/>
      <c r="L224" s="668" t="s">
        <v>27</v>
      </c>
      <c r="M224" s="557">
        <f t="shared" si="34"/>
        <v>0</v>
      </c>
      <c r="N224" s="453"/>
      <c r="O224" s="557">
        <f t="shared" si="35"/>
        <v>0</v>
      </c>
      <c r="P224" s="633">
        <v>1</v>
      </c>
      <c r="Q224" s="776">
        <f t="shared" si="36"/>
        <v>0</v>
      </c>
      <c r="R224" s="776">
        <f t="shared" si="37"/>
        <v>0</v>
      </c>
      <c r="S224" s="552">
        <f t="shared" si="38"/>
        <v>0</v>
      </c>
      <c r="T224" s="626">
        <f t="shared" si="31"/>
        <v>0</v>
      </c>
      <c r="U224" s="626">
        <f t="shared" si="32"/>
        <v>0</v>
      </c>
      <c r="V224" s="553">
        <f t="shared" si="33"/>
        <v>0</v>
      </c>
      <c r="W224" s="554">
        <f t="shared" si="39"/>
        <v>0</v>
      </c>
      <c r="X224" s="454" t="s">
        <v>1454</v>
      </c>
      <c r="Y224" s="631">
        <f>IF(Q224=0,0,(Q224+R224)*'1.0-Contractblad'!$L$98)</f>
        <v>0</v>
      </c>
      <c r="Z224" s="632">
        <f>IF(J224=0,0,VLOOKUP(D224,'1.1a-Jaarprijzen'!$B$70:$P$124,14,FALSE)*(K224+J224))</f>
        <v>0</v>
      </c>
    </row>
    <row r="225" spans="1:26" hidden="1">
      <c r="A225" s="558"/>
      <c r="B225" s="548"/>
      <c r="C225" s="659">
        <v>3</v>
      </c>
      <c r="D225" s="549" t="s">
        <v>1471</v>
      </c>
      <c r="E225" s="660" t="s">
        <v>502</v>
      </c>
      <c r="F225" s="648" t="s">
        <v>719</v>
      </c>
      <c r="G225" s="649" t="s">
        <v>1288</v>
      </c>
      <c r="H225" s="647" t="str">
        <f t="shared" si="30"/>
        <v>niet van toepassing</v>
      </c>
      <c r="I225" s="718" t="s">
        <v>106</v>
      </c>
      <c r="J225" s="650"/>
      <c r="K225" s="650"/>
      <c r="L225" s="668" t="s">
        <v>27</v>
      </c>
      <c r="M225" s="557">
        <f t="shared" si="34"/>
        <v>0</v>
      </c>
      <c r="N225" s="453"/>
      <c r="O225" s="557">
        <f t="shared" si="35"/>
        <v>0</v>
      </c>
      <c r="P225" s="633">
        <v>1</v>
      </c>
      <c r="Q225" s="776">
        <f t="shared" si="36"/>
        <v>0</v>
      </c>
      <c r="R225" s="776">
        <f t="shared" si="37"/>
        <v>0</v>
      </c>
      <c r="S225" s="552">
        <f t="shared" si="38"/>
        <v>0</v>
      </c>
      <c r="T225" s="626">
        <f t="shared" si="31"/>
        <v>0</v>
      </c>
      <c r="U225" s="626">
        <f t="shared" si="32"/>
        <v>0</v>
      </c>
      <c r="V225" s="553">
        <f t="shared" si="33"/>
        <v>0</v>
      </c>
      <c r="W225" s="554">
        <f t="shared" si="39"/>
        <v>0</v>
      </c>
      <c r="X225" s="454" t="s">
        <v>1454</v>
      </c>
      <c r="Y225" s="631">
        <f>IF(Q225=0,0,(Q225+R225)*'1.0-Contractblad'!$L$98)</f>
        <v>0</v>
      </c>
      <c r="Z225" s="632">
        <f>IF(J225=0,0,VLOOKUP(D225,'1.1a-Jaarprijzen'!$B$70:$P$124,14,FALSE)*(K225+J225))</f>
        <v>0</v>
      </c>
    </row>
    <row r="226" spans="1:26" hidden="1">
      <c r="A226" s="558"/>
      <c r="B226" s="548"/>
      <c r="C226" s="659">
        <v>3</v>
      </c>
      <c r="D226" s="549" t="s">
        <v>1471</v>
      </c>
      <c r="E226" s="660" t="s">
        <v>502</v>
      </c>
      <c r="F226" s="648" t="s">
        <v>720</v>
      </c>
      <c r="G226" s="649" t="s">
        <v>1288</v>
      </c>
      <c r="H226" s="647" t="str">
        <f t="shared" si="30"/>
        <v>niet van toepassing</v>
      </c>
      <c r="I226" s="718" t="s">
        <v>106</v>
      </c>
      <c r="J226" s="650"/>
      <c r="K226" s="650"/>
      <c r="L226" s="668" t="s">
        <v>27</v>
      </c>
      <c r="M226" s="557">
        <f t="shared" si="34"/>
        <v>0</v>
      </c>
      <c r="N226" s="453"/>
      <c r="O226" s="557">
        <f t="shared" si="35"/>
        <v>0</v>
      </c>
      <c r="P226" s="633">
        <v>1</v>
      </c>
      <c r="Q226" s="776">
        <f t="shared" si="36"/>
        <v>0</v>
      </c>
      <c r="R226" s="776">
        <f t="shared" si="37"/>
        <v>0</v>
      </c>
      <c r="S226" s="552">
        <f t="shared" si="38"/>
        <v>0</v>
      </c>
      <c r="T226" s="626">
        <f t="shared" si="31"/>
        <v>0</v>
      </c>
      <c r="U226" s="626">
        <f t="shared" si="32"/>
        <v>0</v>
      </c>
      <c r="V226" s="553">
        <f t="shared" si="33"/>
        <v>0</v>
      </c>
      <c r="W226" s="554">
        <f t="shared" si="39"/>
        <v>0</v>
      </c>
      <c r="X226" s="454" t="s">
        <v>1454</v>
      </c>
      <c r="Y226" s="631">
        <f>IF(Q226=0,0,(Q226+R226)*'1.0-Contractblad'!$L$98)</f>
        <v>0</v>
      </c>
      <c r="Z226" s="632">
        <f>IF(J226=0,0,VLOOKUP(D226,'1.1a-Jaarprijzen'!$B$70:$P$124,14,FALSE)*(K226+J226))</f>
        <v>0</v>
      </c>
    </row>
    <row r="227" spans="1:26" hidden="1">
      <c r="A227" s="558"/>
      <c r="B227" s="548"/>
      <c r="C227" s="659">
        <v>3</v>
      </c>
      <c r="D227" s="549" t="s">
        <v>1471</v>
      </c>
      <c r="E227" s="660" t="s">
        <v>502</v>
      </c>
      <c r="F227" s="648" t="s">
        <v>721</v>
      </c>
      <c r="G227" s="649" t="s">
        <v>489</v>
      </c>
      <c r="H227" s="647" t="str">
        <f t="shared" si="30"/>
        <v>sanitaire ruimte (toilet-/doucheruimte)</v>
      </c>
      <c r="I227" s="718" t="s">
        <v>84</v>
      </c>
      <c r="J227" s="650">
        <v>1.8</v>
      </c>
      <c r="K227" s="650"/>
      <c r="L227" s="559">
        <v>4255</v>
      </c>
      <c r="M227" s="557">
        <f t="shared" si="34"/>
        <v>104</v>
      </c>
      <c r="N227" s="453"/>
      <c r="O227" s="557">
        <f t="shared" si="35"/>
        <v>255</v>
      </c>
      <c r="P227" s="633">
        <v>1</v>
      </c>
      <c r="Q227" s="776">
        <f t="shared" si="36"/>
        <v>0</v>
      </c>
      <c r="R227" s="776">
        <f t="shared" si="37"/>
        <v>0</v>
      </c>
      <c r="S227" s="552">
        <f t="shared" si="38"/>
        <v>0</v>
      </c>
      <c r="T227" s="626">
        <f t="shared" si="31"/>
        <v>0</v>
      </c>
      <c r="U227" s="626">
        <f t="shared" si="32"/>
        <v>0</v>
      </c>
      <c r="V227" s="553">
        <f t="shared" si="33"/>
        <v>0</v>
      </c>
      <c r="W227" s="554" t="str">
        <f t="shared" si="39"/>
        <v>S</v>
      </c>
      <c r="X227" s="555"/>
      <c r="Y227" s="631">
        <f>IF(Q227=0,0,(Q227+R227)*'1.0-Contractblad'!$L$98)</f>
        <v>0</v>
      </c>
      <c r="Z227" s="632">
        <f ca="1">IF(J227=0,0,VLOOKUP(D227,'1.1a-Jaarprijzen'!$B$70:$P$124,14,FALSE)*(K227+J227))</f>
        <v>0</v>
      </c>
    </row>
    <row r="228" spans="1:26" hidden="1">
      <c r="A228" s="558"/>
      <c r="B228" s="548"/>
      <c r="C228" s="659">
        <v>3</v>
      </c>
      <c r="D228" s="549" t="s">
        <v>1471</v>
      </c>
      <c r="E228" s="660" t="s">
        <v>502</v>
      </c>
      <c r="F228" s="648" t="s">
        <v>722</v>
      </c>
      <c r="G228" s="649" t="s">
        <v>489</v>
      </c>
      <c r="H228" s="647" t="str">
        <f t="shared" si="30"/>
        <v>sanitaire ruimte (toilet-/doucheruimte)</v>
      </c>
      <c r="I228" s="718" t="s">
        <v>84</v>
      </c>
      <c r="J228" s="650">
        <v>2</v>
      </c>
      <c r="K228" s="650"/>
      <c r="L228" s="559">
        <v>4255</v>
      </c>
      <c r="M228" s="557">
        <f t="shared" si="34"/>
        <v>104</v>
      </c>
      <c r="N228" s="453"/>
      <c r="O228" s="557">
        <f t="shared" si="35"/>
        <v>255</v>
      </c>
      <c r="P228" s="633">
        <v>1</v>
      </c>
      <c r="Q228" s="776">
        <f t="shared" si="36"/>
        <v>0</v>
      </c>
      <c r="R228" s="776">
        <f t="shared" si="37"/>
        <v>0</v>
      </c>
      <c r="S228" s="552">
        <f t="shared" si="38"/>
        <v>0</v>
      </c>
      <c r="T228" s="626">
        <f t="shared" si="31"/>
        <v>0</v>
      </c>
      <c r="U228" s="626">
        <f t="shared" si="32"/>
        <v>0</v>
      </c>
      <c r="V228" s="553">
        <f t="shared" si="33"/>
        <v>0</v>
      </c>
      <c r="W228" s="554" t="str">
        <f t="shared" si="39"/>
        <v>S</v>
      </c>
      <c r="X228" s="555"/>
      <c r="Y228" s="631">
        <f>IF(Q228=0,0,(Q228+R228)*'1.0-Contractblad'!$L$98)</f>
        <v>0</v>
      </c>
      <c r="Z228" s="632">
        <f ca="1">IF(J228=0,0,VLOOKUP(D228,'1.1a-Jaarprijzen'!$B$70:$P$124,14,FALSE)*(K228+J228))</f>
        <v>0</v>
      </c>
    </row>
    <row r="229" spans="1:26" hidden="1">
      <c r="A229" s="558"/>
      <c r="B229" s="548"/>
      <c r="C229" s="659">
        <v>3</v>
      </c>
      <c r="D229" s="549" t="s">
        <v>1471</v>
      </c>
      <c r="E229" s="550" t="s">
        <v>502</v>
      </c>
      <c r="F229" s="551" t="s">
        <v>723</v>
      </c>
      <c r="G229" s="649" t="s">
        <v>489</v>
      </c>
      <c r="H229" s="647" t="str">
        <f t="shared" si="30"/>
        <v>sanitaire ruimte (toilet-/doucheruimte)</v>
      </c>
      <c r="I229" s="719" t="s">
        <v>84</v>
      </c>
      <c r="J229" s="623">
        <v>2.2999999999999998</v>
      </c>
      <c r="K229" s="623"/>
      <c r="L229" s="559">
        <v>4255</v>
      </c>
      <c r="M229" s="557">
        <f t="shared" si="34"/>
        <v>104</v>
      </c>
      <c r="N229" s="453"/>
      <c r="O229" s="557">
        <f t="shared" si="35"/>
        <v>255</v>
      </c>
      <c r="P229" s="633">
        <v>1</v>
      </c>
      <c r="Q229" s="776">
        <f t="shared" si="36"/>
        <v>0</v>
      </c>
      <c r="R229" s="776">
        <f t="shared" si="37"/>
        <v>0</v>
      </c>
      <c r="S229" s="552">
        <f t="shared" si="38"/>
        <v>0</v>
      </c>
      <c r="T229" s="626">
        <f t="shared" si="31"/>
        <v>0</v>
      </c>
      <c r="U229" s="626">
        <f t="shared" si="32"/>
        <v>0</v>
      </c>
      <c r="V229" s="553">
        <f t="shared" si="33"/>
        <v>0</v>
      </c>
      <c r="W229" s="554" t="str">
        <f t="shared" si="39"/>
        <v>S</v>
      </c>
      <c r="X229" s="555"/>
      <c r="Y229" s="631">
        <f>IF(Q229=0,0,(Q229+R229)*'1.0-Contractblad'!$L$98)</f>
        <v>0</v>
      </c>
      <c r="Z229" s="632">
        <f ca="1">IF(J229=0,0,VLOOKUP(D229,'1.1a-Jaarprijzen'!$B$70:$P$124,14,FALSE)*(K229+J229))</f>
        <v>0</v>
      </c>
    </row>
    <row r="230" spans="1:26" hidden="1">
      <c r="A230" s="558"/>
      <c r="B230" s="548"/>
      <c r="C230" s="659">
        <v>3</v>
      </c>
      <c r="D230" s="549" t="s">
        <v>1471</v>
      </c>
      <c r="E230" s="550" t="s">
        <v>502</v>
      </c>
      <c r="F230" s="551" t="s">
        <v>724</v>
      </c>
      <c r="G230" s="649" t="s">
        <v>1216</v>
      </c>
      <c r="H230" s="647" t="str">
        <f t="shared" si="30"/>
        <v>sanitaire ruimte (toilet-/doucheruimte)</v>
      </c>
      <c r="I230" s="719" t="s">
        <v>84</v>
      </c>
      <c r="J230" s="623">
        <v>3.4</v>
      </c>
      <c r="K230" s="623"/>
      <c r="L230" s="559">
        <v>4153</v>
      </c>
      <c r="M230" s="557">
        <f t="shared" si="34"/>
        <v>104</v>
      </c>
      <c r="N230" s="453"/>
      <c r="O230" s="557">
        <f t="shared" si="35"/>
        <v>153</v>
      </c>
      <c r="P230" s="633">
        <v>1</v>
      </c>
      <c r="Q230" s="776">
        <f t="shared" si="36"/>
        <v>0</v>
      </c>
      <c r="R230" s="776">
        <f t="shared" si="37"/>
        <v>0</v>
      </c>
      <c r="S230" s="552">
        <f t="shared" si="38"/>
        <v>0</v>
      </c>
      <c r="T230" s="626">
        <f t="shared" si="31"/>
        <v>0</v>
      </c>
      <c r="U230" s="626">
        <f t="shared" si="32"/>
        <v>0</v>
      </c>
      <c r="V230" s="553">
        <f t="shared" si="33"/>
        <v>0</v>
      </c>
      <c r="W230" s="554" t="str">
        <f t="shared" si="39"/>
        <v>S</v>
      </c>
      <c r="X230" s="555"/>
      <c r="Y230" s="631">
        <f>IF(Q230=0,0,(Q230+R230)*'1.0-Contractblad'!$L$98)</f>
        <v>0</v>
      </c>
      <c r="Z230" s="632">
        <f ca="1">IF(J230=0,0,VLOOKUP(D230,'1.1a-Jaarprijzen'!$B$70:$P$124,14,FALSE)*(K230+J230))</f>
        <v>0</v>
      </c>
    </row>
    <row r="231" spans="1:26" hidden="1">
      <c r="A231" s="558"/>
      <c r="B231" s="548"/>
      <c r="C231" s="659">
        <v>3</v>
      </c>
      <c r="D231" s="549" t="s">
        <v>1471</v>
      </c>
      <c r="E231" s="550" t="s">
        <v>502</v>
      </c>
      <c r="F231" s="551" t="s">
        <v>725</v>
      </c>
      <c r="G231" s="649" t="s">
        <v>1216</v>
      </c>
      <c r="H231" s="647" t="str">
        <f t="shared" si="30"/>
        <v>sanitaire ruimte (toilet-/doucheruimte)</v>
      </c>
      <c r="I231" s="719" t="s">
        <v>84</v>
      </c>
      <c r="J231" s="623">
        <v>3.8</v>
      </c>
      <c r="K231" s="623"/>
      <c r="L231" s="559">
        <v>4153</v>
      </c>
      <c r="M231" s="557">
        <f t="shared" si="34"/>
        <v>104</v>
      </c>
      <c r="N231" s="453"/>
      <c r="O231" s="557">
        <f t="shared" si="35"/>
        <v>153</v>
      </c>
      <c r="P231" s="633">
        <v>1</v>
      </c>
      <c r="Q231" s="776">
        <f t="shared" si="36"/>
        <v>0</v>
      </c>
      <c r="R231" s="776">
        <f t="shared" si="37"/>
        <v>0</v>
      </c>
      <c r="S231" s="552">
        <f t="shared" si="38"/>
        <v>0</v>
      </c>
      <c r="T231" s="626">
        <f t="shared" si="31"/>
        <v>0</v>
      </c>
      <c r="U231" s="626">
        <f t="shared" si="32"/>
        <v>0</v>
      </c>
      <c r="V231" s="553">
        <f t="shared" si="33"/>
        <v>0</v>
      </c>
      <c r="W231" s="554" t="str">
        <f t="shared" si="39"/>
        <v>S</v>
      </c>
      <c r="X231" s="555"/>
      <c r="Y231" s="631">
        <f>IF(Q231=0,0,(Q231+R231)*'1.0-Contractblad'!$L$98)</f>
        <v>0</v>
      </c>
      <c r="Z231" s="632">
        <f ca="1">IF(J231=0,0,VLOOKUP(D231,'1.1a-Jaarprijzen'!$B$70:$P$124,14,FALSE)*(K231+J231))</f>
        <v>0</v>
      </c>
    </row>
    <row r="232" spans="1:26" hidden="1">
      <c r="A232" s="558"/>
      <c r="B232" s="548"/>
      <c r="C232" s="659">
        <v>3</v>
      </c>
      <c r="D232" s="549" t="s">
        <v>1471</v>
      </c>
      <c r="E232" s="550" t="s">
        <v>502</v>
      </c>
      <c r="F232" s="551" t="s">
        <v>726</v>
      </c>
      <c r="G232" s="649" t="s">
        <v>1275</v>
      </c>
      <c r="H232" s="647" t="str">
        <f t="shared" si="30"/>
        <v>administratieve -, personeels- en vergaderruimte</v>
      </c>
      <c r="I232" s="719" t="s">
        <v>491</v>
      </c>
      <c r="J232" s="623">
        <v>17.7</v>
      </c>
      <c r="K232" s="623"/>
      <c r="L232" s="651">
        <v>1153</v>
      </c>
      <c r="M232" s="557">
        <f t="shared" si="34"/>
        <v>101</v>
      </c>
      <c r="N232" s="453"/>
      <c r="O232" s="557">
        <f t="shared" si="35"/>
        <v>153</v>
      </c>
      <c r="P232" s="633">
        <v>1</v>
      </c>
      <c r="Q232" s="776">
        <f t="shared" si="36"/>
        <v>0</v>
      </c>
      <c r="R232" s="776">
        <f t="shared" si="37"/>
        <v>0</v>
      </c>
      <c r="S232" s="552">
        <f t="shared" si="38"/>
        <v>0</v>
      </c>
      <c r="T232" s="626">
        <f t="shared" si="31"/>
        <v>0</v>
      </c>
      <c r="U232" s="626">
        <f t="shared" si="32"/>
        <v>0</v>
      </c>
      <c r="V232" s="553">
        <f t="shared" si="33"/>
        <v>0</v>
      </c>
      <c r="W232" s="554" t="str">
        <f t="shared" si="39"/>
        <v>B</v>
      </c>
      <c r="X232" s="454"/>
      <c r="Y232" s="631">
        <f>IF(Q232=0,0,(Q232+R232)*'1.0-Contractblad'!$L$98)</f>
        <v>0</v>
      </c>
      <c r="Z232" s="632">
        <f ca="1">IF(J232=0,0,VLOOKUP(D232,'1.1a-Jaarprijzen'!$B$70:$P$124,14,FALSE)*(K232+J232))</f>
        <v>0</v>
      </c>
    </row>
    <row r="233" spans="1:26" hidden="1">
      <c r="A233" s="558"/>
      <c r="B233" s="548"/>
      <c r="C233" s="659">
        <v>3</v>
      </c>
      <c r="D233" s="549" t="s">
        <v>1471</v>
      </c>
      <c r="E233" s="550" t="s">
        <v>502</v>
      </c>
      <c r="F233" s="551" t="s">
        <v>727</v>
      </c>
      <c r="G233" s="649" t="s">
        <v>1289</v>
      </c>
      <c r="H233" s="647" t="str">
        <f t="shared" si="30"/>
        <v>niet van toepassing</v>
      </c>
      <c r="I233" s="719"/>
      <c r="J233" s="623"/>
      <c r="K233" s="623"/>
      <c r="L233" s="668" t="s">
        <v>27</v>
      </c>
      <c r="M233" s="557">
        <f t="shared" si="34"/>
        <v>0</v>
      </c>
      <c r="N233" s="453"/>
      <c r="O233" s="557">
        <f t="shared" si="35"/>
        <v>0</v>
      </c>
      <c r="P233" s="633">
        <v>1</v>
      </c>
      <c r="Q233" s="776">
        <f t="shared" si="36"/>
        <v>0</v>
      </c>
      <c r="R233" s="776">
        <f t="shared" si="37"/>
        <v>0</v>
      </c>
      <c r="S233" s="552">
        <f t="shared" si="38"/>
        <v>0</v>
      </c>
      <c r="T233" s="626">
        <f t="shared" si="31"/>
        <v>0</v>
      </c>
      <c r="U233" s="626">
        <f t="shared" si="32"/>
        <v>0</v>
      </c>
      <c r="V233" s="553">
        <f t="shared" si="33"/>
        <v>0</v>
      </c>
      <c r="W233" s="554">
        <f t="shared" si="39"/>
        <v>0</v>
      </c>
      <c r="X233" s="454" t="s">
        <v>1454</v>
      </c>
      <c r="Y233" s="631">
        <f>IF(Q233=0,0,(Q233+R233)*'1.0-Contractblad'!$L$98)</f>
        <v>0</v>
      </c>
      <c r="Z233" s="632">
        <f>IF(J233=0,0,VLOOKUP(D233,'1.1a-Jaarprijzen'!$B$70:$P$124,14,FALSE)*(K233+J233))</f>
        <v>0</v>
      </c>
    </row>
    <row r="234" spans="1:26" hidden="1">
      <c r="A234" s="558"/>
      <c r="B234" s="548"/>
      <c r="C234" s="659">
        <v>3</v>
      </c>
      <c r="D234" s="549" t="s">
        <v>1471</v>
      </c>
      <c r="E234" s="550" t="s">
        <v>502</v>
      </c>
      <c r="F234" s="551" t="s">
        <v>728</v>
      </c>
      <c r="G234" s="649" t="s">
        <v>1284</v>
      </c>
      <c r="H234" s="647" t="str">
        <f t="shared" si="30"/>
        <v>entree, gang, hal, repro, kopieer, was/droogruimte</v>
      </c>
      <c r="I234" s="719" t="s">
        <v>84</v>
      </c>
      <c r="J234" s="623">
        <v>7.9</v>
      </c>
      <c r="K234" s="623"/>
      <c r="L234" s="559">
        <v>3153</v>
      </c>
      <c r="M234" s="557">
        <f t="shared" si="34"/>
        <v>103</v>
      </c>
      <c r="N234" s="453"/>
      <c r="O234" s="557">
        <f t="shared" si="35"/>
        <v>153</v>
      </c>
      <c r="P234" s="633">
        <v>1</v>
      </c>
      <c r="Q234" s="776">
        <f t="shared" si="36"/>
        <v>0</v>
      </c>
      <c r="R234" s="776">
        <f t="shared" si="37"/>
        <v>0</v>
      </c>
      <c r="S234" s="552">
        <f t="shared" si="38"/>
        <v>0</v>
      </c>
      <c r="T234" s="626">
        <f t="shared" si="31"/>
        <v>0</v>
      </c>
      <c r="U234" s="626">
        <f t="shared" si="32"/>
        <v>0</v>
      </c>
      <c r="V234" s="553">
        <f t="shared" si="33"/>
        <v>0</v>
      </c>
      <c r="W234" s="554" t="str">
        <f t="shared" si="39"/>
        <v>V</v>
      </c>
      <c r="X234" s="555"/>
      <c r="Y234" s="631">
        <f>IF(Q234=0,0,(Q234+R234)*'1.0-Contractblad'!$L$98)</f>
        <v>0</v>
      </c>
      <c r="Z234" s="632">
        <f ca="1">IF(J234=0,0,VLOOKUP(D234,'1.1a-Jaarprijzen'!$B$70:$P$124,14,FALSE)*(K234+J234))</f>
        <v>0</v>
      </c>
    </row>
    <row r="235" spans="1:26" hidden="1">
      <c r="A235" s="558"/>
      <c r="B235" s="548"/>
      <c r="C235" s="659">
        <v>3</v>
      </c>
      <c r="D235" s="549" t="s">
        <v>1471</v>
      </c>
      <c r="E235" s="550" t="s">
        <v>502</v>
      </c>
      <c r="F235" s="551" t="s">
        <v>729</v>
      </c>
      <c r="G235" s="649" t="s">
        <v>1273</v>
      </c>
      <c r="H235" s="647" t="str">
        <f t="shared" si="30"/>
        <v>speellokaal</v>
      </c>
      <c r="I235" s="719" t="s">
        <v>491</v>
      </c>
      <c r="J235" s="623">
        <v>40.6</v>
      </c>
      <c r="K235" s="623"/>
      <c r="L235" s="653">
        <v>8153</v>
      </c>
      <c r="M235" s="557">
        <f t="shared" si="34"/>
        <v>107</v>
      </c>
      <c r="N235" s="453"/>
      <c r="O235" s="557">
        <f t="shared" si="35"/>
        <v>153</v>
      </c>
      <c r="P235" s="633">
        <v>1</v>
      </c>
      <c r="Q235" s="776">
        <f t="shared" si="36"/>
        <v>0</v>
      </c>
      <c r="R235" s="776">
        <f t="shared" si="37"/>
        <v>0</v>
      </c>
      <c r="S235" s="552">
        <f t="shared" si="38"/>
        <v>0</v>
      </c>
      <c r="T235" s="626">
        <f t="shared" si="31"/>
        <v>0</v>
      </c>
      <c r="U235" s="626">
        <f t="shared" si="32"/>
        <v>0</v>
      </c>
      <c r="V235" s="553">
        <f t="shared" si="33"/>
        <v>0</v>
      </c>
      <c r="W235" s="554" t="str">
        <f t="shared" si="39"/>
        <v>L</v>
      </c>
      <c r="X235" s="555"/>
      <c r="Y235" s="631">
        <f>IF(Q235=0,0,(Q235+R235)*'1.0-Contractblad'!$L$98)</f>
        <v>0</v>
      </c>
      <c r="Z235" s="632">
        <f ca="1">IF(J235=0,0,VLOOKUP(D235,'1.1a-Jaarprijzen'!$B$70:$P$124,14,FALSE)*(K235+J235))</f>
        <v>0</v>
      </c>
    </row>
    <row r="236" spans="1:26" hidden="1">
      <c r="A236" s="558"/>
      <c r="B236" s="548"/>
      <c r="C236" s="659">
        <v>3</v>
      </c>
      <c r="D236" s="549" t="s">
        <v>1471</v>
      </c>
      <c r="E236" s="550" t="s">
        <v>502</v>
      </c>
      <c r="F236" s="551" t="s">
        <v>730</v>
      </c>
      <c r="G236" s="649" t="s">
        <v>1274</v>
      </c>
      <c r="H236" s="647" t="str">
        <f t="shared" si="30"/>
        <v>leslokaal</v>
      </c>
      <c r="I236" s="719" t="s">
        <v>491</v>
      </c>
      <c r="J236" s="623">
        <v>70.8</v>
      </c>
      <c r="K236" s="623"/>
      <c r="L236" s="654">
        <v>7153</v>
      </c>
      <c r="M236" s="557">
        <f t="shared" si="34"/>
        <v>107</v>
      </c>
      <c r="N236" s="453"/>
      <c r="O236" s="557">
        <f t="shared" si="35"/>
        <v>153</v>
      </c>
      <c r="P236" s="633">
        <v>1</v>
      </c>
      <c r="Q236" s="776">
        <f t="shared" si="36"/>
        <v>0</v>
      </c>
      <c r="R236" s="776">
        <f t="shared" si="37"/>
        <v>0</v>
      </c>
      <c r="S236" s="552">
        <f t="shared" si="38"/>
        <v>0</v>
      </c>
      <c r="T236" s="626">
        <f t="shared" si="31"/>
        <v>0</v>
      </c>
      <c r="U236" s="626">
        <f t="shared" si="32"/>
        <v>0</v>
      </c>
      <c r="V236" s="553">
        <f t="shared" si="33"/>
        <v>0</v>
      </c>
      <c r="W236" s="554" t="str">
        <f t="shared" si="39"/>
        <v>L</v>
      </c>
      <c r="X236" s="555"/>
      <c r="Y236" s="631">
        <f>IF(Q236=0,0,(Q236+R236)*'1.0-Contractblad'!$L$98)</f>
        <v>0</v>
      </c>
      <c r="Z236" s="632">
        <f ca="1">IF(J236=0,0,VLOOKUP(D236,'1.1a-Jaarprijzen'!$B$70:$P$124,14,FALSE)*(K236+J236))</f>
        <v>0</v>
      </c>
    </row>
    <row r="237" spans="1:26" hidden="1">
      <c r="A237" s="558"/>
      <c r="B237" s="548"/>
      <c r="C237" s="659">
        <v>3</v>
      </c>
      <c r="D237" s="549" t="s">
        <v>1471</v>
      </c>
      <c r="E237" s="550" t="s">
        <v>502</v>
      </c>
      <c r="F237" s="551" t="s">
        <v>731</v>
      </c>
      <c r="G237" s="649" t="s">
        <v>1451</v>
      </c>
      <c r="H237" s="647" t="str">
        <f t="shared" si="30"/>
        <v>Keuken</v>
      </c>
      <c r="I237" s="719" t="s">
        <v>84</v>
      </c>
      <c r="J237" s="623">
        <v>13.2</v>
      </c>
      <c r="K237" s="623"/>
      <c r="L237" s="559">
        <v>18255</v>
      </c>
      <c r="M237" s="557" t="str">
        <f t="shared" si="34"/>
        <v>nvt</v>
      </c>
      <c r="N237" s="453"/>
      <c r="O237" s="557">
        <f t="shared" si="35"/>
        <v>255</v>
      </c>
      <c r="P237" s="633">
        <v>1</v>
      </c>
      <c r="Q237" s="776">
        <f t="shared" si="36"/>
        <v>0</v>
      </c>
      <c r="R237" s="776">
        <f t="shared" si="37"/>
        <v>0</v>
      </c>
      <c r="S237" s="552">
        <f t="shared" si="38"/>
        <v>0</v>
      </c>
      <c r="T237" s="626">
        <f t="shared" si="31"/>
        <v>0</v>
      </c>
      <c r="U237" s="626">
        <f t="shared" si="32"/>
        <v>0</v>
      </c>
      <c r="V237" s="553">
        <f t="shared" si="33"/>
        <v>0</v>
      </c>
      <c r="W237" s="554" t="str">
        <f t="shared" si="39"/>
        <v>V</v>
      </c>
      <c r="X237" s="555"/>
      <c r="Y237" s="631">
        <f>IF(Q237=0,0,(Q237+R237)*'1.0-Contractblad'!$L$98)</f>
        <v>0</v>
      </c>
      <c r="Z237" s="632">
        <f ca="1">IF(J237=0,0,VLOOKUP(D237,'1.1a-Jaarprijzen'!$B$70:$P$124,14,FALSE)*(K237+J237))</f>
        <v>0</v>
      </c>
    </row>
    <row r="238" spans="1:26" hidden="1">
      <c r="A238" s="558"/>
      <c r="B238" s="548"/>
      <c r="C238" s="659">
        <v>3</v>
      </c>
      <c r="D238" s="549" t="s">
        <v>1471</v>
      </c>
      <c r="E238" s="550" t="s">
        <v>502</v>
      </c>
      <c r="F238" s="551" t="s">
        <v>732</v>
      </c>
      <c r="G238" s="649" t="s">
        <v>1276</v>
      </c>
      <c r="H238" s="647" t="str">
        <f t="shared" si="30"/>
        <v>Keuken</v>
      </c>
      <c r="I238" s="719" t="s">
        <v>84</v>
      </c>
      <c r="J238" s="623">
        <v>6.7</v>
      </c>
      <c r="K238" s="623"/>
      <c r="L238" s="559">
        <v>18153</v>
      </c>
      <c r="M238" s="557" t="str">
        <f t="shared" si="34"/>
        <v>nvt</v>
      </c>
      <c r="N238" s="453"/>
      <c r="O238" s="557">
        <f t="shared" si="35"/>
        <v>153</v>
      </c>
      <c r="P238" s="633">
        <v>1</v>
      </c>
      <c r="Q238" s="776">
        <f t="shared" si="36"/>
        <v>0</v>
      </c>
      <c r="R238" s="776">
        <f t="shared" si="37"/>
        <v>0</v>
      </c>
      <c r="S238" s="552">
        <f t="shared" si="38"/>
        <v>0</v>
      </c>
      <c r="T238" s="626">
        <f t="shared" si="31"/>
        <v>0</v>
      </c>
      <c r="U238" s="626">
        <f t="shared" si="32"/>
        <v>0</v>
      </c>
      <c r="V238" s="553">
        <f t="shared" si="33"/>
        <v>0</v>
      </c>
      <c r="W238" s="554" t="str">
        <f t="shared" si="39"/>
        <v>V</v>
      </c>
      <c r="X238" s="556"/>
      <c r="Y238" s="631">
        <f>IF(Q238=0,0,(Q238+R238)*'1.0-Contractblad'!$L$98)</f>
        <v>0</v>
      </c>
      <c r="Z238" s="632">
        <f ca="1">IF(J238=0,0,VLOOKUP(D238,'1.1a-Jaarprijzen'!$B$70:$P$124,14,FALSE)*(K238+J238))</f>
        <v>0</v>
      </c>
    </row>
    <row r="239" spans="1:26" hidden="1">
      <c r="A239" s="558"/>
      <c r="B239" s="548"/>
      <c r="C239" s="659">
        <v>3</v>
      </c>
      <c r="D239" s="549" t="s">
        <v>1471</v>
      </c>
      <c r="E239" s="550" t="s">
        <v>502</v>
      </c>
      <c r="F239" s="551" t="s">
        <v>733</v>
      </c>
      <c r="G239" s="649" t="s">
        <v>1264</v>
      </c>
      <c r="H239" s="647" t="str">
        <f t="shared" si="30"/>
        <v>entree, gang, hal, repro, kopieer, was/droogruimte</v>
      </c>
      <c r="I239" s="719" t="s">
        <v>491</v>
      </c>
      <c r="J239" s="623">
        <v>12.7</v>
      </c>
      <c r="K239" s="623"/>
      <c r="L239" s="651">
        <v>3153</v>
      </c>
      <c r="M239" s="557">
        <f t="shared" si="34"/>
        <v>103</v>
      </c>
      <c r="N239" s="453"/>
      <c r="O239" s="557">
        <f t="shared" si="35"/>
        <v>153</v>
      </c>
      <c r="P239" s="633">
        <v>1</v>
      </c>
      <c r="Q239" s="776">
        <f t="shared" si="36"/>
        <v>0</v>
      </c>
      <c r="R239" s="776">
        <f t="shared" si="37"/>
        <v>0</v>
      </c>
      <c r="S239" s="552">
        <f t="shared" si="38"/>
        <v>0</v>
      </c>
      <c r="T239" s="626">
        <f t="shared" si="31"/>
        <v>0</v>
      </c>
      <c r="U239" s="626">
        <f t="shared" si="32"/>
        <v>0</v>
      </c>
      <c r="V239" s="553">
        <f t="shared" si="33"/>
        <v>0</v>
      </c>
      <c r="W239" s="554" t="str">
        <f t="shared" si="39"/>
        <v>V</v>
      </c>
      <c r="X239" s="555"/>
      <c r="Y239" s="631">
        <f>IF(Q239=0,0,(Q239+R239)*'1.0-Contractblad'!$L$98)</f>
        <v>0</v>
      </c>
      <c r="Z239" s="632">
        <f ca="1">IF(J239=0,0,VLOOKUP(D239,'1.1a-Jaarprijzen'!$B$70:$P$124,14,FALSE)*(K239+J239))</f>
        <v>0</v>
      </c>
    </row>
    <row r="240" spans="1:26" hidden="1">
      <c r="A240" s="558"/>
      <c r="B240" s="548"/>
      <c r="C240" s="659">
        <v>3</v>
      </c>
      <c r="D240" s="549" t="s">
        <v>1471</v>
      </c>
      <c r="E240" s="550" t="s">
        <v>502</v>
      </c>
      <c r="F240" s="551" t="s">
        <v>734</v>
      </c>
      <c r="G240" s="649" t="s">
        <v>1243</v>
      </c>
      <c r="H240" s="647" t="str">
        <f t="shared" si="30"/>
        <v>administratieve -, personeels- en vergaderruimte</v>
      </c>
      <c r="I240" s="719" t="s">
        <v>491</v>
      </c>
      <c r="J240" s="623">
        <v>11.6</v>
      </c>
      <c r="K240" s="623"/>
      <c r="L240" s="651">
        <v>1153</v>
      </c>
      <c r="M240" s="557">
        <f t="shared" si="34"/>
        <v>101</v>
      </c>
      <c r="N240" s="453"/>
      <c r="O240" s="557">
        <f t="shared" si="35"/>
        <v>153</v>
      </c>
      <c r="P240" s="633">
        <v>1</v>
      </c>
      <c r="Q240" s="776">
        <f t="shared" si="36"/>
        <v>0</v>
      </c>
      <c r="R240" s="776">
        <f t="shared" si="37"/>
        <v>0</v>
      </c>
      <c r="S240" s="552">
        <f t="shared" si="38"/>
        <v>0</v>
      </c>
      <c r="T240" s="626">
        <f t="shared" si="31"/>
        <v>0</v>
      </c>
      <c r="U240" s="626">
        <f t="shared" si="32"/>
        <v>0</v>
      </c>
      <c r="V240" s="553">
        <f t="shared" si="33"/>
        <v>0</v>
      </c>
      <c r="W240" s="554" t="str">
        <f t="shared" si="39"/>
        <v>B</v>
      </c>
      <c r="X240" s="556"/>
      <c r="Y240" s="631">
        <f>IF(Q240=0,0,(Q240+R240)*'1.0-Contractblad'!$L$98)</f>
        <v>0</v>
      </c>
      <c r="Z240" s="632">
        <f ca="1">IF(J240=0,0,VLOOKUP(D240,'1.1a-Jaarprijzen'!$B$70:$P$124,14,FALSE)*(K240+J240))</f>
        <v>0</v>
      </c>
    </row>
    <row r="241" spans="1:26" hidden="1">
      <c r="A241" s="558"/>
      <c r="B241" s="548"/>
      <c r="C241" s="659">
        <v>3</v>
      </c>
      <c r="D241" s="549" t="s">
        <v>1471</v>
      </c>
      <c r="E241" s="550" t="s">
        <v>502</v>
      </c>
      <c r="F241" s="551" t="s">
        <v>735</v>
      </c>
      <c r="G241" s="649" t="s">
        <v>1221</v>
      </c>
      <c r="H241" s="647" t="str">
        <f t="shared" si="30"/>
        <v>entree, gang, hal, repro, kopieer, was/droogruimte</v>
      </c>
      <c r="I241" s="719" t="s">
        <v>491</v>
      </c>
      <c r="J241" s="623">
        <v>17.899999999999999</v>
      </c>
      <c r="K241" s="623"/>
      <c r="L241" s="651">
        <v>3153</v>
      </c>
      <c r="M241" s="557">
        <f t="shared" si="34"/>
        <v>103</v>
      </c>
      <c r="N241" s="453"/>
      <c r="O241" s="557">
        <f t="shared" si="35"/>
        <v>153</v>
      </c>
      <c r="P241" s="633">
        <v>1</v>
      </c>
      <c r="Q241" s="776">
        <f t="shared" si="36"/>
        <v>0</v>
      </c>
      <c r="R241" s="776">
        <f t="shared" si="37"/>
        <v>0</v>
      </c>
      <c r="S241" s="552">
        <f t="shared" si="38"/>
        <v>0</v>
      </c>
      <c r="T241" s="626">
        <f t="shared" si="31"/>
        <v>0</v>
      </c>
      <c r="U241" s="626">
        <f t="shared" si="32"/>
        <v>0</v>
      </c>
      <c r="V241" s="553">
        <f t="shared" si="33"/>
        <v>0</v>
      </c>
      <c r="W241" s="554" t="str">
        <f t="shared" si="39"/>
        <v>V</v>
      </c>
      <c r="X241" s="555"/>
      <c r="Y241" s="631">
        <f>IF(Q241=0,0,(Q241+R241)*'1.0-Contractblad'!$L$98)</f>
        <v>0</v>
      </c>
      <c r="Z241" s="632">
        <f ca="1">IF(J241=0,0,VLOOKUP(D241,'1.1a-Jaarprijzen'!$B$70:$P$124,14,FALSE)*(K241+J241))</f>
        <v>0</v>
      </c>
    </row>
    <row r="242" spans="1:26" hidden="1">
      <c r="A242" s="558"/>
      <c r="B242" s="548"/>
      <c r="C242" s="659">
        <v>3</v>
      </c>
      <c r="D242" s="549" t="s">
        <v>1471</v>
      </c>
      <c r="E242" s="550" t="s">
        <v>502</v>
      </c>
      <c r="F242" s="551" t="s">
        <v>736</v>
      </c>
      <c r="G242" s="649" t="s">
        <v>1237</v>
      </c>
      <c r="H242" s="647" t="str">
        <f t="shared" si="30"/>
        <v>trappenhuis</v>
      </c>
      <c r="I242" s="719" t="s">
        <v>1402</v>
      </c>
      <c r="J242" s="623">
        <v>3.1</v>
      </c>
      <c r="K242" s="623"/>
      <c r="L242" s="559">
        <v>9153</v>
      </c>
      <c r="M242" s="557">
        <f t="shared" si="34"/>
        <v>109</v>
      </c>
      <c r="N242" s="453"/>
      <c r="O242" s="557">
        <f t="shared" si="35"/>
        <v>153</v>
      </c>
      <c r="P242" s="633">
        <v>1</v>
      </c>
      <c r="Q242" s="776">
        <f t="shared" si="36"/>
        <v>0</v>
      </c>
      <c r="R242" s="776">
        <f t="shared" si="37"/>
        <v>0</v>
      </c>
      <c r="S242" s="552">
        <f t="shared" si="38"/>
        <v>0</v>
      </c>
      <c r="T242" s="626">
        <f t="shared" si="31"/>
        <v>0</v>
      </c>
      <c r="U242" s="626">
        <f t="shared" si="32"/>
        <v>0</v>
      </c>
      <c r="V242" s="553">
        <f t="shared" si="33"/>
        <v>0</v>
      </c>
      <c r="W242" s="554" t="str">
        <f t="shared" si="39"/>
        <v>V</v>
      </c>
      <c r="X242" s="555"/>
      <c r="Y242" s="631">
        <f>IF(Q242=0,0,(Q242+R242)*'1.0-Contractblad'!$L$98)</f>
        <v>0</v>
      </c>
      <c r="Z242" s="632">
        <f ca="1">IF(J242=0,0,VLOOKUP(D242,'1.1a-Jaarprijzen'!$B$70:$P$124,14,FALSE)*(K242+J242))</f>
        <v>0</v>
      </c>
    </row>
    <row r="243" spans="1:26" hidden="1">
      <c r="A243" s="558"/>
      <c r="B243" s="548"/>
      <c r="C243" s="659">
        <v>3</v>
      </c>
      <c r="D243" s="549" t="s">
        <v>1471</v>
      </c>
      <c r="E243" s="550" t="s">
        <v>502</v>
      </c>
      <c r="F243" s="551" t="s">
        <v>737</v>
      </c>
      <c r="G243" s="649" t="s">
        <v>1217</v>
      </c>
      <c r="H243" s="647" t="str">
        <f t="shared" si="30"/>
        <v>entree, gang, hal, repro, kopieer, was/droogruimte</v>
      </c>
      <c r="I243" s="719" t="s">
        <v>1402</v>
      </c>
      <c r="J243" s="623">
        <v>8.6999999999999993</v>
      </c>
      <c r="K243" s="623"/>
      <c r="L243" s="651">
        <v>3153</v>
      </c>
      <c r="M243" s="557">
        <f t="shared" si="34"/>
        <v>103</v>
      </c>
      <c r="N243" s="453"/>
      <c r="O243" s="557">
        <f t="shared" si="35"/>
        <v>153</v>
      </c>
      <c r="P243" s="633">
        <v>1</v>
      </c>
      <c r="Q243" s="776">
        <f t="shared" si="36"/>
        <v>0</v>
      </c>
      <c r="R243" s="776">
        <f t="shared" si="37"/>
        <v>0</v>
      </c>
      <c r="S243" s="552">
        <f t="shared" si="38"/>
        <v>0</v>
      </c>
      <c r="T243" s="626">
        <f t="shared" si="31"/>
        <v>0</v>
      </c>
      <c r="U243" s="626">
        <f t="shared" si="32"/>
        <v>0</v>
      </c>
      <c r="V243" s="553">
        <f t="shared" si="33"/>
        <v>0</v>
      </c>
      <c r="W243" s="554" t="str">
        <f t="shared" si="39"/>
        <v>V</v>
      </c>
      <c r="X243" s="555"/>
      <c r="Y243" s="631">
        <f>IF(Q243=0,0,(Q243+R243)*'1.0-Contractblad'!$L$98)</f>
        <v>0</v>
      </c>
      <c r="Z243" s="632">
        <f ca="1">IF(J243=0,0,VLOOKUP(D243,'1.1a-Jaarprijzen'!$B$70:$P$124,14,FALSE)*(K243+J243))</f>
        <v>0</v>
      </c>
    </row>
    <row r="244" spans="1:26" hidden="1">
      <c r="A244" s="558"/>
      <c r="B244" s="548"/>
      <c r="C244" s="659">
        <v>3</v>
      </c>
      <c r="D244" s="549" t="s">
        <v>1471</v>
      </c>
      <c r="E244" s="550" t="s">
        <v>502</v>
      </c>
      <c r="F244" s="551" t="s">
        <v>738</v>
      </c>
      <c r="G244" s="649" t="s">
        <v>1278</v>
      </c>
      <c r="H244" s="647" t="str">
        <f t="shared" si="30"/>
        <v>niet van toepassing</v>
      </c>
      <c r="I244" s="719"/>
      <c r="J244" s="623"/>
      <c r="K244" s="623"/>
      <c r="L244" s="668" t="s">
        <v>27</v>
      </c>
      <c r="M244" s="557">
        <f t="shared" si="34"/>
        <v>0</v>
      </c>
      <c r="N244" s="453"/>
      <c r="O244" s="557">
        <f t="shared" si="35"/>
        <v>0</v>
      </c>
      <c r="P244" s="633">
        <v>1</v>
      </c>
      <c r="Q244" s="776">
        <f t="shared" si="36"/>
        <v>0</v>
      </c>
      <c r="R244" s="776">
        <f t="shared" si="37"/>
        <v>0</v>
      </c>
      <c r="S244" s="552">
        <f t="shared" si="38"/>
        <v>0</v>
      </c>
      <c r="T244" s="626">
        <f t="shared" si="31"/>
        <v>0</v>
      </c>
      <c r="U244" s="626">
        <f t="shared" si="32"/>
        <v>0</v>
      </c>
      <c r="V244" s="553">
        <f t="shared" si="33"/>
        <v>0</v>
      </c>
      <c r="W244" s="554">
        <f t="shared" si="39"/>
        <v>0</v>
      </c>
      <c r="X244" s="454" t="s">
        <v>1454</v>
      </c>
      <c r="Y244" s="631">
        <f>IF(Q244=0,0,(Q244+R244)*'1.0-Contractblad'!$L$98)</f>
        <v>0</v>
      </c>
      <c r="Z244" s="632">
        <f>IF(J244=0,0,VLOOKUP(D244,'1.1a-Jaarprijzen'!$B$70:$P$124,14,FALSE)*(K244+J244))</f>
        <v>0</v>
      </c>
    </row>
    <row r="245" spans="1:26" hidden="1">
      <c r="A245" s="558"/>
      <c r="B245" s="548"/>
      <c r="C245" s="659">
        <v>3</v>
      </c>
      <c r="D245" s="549" t="s">
        <v>1471</v>
      </c>
      <c r="E245" s="550" t="s">
        <v>502</v>
      </c>
      <c r="F245" s="551" t="s">
        <v>739</v>
      </c>
      <c r="G245" s="649" t="s">
        <v>1279</v>
      </c>
      <c r="H245" s="647" t="str">
        <f t="shared" si="30"/>
        <v>aula, gemeenschappelijke ruimte, bibliotheek</v>
      </c>
      <c r="I245" s="719" t="s">
        <v>491</v>
      </c>
      <c r="J245" s="623">
        <v>9.6999999999999993</v>
      </c>
      <c r="K245" s="623"/>
      <c r="L245" s="559">
        <v>2153</v>
      </c>
      <c r="M245" s="557">
        <f t="shared" si="34"/>
        <v>102</v>
      </c>
      <c r="N245" s="453"/>
      <c r="O245" s="557">
        <f t="shared" si="35"/>
        <v>153</v>
      </c>
      <c r="P245" s="633">
        <v>1</v>
      </c>
      <c r="Q245" s="776">
        <f t="shared" si="36"/>
        <v>0</v>
      </c>
      <c r="R245" s="776">
        <f t="shared" si="37"/>
        <v>0</v>
      </c>
      <c r="S245" s="552">
        <f t="shared" si="38"/>
        <v>0</v>
      </c>
      <c r="T245" s="626">
        <f t="shared" si="31"/>
        <v>0</v>
      </c>
      <c r="U245" s="626">
        <f t="shared" si="32"/>
        <v>0</v>
      </c>
      <c r="V245" s="553">
        <f t="shared" si="33"/>
        <v>0</v>
      </c>
      <c r="W245" s="554" t="str">
        <f t="shared" si="39"/>
        <v>V</v>
      </c>
      <c r="X245" s="556"/>
      <c r="Y245" s="631">
        <f>IF(Q245=0,0,(Q245+R245)*'1.0-Contractblad'!$L$98)</f>
        <v>0</v>
      </c>
      <c r="Z245" s="632">
        <f ca="1">IF(J245=0,0,VLOOKUP(D245,'1.1a-Jaarprijzen'!$B$70:$P$124,14,FALSE)*(K245+J245))</f>
        <v>0</v>
      </c>
    </row>
    <row r="246" spans="1:26" hidden="1">
      <c r="A246" s="558"/>
      <c r="B246" s="548"/>
      <c r="C246" s="659">
        <v>3</v>
      </c>
      <c r="D246" s="549" t="s">
        <v>1471</v>
      </c>
      <c r="E246" s="550" t="s">
        <v>502</v>
      </c>
      <c r="F246" s="551" t="s">
        <v>740</v>
      </c>
      <c r="G246" s="649" t="s">
        <v>1277</v>
      </c>
      <c r="H246" s="647" t="str">
        <f t="shared" si="30"/>
        <v>sanitaire ruimte (toilet-/doucheruimte)</v>
      </c>
      <c r="I246" s="719" t="s">
        <v>84</v>
      </c>
      <c r="J246" s="623">
        <v>5.0999999999999996</v>
      </c>
      <c r="K246" s="623"/>
      <c r="L246" s="559">
        <v>4255</v>
      </c>
      <c r="M246" s="557">
        <f t="shared" si="34"/>
        <v>104</v>
      </c>
      <c r="N246" s="453"/>
      <c r="O246" s="557">
        <f t="shared" si="35"/>
        <v>255</v>
      </c>
      <c r="P246" s="633">
        <v>1</v>
      </c>
      <c r="Q246" s="776">
        <f t="shared" si="36"/>
        <v>0</v>
      </c>
      <c r="R246" s="776">
        <f t="shared" si="37"/>
        <v>0</v>
      </c>
      <c r="S246" s="552">
        <f t="shared" si="38"/>
        <v>0</v>
      </c>
      <c r="T246" s="626">
        <f t="shared" si="31"/>
        <v>0</v>
      </c>
      <c r="U246" s="626">
        <f t="shared" si="32"/>
        <v>0</v>
      </c>
      <c r="V246" s="553">
        <f t="shared" si="33"/>
        <v>0</v>
      </c>
      <c r="W246" s="554" t="str">
        <f t="shared" si="39"/>
        <v>S</v>
      </c>
      <c r="X246" s="555"/>
      <c r="Y246" s="631">
        <f>IF(Q246=0,0,(Q246+R246)*'1.0-Contractblad'!$L$98)</f>
        <v>0</v>
      </c>
      <c r="Z246" s="632">
        <f ca="1">IF(J246=0,0,VLOOKUP(D246,'1.1a-Jaarprijzen'!$B$70:$P$124,14,FALSE)*(K246+J246))</f>
        <v>0</v>
      </c>
    </row>
    <row r="247" spans="1:26" hidden="1">
      <c r="A247" s="558"/>
      <c r="B247" s="548"/>
      <c r="C247" s="659">
        <v>3</v>
      </c>
      <c r="D247" s="549" t="s">
        <v>1471</v>
      </c>
      <c r="E247" s="550" t="s">
        <v>502</v>
      </c>
      <c r="F247" s="551" t="s">
        <v>741</v>
      </c>
      <c r="G247" s="649" t="s">
        <v>1239</v>
      </c>
      <c r="H247" s="647" t="str">
        <f t="shared" si="30"/>
        <v>administratieve -, personeels- en vergaderruimte</v>
      </c>
      <c r="I247" s="719" t="s">
        <v>491</v>
      </c>
      <c r="J247" s="623">
        <v>17.5</v>
      </c>
      <c r="K247" s="623"/>
      <c r="L247" s="651">
        <v>1102</v>
      </c>
      <c r="M247" s="557">
        <f t="shared" si="34"/>
        <v>101</v>
      </c>
      <c r="N247" s="453"/>
      <c r="O247" s="557">
        <f t="shared" si="35"/>
        <v>102</v>
      </c>
      <c r="P247" s="633">
        <v>1</v>
      </c>
      <c r="Q247" s="776">
        <f t="shared" si="36"/>
        <v>0</v>
      </c>
      <c r="R247" s="776">
        <f t="shared" si="37"/>
        <v>0</v>
      </c>
      <c r="S247" s="552">
        <f t="shared" si="38"/>
        <v>0</v>
      </c>
      <c r="T247" s="626">
        <f t="shared" si="31"/>
        <v>0</v>
      </c>
      <c r="U247" s="626">
        <f t="shared" si="32"/>
        <v>0</v>
      </c>
      <c r="V247" s="553">
        <f t="shared" si="33"/>
        <v>0</v>
      </c>
      <c r="W247" s="554" t="str">
        <f t="shared" si="39"/>
        <v>B</v>
      </c>
      <c r="X247" s="555"/>
      <c r="Y247" s="631">
        <f>IF(Q247=0,0,(Q247+R247)*'1.0-Contractblad'!$L$98)</f>
        <v>0</v>
      </c>
      <c r="Z247" s="632">
        <f ca="1">IF(J247=0,0,VLOOKUP(D247,'1.1a-Jaarprijzen'!$B$70:$P$124,14,FALSE)*(K247+J247))</f>
        <v>0</v>
      </c>
    </row>
    <row r="248" spans="1:26" hidden="1">
      <c r="A248" s="558"/>
      <c r="B248" s="548"/>
      <c r="C248" s="659">
        <v>3</v>
      </c>
      <c r="D248" s="549" t="s">
        <v>1469</v>
      </c>
      <c r="E248" s="660" t="s">
        <v>478</v>
      </c>
      <c r="F248" s="551" t="s">
        <v>742</v>
      </c>
      <c r="G248" s="649" t="s">
        <v>1290</v>
      </c>
      <c r="H248" s="647" t="str">
        <f t="shared" si="30"/>
        <v>entree, gang, hal, repro, kopieer, was/droogruimte</v>
      </c>
      <c r="I248" s="719" t="s">
        <v>106</v>
      </c>
      <c r="J248" s="623">
        <v>330</v>
      </c>
      <c r="K248" s="623"/>
      <c r="L248" s="651">
        <v>3153</v>
      </c>
      <c r="M248" s="557">
        <f t="shared" si="34"/>
        <v>103</v>
      </c>
      <c r="N248" s="453"/>
      <c r="O248" s="557">
        <f t="shared" si="35"/>
        <v>153</v>
      </c>
      <c r="P248" s="633">
        <v>1</v>
      </c>
      <c r="Q248" s="776">
        <f t="shared" si="36"/>
        <v>0</v>
      </c>
      <c r="R248" s="776">
        <f t="shared" si="37"/>
        <v>0</v>
      </c>
      <c r="S248" s="552">
        <f t="shared" si="38"/>
        <v>0</v>
      </c>
      <c r="T248" s="626">
        <f t="shared" si="31"/>
        <v>0</v>
      </c>
      <c r="U248" s="626">
        <f t="shared" si="32"/>
        <v>0</v>
      </c>
      <c r="V248" s="553">
        <f t="shared" si="33"/>
        <v>0</v>
      </c>
      <c r="W248" s="554" t="str">
        <f t="shared" si="39"/>
        <v>V</v>
      </c>
      <c r="X248" s="555"/>
      <c r="Y248" s="631">
        <f>IF(Q248=0,0,(Q248+R248)*'1.0-Contractblad'!$L$98)</f>
        <v>0</v>
      </c>
      <c r="Z248" s="632">
        <f ca="1">IF(J248=0,0,VLOOKUP(D248,'1.1a-Jaarprijzen'!$B$70:$P$124,14,FALSE)*(K248+J248))</f>
        <v>0</v>
      </c>
    </row>
    <row r="249" spans="1:26" hidden="1">
      <c r="A249" s="558"/>
      <c r="B249" s="548"/>
      <c r="C249" s="659">
        <v>3</v>
      </c>
      <c r="D249" s="549" t="s">
        <v>1472</v>
      </c>
      <c r="E249" s="660" t="s">
        <v>478</v>
      </c>
      <c r="F249" s="551" t="s">
        <v>743</v>
      </c>
      <c r="G249" s="649" t="s">
        <v>1291</v>
      </c>
      <c r="H249" s="647" t="str">
        <f t="shared" si="30"/>
        <v>niet van toepassing</v>
      </c>
      <c r="I249" s="719"/>
      <c r="J249" s="623"/>
      <c r="K249" s="623"/>
      <c r="L249" s="668" t="s">
        <v>27</v>
      </c>
      <c r="M249" s="557">
        <f t="shared" si="34"/>
        <v>0</v>
      </c>
      <c r="N249" s="453"/>
      <c r="O249" s="557">
        <f t="shared" si="35"/>
        <v>0</v>
      </c>
      <c r="P249" s="633">
        <v>1</v>
      </c>
      <c r="Q249" s="776">
        <f t="shared" si="36"/>
        <v>0</v>
      </c>
      <c r="R249" s="776">
        <f t="shared" si="37"/>
        <v>0</v>
      </c>
      <c r="S249" s="552">
        <f t="shared" si="38"/>
        <v>0</v>
      </c>
      <c r="T249" s="626">
        <f t="shared" si="31"/>
        <v>0</v>
      </c>
      <c r="U249" s="626">
        <f t="shared" si="32"/>
        <v>0</v>
      </c>
      <c r="V249" s="553">
        <f t="shared" si="33"/>
        <v>0</v>
      </c>
      <c r="W249" s="554">
        <f t="shared" si="39"/>
        <v>0</v>
      </c>
      <c r="X249" s="454" t="s">
        <v>1454</v>
      </c>
      <c r="Y249" s="631">
        <f>IF(Q249=0,0,(Q249+R249)*'1.0-Contractblad'!$L$98)</f>
        <v>0</v>
      </c>
      <c r="Z249" s="632">
        <f>IF(J249=0,0,VLOOKUP(D249,'1.1a-Jaarprijzen'!$B$70:$P$124,14,FALSE)*(K249+J249))</f>
        <v>0</v>
      </c>
    </row>
    <row r="250" spans="1:26" hidden="1">
      <c r="A250" s="558"/>
      <c r="B250" s="548"/>
      <c r="C250" s="659">
        <v>3</v>
      </c>
      <c r="D250" s="549" t="s">
        <v>1472</v>
      </c>
      <c r="E250" s="660" t="s">
        <v>478</v>
      </c>
      <c r="F250" s="551" t="s">
        <v>744</v>
      </c>
      <c r="G250" s="649" t="s">
        <v>1242</v>
      </c>
      <c r="H250" s="647" t="str">
        <f t="shared" si="30"/>
        <v>niet van toepassing</v>
      </c>
      <c r="I250" s="719"/>
      <c r="J250" s="623"/>
      <c r="K250" s="623"/>
      <c r="L250" s="668" t="s">
        <v>27</v>
      </c>
      <c r="M250" s="557">
        <f t="shared" si="34"/>
        <v>0</v>
      </c>
      <c r="N250" s="453"/>
      <c r="O250" s="557">
        <f t="shared" si="35"/>
        <v>0</v>
      </c>
      <c r="P250" s="633">
        <v>1</v>
      </c>
      <c r="Q250" s="776">
        <f t="shared" si="36"/>
        <v>0</v>
      </c>
      <c r="R250" s="776">
        <f t="shared" si="37"/>
        <v>0</v>
      </c>
      <c r="S250" s="552">
        <f t="shared" si="38"/>
        <v>0</v>
      </c>
      <c r="T250" s="626">
        <f t="shared" si="31"/>
        <v>0</v>
      </c>
      <c r="U250" s="626">
        <f t="shared" si="32"/>
        <v>0</v>
      </c>
      <c r="V250" s="553">
        <f t="shared" si="33"/>
        <v>0</v>
      </c>
      <c r="W250" s="554">
        <f t="shared" si="39"/>
        <v>0</v>
      </c>
      <c r="X250" s="454" t="s">
        <v>1454</v>
      </c>
      <c r="Y250" s="631">
        <f>IF(Q250=0,0,(Q250+R250)*'1.0-Contractblad'!$L$98)</f>
        <v>0</v>
      </c>
      <c r="Z250" s="632">
        <f>IF(J250=0,0,VLOOKUP(D250,'1.1a-Jaarprijzen'!$B$70:$P$124,14,FALSE)*(K250+J250))</f>
        <v>0</v>
      </c>
    </row>
    <row r="251" spans="1:26" hidden="1">
      <c r="A251" s="558"/>
      <c r="B251" s="548"/>
      <c r="C251" s="659">
        <v>3</v>
      </c>
      <c r="D251" s="549" t="s">
        <v>1472</v>
      </c>
      <c r="E251" s="660" t="s">
        <v>478</v>
      </c>
      <c r="F251" s="551" t="s">
        <v>745</v>
      </c>
      <c r="G251" s="649" t="s">
        <v>1242</v>
      </c>
      <c r="H251" s="647" t="str">
        <f t="shared" si="30"/>
        <v>niet van toepassing</v>
      </c>
      <c r="I251" s="719"/>
      <c r="J251" s="623"/>
      <c r="K251" s="623"/>
      <c r="L251" s="668" t="s">
        <v>27</v>
      </c>
      <c r="M251" s="557">
        <f t="shared" si="34"/>
        <v>0</v>
      </c>
      <c r="N251" s="453"/>
      <c r="O251" s="557">
        <f t="shared" si="35"/>
        <v>0</v>
      </c>
      <c r="P251" s="633">
        <v>1</v>
      </c>
      <c r="Q251" s="776">
        <f t="shared" si="36"/>
        <v>0</v>
      </c>
      <c r="R251" s="776">
        <f t="shared" si="37"/>
        <v>0</v>
      </c>
      <c r="S251" s="552">
        <f t="shared" si="38"/>
        <v>0</v>
      </c>
      <c r="T251" s="626">
        <f t="shared" si="31"/>
        <v>0</v>
      </c>
      <c r="U251" s="626">
        <f t="shared" si="32"/>
        <v>0</v>
      </c>
      <c r="V251" s="553">
        <f t="shared" si="33"/>
        <v>0</v>
      </c>
      <c r="W251" s="554">
        <f t="shared" si="39"/>
        <v>0</v>
      </c>
      <c r="X251" s="454" t="s">
        <v>1454</v>
      </c>
      <c r="Y251" s="631">
        <f>IF(Q251=0,0,(Q251+R251)*'1.0-Contractblad'!$L$98)</f>
        <v>0</v>
      </c>
      <c r="Z251" s="632">
        <f>IF(J251=0,0,VLOOKUP(D251,'1.1a-Jaarprijzen'!$B$70:$P$124,14,FALSE)*(K251+J251))</f>
        <v>0</v>
      </c>
    </row>
    <row r="252" spans="1:26" hidden="1">
      <c r="A252" s="558"/>
      <c r="B252" s="548"/>
      <c r="C252" s="659">
        <v>3</v>
      </c>
      <c r="D252" s="549" t="s">
        <v>1472</v>
      </c>
      <c r="E252" s="660" t="s">
        <v>478</v>
      </c>
      <c r="F252" s="551" t="s">
        <v>746</v>
      </c>
      <c r="G252" s="649" t="s">
        <v>1292</v>
      </c>
      <c r="H252" s="647" t="str">
        <f t="shared" si="30"/>
        <v>niet van toepassing</v>
      </c>
      <c r="I252" s="719"/>
      <c r="J252" s="623"/>
      <c r="K252" s="623"/>
      <c r="L252" s="668" t="s">
        <v>27</v>
      </c>
      <c r="M252" s="557">
        <f t="shared" si="34"/>
        <v>0</v>
      </c>
      <c r="N252" s="453"/>
      <c r="O252" s="557">
        <f t="shared" si="35"/>
        <v>0</v>
      </c>
      <c r="P252" s="633">
        <v>1</v>
      </c>
      <c r="Q252" s="776">
        <f t="shared" si="36"/>
        <v>0</v>
      </c>
      <c r="R252" s="776">
        <f t="shared" si="37"/>
        <v>0</v>
      </c>
      <c r="S252" s="552">
        <f t="shared" si="38"/>
        <v>0</v>
      </c>
      <c r="T252" s="626">
        <f t="shared" si="31"/>
        <v>0</v>
      </c>
      <c r="U252" s="626">
        <f t="shared" si="32"/>
        <v>0</v>
      </c>
      <c r="V252" s="553">
        <f t="shared" si="33"/>
        <v>0</v>
      </c>
      <c r="W252" s="554">
        <f t="shared" si="39"/>
        <v>0</v>
      </c>
      <c r="X252" s="454" t="s">
        <v>1454</v>
      </c>
      <c r="Y252" s="631">
        <f>IF(Q252=0,0,(Q252+R252)*'1.0-Contractblad'!$L$98)</f>
        <v>0</v>
      </c>
      <c r="Z252" s="632">
        <f>IF(J252=0,0,VLOOKUP(D252,'1.1a-Jaarprijzen'!$B$70:$P$124,14,FALSE)*(K252+J252))</f>
        <v>0</v>
      </c>
    </row>
    <row r="253" spans="1:26" hidden="1">
      <c r="A253" s="558"/>
      <c r="B253" s="548"/>
      <c r="C253" s="659">
        <v>3</v>
      </c>
      <c r="D253" s="549" t="s">
        <v>1472</v>
      </c>
      <c r="E253" s="660" t="s">
        <v>478</v>
      </c>
      <c r="F253" s="551" t="s">
        <v>747</v>
      </c>
      <c r="G253" s="649" t="s">
        <v>1293</v>
      </c>
      <c r="H253" s="647" t="str">
        <f t="shared" si="30"/>
        <v>niet van toepassing</v>
      </c>
      <c r="I253" s="719"/>
      <c r="J253" s="623"/>
      <c r="K253" s="623"/>
      <c r="L253" s="668" t="s">
        <v>27</v>
      </c>
      <c r="M253" s="557">
        <f t="shared" si="34"/>
        <v>0</v>
      </c>
      <c r="N253" s="453"/>
      <c r="O253" s="557">
        <f t="shared" si="35"/>
        <v>0</v>
      </c>
      <c r="P253" s="633">
        <v>1</v>
      </c>
      <c r="Q253" s="776">
        <f t="shared" si="36"/>
        <v>0</v>
      </c>
      <c r="R253" s="776">
        <f t="shared" si="37"/>
        <v>0</v>
      </c>
      <c r="S253" s="552">
        <f t="shared" si="38"/>
        <v>0</v>
      </c>
      <c r="T253" s="626">
        <f t="shared" si="31"/>
        <v>0</v>
      </c>
      <c r="U253" s="626">
        <f t="shared" si="32"/>
        <v>0</v>
      </c>
      <c r="V253" s="553">
        <f t="shared" si="33"/>
        <v>0</v>
      </c>
      <c r="W253" s="554">
        <f t="shared" si="39"/>
        <v>0</v>
      </c>
      <c r="X253" s="454" t="s">
        <v>1454</v>
      </c>
      <c r="Y253" s="631">
        <f>IF(Q253=0,0,(Q253+R253)*'1.0-Contractblad'!$L$98)</f>
        <v>0</v>
      </c>
      <c r="Z253" s="632">
        <f>IF(J253=0,0,VLOOKUP(D253,'1.1a-Jaarprijzen'!$B$70:$P$124,14,FALSE)*(K253+J253))</f>
        <v>0</v>
      </c>
    </row>
    <row r="254" spans="1:26" hidden="1">
      <c r="A254" s="558"/>
      <c r="B254" s="548"/>
      <c r="C254" s="659">
        <v>3</v>
      </c>
      <c r="D254" s="549" t="s">
        <v>1472</v>
      </c>
      <c r="E254" s="660" t="s">
        <v>478</v>
      </c>
      <c r="F254" s="551" t="s">
        <v>748</v>
      </c>
      <c r="G254" s="649" t="s">
        <v>1216</v>
      </c>
      <c r="H254" s="647" t="str">
        <f t="shared" si="30"/>
        <v>niet van toepassing</v>
      </c>
      <c r="I254" s="719"/>
      <c r="J254" s="623"/>
      <c r="K254" s="623"/>
      <c r="L254" s="668" t="s">
        <v>27</v>
      </c>
      <c r="M254" s="557">
        <f t="shared" si="34"/>
        <v>0</v>
      </c>
      <c r="N254" s="453"/>
      <c r="O254" s="557">
        <f t="shared" si="35"/>
        <v>0</v>
      </c>
      <c r="P254" s="633">
        <v>1</v>
      </c>
      <c r="Q254" s="776">
        <f t="shared" si="36"/>
        <v>0</v>
      </c>
      <c r="R254" s="776">
        <f t="shared" si="37"/>
        <v>0</v>
      </c>
      <c r="S254" s="552">
        <f t="shared" si="38"/>
        <v>0</v>
      </c>
      <c r="T254" s="626">
        <f t="shared" si="31"/>
        <v>0</v>
      </c>
      <c r="U254" s="626">
        <f t="shared" si="32"/>
        <v>0</v>
      </c>
      <c r="V254" s="553">
        <f t="shared" si="33"/>
        <v>0</v>
      </c>
      <c r="W254" s="554">
        <f t="shared" si="39"/>
        <v>0</v>
      </c>
      <c r="X254" s="454" t="s">
        <v>1454</v>
      </c>
      <c r="Y254" s="631">
        <f>IF(Q254=0,0,(Q254+R254)*'1.0-Contractblad'!$L$98)</f>
        <v>0</v>
      </c>
      <c r="Z254" s="632">
        <f>IF(J254=0,0,VLOOKUP(D254,'1.1a-Jaarprijzen'!$B$70:$P$124,14,FALSE)*(K254+J254))</f>
        <v>0</v>
      </c>
    </row>
    <row r="255" spans="1:26" hidden="1">
      <c r="A255" s="558"/>
      <c r="B255" s="548"/>
      <c r="C255" s="659">
        <v>3</v>
      </c>
      <c r="D255" s="549" t="s">
        <v>1472</v>
      </c>
      <c r="E255" s="660" t="s">
        <v>478</v>
      </c>
      <c r="F255" s="551" t="s">
        <v>749</v>
      </c>
      <c r="G255" s="649" t="s">
        <v>1269</v>
      </c>
      <c r="H255" s="647" t="str">
        <f t="shared" si="30"/>
        <v>niet van toepassing</v>
      </c>
      <c r="I255" s="719"/>
      <c r="J255" s="623"/>
      <c r="K255" s="623"/>
      <c r="L255" s="668" t="s">
        <v>27</v>
      </c>
      <c r="M255" s="557">
        <f t="shared" si="34"/>
        <v>0</v>
      </c>
      <c r="N255" s="453"/>
      <c r="O255" s="557">
        <f t="shared" si="35"/>
        <v>0</v>
      </c>
      <c r="P255" s="633">
        <v>1</v>
      </c>
      <c r="Q255" s="776">
        <f t="shared" si="36"/>
        <v>0</v>
      </c>
      <c r="R255" s="776">
        <f t="shared" si="37"/>
        <v>0</v>
      </c>
      <c r="S255" s="552">
        <f t="shared" si="38"/>
        <v>0</v>
      </c>
      <c r="T255" s="626">
        <f t="shared" si="31"/>
        <v>0</v>
      </c>
      <c r="U255" s="626">
        <f t="shared" si="32"/>
        <v>0</v>
      </c>
      <c r="V255" s="553">
        <f t="shared" si="33"/>
        <v>0</v>
      </c>
      <c r="W255" s="554">
        <f t="shared" si="39"/>
        <v>0</v>
      </c>
      <c r="X255" s="454" t="s">
        <v>1454</v>
      </c>
      <c r="Y255" s="631">
        <f>IF(Q255=0,0,(Q255+R255)*'1.0-Contractblad'!$L$98)</f>
        <v>0</v>
      </c>
      <c r="Z255" s="632">
        <f>IF(J255=0,0,VLOOKUP(D255,'1.1a-Jaarprijzen'!$B$70:$P$124,14,FALSE)*(K255+J255))</f>
        <v>0</v>
      </c>
    </row>
    <row r="256" spans="1:26" hidden="1">
      <c r="A256" s="558"/>
      <c r="B256" s="548"/>
      <c r="C256" s="659">
        <v>3</v>
      </c>
      <c r="D256" s="549" t="s">
        <v>1472</v>
      </c>
      <c r="E256" s="660" t="s">
        <v>478</v>
      </c>
      <c r="F256" s="551" t="s">
        <v>750</v>
      </c>
      <c r="G256" s="649" t="s">
        <v>1294</v>
      </c>
      <c r="H256" s="647" t="str">
        <f t="shared" si="30"/>
        <v>niet van toepassing</v>
      </c>
      <c r="I256" s="719"/>
      <c r="J256" s="623"/>
      <c r="K256" s="623"/>
      <c r="L256" s="668" t="s">
        <v>27</v>
      </c>
      <c r="M256" s="557">
        <f t="shared" si="34"/>
        <v>0</v>
      </c>
      <c r="N256" s="453"/>
      <c r="O256" s="557">
        <f t="shared" si="35"/>
        <v>0</v>
      </c>
      <c r="P256" s="633">
        <v>1</v>
      </c>
      <c r="Q256" s="776">
        <f t="shared" si="36"/>
        <v>0</v>
      </c>
      <c r="R256" s="776">
        <f t="shared" si="37"/>
        <v>0</v>
      </c>
      <c r="S256" s="552">
        <f t="shared" si="38"/>
        <v>0</v>
      </c>
      <c r="T256" s="626">
        <f t="shared" si="31"/>
        <v>0</v>
      </c>
      <c r="U256" s="626">
        <f t="shared" si="32"/>
        <v>0</v>
      </c>
      <c r="V256" s="553">
        <f t="shared" si="33"/>
        <v>0</v>
      </c>
      <c r="W256" s="554">
        <f t="shared" si="39"/>
        <v>0</v>
      </c>
      <c r="X256" s="454" t="s">
        <v>1454</v>
      </c>
      <c r="Y256" s="631">
        <f>IF(Q256=0,0,(Q256+R256)*'1.0-Contractblad'!$L$98)</f>
        <v>0</v>
      </c>
      <c r="Z256" s="632">
        <f>IF(J256=0,0,VLOOKUP(D256,'1.1a-Jaarprijzen'!$B$70:$P$124,14,FALSE)*(K256+J256))</f>
        <v>0</v>
      </c>
    </row>
    <row r="257" spans="1:26" hidden="1">
      <c r="A257" s="558"/>
      <c r="B257" s="548"/>
      <c r="C257" s="659">
        <v>3</v>
      </c>
      <c r="D257" s="549" t="s">
        <v>1472</v>
      </c>
      <c r="E257" s="660" t="s">
        <v>478</v>
      </c>
      <c r="F257" s="551" t="s">
        <v>751</v>
      </c>
      <c r="G257" s="649" t="s">
        <v>1295</v>
      </c>
      <c r="H257" s="647" t="str">
        <f t="shared" si="30"/>
        <v>niet van toepassing</v>
      </c>
      <c r="I257" s="719"/>
      <c r="J257" s="623"/>
      <c r="K257" s="623"/>
      <c r="L257" s="668" t="s">
        <v>27</v>
      </c>
      <c r="M257" s="557">
        <f t="shared" si="34"/>
        <v>0</v>
      </c>
      <c r="N257" s="453"/>
      <c r="O257" s="557">
        <f t="shared" si="35"/>
        <v>0</v>
      </c>
      <c r="P257" s="633">
        <v>1</v>
      </c>
      <c r="Q257" s="776">
        <f t="shared" si="36"/>
        <v>0</v>
      </c>
      <c r="R257" s="776">
        <f t="shared" si="37"/>
        <v>0</v>
      </c>
      <c r="S257" s="552">
        <f t="shared" si="38"/>
        <v>0</v>
      </c>
      <c r="T257" s="626">
        <f t="shared" si="31"/>
        <v>0</v>
      </c>
      <c r="U257" s="626">
        <f t="shared" si="32"/>
        <v>0</v>
      </c>
      <c r="V257" s="553">
        <f t="shared" si="33"/>
        <v>0</v>
      </c>
      <c r="W257" s="554">
        <f t="shared" si="39"/>
        <v>0</v>
      </c>
      <c r="X257" s="454" t="s">
        <v>1454</v>
      </c>
      <c r="Y257" s="631">
        <f>IF(Q257=0,0,(Q257+R257)*'1.0-Contractblad'!$L$98)</f>
        <v>0</v>
      </c>
      <c r="Z257" s="632">
        <f>IF(J257=0,0,VLOOKUP(D257,'1.1a-Jaarprijzen'!$B$70:$P$124,14,FALSE)*(K257+J257))</f>
        <v>0</v>
      </c>
    </row>
    <row r="258" spans="1:26" hidden="1">
      <c r="A258" s="558"/>
      <c r="B258" s="548"/>
      <c r="C258" s="659">
        <v>3</v>
      </c>
      <c r="D258" s="549" t="s">
        <v>1472</v>
      </c>
      <c r="E258" s="660" t="s">
        <v>478</v>
      </c>
      <c r="F258" s="551" t="s">
        <v>752</v>
      </c>
      <c r="G258" s="649" t="s">
        <v>1242</v>
      </c>
      <c r="H258" s="647" t="str">
        <f t="shared" si="30"/>
        <v>niet van toepassing</v>
      </c>
      <c r="I258" s="719"/>
      <c r="J258" s="623"/>
      <c r="K258" s="623"/>
      <c r="L258" s="668" t="s">
        <v>27</v>
      </c>
      <c r="M258" s="557">
        <f t="shared" si="34"/>
        <v>0</v>
      </c>
      <c r="N258" s="453"/>
      <c r="O258" s="557">
        <f t="shared" si="35"/>
        <v>0</v>
      </c>
      <c r="P258" s="633">
        <v>1</v>
      </c>
      <c r="Q258" s="776">
        <f t="shared" si="36"/>
        <v>0</v>
      </c>
      <c r="R258" s="776">
        <f t="shared" si="37"/>
        <v>0</v>
      </c>
      <c r="S258" s="552">
        <f t="shared" si="38"/>
        <v>0</v>
      </c>
      <c r="T258" s="626">
        <f t="shared" si="31"/>
        <v>0</v>
      </c>
      <c r="U258" s="626">
        <f t="shared" si="32"/>
        <v>0</v>
      </c>
      <c r="V258" s="553">
        <f t="shared" si="33"/>
        <v>0</v>
      </c>
      <c r="W258" s="554">
        <f t="shared" si="39"/>
        <v>0</v>
      </c>
      <c r="X258" s="454" t="s">
        <v>1454</v>
      </c>
      <c r="Y258" s="631">
        <f>IF(Q258=0,0,(Q258+R258)*'1.0-Contractblad'!$L$98)</f>
        <v>0</v>
      </c>
      <c r="Z258" s="632">
        <f>IF(J258=0,0,VLOOKUP(D258,'1.1a-Jaarprijzen'!$B$70:$P$124,14,FALSE)*(K258+J258))</f>
        <v>0</v>
      </c>
    </row>
    <row r="259" spans="1:26" hidden="1">
      <c r="A259" s="558"/>
      <c r="B259" s="548"/>
      <c r="C259" s="659">
        <v>3</v>
      </c>
      <c r="D259" s="549" t="s">
        <v>1472</v>
      </c>
      <c r="E259" s="660" t="s">
        <v>478</v>
      </c>
      <c r="F259" s="551" t="s">
        <v>753</v>
      </c>
      <c r="G259" s="649" t="s">
        <v>1269</v>
      </c>
      <c r="H259" s="647" t="str">
        <f t="shared" ref="H259:H322" si="40">IF(L259="","",VLOOKUP(L259,Kengetal,4,FALSE))</f>
        <v>niet van toepassing</v>
      </c>
      <c r="I259" s="719"/>
      <c r="J259" s="623"/>
      <c r="K259" s="623"/>
      <c r="L259" s="668" t="s">
        <v>27</v>
      </c>
      <c r="M259" s="557">
        <f t="shared" si="34"/>
        <v>0</v>
      </c>
      <c r="N259" s="453"/>
      <c r="O259" s="557">
        <f t="shared" si="35"/>
        <v>0</v>
      </c>
      <c r="P259" s="633">
        <v>1</v>
      </c>
      <c r="Q259" s="776">
        <f t="shared" si="36"/>
        <v>0</v>
      </c>
      <c r="R259" s="776">
        <f t="shared" si="37"/>
        <v>0</v>
      </c>
      <c r="S259" s="552">
        <f t="shared" si="38"/>
        <v>0</v>
      </c>
      <c r="T259" s="626">
        <f t="shared" si="31"/>
        <v>0</v>
      </c>
      <c r="U259" s="626">
        <f t="shared" si="32"/>
        <v>0</v>
      </c>
      <c r="V259" s="553">
        <f t="shared" si="33"/>
        <v>0</v>
      </c>
      <c r="W259" s="554">
        <f t="shared" si="39"/>
        <v>0</v>
      </c>
      <c r="X259" s="454" t="s">
        <v>1454</v>
      </c>
      <c r="Y259" s="631">
        <f>IF(Q259=0,0,(Q259+R259)*'1.0-Contractblad'!$L$98)</f>
        <v>0</v>
      </c>
      <c r="Z259" s="632">
        <f>IF(J259=0,0,VLOOKUP(D259,'1.1a-Jaarprijzen'!$B$70:$P$124,14,FALSE)*(K259+J259))</f>
        <v>0</v>
      </c>
    </row>
    <row r="260" spans="1:26" hidden="1">
      <c r="A260" s="558"/>
      <c r="B260" s="548"/>
      <c r="C260" s="659">
        <v>3</v>
      </c>
      <c r="D260" s="549" t="s">
        <v>1472</v>
      </c>
      <c r="E260" s="660" t="s">
        <v>478</v>
      </c>
      <c r="F260" s="551" t="s">
        <v>754</v>
      </c>
      <c r="G260" s="649" t="s">
        <v>1293</v>
      </c>
      <c r="H260" s="647" t="str">
        <f t="shared" si="40"/>
        <v>niet van toepassing</v>
      </c>
      <c r="I260" s="719"/>
      <c r="J260" s="623"/>
      <c r="K260" s="623"/>
      <c r="L260" s="668" t="s">
        <v>27</v>
      </c>
      <c r="M260" s="557">
        <f t="shared" si="34"/>
        <v>0</v>
      </c>
      <c r="N260" s="453"/>
      <c r="O260" s="557">
        <f t="shared" si="35"/>
        <v>0</v>
      </c>
      <c r="P260" s="633">
        <v>1</v>
      </c>
      <c r="Q260" s="776">
        <f t="shared" si="36"/>
        <v>0</v>
      </c>
      <c r="R260" s="776">
        <f t="shared" si="37"/>
        <v>0</v>
      </c>
      <c r="S260" s="552">
        <f t="shared" si="38"/>
        <v>0</v>
      </c>
      <c r="T260" s="626">
        <f t="shared" ref="T260:T323" si="41">VLOOKUP($L260,Kengetal,6,FALSE)</f>
        <v>0</v>
      </c>
      <c r="U260" s="626">
        <f t="shared" ref="U260:U323" si="42">VLOOKUP($L260,Kengetal,7,FALSE)</f>
        <v>0</v>
      </c>
      <c r="V260" s="553">
        <f t="shared" ref="V260:V323" si="43">VLOOKUP($N260,Kengetal,7,FALSE)</f>
        <v>0</v>
      </c>
      <c r="W260" s="554">
        <f t="shared" si="39"/>
        <v>0</v>
      </c>
      <c r="X260" s="454" t="s">
        <v>1454</v>
      </c>
      <c r="Y260" s="631">
        <f>IF(Q260=0,0,(Q260+R260)*'1.0-Contractblad'!$L$98)</f>
        <v>0</v>
      </c>
      <c r="Z260" s="632">
        <f>IF(J260=0,0,VLOOKUP(D260,'1.1a-Jaarprijzen'!$B$70:$P$124,14,FALSE)*(K260+J260))</f>
        <v>0</v>
      </c>
    </row>
    <row r="261" spans="1:26" hidden="1">
      <c r="A261" s="558"/>
      <c r="B261" s="548"/>
      <c r="C261" s="659">
        <v>3</v>
      </c>
      <c r="D261" s="549" t="s">
        <v>1472</v>
      </c>
      <c r="E261" s="660" t="s">
        <v>478</v>
      </c>
      <c r="F261" s="551" t="s">
        <v>755</v>
      </c>
      <c r="G261" s="649" t="s">
        <v>1245</v>
      </c>
      <c r="H261" s="647" t="str">
        <f t="shared" si="40"/>
        <v>niet van toepassing</v>
      </c>
      <c r="I261" s="719"/>
      <c r="J261" s="623"/>
      <c r="K261" s="623"/>
      <c r="L261" s="668" t="s">
        <v>27</v>
      </c>
      <c r="M261" s="557">
        <f t="shared" ref="M261:M324" si="44">VLOOKUP(L261,Kengetal,2,FALSE)</f>
        <v>0</v>
      </c>
      <c r="N261" s="453"/>
      <c r="O261" s="557">
        <f t="shared" ref="O261:O324" si="45">VLOOKUP(L261,Kengetal,3,FALSE)</f>
        <v>0</v>
      </c>
      <c r="P261" s="633">
        <v>1</v>
      </c>
      <c r="Q261" s="776">
        <f t="shared" ref="Q261:Q324" si="46">T261*J261*P261</f>
        <v>0</v>
      </c>
      <c r="R261" s="776">
        <f t="shared" ref="R261:R324" si="47">U261*J261*P261</f>
        <v>0</v>
      </c>
      <c r="S261" s="552">
        <f t="shared" ref="S261:S324" si="48">V261*J261*P261</f>
        <v>0</v>
      </c>
      <c r="T261" s="626">
        <f t="shared" si="41"/>
        <v>0</v>
      </c>
      <c r="U261" s="626">
        <f t="shared" si="42"/>
        <v>0</v>
      </c>
      <c r="V261" s="553">
        <f t="shared" si="43"/>
        <v>0</v>
      </c>
      <c r="W261" s="554">
        <f t="shared" ref="W261:W324" si="49">IF(L261="","",VLOOKUP(L261,Kengetal,14,FALSE))</f>
        <v>0</v>
      </c>
      <c r="X261" s="454" t="s">
        <v>1454</v>
      </c>
      <c r="Y261" s="631">
        <f>IF(Q261=0,0,(Q261+R261)*'1.0-Contractblad'!$L$98)</f>
        <v>0</v>
      </c>
      <c r="Z261" s="632">
        <f>IF(J261=0,0,VLOOKUP(D261,'1.1a-Jaarprijzen'!$B$70:$P$124,14,FALSE)*(K261+J261))</f>
        <v>0</v>
      </c>
    </row>
    <row r="262" spans="1:26" hidden="1">
      <c r="A262" s="558"/>
      <c r="B262" s="548"/>
      <c r="C262" s="659">
        <v>3</v>
      </c>
      <c r="D262" s="549" t="s">
        <v>1472</v>
      </c>
      <c r="E262" s="660" t="s">
        <v>478</v>
      </c>
      <c r="F262" s="551" t="s">
        <v>756</v>
      </c>
      <c r="G262" s="649" t="s">
        <v>1296</v>
      </c>
      <c r="H262" s="647" t="str">
        <f t="shared" si="40"/>
        <v>niet van toepassing</v>
      </c>
      <c r="I262" s="719"/>
      <c r="J262" s="623"/>
      <c r="K262" s="623"/>
      <c r="L262" s="668" t="s">
        <v>27</v>
      </c>
      <c r="M262" s="557">
        <f t="shared" si="44"/>
        <v>0</v>
      </c>
      <c r="N262" s="453"/>
      <c r="O262" s="557">
        <f t="shared" si="45"/>
        <v>0</v>
      </c>
      <c r="P262" s="633">
        <v>1</v>
      </c>
      <c r="Q262" s="776">
        <f t="shared" si="46"/>
        <v>0</v>
      </c>
      <c r="R262" s="776">
        <f t="shared" si="47"/>
        <v>0</v>
      </c>
      <c r="S262" s="552">
        <f t="shared" si="48"/>
        <v>0</v>
      </c>
      <c r="T262" s="626">
        <f t="shared" si="41"/>
        <v>0</v>
      </c>
      <c r="U262" s="626">
        <f t="shared" si="42"/>
        <v>0</v>
      </c>
      <c r="V262" s="553">
        <f t="shared" si="43"/>
        <v>0</v>
      </c>
      <c r="W262" s="554">
        <f t="shared" si="49"/>
        <v>0</v>
      </c>
      <c r="X262" s="454" t="s">
        <v>1454</v>
      </c>
      <c r="Y262" s="631">
        <f>IF(Q262=0,0,(Q262+R262)*'1.0-Contractblad'!$L$98)</f>
        <v>0</v>
      </c>
      <c r="Z262" s="632">
        <f>IF(J262=0,0,VLOOKUP(D262,'1.1a-Jaarprijzen'!$B$70:$P$124,14,FALSE)*(K262+J262))</f>
        <v>0</v>
      </c>
    </row>
    <row r="263" spans="1:26" hidden="1">
      <c r="A263" s="558"/>
      <c r="B263" s="548"/>
      <c r="C263" s="659">
        <v>3</v>
      </c>
      <c r="D263" s="549" t="s">
        <v>1472</v>
      </c>
      <c r="E263" s="660" t="s">
        <v>478</v>
      </c>
      <c r="F263" s="551" t="s">
        <v>757</v>
      </c>
      <c r="G263" s="649" t="s">
        <v>1297</v>
      </c>
      <c r="H263" s="647" t="str">
        <f t="shared" si="40"/>
        <v>niet van toepassing</v>
      </c>
      <c r="I263" s="719"/>
      <c r="J263" s="623"/>
      <c r="K263" s="623"/>
      <c r="L263" s="668" t="s">
        <v>27</v>
      </c>
      <c r="M263" s="557">
        <f t="shared" si="44"/>
        <v>0</v>
      </c>
      <c r="N263" s="453"/>
      <c r="O263" s="557">
        <f t="shared" si="45"/>
        <v>0</v>
      </c>
      <c r="P263" s="633">
        <v>1</v>
      </c>
      <c r="Q263" s="776">
        <f t="shared" si="46"/>
        <v>0</v>
      </c>
      <c r="R263" s="776">
        <f t="shared" si="47"/>
        <v>0</v>
      </c>
      <c r="S263" s="552">
        <f t="shared" si="48"/>
        <v>0</v>
      </c>
      <c r="T263" s="626">
        <f t="shared" si="41"/>
        <v>0</v>
      </c>
      <c r="U263" s="626">
        <f t="shared" si="42"/>
        <v>0</v>
      </c>
      <c r="V263" s="553">
        <f t="shared" si="43"/>
        <v>0</v>
      </c>
      <c r="W263" s="554">
        <f t="shared" si="49"/>
        <v>0</v>
      </c>
      <c r="X263" s="454" t="s">
        <v>1454</v>
      </c>
      <c r="Y263" s="631">
        <f>IF(Q263=0,0,(Q263+R263)*'1.0-Contractblad'!$L$98)</f>
        <v>0</v>
      </c>
      <c r="Z263" s="632">
        <f>IF(J263=0,0,VLOOKUP(D263,'1.1a-Jaarprijzen'!$B$70:$P$124,14,FALSE)*(K263+J263))</f>
        <v>0</v>
      </c>
    </row>
    <row r="264" spans="1:26" hidden="1">
      <c r="A264" s="558"/>
      <c r="B264" s="548"/>
      <c r="C264" s="659">
        <v>3</v>
      </c>
      <c r="D264" s="549" t="s">
        <v>1472</v>
      </c>
      <c r="E264" s="660" t="s">
        <v>478</v>
      </c>
      <c r="F264" s="551" t="s">
        <v>758</v>
      </c>
      <c r="G264" s="649" t="s">
        <v>1216</v>
      </c>
      <c r="H264" s="647" t="str">
        <f t="shared" si="40"/>
        <v>niet van toepassing</v>
      </c>
      <c r="I264" s="719"/>
      <c r="J264" s="623"/>
      <c r="K264" s="623"/>
      <c r="L264" s="668" t="s">
        <v>27</v>
      </c>
      <c r="M264" s="557">
        <f t="shared" si="44"/>
        <v>0</v>
      </c>
      <c r="N264" s="453"/>
      <c r="O264" s="557">
        <f t="shared" si="45"/>
        <v>0</v>
      </c>
      <c r="P264" s="633">
        <v>1</v>
      </c>
      <c r="Q264" s="776">
        <f t="shared" si="46"/>
        <v>0</v>
      </c>
      <c r="R264" s="776">
        <f t="shared" si="47"/>
        <v>0</v>
      </c>
      <c r="S264" s="552">
        <f t="shared" si="48"/>
        <v>0</v>
      </c>
      <c r="T264" s="626">
        <f t="shared" si="41"/>
        <v>0</v>
      </c>
      <c r="U264" s="626">
        <f t="shared" si="42"/>
        <v>0</v>
      </c>
      <c r="V264" s="553">
        <f t="shared" si="43"/>
        <v>0</v>
      </c>
      <c r="W264" s="554">
        <f t="shared" si="49"/>
        <v>0</v>
      </c>
      <c r="X264" s="454" t="s">
        <v>1454</v>
      </c>
      <c r="Y264" s="631">
        <f>IF(Q264=0,0,(Q264+R264)*'1.0-Contractblad'!$L$98)</f>
        <v>0</v>
      </c>
      <c r="Z264" s="632">
        <f>IF(J264=0,0,VLOOKUP(D264,'1.1a-Jaarprijzen'!$B$70:$P$124,14,FALSE)*(K264+J264))</f>
        <v>0</v>
      </c>
    </row>
    <row r="265" spans="1:26" hidden="1">
      <c r="A265" s="558"/>
      <c r="B265" s="548"/>
      <c r="C265" s="659">
        <v>3</v>
      </c>
      <c r="D265" s="549" t="s">
        <v>1472</v>
      </c>
      <c r="E265" s="660" t="s">
        <v>478</v>
      </c>
      <c r="F265" s="551" t="s">
        <v>759</v>
      </c>
      <c r="G265" s="649" t="s">
        <v>1245</v>
      </c>
      <c r="H265" s="647" t="str">
        <f t="shared" si="40"/>
        <v>niet van toepassing</v>
      </c>
      <c r="I265" s="719"/>
      <c r="J265" s="623"/>
      <c r="K265" s="623"/>
      <c r="L265" s="668" t="s">
        <v>27</v>
      </c>
      <c r="M265" s="557">
        <f t="shared" si="44"/>
        <v>0</v>
      </c>
      <c r="N265" s="453"/>
      <c r="O265" s="557">
        <f t="shared" si="45"/>
        <v>0</v>
      </c>
      <c r="P265" s="633">
        <v>1</v>
      </c>
      <c r="Q265" s="776">
        <f t="shared" si="46"/>
        <v>0</v>
      </c>
      <c r="R265" s="776">
        <f t="shared" si="47"/>
        <v>0</v>
      </c>
      <c r="S265" s="552">
        <f t="shared" si="48"/>
        <v>0</v>
      </c>
      <c r="T265" s="626">
        <f t="shared" si="41"/>
        <v>0</v>
      </c>
      <c r="U265" s="626">
        <f t="shared" si="42"/>
        <v>0</v>
      </c>
      <c r="V265" s="553">
        <f t="shared" si="43"/>
        <v>0</v>
      </c>
      <c r="W265" s="554">
        <f t="shared" si="49"/>
        <v>0</v>
      </c>
      <c r="X265" s="454" t="s">
        <v>1454</v>
      </c>
      <c r="Y265" s="631">
        <f>IF(Q265=0,0,(Q265+R265)*'1.0-Contractblad'!$L$98)</f>
        <v>0</v>
      </c>
      <c r="Z265" s="632">
        <f>IF(J265=0,0,VLOOKUP(D265,'1.1a-Jaarprijzen'!$B$70:$P$124,14,FALSE)*(K265+J265))</f>
        <v>0</v>
      </c>
    </row>
    <row r="266" spans="1:26" hidden="1">
      <c r="A266" s="558"/>
      <c r="B266" s="548"/>
      <c r="C266" s="659">
        <v>3</v>
      </c>
      <c r="D266" s="549" t="s">
        <v>1472</v>
      </c>
      <c r="E266" s="660" t="s">
        <v>478</v>
      </c>
      <c r="F266" s="551" t="s">
        <v>760</v>
      </c>
      <c r="G266" s="649" t="s">
        <v>1216</v>
      </c>
      <c r="H266" s="647" t="str">
        <f t="shared" si="40"/>
        <v>niet van toepassing</v>
      </c>
      <c r="I266" s="719"/>
      <c r="J266" s="623"/>
      <c r="K266" s="623"/>
      <c r="L266" s="668" t="s">
        <v>27</v>
      </c>
      <c r="M266" s="557">
        <f t="shared" si="44"/>
        <v>0</v>
      </c>
      <c r="N266" s="453"/>
      <c r="O266" s="557">
        <f t="shared" si="45"/>
        <v>0</v>
      </c>
      <c r="P266" s="633">
        <v>1</v>
      </c>
      <c r="Q266" s="776">
        <f t="shared" si="46"/>
        <v>0</v>
      </c>
      <c r="R266" s="776">
        <f t="shared" si="47"/>
        <v>0</v>
      </c>
      <c r="S266" s="552">
        <f t="shared" si="48"/>
        <v>0</v>
      </c>
      <c r="T266" s="626">
        <f t="shared" si="41"/>
        <v>0</v>
      </c>
      <c r="U266" s="626">
        <f t="shared" si="42"/>
        <v>0</v>
      </c>
      <c r="V266" s="553">
        <f t="shared" si="43"/>
        <v>0</v>
      </c>
      <c r="W266" s="554">
        <f t="shared" si="49"/>
        <v>0</v>
      </c>
      <c r="X266" s="454" t="s">
        <v>1454</v>
      </c>
      <c r="Y266" s="631">
        <f>IF(Q266=0,0,(Q266+R266)*'1.0-Contractblad'!$L$98)</f>
        <v>0</v>
      </c>
      <c r="Z266" s="632">
        <f>IF(J266=0,0,VLOOKUP(D266,'1.1a-Jaarprijzen'!$B$70:$P$124,14,FALSE)*(K266+J266))</f>
        <v>0</v>
      </c>
    </row>
    <row r="267" spans="1:26" hidden="1">
      <c r="A267" s="558"/>
      <c r="B267" s="548"/>
      <c r="C267" s="659">
        <v>3</v>
      </c>
      <c r="D267" s="549" t="s">
        <v>1472</v>
      </c>
      <c r="E267" s="660" t="s">
        <v>478</v>
      </c>
      <c r="F267" s="551" t="s">
        <v>761</v>
      </c>
      <c r="G267" s="649" t="s">
        <v>1297</v>
      </c>
      <c r="H267" s="647" t="str">
        <f t="shared" si="40"/>
        <v>niet van toepassing</v>
      </c>
      <c r="I267" s="719"/>
      <c r="J267" s="623"/>
      <c r="K267" s="623"/>
      <c r="L267" s="668" t="s">
        <v>27</v>
      </c>
      <c r="M267" s="557">
        <f t="shared" si="44"/>
        <v>0</v>
      </c>
      <c r="N267" s="453"/>
      <c r="O267" s="557">
        <f t="shared" si="45"/>
        <v>0</v>
      </c>
      <c r="P267" s="633">
        <v>1</v>
      </c>
      <c r="Q267" s="776">
        <f t="shared" si="46"/>
        <v>0</v>
      </c>
      <c r="R267" s="776">
        <f t="shared" si="47"/>
        <v>0</v>
      </c>
      <c r="S267" s="552">
        <f t="shared" si="48"/>
        <v>0</v>
      </c>
      <c r="T267" s="626">
        <f t="shared" si="41"/>
        <v>0</v>
      </c>
      <c r="U267" s="626">
        <f t="shared" si="42"/>
        <v>0</v>
      </c>
      <c r="V267" s="553">
        <f t="shared" si="43"/>
        <v>0</v>
      </c>
      <c r="W267" s="554">
        <f t="shared" si="49"/>
        <v>0</v>
      </c>
      <c r="X267" s="454" t="s">
        <v>1454</v>
      </c>
      <c r="Y267" s="631">
        <f>IF(Q267=0,0,(Q267+R267)*'1.0-Contractblad'!$L$98)</f>
        <v>0</v>
      </c>
      <c r="Z267" s="632">
        <f>IF(J267=0,0,VLOOKUP(D267,'1.1a-Jaarprijzen'!$B$70:$P$124,14,FALSE)*(K267+J267))</f>
        <v>0</v>
      </c>
    </row>
    <row r="268" spans="1:26" hidden="1">
      <c r="A268" s="558"/>
      <c r="B268" s="548"/>
      <c r="C268" s="659">
        <v>3</v>
      </c>
      <c r="D268" s="549" t="s">
        <v>1472</v>
      </c>
      <c r="E268" s="660" t="s">
        <v>478</v>
      </c>
      <c r="F268" s="551" t="s">
        <v>762</v>
      </c>
      <c r="G268" s="649" t="s">
        <v>1216</v>
      </c>
      <c r="H268" s="647" t="str">
        <f t="shared" si="40"/>
        <v>niet van toepassing</v>
      </c>
      <c r="I268" s="719"/>
      <c r="J268" s="623"/>
      <c r="K268" s="623"/>
      <c r="L268" s="668" t="s">
        <v>27</v>
      </c>
      <c r="M268" s="557">
        <f t="shared" si="44"/>
        <v>0</v>
      </c>
      <c r="N268" s="453"/>
      <c r="O268" s="557">
        <f t="shared" si="45"/>
        <v>0</v>
      </c>
      <c r="P268" s="633">
        <v>1</v>
      </c>
      <c r="Q268" s="776">
        <f t="shared" si="46"/>
        <v>0</v>
      </c>
      <c r="R268" s="776">
        <f t="shared" si="47"/>
        <v>0</v>
      </c>
      <c r="S268" s="552">
        <f t="shared" si="48"/>
        <v>0</v>
      </c>
      <c r="T268" s="626">
        <f t="shared" si="41"/>
        <v>0</v>
      </c>
      <c r="U268" s="626">
        <f t="shared" si="42"/>
        <v>0</v>
      </c>
      <c r="V268" s="553">
        <f t="shared" si="43"/>
        <v>0</v>
      </c>
      <c r="W268" s="554">
        <f t="shared" si="49"/>
        <v>0</v>
      </c>
      <c r="X268" s="454" t="s">
        <v>1454</v>
      </c>
      <c r="Y268" s="631">
        <f>IF(Q268=0,0,(Q268+R268)*'1.0-Contractblad'!$L$98)</f>
        <v>0</v>
      </c>
      <c r="Z268" s="632">
        <f>IF(J268=0,0,VLOOKUP(D268,'1.1a-Jaarprijzen'!$B$70:$P$124,14,FALSE)*(K268+J268))</f>
        <v>0</v>
      </c>
    </row>
    <row r="269" spans="1:26" hidden="1">
      <c r="A269" s="558"/>
      <c r="B269" s="548"/>
      <c r="C269" s="659">
        <v>3</v>
      </c>
      <c r="D269" s="549" t="s">
        <v>1469</v>
      </c>
      <c r="E269" s="660" t="s">
        <v>478</v>
      </c>
      <c r="F269" s="551" t="s">
        <v>763</v>
      </c>
      <c r="G269" s="649" t="s">
        <v>1298</v>
      </c>
      <c r="H269" s="647" t="str">
        <f t="shared" si="40"/>
        <v>trappenhuis</v>
      </c>
      <c r="I269" s="719" t="s">
        <v>106</v>
      </c>
      <c r="J269" s="623">
        <v>17.399999999999999</v>
      </c>
      <c r="K269" s="623"/>
      <c r="L269" s="559">
        <v>9153</v>
      </c>
      <c r="M269" s="557">
        <f t="shared" si="44"/>
        <v>109</v>
      </c>
      <c r="N269" s="453"/>
      <c r="O269" s="557">
        <f t="shared" si="45"/>
        <v>153</v>
      </c>
      <c r="P269" s="633">
        <v>1</v>
      </c>
      <c r="Q269" s="776">
        <f t="shared" si="46"/>
        <v>0</v>
      </c>
      <c r="R269" s="776">
        <f t="shared" si="47"/>
        <v>0</v>
      </c>
      <c r="S269" s="552">
        <f t="shared" si="48"/>
        <v>0</v>
      </c>
      <c r="T269" s="626">
        <f t="shared" si="41"/>
        <v>0</v>
      </c>
      <c r="U269" s="626">
        <f t="shared" si="42"/>
        <v>0</v>
      </c>
      <c r="V269" s="553">
        <f t="shared" si="43"/>
        <v>0</v>
      </c>
      <c r="W269" s="554" t="str">
        <f t="shared" si="49"/>
        <v>V</v>
      </c>
      <c r="X269" s="555"/>
      <c r="Y269" s="631">
        <f>IF(Q269=0,0,(Q269+R269)*'1.0-Contractblad'!$L$98)</f>
        <v>0</v>
      </c>
      <c r="Z269" s="632">
        <f ca="1">IF(J269=0,0,VLOOKUP(D269,'1.1a-Jaarprijzen'!$B$70:$P$124,14,FALSE)*(K269+J269))</f>
        <v>0</v>
      </c>
    </row>
    <row r="270" spans="1:26" hidden="1">
      <c r="A270" s="558"/>
      <c r="B270" s="548"/>
      <c r="C270" s="659">
        <v>3</v>
      </c>
      <c r="D270" s="549" t="s">
        <v>1472</v>
      </c>
      <c r="E270" s="660" t="s">
        <v>478</v>
      </c>
      <c r="F270" s="551" t="s">
        <v>764</v>
      </c>
      <c r="G270" s="649" t="s">
        <v>1299</v>
      </c>
      <c r="H270" s="647" t="str">
        <f t="shared" si="40"/>
        <v>niet van toepassing</v>
      </c>
      <c r="I270" s="719"/>
      <c r="J270" s="623"/>
      <c r="K270" s="623"/>
      <c r="L270" s="668" t="s">
        <v>27</v>
      </c>
      <c r="M270" s="557">
        <f t="shared" si="44"/>
        <v>0</v>
      </c>
      <c r="N270" s="453"/>
      <c r="O270" s="557">
        <f t="shared" si="45"/>
        <v>0</v>
      </c>
      <c r="P270" s="633">
        <v>1</v>
      </c>
      <c r="Q270" s="776">
        <f t="shared" si="46"/>
        <v>0</v>
      </c>
      <c r="R270" s="776">
        <f t="shared" si="47"/>
        <v>0</v>
      </c>
      <c r="S270" s="552">
        <f t="shared" si="48"/>
        <v>0</v>
      </c>
      <c r="T270" s="626">
        <f t="shared" si="41"/>
        <v>0</v>
      </c>
      <c r="U270" s="626">
        <f t="shared" si="42"/>
        <v>0</v>
      </c>
      <c r="V270" s="553">
        <f t="shared" si="43"/>
        <v>0</v>
      </c>
      <c r="W270" s="554">
        <f t="shared" si="49"/>
        <v>0</v>
      </c>
      <c r="X270" s="454" t="s">
        <v>1454</v>
      </c>
      <c r="Y270" s="631">
        <f>IF(Q270=0,0,(Q270+R270)*'1.0-Contractblad'!$L$98)</f>
        <v>0</v>
      </c>
      <c r="Z270" s="632">
        <f>IF(J270=0,0,VLOOKUP(D270,'1.1a-Jaarprijzen'!$B$70:$P$124,14,FALSE)*(K270+J270))</f>
        <v>0</v>
      </c>
    </row>
    <row r="271" spans="1:26" hidden="1">
      <c r="A271" s="558"/>
      <c r="B271" s="548"/>
      <c r="C271" s="659">
        <v>3</v>
      </c>
      <c r="D271" s="549" t="s">
        <v>1472</v>
      </c>
      <c r="E271" s="660" t="s">
        <v>478</v>
      </c>
      <c r="F271" s="551" t="s">
        <v>765</v>
      </c>
      <c r="G271" s="649" t="s">
        <v>1297</v>
      </c>
      <c r="H271" s="647" t="str">
        <f t="shared" si="40"/>
        <v>niet van toepassing</v>
      </c>
      <c r="I271" s="719"/>
      <c r="J271" s="623"/>
      <c r="K271" s="623"/>
      <c r="L271" s="668" t="s">
        <v>27</v>
      </c>
      <c r="M271" s="557">
        <f t="shared" si="44"/>
        <v>0</v>
      </c>
      <c r="N271" s="453"/>
      <c r="O271" s="557">
        <f t="shared" si="45"/>
        <v>0</v>
      </c>
      <c r="P271" s="633">
        <v>1</v>
      </c>
      <c r="Q271" s="776">
        <f t="shared" si="46"/>
        <v>0</v>
      </c>
      <c r="R271" s="776">
        <f t="shared" si="47"/>
        <v>0</v>
      </c>
      <c r="S271" s="552">
        <f t="shared" si="48"/>
        <v>0</v>
      </c>
      <c r="T271" s="626">
        <f t="shared" si="41"/>
        <v>0</v>
      </c>
      <c r="U271" s="626">
        <f t="shared" si="42"/>
        <v>0</v>
      </c>
      <c r="V271" s="553">
        <f t="shared" si="43"/>
        <v>0</v>
      </c>
      <c r="W271" s="554">
        <f t="shared" si="49"/>
        <v>0</v>
      </c>
      <c r="X271" s="454" t="s">
        <v>1454</v>
      </c>
      <c r="Y271" s="631">
        <f>IF(Q271=0,0,(Q271+R271)*'1.0-Contractblad'!$L$98)</f>
        <v>0</v>
      </c>
      <c r="Z271" s="632">
        <f>IF(J271=0,0,VLOOKUP(D271,'1.1a-Jaarprijzen'!$B$70:$P$124,14,FALSE)*(K271+J271))</f>
        <v>0</v>
      </c>
    </row>
    <row r="272" spans="1:26" hidden="1">
      <c r="A272" s="558"/>
      <c r="B272" s="548"/>
      <c r="C272" s="659">
        <v>3</v>
      </c>
      <c r="D272" s="549" t="s">
        <v>1472</v>
      </c>
      <c r="E272" s="660" t="s">
        <v>478</v>
      </c>
      <c r="F272" s="551" t="s">
        <v>766</v>
      </c>
      <c r="G272" s="649" t="s">
        <v>1297</v>
      </c>
      <c r="H272" s="647" t="str">
        <f t="shared" si="40"/>
        <v>niet van toepassing</v>
      </c>
      <c r="I272" s="719"/>
      <c r="J272" s="623"/>
      <c r="K272" s="623"/>
      <c r="L272" s="668" t="s">
        <v>27</v>
      </c>
      <c r="M272" s="557">
        <f t="shared" si="44"/>
        <v>0</v>
      </c>
      <c r="N272" s="453"/>
      <c r="O272" s="557">
        <f t="shared" si="45"/>
        <v>0</v>
      </c>
      <c r="P272" s="633">
        <v>1</v>
      </c>
      <c r="Q272" s="776">
        <f t="shared" si="46"/>
        <v>0</v>
      </c>
      <c r="R272" s="776">
        <f t="shared" si="47"/>
        <v>0</v>
      </c>
      <c r="S272" s="552">
        <f t="shared" si="48"/>
        <v>0</v>
      </c>
      <c r="T272" s="626">
        <f t="shared" si="41"/>
        <v>0</v>
      </c>
      <c r="U272" s="626">
        <f t="shared" si="42"/>
        <v>0</v>
      </c>
      <c r="V272" s="553">
        <f t="shared" si="43"/>
        <v>0</v>
      </c>
      <c r="W272" s="554">
        <f t="shared" si="49"/>
        <v>0</v>
      </c>
      <c r="X272" s="454" t="s">
        <v>1454</v>
      </c>
      <c r="Y272" s="631">
        <f>IF(Q272=0,0,(Q272+R272)*'1.0-Contractblad'!$L$98)</f>
        <v>0</v>
      </c>
      <c r="Z272" s="632">
        <f>IF(J272=0,0,VLOOKUP(D272,'1.1a-Jaarprijzen'!$B$70:$P$124,14,FALSE)*(K272+J272))</f>
        <v>0</v>
      </c>
    </row>
    <row r="273" spans="1:26" hidden="1">
      <c r="A273" s="558"/>
      <c r="B273" s="548"/>
      <c r="C273" s="659">
        <v>3</v>
      </c>
      <c r="D273" s="549" t="s">
        <v>1469</v>
      </c>
      <c r="E273" s="660" t="s">
        <v>478</v>
      </c>
      <c r="F273" s="551" t="s">
        <v>767</v>
      </c>
      <c r="G273" s="649" t="s">
        <v>1300</v>
      </c>
      <c r="H273" s="647" t="str">
        <f t="shared" si="40"/>
        <v>entree, gang, hal, repro, kopieer, was/droogruimte</v>
      </c>
      <c r="I273" s="719" t="s">
        <v>76</v>
      </c>
      <c r="J273" s="623">
        <v>67.7</v>
      </c>
      <c r="K273" s="623"/>
      <c r="L273" s="559">
        <v>3153</v>
      </c>
      <c r="M273" s="557">
        <f t="shared" si="44"/>
        <v>103</v>
      </c>
      <c r="N273" s="453"/>
      <c r="O273" s="557">
        <f t="shared" si="45"/>
        <v>153</v>
      </c>
      <c r="P273" s="633">
        <v>1</v>
      </c>
      <c r="Q273" s="776">
        <f t="shared" si="46"/>
        <v>0</v>
      </c>
      <c r="R273" s="776">
        <f t="shared" si="47"/>
        <v>0</v>
      </c>
      <c r="S273" s="552">
        <f t="shared" si="48"/>
        <v>0</v>
      </c>
      <c r="T273" s="626">
        <f t="shared" si="41"/>
        <v>0</v>
      </c>
      <c r="U273" s="626">
        <f t="shared" si="42"/>
        <v>0</v>
      </c>
      <c r="V273" s="553">
        <f t="shared" si="43"/>
        <v>0</v>
      </c>
      <c r="W273" s="554" t="str">
        <f t="shared" si="49"/>
        <v>V</v>
      </c>
      <c r="X273" s="555"/>
      <c r="Y273" s="631">
        <f>IF(Q273=0,0,(Q273+R273)*'1.0-Contractblad'!$L$98)</f>
        <v>0</v>
      </c>
      <c r="Z273" s="632">
        <f ca="1">IF(J273=0,0,VLOOKUP(D273,'1.1a-Jaarprijzen'!$B$70:$P$124,14,FALSE)*(K273+J273))</f>
        <v>0</v>
      </c>
    </row>
    <row r="274" spans="1:26" hidden="1">
      <c r="A274" s="558"/>
      <c r="B274" s="548"/>
      <c r="C274" s="659">
        <v>3</v>
      </c>
      <c r="D274" s="549" t="s">
        <v>1469</v>
      </c>
      <c r="E274" s="660" t="s">
        <v>478</v>
      </c>
      <c r="F274" s="551" t="s">
        <v>768</v>
      </c>
      <c r="G274" s="649" t="s">
        <v>1301</v>
      </c>
      <c r="H274" s="647" t="str">
        <f t="shared" si="40"/>
        <v>sanitaire ruimte (toilet-/doucheruimte)</v>
      </c>
      <c r="I274" s="719" t="s">
        <v>84</v>
      </c>
      <c r="J274" s="623">
        <v>2.6</v>
      </c>
      <c r="K274" s="623"/>
      <c r="L274" s="559">
        <v>4153</v>
      </c>
      <c r="M274" s="557">
        <f t="shared" si="44"/>
        <v>104</v>
      </c>
      <c r="N274" s="453"/>
      <c r="O274" s="557">
        <f t="shared" si="45"/>
        <v>153</v>
      </c>
      <c r="P274" s="633">
        <v>1</v>
      </c>
      <c r="Q274" s="776">
        <f t="shared" si="46"/>
        <v>0</v>
      </c>
      <c r="R274" s="776">
        <f t="shared" si="47"/>
        <v>0</v>
      </c>
      <c r="S274" s="552">
        <f t="shared" si="48"/>
        <v>0</v>
      </c>
      <c r="T274" s="626">
        <f t="shared" si="41"/>
        <v>0</v>
      </c>
      <c r="U274" s="626">
        <f t="shared" si="42"/>
        <v>0</v>
      </c>
      <c r="V274" s="553">
        <f t="shared" si="43"/>
        <v>0</v>
      </c>
      <c r="W274" s="554" t="str">
        <f t="shared" si="49"/>
        <v>S</v>
      </c>
      <c r="X274" s="555"/>
      <c r="Y274" s="631">
        <f>IF(Q274=0,0,(Q274+R274)*'1.0-Contractblad'!$L$98)</f>
        <v>0</v>
      </c>
      <c r="Z274" s="632">
        <f ca="1">IF(J274=0,0,VLOOKUP(D274,'1.1a-Jaarprijzen'!$B$70:$P$124,14,FALSE)*(K274+J274))</f>
        <v>0</v>
      </c>
    </row>
    <row r="275" spans="1:26" hidden="1">
      <c r="A275" s="558"/>
      <c r="B275" s="548"/>
      <c r="C275" s="659">
        <v>3</v>
      </c>
      <c r="D275" s="549" t="s">
        <v>1469</v>
      </c>
      <c r="E275" s="660" t="s">
        <v>478</v>
      </c>
      <c r="F275" s="551" t="s">
        <v>769</v>
      </c>
      <c r="G275" s="649" t="s">
        <v>1301</v>
      </c>
      <c r="H275" s="647" t="str">
        <f t="shared" si="40"/>
        <v>sanitaire ruimte (toilet-/doucheruimte)</v>
      </c>
      <c r="I275" s="719" t="s">
        <v>84</v>
      </c>
      <c r="J275" s="623">
        <v>2.6</v>
      </c>
      <c r="K275" s="623"/>
      <c r="L275" s="559">
        <v>4153</v>
      </c>
      <c r="M275" s="557">
        <f t="shared" si="44"/>
        <v>104</v>
      </c>
      <c r="N275" s="453"/>
      <c r="O275" s="557">
        <f t="shared" si="45"/>
        <v>153</v>
      </c>
      <c r="P275" s="633">
        <v>1</v>
      </c>
      <c r="Q275" s="776">
        <f t="shared" si="46"/>
        <v>0</v>
      </c>
      <c r="R275" s="776">
        <f t="shared" si="47"/>
        <v>0</v>
      </c>
      <c r="S275" s="552">
        <f t="shared" si="48"/>
        <v>0</v>
      </c>
      <c r="T275" s="626">
        <f t="shared" si="41"/>
        <v>0</v>
      </c>
      <c r="U275" s="626">
        <f t="shared" si="42"/>
        <v>0</v>
      </c>
      <c r="V275" s="553">
        <f t="shared" si="43"/>
        <v>0</v>
      </c>
      <c r="W275" s="554" t="str">
        <f t="shared" si="49"/>
        <v>S</v>
      </c>
      <c r="X275" s="555"/>
      <c r="Y275" s="631">
        <f>IF(Q275=0,0,(Q275+R275)*'1.0-Contractblad'!$L$98)</f>
        <v>0</v>
      </c>
      <c r="Z275" s="632">
        <f ca="1">IF(J275=0,0,VLOOKUP(D275,'1.1a-Jaarprijzen'!$B$70:$P$124,14,FALSE)*(K275+J275))</f>
        <v>0</v>
      </c>
    </row>
    <row r="276" spans="1:26" hidden="1">
      <c r="A276" s="558"/>
      <c r="B276" s="548"/>
      <c r="C276" s="659">
        <v>3</v>
      </c>
      <c r="D276" s="549" t="s">
        <v>1469</v>
      </c>
      <c r="E276" s="660" t="s">
        <v>478</v>
      </c>
      <c r="F276" s="551" t="s">
        <v>770</v>
      </c>
      <c r="G276" s="649" t="s">
        <v>1302</v>
      </c>
      <c r="H276" s="647" t="str">
        <f t="shared" si="40"/>
        <v>niet van toepassing</v>
      </c>
      <c r="I276" s="719"/>
      <c r="J276" s="623"/>
      <c r="K276" s="623"/>
      <c r="L276" s="668" t="s">
        <v>27</v>
      </c>
      <c r="M276" s="557">
        <f t="shared" si="44"/>
        <v>0</v>
      </c>
      <c r="N276" s="453"/>
      <c r="O276" s="557">
        <f t="shared" si="45"/>
        <v>0</v>
      </c>
      <c r="P276" s="633">
        <v>1</v>
      </c>
      <c r="Q276" s="776">
        <f t="shared" si="46"/>
        <v>0</v>
      </c>
      <c r="R276" s="776">
        <f t="shared" si="47"/>
        <v>0</v>
      </c>
      <c r="S276" s="552">
        <f t="shared" si="48"/>
        <v>0</v>
      </c>
      <c r="T276" s="626">
        <f t="shared" si="41"/>
        <v>0</v>
      </c>
      <c r="U276" s="626">
        <f t="shared" si="42"/>
        <v>0</v>
      </c>
      <c r="V276" s="553">
        <f t="shared" si="43"/>
        <v>0</v>
      </c>
      <c r="W276" s="554">
        <f t="shared" si="49"/>
        <v>0</v>
      </c>
      <c r="X276" s="454" t="s">
        <v>1454</v>
      </c>
      <c r="Y276" s="631">
        <f>IF(Q276=0,0,(Q276+R276)*'1.0-Contractblad'!$L$98)</f>
        <v>0</v>
      </c>
      <c r="Z276" s="632">
        <f>IF(J276=0,0,VLOOKUP(D276,'1.1a-Jaarprijzen'!$B$70:$P$124,14,FALSE)*(K276+J276))</f>
        <v>0</v>
      </c>
    </row>
    <row r="277" spans="1:26" hidden="1">
      <c r="A277" s="558"/>
      <c r="B277" s="548"/>
      <c r="C277" s="659">
        <v>3</v>
      </c>
      <c r="D277" s="549" t="s">
        <v>1469</v>
      </c>
      <c r="E277" s="660" t="s">
        <v>478</v>
      </c>
      <c r="F277" s="551" t="s">
        <v>771</v>
      </c>
      <c r="G277" s="649" t="s">
        <v>1303</v>
      </c>
      <c r="H277" s="647" t="str">
        <f t="shared" si="40"/>
        <v>niet van toepassing</v>
      </c>
      <c r="I277" s="719"/>
      <c r="J277" s="623"/>
      <c r="K277" s="623"/>
      <c r="L277" s="668" t="s">
        <v>27</v>
      </c>
      <c r="M277" s="557">
        <f t="shared" si="44"/>
        <v>0</v>
      </c>
      <c r="N277" s="453"/>
      <c r="O277" s="557">
        <f t="shared" si="45"/>
        <v>0</v>
      </c>
      <c r="P277" s="633">
        <v>1</v>
      </c>
      <c r="Q277" s="776">
        <f t="shared" si="46"/>
        <v>0</v>
      </c>
      <c r="R277" s="776">
        <f t="shared" si="47"/>
        <v>0</v>
      </c>
      <c r="S277" s="552">
        <f t="shared" si="48"/>
        <v>0</v>
      </c>
      <c r="T277" s="626">
        <f t="shared" si="41"/>
        <v>0</v>
      </c>
      <c r="U277" s="626">
        <f t="shared" si="42"/>
        <v>0</v>
      </c>
      <c r="V277" s="553">
        <f t="shared" si="43"/>
        <v>0</v>
      </c>
      <c r="W277" s="554">
        <f t="shared" si="49"/>
        <v>0</v>
      </c>
      <c r="X277" s="454" t="s">
        <v>1454</v>
      </c>
      <c r="Y277" s="631">
        <f>IF(Q277=0,0,(Q277+R277)*'1.0-Contractblad'!$L$98)</f>
        <v>0</v>
      </c>
      <c r="Z277" s="632">
        <f>IF(J277=0,0,VLOOKUP(D277,'1.1a-Jaarprijzen'!$B$70:$P$124,14,FALSE)*(K277+J277))</f>
        <v>0</v>
      </c>
    </row>
    <row r="278" spans="1:26" hidden="1">
      <c r="A278" s="558"/>
      <c r="B278" s="548"/>
      <c r="C278" s="659">
        <v>3</v>
      </c>
      <c r="D278" s="549" t="s">
        <v>1469</v>
      </c>
      <c r="E278" s="660" t="s">
        <v>478</v>
      </c>
      <c r="F278" s="551" t="s">
        <v>772</v>
      </c>
      <c r="G278" s="649" t="s">
        <v>1304</v>
      </c>
      <c r="H278" s="647" t="str">
        <f t="shared" si="40"/>
        <v>praktijklokaal</v>
      </c>
      <c r="I278" s="719" t="s">
        <v>76</v>
      </c>
      <c r="J278" s="623">
        <v>36.1</v>
      </c>
      <c r="K278" s="623"/>
      <c r="L278" s="653">
        <v>6153</v>
      </c>
      <c r="M278" s="557">
        <f t="shared" si="44"/>
        <v>107</v>
      </c>
      <c r="N278" s="453"/>
      <c r="O278" s="557">
        <f t="shared" si="45"/>
        <v>153</v>
      </c>
      <c r="P278" s="633">
        <v>1</v>
      </c>
      <c r="Q278" s="776">
        <f t="shared" si="46"/>
        <v>0</v>
      </c>
      <c r="R278" s="776">
        <f t="shared" si="47"/>
        <v>0</v>
      </c>
      <c r="S278" s="552">
        <f t="shared" si="48"/>
        <v>0</v>
      </c>
      <c r="T278" s="626">
        <f t="shared" si="41"/>
        <v>0</v>
      </c>
      <c r="U278" s="626">
        <f t="shared" si="42"/>
        <v>0</v>
      </c>
      <c r="V278" s="553">
        <f t="shared" si="43"/>
        <v>0</v>
      </c>
      <c r="W278" s="554" t="str">
        <f t="shared" si="49"/>
        <v>L</v>
      </c>
      <c r="X278" s="555"/>
      <c r="Y278" s="631">
        <f>IF(Q278=0,0,(Q278+R278)*'1.0-Contractblad'!$L$98)</f>
        <v>0</v>
      </c>
      <c r="Z278" s="632">
        <f ca="1">IF(J278=0,0,VLOOKUP(D278,'1.1a-Jaarprijzen'!$B$70:$P$124,14,FALSE)*(K278+J278))</f>
        <v>0</v>
      </c>
    </row>
    <row r="279" spans="1:26" hidden="1">
      <c r="A279" s="558"/>
      <c r="B279" s="548"/>
      <c r="C279" s="659">
        <v>3</v>
      </c>
      <c r="D279" s="549" t="s">
        <v>1469</v>
      </c>
      <c r="E279" s="660" t="s">
        <v>478</v>
      </c>
      <c r="F279" s="551" t="s">
        <v>773</v>
      </c>
      <c r="G279" s="649" t="s">
        <v>1221</v>
      </c>
      <c r="H279" s="647" t="str">
        <f t="shared" si="40"/>
        <v>entree, gang, hal, repro, kopieer, was/droogruimte</v>
      </c>
      <c r="I279" s="719" t="s">
        <v>106</v>
      </c>
      <c r="J279" s="623">
        <v>45.4</v>
      </c>
      <c r="K279" s="623"/>
      <c r="L279" s="651">
        <v>3153</v>
      </c>
      <c r="M279" s="557">
        <f t="shared" si="44"/>
        <v>103</v>
      </c>
      <c r="N279" s="453"/>
      <c r="O279" s="557">
        <f t="shared" si="45"/>
        <v>153</v>
      </c>
      <c r="P279" s="633">
        <v>1</v>
      </c>
      <c r="Q279" s="776">
        <f t="shared" si="46"/>
        <v>0</v>
      </c>
      <c r="R279" s="776">
        <f t="shared" si="47"/>
        <v>0</v>
      </c>
      <c r="S279" s="552">
        <f t="shared" si="48"/>
        <v>0</v>
      </c>
      <c r="T279" s="626">
        <f t="shared" si="41"/>
        <v>0</v>
      </c>
      <c r="U279" s="626">
        <f t="shared" si="42"/>
        <v>0</v>
      </c>
      <c r="V279" s="553">
        <f t="shared" si="43"/>
        <v>0</v>
      </c>
      <c r="W279" s="554" t="str">
        <f t="shared" si="49"/>
        <v>V</v>
      </c>
      <c r="X279" s="555"/>
      <c r="Y279" s="631">
        <f>IF(Q279=0,0,(Q279+R279)*'1.0-Contractblad'!$L$98)</f>
        <v>0</v>
      </c>
      <c r="Z279" s="632">
        <f ca="1">IF(J279=0,0,VLOOKUP(D279,'1.1a-Jaarprijzen'!$B$70:$P$124,14,FALSE)*(K279+J279))</f>
        <v>0</v>
      </c>
    </row>
    <row r="280" spans="1:26" hidden="1">
      <c r="A280" s="558"/>
      <c r="B280" s="548"/>
      <c r="C280" s="659">
        <v>3</v>
      </c>
      <c r="D280" s="549" t="s">
        <v>1469</v>
      </c>
      <c r="E280" s="660" t="s">
        <v>478</v>
      </c>
      <c r="F280" s="551" t="s">
        <v>774</v>
      </c>
      <c r="G280" s="649" t="s">
        <v>1305</v>
      </c>
      <c r="H280" s="647" t="str">
        <f t="shared" si="40"/>
        <v>trappenhuis</v>
      </c>
      <c r="I280" s="719" t="s">
        <v>1403</v>
      </c>
      <c r="J280" s="623">
        <v>5.5</v>
      </c>
      <c r="K280" s="623"/>
      <c r="L280" s="559">
        <v>9153</v>
      </c>
      <c r="M280" s="557">
        <f t="shared" si="44"/>
        <v>109</v>
      </c>
      <c r="N280" s="453"/>
      <c r="O280" s="557">
        <f t="shared" si="45"/>
        <v>153</v>
      </c>
      <c r="P280" s="633">
        <v>1</v>
      </c>
      <c r="Q280" s="776">
        <f t="shared" si="46"/>
        <v>0</v>
      </c>
      <c r="R280" s="776">
        <f t="shared" si="47"/>
        <v>0</v>
      </c>
      <c r="S280" s="552">
        <f t="shared" si="48"/>
        <v>0</v>
      </c>
      <c r="T280" s="626">
        <f t="shared" si="41"/>
        <v>0</v>
      </c>
      <c r="U280" s="626">
        <f t="shared" si="42"/>
        <v>0</v>
      </c>
      <c r="V280" s="553">
        <f t="shared" si="43"/>
        <v>0</v>
      </c>
      <c r="W280" s="554" t="str">
        <f t="shared" si="49"/>
        <v>V</v>
      </c>
      <c r="X280" s="555"/>
      <c r="Y280" s="631">
        <f>IF(Q280=0,0,(Q280+R280)*'1.0-Contractblad'!$L$98)</f>
        <v>0</v>
      </c>
      <c r="Z280" s="632">
        <f ca="1">IF(J280=0,0,VLOOKUP(D280,'1.1a-Jaarprijzen'!$B$70:$P$124,14,FALSE)*(K280+J280))</f>
        <v>0</v>
      </c>
    </row>
    <row r="281" spans="1:26" hidden="1">
      <c r="A281" s="558"/>
      <c r="B281" s="548"/>
      <c r="C281" s="659">
        <v>3</v>
      </c>
      <c r="D281" s="549" t="s">
        <v>1469</v>
      </c>
      <c r="E281" s="660" t="s">
        <v>478</v>
      </c>
      <c r="F281" s="551" t="s">
        <v>775</v>
      </c>
      <c r="G281" s="649" t="s">
        <v>1235</v>
      </c>
      <c r="H281" s="647" t="str">
        <f t="shared" si="40"/>
        <v>niet van toepassing</v>
      </c>
      <c r="I281" s="719"/>
      <c r="J281" s="623"/>
      <c r="K281" s="623"/>
      <c r="L281" s="668" t="s">
        <v>27</v>
      </c>
      <c r="M281" s="557">
        <f t="shared" si="44"/>
        <v>0</v>
      </c>
      <c r="N281" s="453"/>
      <c r="O281" s="557">
        <f t="shared" si="45"/>
        <v>0</v>
      </c>
      <c r="P281" s="633">
        <v>1</v>
      </c>
      <c r="Q281" s="776">
        <f t="shared" si="46"/>
        <v>0</v>
      </c>
      <c r="R281" s="776">
        <f t="shared" si="47"/>
        <v>0</v>
      </c>
      <c r="S281" s="552">
        <f t="shared" si="48"/>
        <v>0</v>
      </c>
      <c r="T281" s="626">
        <f t="shared" si="41"/>
        <v>0</v>
      </c>
      <c r="U281" s="626">
        <f t="shared" si="42"/>
        <v>0</v>
      </c>
      <c r="V281" s="553">
        <f t="shared" si="43"/>
        <v>0</v>
      </c>
      <c r="W281" s="554">
        <f t="shared" si="49"/>
        <v>0</v>
      </c>
      <c r="X281" s="454" t="s">
        <v>1454</v>
      </c>
      <c r="Y281" s="631">
        <f>IF(Q281=0,0,(Q281+R281)*'1.0-Contractblad'!$L$98)</f>
        <v>0</v>
      </c>
      <c r="Z281" s="632">
        <f>IF(J281=0,0,VLOOKUP(D281,'1.1a-Jaarprijzen'!$B$70:$P$124,14,FALSE)*(K281+J281))</f>
        <v>0</v>
      </c>
    </row>
    <row r="282" spans="1:26" hidden="1">
      <c r="A282" s="558"/>
      <c r="B282" s="548"/>
      <c r="C282" s="659">
        <v>3</v>
      </c>
      <c r="D282" s="549" t="s">
        <v>1469</v>
      </c>
      <c r="E282" s="660" t="s">
        <v>478</v>
      </c>
      <c r="F282" s="551" t="s">
        <v>776</v>
      </c>
      <c r="G282" s="649" t="s">
        <v>1245</v>
      </c>
      <c r="H282" s="647" t="str">
        <f t="shared" si="40"/>
        <v>entree, gang, hal, repro, kopieer, was/droogruimte</v>
      </c>
      <c r="I282" s="719" t="s">
        <v>106</v>
      </c>
      <c r="J282" s="623">
        <v>6.8</v>
      </c>
      <c r="K282" s="623"/>
      <c r="L282" s="651">
        <v>3153</v>
      </c>
      <c r="M282" s="557">
        <f t="shared" si="44"/>
        <v>103</v>
      </c>
      <c r="N282" s="453"/>
      <c r="O282" s="557">
        <f t="shared" si="45"/>
        <v>153</v>
      </c>
      <c r="P282" s="633">
        <v>1</v>
      </c>
      <c r="Q282" s="776">
        <f t="shared" si="46"/>
        <v>0</v>
      </c>
      <c r="R282" s="776">
        <f t="shared" si="47"/>
        <v>0</v>
      </c>
      <c r="S282" s="552">
        <f t="shared" si="48"/>
        <v>0</v>
      </c>
      <c r="T282" s="626">
        <f t="shared" si="41"/>
        <v>0</v>
      </c>
      <c r="U282" s="626">
        <f t="shared" si="42"/>
        <v>0</v>
      </c>
      <c r="V282" s="553">
        <f t="shared" si="43"/>
        <v>0</v>
      </c>
      <c r="W282" s="554" t="str">
        <f t="shared" si="49"/>
        <v>V</v>
      </c>
      <c r="X282" s="555"/>
      <c r="Y282" s="631">
        <f>IF(Q282=0,0,(Q282+R282)*'1.0-Contractblad'!$L$98)</f>
        <v>0</v>
      </c>
      <c r="Z282" s="632">
        <f ca="1">IF(J282=0,0,VLOOKUP(D282,'1.1a-Jaarprijzen'!$B$70:$P$124,14,FALSE)*(K282+J282))</f>
        <v>0</v>
      </c>
    </row>
    <row r="283" spans="1:26" hidden="1">
      <c r="A283" s="558"/>
      <c r="B283" s="548"/>
      <c r="C283" s="659">
        <v>3</v>
      </c>
      <c r="D283" s="549" t="s">
        <v>1469</v>
      </c>
      <c r="E283" s="660" t="s">
        <v>478</v>
      </c>
      <c r="F283" s="551" t="s">
        <v>777</v>
      </c>
      <c r="G283" s="649" t="s">
        <v>1242</v>
      </c>
      <c r="H283" s="647" t="str">
        <f t="shared" si="40"/>
        <v>niet van toepassing</v>
      </c>
      <c r="I283" s="719"/>
      <c r="J283" s="623"/>
      <c r="K283" s="623"/>
      <c r="L283" s="668" t="s">
        <v>27</v>
      </c>
      <c r="M283" s="557">
        <f t="shared" si="44"/>
        <v>0</v>
      </c>
      <c r="N283" s="453"/>
      <c r="O283" s="557">
        <f t="shared" si="45"/>
        <v>0</v>
      </c>
      <c r="P283" s="633">
        <v>1</v>
      </c>
      <c r="Q283" s="776">
        <f t="shared" si="46"/>
        <v>0</v>
      </c>
      <c r="R283" s="776">
        <f t="shared" si="47"/>
        <v>0</v>
      </c>
      <c r="S283" s="552">
        <f t="shared" si="48"/>
        <v>0</v>
      </c>
      <c r="T283" s="626">
        <f t="shared" si="41"/>
        <v>0</v>
      </c>
      <c r="U283" s="626">
        <f t="shared" si="42"/>
        <v>0</v>
      </c>
      <c r="V283" s="553">
        <f t="shared" si="43"/>
        <v>0</v>
      </c>
      <c r="W283" s="554">
        <f t="shared" si="49"/>
        <v>0</v>
      </c>
      <c r="X283" s="454" t="s">
        <v>1454</v>
      </c>
      <c r="Y283" s="631">
        <f>IF(Q283=0,0,(Q283+R283)*'1.0-Contractblad'!$L$98)</f>
        <v>0</v>
      </c>
      <c r="Z283" s="632">
        <f>IF(J283=0,0,VLOOKUP(D283,'1.1a-Jaarprijzen'!$B$70:$P$124,14,FALSE)*(K283+J283))</f>
        <v>0</v>
      </c>
    </row>
    <row r="284" spans="1:26" hidden="1">
      <c r="A284" s="558"/>
      <c r="B284" s="548"/>
      <c r="C284" s="659">
        <v>3</v>
      </c>
      <c r="D284" s="549" t="s">
        <v>1469</v>
      </c>
      <c r="E284" s="660" t="s">
        <v>478</v>
      </c>
      <c r="F284" s="551" t="s">
        <v>778</v>
      </c>
      <c r="G284" s="649" t="s">
        <v>1216</v>
      </c>
      <c r="H284" s="647" t="str">
        <f t="shared" si="40"/>
        <v>sanitaire ruimte (toilet-/doucheruimte)</v>
      </c>
      <c r="I284" s="719" t="s">
        <v>84</v>
      </c>
      <c r="J284" s="623">
        <v>1.6</v>
      </c>
      <c r="K284" s="623"/>
      <c r="L284" s="559">
        <v>4153</v>
      </c>
      <c r="M284" s="557">
        <f t="shared" si="44"/>
        <v>104</v>
      </c>
      <c r="N284" s="453"/>
      <c r="O284" s="557">
        <f t="shared" si="45"/>
        <v>153</v>
      </c>
      <c r="P284" s="633">
        <v>1</v>
      </c>
      <c r="Q284" s="776">
        <f t="shared" si="46"/>
        <v>0</v>
      </c>
      <c r="R284" s="776">
        <f t="shared" si="47"/>
        <v>0</v>
      </c>
      <c r="S284" s="552">
        <f t="shared" si="48"/>
        <v>0</v>
      </c>
      <c r="T284" s="626">
        <f t="shared" si="41"/>
        <v>0</v>
      </c>
      <c r="U284" s="626">
        <f t="shared" si="42"/>
        <v>0</v>
      </c>
      <c r="V284" s="553">
        <f t="shared" si="43"/>
        <v>0</v>
      </c>
      <c r="W284" s="554" t="str">
        <f t="shared" si="49"/>
        <v>S</v>
      </c>
      <c r="X284" s="555"/>
      <c r="Y284" s="631">
        <f>IF(Q284=0,0,(Q284+R284)*'1.0-Contractblad'!$L$98)</f>
        <v>0</v>
      </c>
      <c r="Z284" s="632">
        <f ca="1">IF(J284=0,0,VLOOKUP(D284,'1.1a-Jaarprijzen'!$B$70:$P$124,14,FALSE)*(K284+J284))</f>
        <v>0</v>
      </c>
    </row>
    <row r="285" spans="1:26" hidden="1">
      <c r="A285" s="558"/>
      <c r="B285" s="548"/>
      <c r="C285" s="659">
        <v>3</v>
      </c>
      <c r="D285" s="549" t="s">
        <v>1469</v>
      </c>
      <c r="E285" s="660" t="s">
        <v>478</v>
      </c>
      <c r="F285" s="551" t="s">
        <v>779</v>
      </c>
      <c r="G285" s="649" t="s">
        <v>1306</v>
      </c>
      <c r="H285" s="647" t="str">
        <f t="shared" si="40"/>
        <v>aula, gemeenschappelijke ruimte, bibliotheek</v>
      </c>
      <c r="I285" s="719" t="s">
        <v>106</v>
      </c>
      <c r="J285" s="623">
        <v>35.9</v>
      </c>
      <c r="K285" s="623"/>
      <c r="L285" s="653">
        <v>2153</v>
      </c>
      <c r="M285" s="557">
        <f t="shared" si="44"/>
        <v>102</v>
      </c>
      <c r="N285" s="453"/>
      <c r="O285" s="557">
        <f t="shared" si="45"/>
        <v>153</v>
      </c>
      <c r="P285" s="633">
        <v>1</v>
      </c>
      <c r="Q285" s="776">
        <f t="shared" si="46"/>
        <v>0</v>
      </c>
      <c r="R285" s="776">
        <f t="shared" si="47"/>
        <v>0</v>
      </c>
      <c r="S285" s="552">
        <f t="shared" si="48"/>
        <v>0</v>
      </c>
      <c r="T285" s="626">
        <f t="shared" si="41"/>
        <v>0</v>
      </c>
      <c r="U285" s="626">
        <f t="shared" si="42"/>
        <v>0</v>
      </c>
      <c r="V285" s="553">
        <f t="shared" si="43"/>
        <v>0</v>
      </c>
      <c r="W285" s="554" t="str">
        <f t="shared" si="49"/>
        <v>V</v>
      </c>
      <c r="X285" s="556"/>
      <c r="Y285" s="631">
        <f>IF(Q285=0,0,(Q285+R285)*'1.0-Contractblad'!$L$98)</f>
        <v>0</v>
      </c>
      <c r="Z285" s="632">
        <f ca="1">IF(J285=0,0,VLOOKUP(D285,'1.1a-Jaarprijzen'!$B$70:$P$124,14,FALSE)*(K285+J285))</f>
        <v>0</v>
      </c>
    </row>
    <row r="286" spans="1:26" hidden="1">
      <c r="A286" s="558"/>
      <c r="B286" s="548"/>
      <c r="C286" s="659">
        <v>3</v>
      </c>
      <c r="D286" s="549" t="s">
        <v>1472</v>
      </c>
      <c r="E286" s="660" t="s">
        <v>478</v>
      </c>
      <c r="F286" s="551" t="s">
        <v>780</v>
      </c>
      <c r="G286" s="649" t="s">
        <v>1307</v>
      </c>
      <c r="H286" s="647" t="str">
        <f t="shared" si="40"/>
        <v>niet van toepassing</v>
      </c>
      <c r="I286" s="719" t="s">
        <v>1402</v>
      </c>
      <c r="J286" s="623"/>
      <c r="K286" s="623"/>
      <c r="L286" s="668" t="s">
        <v>27</v>
      </c>
      <c r="M286" s="557">
        <f t="shared" si="44"/>
        <v>0</v>
      </c>
      <c r="N286" s="453"/>
      <c r="O286" s="557">
        <f t="shared" si="45"/>
        <v>0</v>
      </c>
      <c r="P286" s="633">
        <v>1</v>
      </c>
      <c r="Q286" s="776">
        <f t="shared" si="46"/>
        <v>0</v>
      </c>
      <c r="R286" s="776">
        <f t="shared" si="47"/>
        <v>0</v>
      </c>
      <c r="S286" s="552">
        <f t="shared" si="48"/>
        <v>0</v>
      </c>
      <c r="T286" s="626">
        <f t="shared" si="41"/>
        <v>0</v>
      </c>
      <c r="U286" s="626">
        <f t="shared" si="42"/>
        <v>0</v>
      </c>
      <c r="V286" s="553">
        <f t="shared" si="43"/>
        <v>0</v>
      </c>
      <c r="W286" s="554">
        <f t="shared" si="49"/>
        <v>0</v>
      </c>
      <c r="X286" s="454" t="s">
        <v>1454</v>
      </c>
      <c r="Y286" s="631">
        <f>IF(Q286=0,0,(Q286+R286)*'1.0-Contractblad'!$L$98)</f>
        <v>0</v>
      </c>
      <c r="Z286" s="632">
        <f>IF(J286=0,0,VLOOKUP(D286,'1.1a-Jaarprijzen'!$B$70:$P$124,14,FALSE)*(K286+J286))</f>
        <v>0</v>
      </c>
    </row>
    <row r="287" spans="1:26" hidden="1">
      <c r="A287" s="558"/>
      <c r="B287" s="548"/>
      <c r="C287" s="659">
        <v>3</v>
      </c>
      <c r="D287" s="549" t="s">
        <v>1472</v>
      </c>
      <c r="E287" s="660" t="s">
        <v>478</v>
      </c>
      <c r="F287" s="551" t="s">
        <v>781</v>
      </c>
      <c r="G287" s="649" t="s">
        <v>1235</v>
      </c>
      <c r="H287" s="647" t="str">
        <f t="shared" si="40"/>
        <v>niet van toepassing</v>
      </c>
      <c r="I287" s="719"/>
      <c r="J287" s="623"/>
      <c r="K287" s="623"/>
      <c r="L287" s="668" t="s">
        <v>27</v>
      </c>
      <c r="M287" s="557">
        <f t="shared" si="44"/>
        <v>0</v>
      </c>
      <c r="N287" s="453"/>
      <c r="O287" s="557">
        <f t="shared" si="45"/>
        <v>0</v>
      </c>
      <c r="P287" s="633">
        <v>1</v>
      </c>
      <c r="Q287" s="776">
        <f t="shared" si="46"/>
        <v>0</v>
      </c>
      <c r="R287" s="776">
        <f t="shared" si="47"/>
        <v>0</v>
      </c>
      <c r="S287" s="552">
        <f t="shared" si="48"/>
        <v>0</v>
      </c>
      <c r="T287" s="626">
        <f t="shared" si="41"/>
        <v>0</v>
      </c>
      <c r="U287" s="626">
        <f t="shared" si="42"/>
        <v>0</v>
      </c>
      <c r="V287" s="553">
        <f t="shared" si="43"/>
        <v>0</v>
      </c>
      <c r="W287" s="554">
        <f t="shared" si="49"/>
        <v>0</v>
      </c>
      <c r="X287" s="454" t="s">
        <v>1454</v>
      </c>
      <c r="Y287" s="631">
        <f>IF(Q287=0,0,(Q287+R287)*'1.0-Contractblad'!$L$98)</f>
        <v>0</v>
      </c>
      <c r="Z287" s="632">
        <f>IF(J287=0,0,VLOOKUP(D287,'1.1a-Jaarprijzen'!$B$70:$P$124,14,FALSE)*(K287+J287))</f>
        <v>0</v>
      </c>
    </row>
    <row r="288" spans="1:26" hidden="1">
      <c r="A288" s="558"/>
      <c r="B288" s="548"/>
      <c r="C288" s="659">
        <v>3</v>
      </c>
      <c r="D288" s="549" t="s">
        <v>1469</v>
      </c>
      <c r="E288" s="660" t="s">
        <v>478</v>
      </c>
      <c r="F288" s="551" t="s">
        <v>782</v>
      </c>
      <c r="G288" s="649" t="s">
        <v>1308</v>
      </c>
      <c r="H288" s="647" t="str">
        <f t="shared" si="40"/>
        <v>trappenhuis</v>
      </c>
      <c r="I288" s="719" t="s">
        <v>1403</v>
      </c>
      <c r="J288" s="623">
        <v>14.2</v>
      </c>
      <c r="K288" s="623"/>
      <c r="L288" s="559">
        <v>9153</v>
      </c>
      <c r="M288" s="557">
        <f t="shared" si="44"/>
        <v>109</v>
      </c>
      <c r="N288" s="453"/>
      <c r="O288" s="557">
        <f t="shared" si="45"/>
        <v>153</v>
      </c>
      <c r="P288" s="633">
        <v>1</v>
      </c>
      <c r="Q288" s="776">
        <f t="shared" si="46"/>
        <v>0</v>
      </c>
      <c r="R288" s="776">
        <f t="shared" si="47"/>
        <v>0</v>
      </c>
      <c r="S288" s="552">
        <f t="shared" si="48"/>
        <v>0</v>
      </c>
      <c r="T288" s="626">
        <f t="shared" si="41"/>
        <v>0</v>
      </c>
      <c r="U288" s="626">
        <f t="shared" si="42"/>
        <v>0</v>
      </c>
      <c r="V288" s="553">
        <f t="shared" si="43"/>
        <v>0</v>
      </c>
      <c r="W288" s="554" t="str">
        <f t="shared" si="49"/>
        <v>V</v>
      </c>
      <c r="X288" s="555"/>
      <c r="Y288" s="631">
        <f>IF(Q288=0,0,(Q288+R288)*'1.0-Contractblad'!$L$98)</f>
        <v>0</v>
      </c>
      <c r="Z288" s="632">
        <f ca="1">IF(J288=0,0,VLOOKUP(D288,'1.1a-Jaarprijzen'!$B$70:$P$124,14,FALSE)*(K288+J288))</f>
        <v>0</v>
      </c>
    </row>
    <row r="289" spans="1:26" hidden="1">
      <c r="A289" s="558"/>
      <c r="B289" s="548"/>
      <c r="C289" s="659">
        <v>3</v>
      </c>
      <c r="D289" s="549" t="s">
        <v>1472</v>
      </c>
      <c r="E289" s="660" t="s">
        <v>478</v>
      </c>
      <c r="F289" s="551" t="s">
        <v>783</v>
      </c>
      <c r="G289" s="649" t="s">
        <v>1221</v>
      </c>
      <c r="H289" s="647" t="str">
        <f t="shared" si="40"/>
        <v>entree, gang, hal, repro, kopieer, was/droogruimte</v>
      </c>
      <c r="I289" s="719" t="s">
        <v>106</v>
      </c>
      <c r="J289" s="623">
        <v>18.399999999999999</v>
      </c>
      <c r="K289" s="623"/>
      <c r="L289" s="651">
        <v>3153</v>
      </c>
      <c r="M289" s="557">
        <f t="shared" si="44"/>
        <v>103</v>
      </c>
      <c r="N289" s="453"/>
      <c r="O289" s="557">
        <f t="shared" si="45"/>
        <v>153</v>
      </c>
      <c r="P289" s="633">
        <v>1</v>
      </c>
      <c r="Q289" s="776">
        <f t="shared" si="46"/>
        <v>0</v>
      </c>
      <c r="R289" s="776">
        <f t="shared" si="47"/>
        <v>0</v>
      </c>
      <c r="S289" s="552">
        <f t="shared" si="48"/>
        <v>0</v>
      </c>
      <c r="T289" s="626">
        <f t="shared" si="41"/>
        <v>0</v>
      </c>
      <c r="U289" s="626">
        <f t="shared" si="42"/>
        <v>0</v>
      </c>
      <c r="V289" s="553">
        <f t="shared" si="43"/>
        <v>0</v>
      </c>
      <c r="W289" s="554" t="str">
        <f t="shared" si="49"/>
        <v>V</v>
      </c>
      <c r="X289" s="555"/>
      <c r="Y289" s="631">
        <f>IF(Q289=0,0,(Q289+R289)*'1.0-Contractblad'!$L$98)</f>
        <v>0</v>
      </c>
      <c r="Z289" s="632">
        <f ca="1">IF(J289=0,0,VLOOKUP(D289,'1.1a-Jaarprijzen'!$B$70:$P$124,14,FALSE)*(K289+J289))</f>
        <v>0</v>
      </c>
    </row>
    <row r="290" spans="1:26" hidden="1">
      <c r="A290" s="558"/>
      <c r="B290" s="701"/>
      <c r="C290" s="659">
        <v>3</v>
      </c>
      <c r="D290" s="549" t="s">
        <v>1472</v>
      </c>
      <c r="E290" s="660" t="s">
        <v>478</v>
      </c>
      <c r="F290" s="551" t="s">
        <v>784</v>
      </c>
      <c r="G290" s="649" t="s">
        <v>1216</v>
      </c>
      <c r="H290" s="647" t="str">
        <f t="shared" si="40"/>
        <v>sanitaire ruimte (toilet-/doucheruimte)</v>
      </c>
      <c r="I290" s="719" t="s">
        <v>84</v>
      </c>
      <c r="J290" s="650">
        <v>2.1</v>
      </c>
      <c r="K290" s="650"/>
      <c r="L290" s="651">
        <v>4153</v>
      </c>
      <c r="M290" s="557">
        <f t="shared" si="44"/>
        <v>104</v>
      </c>
      <c r="N290" s="453"/>
      <c r="O290" s="557">
        <f t="shared" si="45"/>
        <v>153</v>
      </c>
      <c r="P290" s="633">
        <v>1</v>
      </c>
      <c r="Q290" s="776">
        <f t="shared" si="46"/>
        <v>0</v>
      </c>
      <c r="R290" s="776">
        <f t="shared" si="47"/>
        <v>0</v>
      </c>
      <c r="S290" s="552">
        <f t="shared" si="48"/>
        <v>0</v>
      </c>
      <c r="T290" s="626">
        <f t="shared" si="41"/>
        <v>0</v>
      </c>
      <c r="U290" s="626">
        <f t="shared" si="42"/>
        <v>0</v>
      </c>
      <c r="V290" s="553">
        <f t="shared" si="43"/>
        <v>0</v>
      </c>
      <c r="W290" s="554" t="str">
        <f t="shared" si="49"/>
        <v>S</v>
      </c>
      <c r="X290" s="555"/>
      <c r="Y290" s="631">
        <f>IF(Q290=0,0,(Q290+R290)*'1.0-Contractblad'!$L$98)</f>
        <v>0</v>
      </c>
      <c r="Z290" s="632">
        <f ca="1">IF(J290=0,0,VLOOKUP(D290,'1.1a-Jaarprijzen'!$B$70:$P$124,14,FALSE)*(K290+J290))</f>
        <v>0</v>
      </c>
    </row>
    <row r="291" spans="1:26" hidden="1">
      <c r="A291" s="558"/>
      <c r="B291" s="548"/>
      <c r="C291" s="659">
        <v>3</v>
      </c>
      <c r="D291" s="549" t="s">
        <v>1472</v>
      </c>
      <c r="E291" s="660" t="s">
        <v>478</v>
      </c>
      <c r="F291" s="551" t="s">
        <v>785</v>
      </c>
      <c r="G291" s="649" t="s">
        <v>1297</v>
      </c>
      <c r="H291" s="647" t="str">
        <f t="shared" si="40"/>
        <v>niet van toepassing</v>
      </c>
      <c r="I291" s="719"/>
      <c r="J291" s="623"/>
      <c r="K291" s="623"/>
      <c r="L291" s="668" t="s">
        <v>27</v>
      </c>
      <c r="M291" s="557">
        <f t="shared" si="44"/>
        <v>0</v>
      </c>
      <c r="N291" s="453"/>
      <c r="O291" s="557">
        <f t="shared" si="45"/>
        <v>0</v>
      </c>
      <c r="P291" s="633">
        <v>1</v>
      </c>
      <c r="Q291" s="776">
        <f t="shared" si="46"/>
        <v>0</v>
      </c>
      <c r="R291" s="776">
        <f t="shared" si="47"/>
        <v>0</v>
      </c>
      <c r="S291" s="552">
        <f t="shared" si="48"/>
        <v>0</v>
      </c>
      <c r="T291" s="626">
        <f t="shared" si="41"/>
        <v>0</v>
      </c>
      <c r="U291" s="626">
        <f t="shared" si="42"/>
        <v>0</v>
      </c>
      <c r="V291" s="553">
        <f t="shared" si="43"/>
        <v>0</v>
      </c>
      <c r="W291" s="554">
        <f t="shared" si="49"/>
        <v>0</v>
      </c>
      <c r="X291" s="454" t="s">
        <v>1454</v>
      </c>
      <c r="Y291" s="631">
        <f>IF(Q291=0,0,(Q291+R291)*'1.0-Contractblad'!$L$98)</f>
        <v>0</v>
      </c>
      <c r="Z291" s="632">
        <f>IF(J291=0,0,VLOOKUP(D291,'1.1a-Jaarprijzen'!$B$70:$P$124,14,FALSE)*(K291+J291))</f>
        <v>0</v>
      </c>
    </row>
    <row r="292" spans="1:26" hidden="1">
      <c r="A292" s="558"/>
      <c r="B292" s="548"/>
      <c r="C292" s="659">
        <v>3</v>
      </c>
      <c r="D292" s="549" t="s">
        <v>1472</v>
      </c>
      <c r="E292" s="660" t="s">
        <v>478</v>
      </c>
      <c r="F292" s="551" t="s">
        <v>786</v>
      </c>
      <c r="G292" s="649" t="s">
        <v>1309</v>
      </c>
      <c r="H292" s="647" t="str">
        <f t="shared" si="40"/>
        <v>niet van toepassing</v>
      </c>
      <c r="I292" s="719"/>
      <c r="J292" s="623"/>
      <c r="K292" s="623"/>
      <c r="L292" s="668" t="s">
        <v>27</v>
      </c>
      <c r="M292" s="557">
        <f t="shared" si="44"/>
        <v>0</v>
      </c>
      <c r="N292" s="453"/>
      <c r="O292" s="557">
        <f t="shared" si="45"/>
        <v>0</v>
      </c>
      <c r="P292" s="633">
        <v>1</v>
      </c>
      <c r="Q292" s="776">
        <f t="shared" si="46"/>
        <v>0</v>
      </c>
      <c r="R292" s="776">
        <f t="shared" si="47"/>
        <v>0</v>
      </c>
      <c r="S292" s="552">
        <f t="shared" si="48"/>
        <v>0</v>
      </c>
      <c r="T292" s="626">
        <f t="shared" si="41"/>
        <v>0</v>
      </c>
      <c r="U292" s="626">
        <f t="shared" si="42"/>
        <v>0</v>
      </c>
      <c r="V292" s="553">
        <f t="shared" si="43"/>
        <v>0</v>
      </c>
      <c r="W292" s="554">
        <f t="shared" si="49"/>
        <v>0</v>
      </c>
      <c r="X292" s="454" t="s">
        <v>1454</v>
      </c>
      <c r="Y292" s="631">
        <f>IF(Q292=0,0,(Q292+R292)*'1.0-Contractblad'!$L$98)</f>
        <v>0</v>
      </c>
      <c r="Z292" s="632">
        <f>IF(J292=0,0,VLOOKUP(D292,'1.1a-Jaarprijzen'!$B$70:$P$124,14,FALSE)*(K292+J292))</f>
        <v>0</v>
      </c>
    </row>
    <row r="293" spans="1:26" hidden="1">
      <c r="A293" s="558"/>
      <c r="B293" s="548"/>
      <c r="C293" s="659">
        <v>3</v>
      </c>
      <c r="D293" s="549" t="s">
        <v>1472</v>
      </c>
      <c r="E293" s="660" t="s">
        <v>478</v>
      </c>
      <c r="F293" s="551" t="s">
        <v>787</v>
      </c>
      <c r="G293" s="649" t="s">
        <v>1310</v>
      </c>
      <c r="H293" s="647" t="str">
        <f t="shared" si="40"/>
        <v>niet van toepassing</v>
      </c>
      <c r="I293" s="719"/>
      <c r="J293" s="623"/>
      <c r="K293" s="623"/>
      <c r="L293" s="668" t="s">
        <v>27</v>
      </c>
      <c r="M293" s="557">
        <f t="shared" si="44"/>
        <v>0</v>
      </c>
      <c r="N293" s="453"/>
      <c r="O293" s="557">
        <f t="shared" si="45"/>
        <v>0</v>
      </c>
      <c r="P293" s="633">
        <v>1</v>
      </c>
      <c r="Q293" s="776">
        <f t="shared" si="46"/>
        <v>0</v>
      </c>
      <c r="R293" s="776">
        <f t="shared" si="47"/>
        <v>0</v>
      </c>
      <c r="S293" s="552">
        <f t="shared" si="48"/>
        <v>0</v>
      </c>
      <c r="T293" s="626">
        <f t="shared" si="41"/>
        <v>0</v>
      </c>
      <c r="U293" s="626">
        <f t="shared" si="42"/>
        <v>0</v>
      </c>
      <c r="V293" s="553">
        <f t="shared" si="43"/>
        <v>0</v>
      </c>
      <c r="W293" s="554">
        <f t="shared" si="49"/>
        <v>0</v>
      </c>
      <c r="X293" s="454" t="s">
        <v>1454</v>
      </c>
      <c r="Y293" s="631">
        <f>IF(Q293=0,0,(Q293+R293)*'1.0-Contractblad'!$L$98)</f>
        <v>0</v>
      </c>
      <c r="Z293" s="632">
        <f>IF(J293=0,0,VLOOKUP(D293,'1.1a-Jaarprijzen'!$B$70:$P$124,14,FALSE)*(K293+J293))</f>
        <v>0</v>
      </c>
    </row>
    <row r="294" spans="1:26" hidden="1">
      <c r="A294" s="558"/>
      <c r="B294" s="548"/>
      <c r="C294" s="659">
        <v>3</v>
      </c>
      <c r="D294" s="549" t="s">
        <v>1472</v>
      </c>
      <c r="E294" s="660" t="s">
        <v>478</v>
      </c>
      <c r="F294" s="551" t="s">
        <v>788</v>
      </c>
      <c r="G294" s="649" t="s">
        <v>1311</v>
      </c>
      <c r="H294" s="647" t="str">
        <f t="shared" si="40"/>
        <v>niet van toepassing</v>
      </c>
      <c r="I294" s="719"/>
      <c r="J294" s="623"/>
      <c r="K294" s="623"/>
      <c r="L294" s="668" t="s">
        <v>27</v>
      </c>
      <c r="M294" s="557">
        <f t="shared" si="44"/>
        <v>0</v>
      </c>
      <c r="N294" s="453"/>
      <c r="O294" s="557">
        <f t="shared" si="45"/>
        <v>0</v>
      </c>
      <c r="P294" s="633">
        <v>1</v>
      </c>
      <c r="Q294" s="776">
        <f t="shared" si="46"/>
        <v>0</v>
      </c>
      <c r="R294" s="776">
        <f t="shared" si="47"/>
        <v>0</v>
      </c>
      <c r="S294" s="552">
        <f t="shared" si="48"/>
        <v>0</v>
      </c>
      <c r="T294" s="626">
        <f t="shared" si="41"/>
        <v>0</v>
      </c>
      <c r="U294" s="626">
        <f t="shared" si="42"/>
        <v>0</v>
      </c>
      <c r="V294" s="553">
        <f t="shared" si="43"/>
        <v>0</v>
      </c>
      <c r="W294" s="554">
        <f t="shared" si="49"/>
        <v>0</v>
      </c>
      <c r="X294" s="454" t="s">
        <v>1454</v>
      </c>
      <c r="Y294" s="631">
        <f>IF(Q294=0,0,(Q294+R294)*'1.0-Contractblad'!$L$98)</f>
        <v>0</v>
      </c>
      <c r="Z294" s="632">
        <f>IF(J294=0,0,VLOOKUP(D294,'1.1a-Jaarprijzen'!$B$70:$P$124,14,FALSE)*(K294+J294))</f>
        <v>0</v>
      </c>
    </row>
    <row r="295" spans="1:26" hidden="1">
      <c r="A295" s="558"/>
      <c r="B295" s="548"/>
      <c r="C295" s="659">
        <v>3</v>
      </c>
      <c r="D295" s="549" t="s">
        <v>1472</v>
      </c>
      <c r="E295" s="660" t="s">
        <v>478</v>
      </c>
      <c r="F295" s="551" t="s">
        <v>789</v>
      </c>
      <c r="G295" s="649" t="s">
        <v>1235</v>
      </c>
      <c r="H295" s="647" t="str">
        <f t="shared" si="40"/>
        <v>niet van toepassing</v>
      </c>
      <c r="I295" s="719"/>
      <c r="J295" s="623"/>
      <c r="K295" s="623"/>
      <c r="L295" s="668" t="s">
        <v>27</v>
      </c>
      <c r="M295" s="557">
        <f t="shared" si="44"/>
        <v>0</v>
      </c>
      <c r="N295" s="453"/>
      <c r="O295" s="557">
        <f t="shared" si="45"/>
        <v>0</v>
      </c>
      <c r="P295" s="633">
        <v>1</v>
      </c>
      <c r="Q295" s="776">
        <f t="shared" si="46"/>
        <v>0</v>
      </c>
      <c r="R295" s="776">
        <f t="shared" si="47"/>
        <v>0</v>
      </c>
      <c r="S295" s="552">
        <f t="shared" si="48"/>
        <v>0</v>
      </c>
      <c r="T295" s="626">
        <f t="shared" si="41"/>
        <v>0</v>
      </c>
      <c r="U295" s="626">
        <f t="shared" si="42"/>
        <v>0</v>
      </c>
      <c r="V295" s="553">
        <f t="shared" si="43"/>
        <v>0</v>
      </c>
      <c r="W295" s="554">
        <f t="shared" si="49"/>
        <v>0</v>
      </c>
      <c r="X295" s="454" t="s">
        <v>1454</v>
      </c>
      <c r="Y295" s="631">
        <f>IF(Q295=0,0,(Q295+R295)*'1.0-Contractblad'!$L$98)</f>
        <v>0</v>
      </c>
      <c r="Z295" s="632">
        <f>IF(J295=0,0,VLOOKUP(D295,'1.1a-Jaarprijzen'!$B$70:$P$124,14,FALSE)*(K295+J295))</f>
        <v>0</v>
      </c>
    </row>
    <row r="296" spans="1:26" hidden="1">
      <c r="A296" s="558"/>
      <c r="B296" s="548"/>
      <c r="C296" s="659">
        <v>3</v>
      </c>
      <c r="D296" s="549" t="s">
        <v>1469</v>
      </c>
      <c r="E296" s="660" t="s">
        <v>478</v>
      </c>
      <c r="F296" s="551" t="s">
        <v>790</v>
      </c>
      <c r="G296" s="649" t="s">
        <v>1308</v>
      </c>
      <c r="H296" s="647" t="str">
        <f t="shared" si="40"/>
        <v>trappenhuis</v>
      </c>
      <c r="I296" s="719" t="s">
        <v>1403</v>
      </c>
      <c r="J296" s="623">
        <v>14.2</v>
      </c>
      <c r="K296" s="623"/>
      <c r="L296" s="559">
        <v>9153</v>
      </c>
      <c r="M296" s="557">
        <f t="shared" si="44"/>
        <v>109</v>
      </c>
      <c r="N296" s="453"/>
      <c r="O296" s="557">
        <f t="shared" si="45"/>
        <v>153</v>
      </c>
      <c r="P296" s="633">
        <v>1</v>
      </c>
      <c r="Q296" s="776">
        <f t="shared" si="46"/>
        <v>0</v>
      </c>
      <c r="R296" s="776">
        <f t="shared" si="47"/>
        <v>0</v>
      </c>
      <c r="S296" s="552">
        <f t="shared" si="48"/>
        <v>0</v>
      </c>
      <c r="T296" s="626">
        <f t="shared" si="41"/>
        <v>0</v>
      </c>
      <c r="U296" s="626">
        <f t="shared" si="42"/>
        <v>0</v>
      </c>
      <c r="V296" s="553">
        <f t="shared" si="43"/>
        <v>0</v>
      </c>
      <c r="W296" s="554" t="str">
        <f t="shared" si="49"/>
        <v>V</v>
      </c>
      <c r="X296" s="555"/>
      <c r="Y296" s="631">
        <f>IF(Q296=0,0,(Q296+R296)*'1.0-Contractblad'!$L$98)</f>
        <v>0</v>
      </c>
      <c r="Z296" s="632">
        <f ca="1">IF(J296=0,0,VLOOKUP(D296,'1.1a-Jaarprijzen'!$B$70:$P$124,14,FALSE)*(K296+J296))</f>
        <v>0</v>
      </c>
    </row>
    <row r="297" spans="1:26" hidden="1">
      <c r="A297" s="558"/>
      <c r="B297" s="548"/>
      <c r="C297" s="659">
        <v>3</v>
      </c>
      <c r="D297" s="549" t="s">
        <v>1469</v>
      </c>
      <c r="E297" s="660" t="s">
        <v>478</v>
      </c>
      <c r="F297" s="551" t="s">
        <v>791</v>
      </c>
      <c r="G297" s="649" t="s">
        <v>1245</v>
      </c>
      <c r="H297" s="647" t="str">
        <f t="shared" si="40"/>
        <v>entree, gang, hal, repro, kopieer, was/droogruimte</v>
      </c>
      <c r="I297" s="719" t="s">
        <v>106</v>
      </c>
      <c r="J297" s="623">
        <v>6.7</v>
      </c>
      <c r="K297" s="623"/>
      <c r="L297" s="651">
        <v>3153</v>
      </c>
      <c r="M297" s="557">
        <f t="shared" si="44"/>
        <v>103</v>
      </c>
      <c r="N297" s="453"/>
      <c r="O297" s="557">
        <f t="shared" si="45"/>
        <v>153</v>
      </c>
      <c r="P297" s="633">
        <v>1</v>
      </c>
      <c r="Q297" s="776">
        <f t="shared" si="46"/>
        <v>0</v>
      </c>
      <c r="R297" s="776">
        <f t="shared" si="47"/>
        <v>0</v>
      </c>
      <c r="S297" s="552">
        <f t="shared" si="48"/>
        <v>0</v>
      </c>
      <c r="T297" s="626">
        <f t="shared" si="41"/>
        <v>0</v>
      </c>
      <c r="U297" s="626">
        <f t="shared" si="42"/>
        <v>0</v>
      </c>
      <c r="V297" s="553">
        <f t="shared" si="43"/>
        <v>0</v>
      </c>
      <c r="W297" s="554" t="str">
        <f t="shared" si="49"/>
        <v>V</v>
      </c>
      <c r="X297" s="555"/>
      <c r="Y297" s="631">
        <f>IF(Q297=0,0,(Q297+R297)*'1.0-Contractblad'!$L$98)</f>
        <v>0</v>
      </c>
      <c r="Z297" s="632">
        <f ca="1">IF(J297=0,0,VLOOKUP(D297,'1.1a-Jaarprijzen'!$B$70:$P$124,14,FALSE)*(K297+J297))</f>
        <v>0</v>
      </c>
    </row>
    <row r="298" spans="1:26" hidden="1">
      <c r="A298" s="558"/>
      <c r="B298" s="548"/>
      <c r="C298" s="659">
        <v>3</v>
      </c>
      <c r="D298" s="549" t="s">
        <v>1469</v>
      </c>
      <c r="E298" s="660" t="s">
        <v>478</v>
      </c>
      <c r="F298" s="551" t="s">
        <v>792</v>
      </c>
      <c r="G298" s="649" t="s">
        <v>1218</v>
      </c>
      <c r="H298" s="647" t="str">
        <f t="shared" si="40"/>
        <v>administratieve -, personeels- en vergaderruimte</v>
      </c>
      <c r="I298" s="719" t="s">
        <v>76</v>
      </c>
      <c r="J298" s="623">
        <v>51.2</v>
      </c>
      <c r="K298" s="623"/>
      <c r="L298" s="651">
        <v>1153</v>
      </c>
      <c r="M298" s="557">
        <f t="shared" si="44"/>
        <v>101</v>
      </c>
      <c r="N298" s="453"/>
      <c r="O298" s="557">
        <f t="shared" si="45"/>
        <v>153</v>
      </c>
      <c r="P298" s="633">
        <v>1</v>
      </c>
      <c r="Q298" s="776">
        <f t="shared" si="46"/>
        <v>0</v>
      </c>
      <c r="R298" s="776">
        <f t="shared" si="47"/>
        <v>0</v>
      </c>
      <c r="S298" s="552">
        <f t="shared" si="48"/>
        <v>0</v>
      </c>
      <c r="T298" s="626">
        <f t="shared" si="41"/>
        <v>0</v>
      </c>
      <c r="U298" s="626">
        <f t="shared" si="42"/>
        <v>0</v>
      </c>
      <c r="V298" s="553">
        <f t="shared" si="43"/>
        <v>0</v>
      </c>
      <c r="W298" s="554" t="str">
        <f t="shared" si="49"/>
        <v>B</v>
      </c>
      <c r="X298" s="454"/>
      <c r="Y298" s="631">
        <f>IF(Q298=0,0,(Q298+R298)*'1.0-Contractblad'!$L$98)</f>
        <v>0</v>
      </c>
      <c r="Z298" s="632">
        <f ca="1">IF(J298=0,0,VLOOKUP(D298,'1.1a-Jaarprijzen'!$B$70:$P$124,14,FALSE)*(K298+J298))</f>
        <v>0</v>
      </c>
    </row>
    <row r="299" spans="1:26" hidden="1">
      <c r="A299" s="558"/>
      <c r="B299" s="548"/>
      <c r="C299" s="659">
        <v>3</v>
      </c>
      <c r="D299" s="549" t="s">
        <v>1469</v>
      </c>
      <c r="E299" s="660" t="s">
        <v>478</v>
      </c>
      <c r="F299" s="551" t="s">
        <v>793</v>
      </c>
      <c r="G299" s="649" t="s">
        <v>1312</v>
      </c>
      <c r="H299" s="647" t="str">
        <f t="shared" si="40"/>
        <v>niet van toepassing</v>
      </c>
      <c r="I299" s="719"/>
      <c r="J299" s="623"/>
      <c r="K299" s="623"/>
      <c r="L299" s="668" t="s">
        <v>27</v>
      </c>
      <c r="M299" s="557">
        <f t="shared" si="44"/>
        <v>0</v>
      </c>
      <c r="N299" s="453"/>
      <c r="O299" s="557">
        <f t="shared" si="45"/>
        <v>0</v>
      </c>
      <c r="P299" s="633">
        <v>1</v>
      </c>
      <c r="Q299" s="776">
        <f t="shared" si="46"/>
        <v>0</v>
      </c>
      <c r="R299" s="776">
        <f t="shared" si="47"/>
        <v>0</v>
      </c>
      <c r="S299" s="552">
        <f t="shared" si="48"/>
        <v>0</v>
      </c>
      <c r="T299" s="626">
        <f t="shared" si="41"/>
        <v>0</v>
      </c>
      <c r="U299" s="626">
        <f t="shared" si="42"/>
        <v>0</v>
      </c>
      <c r="V299" s="553">
        <f t="shared" si="43"/>
        <v>0</v>
      </c>
      <c r="W299" s="554">
        <f t="shared" si="49"/>
        <v>0</v>
      </c>
      <c r="X299" s="454" t="s">
        <v>1454</v>
      </c>
      <c r="Y299" s="631">
        <f>IF(Q299=0,0,(Q299+R299)*'1.0-Contractblad'!$L$98)</f>
        <v>0</v>
      </c>
      <c r="Z299" s="632">
        <f>IF(J299=0,0,VLOOKUP(D299,'1.1a-Jaarprijzen'!$B$70:$P$124,14,FALSE)*(K299+J299))</f>
        <v>0</v>
      </c>
    </row>
    <row r="300" spans="1:26" hidden="1">
      <c r="A300" s="558"/>
      <c r="B300" s="548"/>
      <c r="C300" s="659">
        <v>3</v>
      </c>
      <c r="D300" s="549" t="s">
        <v>1469</v>
      </c>
      <c r="E300" s="660" t="s">
        <v>478</v>
      </c>
      <c r="F300" s="551" t="s">
        <v>794</v>
      </c>
      <c r="G300" s="649" t="s">
        <v>1216</v>
      </c>
      <c r="H300" s="647" t="str">
        <f t="shared" si="40"/>
        <v>sanitaire ruimte (toilet-/doucheruimte)</v>
      </c>
      <c r="I300" s="719" t="s">
        <v>84</v>
      </c>
      <c r="J300" s="623">
        <v>1.7</v>
      </c>
      <c r="K300" s="623"/>
      <c r="L300" s="559">
        <v>4153</v>
      </c>
      <c r="M300" s="557">
        <f t="shared" si="44"/>
        <v>104</v>
      </c>
      <c r="N300" s="453"/>
      <c r="O300" s="557">
        <f t="shared" si="45"/>
        <v>153</v>
      </c>
      <c r="P300" s="633">
        <v>1</v>
      </c>
      <c r="Q300" s="776">
        <f t="shared" si="46"/>
        <v>0</v>
      </c>
      <c r="R300" s="776">
        <f t="shared" si="47"/>
        <v>0</v>
      </c>
      <c r="S300" s="552">
        <f t="shared" si="48"/>
        <v>0</v>
      </c>
      <c r="T300" s="626">
        <f t="shared" si="41"/>
        <v>0</v>
      </c>
      <c r="U300" s="626">
        <f t="shared" si="42"/>
        <v>0</v>
      </c>
      <c r="V300" s="553">
        <f t="shared" si="43"/>
        <v>0</v>
      </c>
      <c r="W300" s="554" t="str">
        <f t="shared" si="49"/>
        <v>S</v>
      </c>
      <c r="X300" s="555"/>
      <c r="Y300" s="631">
        <f>IF(Q300=0,0,(Q300+R300)*'1.0-Contractblad'!$L$98)</f>
        <v>0</v>
      </c>
      <c r="Z300" s="632">
        <f ca="1">IF(J300=0,0,VLOOKUP(D300,'1.1a-Jaarprijzen'!$B$70:$P$124,14,FALSE)*(K300+J300))</f>
        <v>0</v>
      </c>
    </row>
    <row r="301" spans="1:26" hidden="1">
      <c r="A301" s="558"/>
      <c r="B301" s="548"/>
      <c r="C301" s="659">
        <v>3</v>
      </c>
      <c r="D301" s="549" t="s">
        <v>1469</v>
      </c>
      <c r="E301" s="660" t="s">
        <v>478</v>
      </c>
      <c r="F301" s="551" t="s">
        <v>795</v>
      </c>
      <c r="G301" s="649" t="s">
        <v>1235</v>
      </c>
      <c r="H301" s="647" t="str">
        <f t="shared" si="40"/>
        <v>niet van toepassing</v>
      </c>
      <c r="I301" s="719"/>
      <c r="J301" s="623"/>
      <c r="K301" s="623"/>
      <c r="L301" s="668" t="s">
        <v>27</v>
      </c>
      <c r="M301" s="557">
        <f t="shared" si="44"/>
        <v>0</v>
      </c>
      <c r="N301" s="453"/>
      <c r="O301" s="557">
        <f t="shared" si="45"/>
        <v>0</v>
      </c>
      <c r="P301" s="633">
        <v>1</v>
      </c>
      <c r="Q301" s="776">
        <f t="shared" si="46"/>
        <v>0</v>
      </c>
      <c r="R301" s="776">
        <f t="shared" si="47"/>
        <v>0</v>
      </c>
      <c r="S301" s="552">
        <f t="shared" si="48"/>
        <v>0</v>
      </c>
      <c r="T301" s="626">
        <f t="shared" si="41"/>
        <v>0</v>
      </c>
      <c r="U301" s="626">
        <f t="shared" si="42"/>
        <v>0</v>
      </c>
      <c r="V301" s="553">
        <f t="shared" si="43"/>
        <v>0</v>
      </c>
      <c r="W301" s="554">
        <f t="shared" si="49"/>
        <v>0</v>
      </c>
      <c r="X301" s="454" t="s">
        <v>1454</v>
      </c>
      <c r="Y301" s="631">
        <f>IF(Q301=0,0,(Q301+R301)*'1.0-Contractblad'!$L$98)</f>
        <v>0</v>
      </c>
      <c r="Z301" s="632">
        <f>IF(J301=0,0,VLOOKUP(D301,'1.1a-Jaarprijzen'!$B$70:$P$124,14,FALSE)*(K301+J301))</f>
        <v>0</v>
      </c>
    </row>
    <row r="302" spans="1:26" hidden="1">
      <c r="A302" s="558"/>
      <c r="B302" s="548"/>
      <c r="C302" s="659">
        <v>3</v>
      </c>
      <c r="D302" s="549" t="s">
        <v>1469</v>
      </c>
      <c r="E302" s="660" t="s">
        <v>478</v>
      </c>
      <c r="F302" s="551" t="s">
        <v>796</v>
      </c>
      <c r="G302" s="649" t="s">
        <v>1235</v>
      </c>
      <c r="H302" s="647" t="str">
        <f t="shared" si="40"/>
        <v>niet van toepassing</v>
      </c>
      <c r="I302" s="719"/>
      <c r="J302" s="623"/>
      <c r="K302" s="623"/>
      <c r="L302" s="668" t="s">
        <v>27</v>
      </c>
      <c r="M302" s="557">
        <f t="shared" si="44"/>
        <v>0</v>
      </c>
      <c r="N302" s="453"/>
      <c r="O302" s="557">
        <f t="shared" si="45"/>
        <v>0</v>
      </c>
      <c r="P302" s="633">
        <v>1</v>
      </c>
      <c r="Q302" s="776">
        <f t="shared" si="46"/>
        <v>0</v>
      </c>
      <c r="R302" s="776">
        <f t="shared" si="47"/>
        <v>0</v>
      </c>
      <c r="S302" s="552">
        <f t="shared" si="48"/>
        <v>0</v>
      </c>
      <c r="T302" s="626">
        <f t="shared" si="41"/>
        <v>0</v>
      </c>
      <c r="U302" s="626">
        <f t="shared" si="42"/>
        <v>0</v>
      </c>
      <c r="V302" s="553">
        <f t="shared" si="43"/>
        <v>0</v>
      </c>
      <c r="W302" s="554">
        <f t="shared" si="49"/>
        <v>0</v>
      </c>
      <c r="X302" s="454" t="s">
        <v>1454</v>
      </c>
      <c r="Y302" s="631">
        <f>IF(Q302=0,0,(Q302+R302)*'1.0-Contractblad'!$L$98)</f>
        <v>0</v>
      </c>
      <c r="Z302" s="632">
        <f>IF(J302=0,0,VLOOKUP(D302,'1.1a-Jaarprijzen'!$B$70:$P$124,14,FALSE)*(K302+J302))</f>
        <v>0</v>
      </c>
    </row>
    <row r="303" spans="1:26" hidden="1">
      <c r="A303" s="558"/>
      <c r="B303" s="548"/>
      <c r="C303" s="659">
        <v>3</v>
      </c>
      <c r="D303" s="549" t="s">
        <v>1469</v>
      </c>
      <c r="E303" s="660" t="s">
        <v>478</v>
      </c>
      <c r="F303" s="551" t="s">
        <v>797</v>
      </c>
      <c r="G303" s="649" t="s">
        <v>1313</v>
      </c>
      <c r="H303" s="647" t="str">
        <f t="shared" si="40"/>
        <v>niet van toepassing</v>
      </c>
      <c r="I303" s="719"/>
      <c r="J303" s="623"/>
      <c r="K303" s="623"/>
      <c r="L303" s="668" t="s">
        <v>27</v>
      </c>
      <c r="M303" s="557">
        <f t="shared" si="44"/>
        <v>0</v>
      </c>
      <c r="N303" s="453"/>
      <c r="O303" s="557">
        <f t="shared" si="45"/>
        <v>0</v>
      </c>
      <c r="P303" s="633">
        <v>1</v>
      </c>
      <c r="Q303" s="776">
        <f t="shared" si="46"/>
        <v>0</v>
      </c>
      <c r="R303" s="776">
        <f t="shared" si="47"/>
        <v>0</v>
      </c>
      <c r="S303" s="552">
        <f t="shared" si="48"/>
        <v>0</v>
      </c>
      <c r="T303" s="626">
        <f t="shared" si="41"/>
        <v>0</v>
      </c>
      <c r="U303" s="626">
        <f t="shared" si="42"/>
        <v>0</v>
      </c>
      <c r="V303" s="553">
        <f t="shared" si="43"/>
        <v>0</v>
      </c>
      <c r="W303" s="554">
        <f t="shared" si="49"/>
        <v>0</v>
      </c>
      <c r="X303" s="454" t="s">
        <v>1454</v>
      </c>
      <c r="Y303" s="631">
        <f>IF(Q303=0,0,(Q303+R303)*'1.0-Contractblad'!$L$98)</f>
        <v>0</v>
      </c>
      <c r="Z303" s="632">
        <f>IF(J303=0,0,VLOOKUP(D303,'1.1a-Jaarprijzen'!$B$70:$P$124,14,FALSE)*(K303+J303))</f>
        <v>0</v>
      </c>
    </row>
    <row r="304" spans="1:26" hidden="1">
      <c r="A304" s="558"/>
      <c r="B304" s="548"/>
      <c r="C304" s="659">
        <v>3</v>
      </c>
      <c r="D304" s="549" t="s">
        <v>1469</v>
      </c>
      <c r="E304" s="660" t="s">
        <v>478</v>
      </c>
      <c r="F304" s="551" t="s">
        <v>798</v>
      </c>
      <c r="G304" s="649" t="s">
        <v>1217</v>
      </c>
      <c r="H304" s="647" t="str">
        <f t="shared" si="40"/>
        <v>entree, gang, hal, repro, kopieer, was/droogruimte</v>
      </c>
      <c r="I304" s="719" t="s">
        <v>106</v>
      </c>
      <c r="J304" s="623">
        <v>11.1</v>
      </c>
      <c r="K304" s="623"/>
      <c r="L304" s="651">
        <v>3153</v>
      </c>
      <c r="M304" s="557">
        <f t="shared" si="44"/>
        <v>103</v>
      </c>
      <c r="N304" s="453"/>
      <c r="O304" s="557">
        <f t="shared" si="45"/>
        <v>153</v>
      </c>
      <c r="P304" s="633">
        <v>1</v>
      </c>
      <c r="Q304" s="776">
        <f t="shared" si="46"/>
        <v>0</v>
      </c>
      <c r="R304" s="776">
        <f t="shared" si="47"/>
        <v>0</v>
      </c>
      <c r="S304" s="552">
        <f t="shared" si="48"/>
        <v>0</v>
      </c>
      <c r="T304" s="626">
        <f t="shared" si="41"/>
        <v>0</v>
      </c>
      <c r="U304" s="626">
        <f t="shared" si="42"/>
        <v>0</v>
      </c>
      <c r="V304" s="553">
        <f t="shared" si="43"/>
        <v>0</v>
      </c>
      <c r="W304" s="554" t="str">
        <f t="shared" si="49"/>
        <v>V</v>
      </c>
      <c r="X304" s="555"/>
      <c r="Y304" s="631">
        <f>IF(Q304=0,0,(Q304+R304)*'1.0-Contractblad'!$L$98)</f>
        <v>0</v>
      </c>
      <c r="Z304" s="632">
        <f ca="1">IF(J304=0,0,VLOOKUP(D304,'1.1a-Jaarprijzen'!$B$70:$P$124,14,FALSE)*(K304+J304))</f>
        <v>0</v>
      </c>
    </row>
    <row r="305" spans="1:26" hidden="1">
      <c r="A305" s="558"/>
      <c r="B305" s="548"/>
      <c r="C305" s="659">
        <v>3</v>
      </c>
      <c r="D305" s="549" t="s">
        <v>1469</v>
      </c>
      <c r="E305" s="660" t="s">
        <v>478</v>
      </c>
      <c r="F305" s="551" t="s">
        <v>799</v>
      </c>
      <c r="G305" s="649" t="s">
        <v>1298</v>
      </c>
      <c r="H305" s="647" t="str">
        <f t="shared" si="40"/>
        <v>trappenhuis</v>
      </c>
      <c r="I305" s="719" t="s">
        <v>1403</v>
      </c>
      <c r="J305" s="623">
        <v>19.7</v>
      </c>
      <c r="K305" s="623"/>
      <c r="L305" s="559">
        <v>9153</v>
      </c>
      <c r="M305" s="557">
        <f t="shared" si="44"/>
        <v>109</v>
      </c>
      <c r="N305" s="453"/>
      <c r="O305" s="557">
        <f t="shared" si="45"/>
        <v>153</v>
      </c>
      <c r="P305" s="633">
        <v>1</v>
      </c>
      <c r="Q305" s="776">
        <f t="shared" si="46"/>
        <v>0</v>
      </c>
      <c r="R305" s="776">
        <f t="shared" si="47"/>
        <v>0</v>
      </c>
      <c r="S305" s="552">
        <f t="shared" si="48"/>
        <v>0</v>
      </c>
      <c r="T305" s="626">
        <f t="shared" si="41"/>
        <v>0</v>
      </c>
      <c r="U305" s="626">
        <f t="shared" si="42"/>
        <v>0</v>
      </c>
      <c r="V305" s="553">
        <f t="shared" si="43"/>
        <v>0</v>
      </c>
      <c r="W305" s="554" t="str">
        <f t="shared" si="49"/>
        <v>V</v>
      </c>
      <c r="X305" s="555"/>
      <c r="Y305" s="631">
        <f>IF(Q305=0,0,(Q305+R305)*'1.0-Contractblad'!$L$98)</f>
        <v>0</v>
      </c>
      <c r="Z305" s="632">
        <f ca="1">IF(J305=0,0,VLOOKUP(D305,'1.1a-Jaarprijzen'!$B$70:$P$124,14,FALSE)*(K305+J305))</f>
        <v>0</v>
      </c>
    </row>
    <row r="306" spans="1:26" hidden="1">
      <c r="A306" s="558"/>
      <c r="B306" s="548"/>
      <c r="C306" s="659">
        <v>3</v>
      </c>
      <c r="D306" s="549" t="s">
        <v>1469</v>
      </c>
      <c r="E306" s="550" t="s">
        <v>479</v>
      </c>
      <c r="F306" s="551" t="s">
        <v>800</v>
      </c>
      <c r="G306" s="649" t="s">
        <v>1314</v>
      </c>
      <c r="H306" s="647" t="str">
        <f t="shared" si="40"/>
        <v>niet van toepassing</v>
      </c>
      <c r="I306" s="719" t="s">
        <v>1402</v>
      </c>
      <c r="J306" s="623"/>
      <c r="K306" s="623"/>
      <c r="L306" s="668" t="s">
        <v>27</v>
      </c>
      <c r="M306" s="557">
        <f t="shared" si="44"/>
        <v>0</v>
      </c>
      <c r="N306" s="453"/>
      <c r="O306" s="557">
        <f t="shared" si="45"/>
        <v>0</v>
      </c>
      <c r="P306" s="633">
        <v>1</v>
      </c>
      <c r="Q306" s="776">
        <f t="shared" si="46"/>
        <v>0</v>
      </c>
      <c r="R306" s="776">
        <f t="shared" si="47"/>
        <v>0</v>
      </c>
      <c r="S306" s="552">
        <f t="shared" si="48"/>
        <v>0</v>
      </c>
      <c r="T306" s="626">
        <f t="shared" si="41"/>
        <v>0</v>
      </c>
      <c r="U306" s="626">
        <f t="shared" si="42"/>
        <v>0</v>
      </c>
      <c r="V306" s="553">
        <f t="shared" si="43"/>
        <v>0</v>
      </c>
      <c r="W306" s="554">
        <f t="shared" si="49"/>
        <v>0</v>
      </c>
      <c r="X306" s="454" t="s">
        <v>1454</v>
      </c>
      <c r="Y306" s="631">
        <f>IF(Q306=0,0,(Q306+R306)*'1.0-Contractblad'!$L$98)</f>
        <v>0</v>
      </c>
      <c r="Z306" s="632">
        <f>IF(J306=0,0,VLOOKUP(D306,'1.1a-Jaarprijzen'!$B$70:$P$124,14,FALSE)*(K306+J306))</f>
        <v>0</v>
      </c>
    </row>
    <row r="307" spans="1:26" hidden="1">
      <c r="A307" s="558"/>
      <c r="B307" s="548"/>
      <c r="C307" s="659">
        <v>3</v>
      </c>
      <c r="D307" s="549" t="s">
        <v>1469</v>
      </c>
      <c r="E307" s="550">
        <v>3</v>
      </c>
      <c r="F307" s="551" t="s">
        <v>801</v>
      </c>
      <c r="G307" s="649" t="s">
        <v>1315</v>
      </c>
      <c r="H307" s="647" t="str">
        <f t="shared" si="40"/>
        <v>niet van toepassing</v>
      </c>
      <c r="I307" s="719" t="s">
        <v>1402</v>
      </c>
      <c r="J307" s="623"/>
      <c r="K307" s="623"/>
      <c r="L307" s="668" t="s">
        <v>27</v>
      </c>
      <c r="M307" s="557">
        <f t="shared" si="44"/>
        <v>0</v>
      </c>
      <c r="N307" s="453"/>
      <c r="O307" s="557">
        <f t="shared" si="45"/>
        <v>0</v>
      </c>
      <c r="P307" s="633">
        <v>1</v>
      </c>
      <c r="Q307" s="776">
        <f t="shared" si="46"/>
        <v>0</v>
      </c>
      <c r="R307" s="776">
        <f t="shared" si="47"/>
        <v>0</v>
      </c>
      <c r="S307" s="552">
        <f t="shared" si="48"/>
        <v>0</v>
      </c>
      <c r="T307" s="626">
        <f t="shared" si="41"/>
        <v>0</v>
      </c>
      <c r="U307" s="626">
        <f t="shared" si="42"/>
        <v>0</v>
      </c>
      <c r="V307" s="553">
        <f t="shared" si="43"/>
        <v>0</v>
      </c>
      <c r="W307" s="554">
        <f t="shared" si="49"/>
        <v>0</v>
      </c>
      <c r="X307" s="454" t="s">
        <v>1454</v>
      </c>
      <c r="Y307" s="631">
        <f>IF(Q307=0,0,(Q307+R307)*'1.0-Contractblad'!$L$98)</f>
        <v>0</v>
      </c>
      <c r="Z307" s="632">
        <f>IF(J307=0,0,VLOOKUP(D307,'1.1a-Jaarprijzen'!$B$70:$P$124,14,FALSE)*(K307+J307))</f>
        <v>0</v>
      </c>
    </row>
    <row r="308" spans="1:26" hidden="1">
      <c r="A308" s="558"/>
      <c r="B308" s="548"/>
      <c r="C308" s="659">
        <v>3</v>
      </c>
      <c r="D308" s="549" t="s">
        <v>1469</v>
      </c>
      <c r="E308" s="660" t="s">
        <v>478</v>
      </c>
      <c r="F308" s="551" t="s">
        <v>802</v>
      </c>
      <c r="G308" s="649" t="s">
        <v>1224</v>
      </c>
      <c r="H308" s="647" t="str">
        <f t="shared" si="40"/>
        <v>pantry</v>
      </c>
      <c r="I308" s="719" t="s">
        <v>106</v>
      </c>
      <c r="J308" s="623">
        <v>11.7</v>
      </c>
      <c r="K308" s="623"/>
      <c r="L308" s="559">
        <v>5153</v>
      </c>
      <c r="M308" s="557">
        <f t="shared" si="44"/>
        <v>105</v>
      </c>
      <c r="N308" s="453"/>
      <c r="O308" s="557">
        <f t="shared" si="45"/>
        <v>153</v>
      </c>
      <c r="P308" s="633">
        <v>1</v>
      </c>
      <c r="Q308" s="776">
        <f t="shared" si="46"/>
        <v>0</v>
      </c>
      <c r="R308" s="776">
        <f t="shared" si="47"/>
        <v>0</v>
      </c>
      <c r="S308" s="552">
        <f t="shared" si="48"/>
        <v>0</v>
      </c>
      <c r="T308" s="626">
        <f t="shared" si="41"/>
        <v>0</v>
      </c>
      <c r="U308" s="626">
        <f t="shared" si="42"/>
        <v>0</v>
      </c>
      <c r="V308" s="553">
        <f t="shared" si="43"/>
        <v>0</v>
      </c>
      <c r="W308" s="554" t="str">
        <f t="shared" si="49"/>
        <v>V</v>
      </c>
      <c r="X308" s="556"/>
      <c r="Y308" s="631">
        <f>IF(Q308=0,0,(Q308+R308)*'1.0-Contractblad'!$L$98)</f>
        <v>0</v>
      </c>
      <c r="Z308" s="632">
        <f ca="1">IF(J308=0,0,VLOOKUP(D308,'1.1a-Jaarprijzen'!$B$70:$P$124,14,FALSE)*(K308+J308))</f>
        <v>0</v>
      </c>
    </row>
    <row r="309" spans="1:26" hidden="1">
      <c r="A309" s="558"/>
      <c r="B309" s="548"/>
      <c r="C309" s="659">
        <v>3</v>
      </c>
      <c r="D309" s="549" t="s">
        <v>1469</v>
      </c>
      <c r="E309" s="660" t="s">
        <v>478</v>
      </c>
      <c r="F309" s="551" t="s">
        <v>803</v>
      </c>
      <c r="G309" s="649" t="s">
        <v>1316</v>
      </c>
      <c r="H309" s="647" t="str">
        <f t="shared" si="40"/>
        <v>kantine, restaurant</v>
      </c>
      <c r="I309" s="719" t="s">
        <v>106</v>
      </c>
      <c r="J309" s="623">
        <v>102</v>
      </c>
      <c r="K309" s="623"/>
      <c r="L309" s="559">
        <v>11255</v>
      </c>
      <c r="M309" s="557">
        <f t="shared" si="44"/>
        <v>105</v>
      </c>
      <c r="N309" s="453"/>
      <c r="O309" s="557">
        <f t="shared" si="45"/>
        <v>255</v>
      </c>
      <c r="P309" s="633">
        <v>1</v>
      </c>
      <c r="Q309" s="776">
        <f t="shared" si="46"/>
        <v>0</v>
      </c>
      <c r="R309" s="776">
        <f t="shared" si="47"/>
        <v>0</v>
      </c>
      <c r="S309" s="552">
        <f t="shared" si="48"/>
        <v>0</v>
      </c>
      <c r="T309" s="626">
        <f t="shared" si="41"/>
        <v>0</v>
      </c>
      <c r="U309" s="626">
        <f t="shared" si="42"/>
        <v>0</v>
      </c>
      <c r="V309" s="553">
        <f t="shared" si="43"/>
        <v>0</v>
      </c>
      <c r="W309" s="554" t="str">
        <f t="shared" si="49"/>
        <v>V</v>
      </c>
      <c r="X309" s="555"/>
      <c r="Y309" s="631">
        <f>IF(Q309=0,0,(Q309+R309)*'1.0-Contractblad'!$L$98)</f>
        <v>0</v>
      </c>
      <c r="Z309" s="632">
        <f ca="1">IF(J309=0,0,VLOOKUP(D309,'1.1a-Jaarprijzen'!$B$70:$P$124,14,FALSE)*(K309+J309))</f>
        <v>0</v>
      </c>
    </row>
    <row r="310" spans="1:26" hidden="1">
      <c r="A310" s="558"/>
      <c r="B310" s="548"/>
      <c r="C310" s="659">
        <v>3</v>
      </c>
      <c r="D310" s="549" t="s">
        <v>1472</v>
      </c>
      <c r="E310" s="660" t="s">
        <v>478</v>
      </c>
      <c r="F310" s="551" t="s">
        <v>804</v>
      </c>
      <c r="G310" s="649" t="s">
        <v>1317</v>
      </c>
      <c r="H310" s="647" t="str">
        <f t="shared" si="40"/>
        <v>niet van toepassing</v>
      </c>
      <c r="I310" s="719"/>
      <c r="J310" s="623"/>
      <c r="K310" s="623"/>
      <c r="L310" s="668" t="s">
        <v>27</v>
      </c>
      <c r="M310" s="557">
        <f t="shared" si="44"/>
        <v>0</v>
      </c>
      <c r="N310" s="453"/>
      <c r="O310" s="557">
        <f t="shared" si="45"/>
        <v>0</v>
      </c>
      <c r="P310" s="633">
        <v>1</v>
      </c>
      <c r="Q310" s="776">
        <f t="shared" si="46"/>
        <v>0</v>
      </c>
      <c r="R310" s="776">
        <f t="shared" si="47"/>
        <v>0</v>
      </c>
      <c r="S310" s="552">
        <f t="shared" si="48"/>
        <v>0</v>
      </c>
      <c r="T310" s="626">
        <f t="shared" si="41"/>
        <v>0</v>
      </c>
      <c r="U310" s="626">
        <f t="shared" si="42"/>
        <v>0</v>
      </c>
      <c r="V310" s="553">
        <f t="shared" si="43"/>
        <v>0</v>
      </c>
      <c r="W310" s="554">
        <f t="shared" si="49"/>
        <v>0</v>
      </c>
      <c r="X310" s="454" t="s">
        <v>1454</v>
      </c>
      <c r="Y310" s="631">
        <f>IF(Q310=0,0,(Q310+R310)*'1.0-Contractblad'!$L$98)</f>
        <v>0</v>
      </c>
      <c r="Z310" s="632">
        <f>IF(J310=0,0,VLOOKUP(D310,'1.1a-Jaarprijzen'!$B$70:$P$124,14,FALSE)*(K310+J310))</f>
        <v>0</v>
      </c>
    </row>
    <row r="311" spans="1:26" hidden="1">
      <c r="A311" s="558"/>
      <c r="B311" s="548"/>
      <c r="C311" s="659">
        <v>3</v>
      </c>
      <c r="D311" s="549" t="s">
        <v>1473</v>
      </c>
      <c r="E311" s="660" t="s">
        <v>478</v>
      </c>
      <c r="F311" s="551" t="s">
        <v>805</v>
      </c>
      <c r="G311" s="649" t="s">
        <v>1267</v>
      </c>
      <c r="H311" s="647" t="str">
        <f t="shared" si="40"/>
        <v>entree, gang, hal, repro, kopieer, was/droogruimte</v>
      </c>
      <c r="I311" s="719" t="s">
        <v>106</v>
      </c>
      <c r="J311" s="623">
        <v>77.8</v>
      </c>
      <c r="K311" s="623"/>
      <c r="L311" s="651">
        <v>3153</v>
      </c>
      <c r="M311" s="557">
        <f t="shared" si="44"/>
        <v>103</v>
      </c>
      <c r="N311" s="453"/>
      <c r="O311" s="557">
        <f t="shared" si="45"/>
        <v>153</v>
      </c>
      <c r="P311" s="633">
        <v>1</v>
      </c>
      <c r="Q311" s="776">
        <f t="shared" si="46"/>
        <v>0</v>
      </c>
      <c r="R311" s="776">
        <f t="shared" si="47"/>
        <v>0</v>
      </c>
      <c r="S311" s="552">
        <f t="shared" si="48"/>
        <v>0</v>
      </c>
      <c r="T311" s="626">
        <f t="shared" si="41"/>
        <v>0</v>
      </c>
      <c r="U311" s="626">
        <f t="shared" si="42"/>
        <v>0</v>
      </c>
      <c r="V311" s="553">
        <f t="shared" si="43"/>
        <v>0</v>
      </c>
      <c r="W311" s="554" t="str">
        <f t="shared" si="49"/>
        <v>V</v>
      </c>
      <c r="X311" s="555"/>
      <c r="Y311" s="631">
        <f>IF(Q311=0,0,(Q311+R311)*'1.0-Contractblad'!$L$98)</f>
        <v>0</v>
      </c>
      <c r="Z311" s="632">
        <f ca="1">IF(J311=0,0,VLOOKUP(D311,'1.1a-Jaarprijzen'!$B$70:$P$124,14,FALSE)*(K311+J311))</f>
        <v>0</v>
      </c>
    </row>
    <row r="312" spans="1:26" hidden="1">
      <c r="A312" s="558"/>
      <c r="B312" s="548"/>
      <c r="C312" s="659">
        <v>3</v>
      </c>
      <c r="D312" s="549" t="s">
        <v>1473</v>
      </c>
      <c r="E312" s="660" t="s">
        <v>478</v>
      </c>
      <c r="F312" s="551" t="s">
        <v>806</v>
      </c>
      <c r="G312" s="649" t="s">
        <v>1237</v>
      </c>
      <c r="H312" s="647" t="str">
        <f t="shared" si="40"/>
        <v>trappenhuis</v>
      </c>
      <c r="I312" s="719" t="s">
        <v>1402</v>
      </c>
      <c r="J312" s="623">
        <v>13.9</v>
      </c>
      <c r="K312" s="623"/>
      <c r="L312" s="559">
        <v>9153</v>
      </c>
      <c r="M312" s="557">
        <f t="shared" si="44"/>
        <v>109</v>
      </c>
      <c r="N312" s="453"/>
      <c r="O312" s="557">
        <f t="shared" si="45"/>
        <v>153</v>
      </c>
      <c r="P312" s="633">
        <v>1</v>
      </c>
      <c r="Q312" s="776">
        <f t="shared" si="46"/>
        <v>0</v>
      </c>
      <c r="R312" s="776">
        <f t="shared" si="47"/>
        <v>0</v>
      </c>
      <c r="S312" s="552">
        <f t="shared" si="48"/>
        <v>0</v>
      </c>
      <c r="T312" s="626">
        <f t="shared" si="41"/>
        <v>0</v>
      </c>
      <c r="U312" s="626">
        <f t="shared" si="42"/>
        <v>0</v>
      </c>
      <c r="V312" s="553">
        <f t="shared" si="43"/>
        <v>0</v>
      </c>
      <c r="W312" s="554" t="str">
        <f t="shared" si="49"/>
        <v>V</v>
      </c>
      <c r="X312" s="555"/>
      <c r="Y312" s="631">
        <f>IF(Q312=0,0,(Q312+R312)*'1.0-Contractblad'!$L$98)</f>
        <v>0</v>
      </c>
      <c r="Z312" s="632">
        <f ca="1">IF(J312=0,0,VLOOKUP(D312,'1.1a-Jaarprijzen'!$B$70:$P$124,14,FALSE)*(K312+J312))</f>
        <v>0</v>
      </c>
    </row>
    <row r="313" spans="1:26" hidden="1">
      <c r="A313" s="558"/>
      <c r="B313" s="548"/>
      <c r="C313" s="659">
        <v>3</v>
      </c>
      <c r="D313" s="549" t="s">
        <v>1473</v>
      </c>
      <c r="E313" s="660" t="s">
        <v>478</v>
      </c>
      <c r="F313" s="551" t="s">
        <v>807</v>
      </c>
      <c r="G313" s="649" t="s">
        <v>1268</v>
      </c>
      <c r="H313" s="647" t="str">
        <f t="shared" si="40"/>
        <v>entree, gang, hal, repro, kopieer, was/droogruimte</v>
      </c>
      <c r="I313" s="719" t="s">
        <v>106</v>
      </c>
      <c r="J313" s="623">
        <v>13</v>
      </c>
      <c r="K313" s="623"/>
      <c r="L313" s="559">
        <v>3153</v>
      </c>
      <c r="M313" s="557">
        <f t="shared" si="44"/>
        <v>103</v>
      </c>
      <c r="N313" s="453"/>
      <c r="O313" s="557">
        <f t="shared" si="45"/>
        <v>153</v>
      </c>
      <c r="P313" s="633">
        <v>1</v>
      </c>
      <c r="Q313" s="776">
        <f t="shared" si="46"/>
        <v>0</v>
      </c>
      <c r="R313" s="776">
        <f t="shared" si="47"/>
        <v>0</v>
      </c>
      <c r="S313" s="552">
        <f t="shared" si="48"/>
        <v>0</v>
      </c>
      <c r="T313" s="626">
        <f t="shared" si="41"/>
        <v>0</v>
      </c>
      <c r="U313" s="626">
        <f t="shared" si="42"/>
        <v>0</v>
      </c>
      <c r="V313" s="553">
        <f t="shared" si="43"/>
        <v>0</v>
      </c>
      <c r="W313" s="554" t="str">
        <f t="shared" si="49"/>
        <v>V</v>
      </c>
      <c r="X313" s="555"/>
      <c r="Y313" s="631">
        <f>IF(Q313=0,0,(Q313+R313)*'1.0-Contractblad'!$L$98)</f>
        <v>0</v>
      </c>
      <c r="Z313" s="632">
        <f ca="1">IF(J313=0,0,VLOOKUP(D313,'1.1a-Jaarprijzen'!$B$70:$P$124,14,FALSE)*(K313+J313))</f>
        <v>0</v>
      </c>
    </row>
    <row r="314" spans="1:26" hidden="1">
      <c r="A314" s="558"/>
      <c r="B314" s="548"/>
      <c r="C314" s="659">
        <v>3</v>
      </c>
      <c r="D314" s="549" t="s">
        <v>1473</v>
      </c>
      <c r="E314" s="660" t="s">
        <v>478</v>
      </c>
      <c r="F314" s="551" t="s">
        <v>808</v>
      </c>
      <c r="G314" s="649" t="s">
        <v>1269</v>
      </c>
      <c r="H314" s="647" t="str">
        <f t="shared" si="40"/>
        <v>niet van toepassing</v>
      </c>
      <c r="I314" s="719" t="s">
        <v>106</v>
      </c>
      <c r="J314" s="623"/>
      <c r="K314" s="623"/>
      <c r="L314" s="668" t="s">
        <v>27</v>
      </c>
      <c r="M314" s="557">
        <f t="shared" si="44"/>
        <v>0</v>
      </c>
      <c r="N314" s="453"/>
      <c r="O314" s="557">
        <f t="shared" si="45"/>
        <v>0</v>
      </c>
      <c r="P314" s="633">
        <v>1</v>
      </c>
      <c r="Q314" s="776">
        <f t="shared" si="46"/>
        <v>0</v>
      </c>
      <c r="R314" s="776">
        <f t="shared" si="47"/>
        <v>0</v>
      </c>
      <c r="S314" s="552">
        <f t="shared" si="48"/>
        <v>0</v>
      </c>
      <c r="T314" s="626">
        <f t="shared" si="41"/>
        <v>0</v>
      </c>
      <c r="U314" s="626">
        <f t="shared" si="42"/>
        <v>0</v>
      </c>
      <c r="V314" s="553">
        <f t="shared" si="43"/>
        <v>0</v>
      </c>
      <c r="W314" s="554">
        <f t="shared" si="49"/>
        <v>0</v>
      </c>
      <c r="X314" s="454" t="s">
        <v>1454</v>
      </c>
      <c r="Y314" s="631">
        <f>IF(Q314=0,0,(Q314+R314)*'1.0-Contractblad'!$L$98)</f>
        <v>0</v>
      </c>
      <c r="Z314" s="632">
        <f>IF(J314=0,0,VLOOKUP(D314,'1.1a-Jaarprijzen'!$B$70:$P$124,14,FALSE)*(K314+J314))</f>
        <v>0</v>
      </c>
    </row>
    <row r="315" spans="1:26" hidden="1">
      <c r="A315" s="558"/>
      <c r="B315" s="701"/>
      <c r="C315" s="659">
        <v>3</v>
      </c>
      <c r="D315" s="549" t="s">
        <v>1473</v>
      </c>
      <c r="E315" s="660" t="s">
        <v>478</v>
      </c>
      <c r="F315" s="551" t="s">
        <v>809</v>
      </c>
      <c r="G315" s="649" t="s">
        <v>1270</v>
      </c>
      <c r="H315" s="647" t="str">
        <f t="shared" si="40"/>
        <v>niet van toepassing</v>
      </c>
      <c r="I315" s="719" t="s">
        <v>106</v>
      </c>
      <c r="J315" s="623"/>
      <c r="K315" s="623"/>
      <c r="L315" s="668" t="s">
        <v>27</v>
      </c>
      <c r="M315" s="557">
        <f t="shared" si="44"/>
        <v>0</v>
      </c>
      <c r="N315" s="453"/>
      <c r="O315" s="557">
        <f t="shared" si="45"/>
        <v>0</v>
      </c>
      <c r="P315" s="633">
        <v>1</v>
      </c>
      <c r="Q315" s="776">
        <f t="shared" si="46"/>
        <v>0</v>
      </c>
      <c r="R315" s="776">
        <f t="shared" si="47"/>
        <v>0</v>
      </c>
      <c r="S315" s="552">
        <f t="shared" si="48"/>
        <v>0</v>
      </c>
      <c r="T315" s="626">
        <f t="shared" si="41"/>
        <v>0</v>
      </c>
      <c r="U315" s="626">
        <f t="shared" si="42"/>
        <v>0</v>
      </c>
      <c r="V315" s="553">
        <f t="shared" si="43"/>
        <v>0</v>
      </c>
      <c r="W315" s="554">
        <f t="shared" si="49"/>
        <v>0</v>
      </c>
      <c r="X315" s="454" t="s">
        <v>1454</v>
      </c>
      <c r="Y315" s="631">
        <f>IF(Q315=0,0,(Q315+R315)*'1.0-Contractblad'!$L$98)</f>
        <v>0</v>
      </c>
      <c r="Z315" s="632">
        <f>IF(J315=0,0,VLOOKUP(D315,'1.1a-Jaarprijzen'!$B$70:$P$124,14,FALSE)*(K315+J315))</f>
        <v>0</v>
      </c>
    </row>
    <row r="316" spans="1:26" hidden="1">
      <c r="A316" s="558"/>
      <c r="B316" s="548"/>
      <c r="C316" s="659">
        <v>3</v>
      </c>
      <c r="D316" s="549" t="s">
        <v>1473</v>
      </c>
      <c r="E316" s="660" t="s">
        <v>478</v>
      </c>
      <c r="F316" s="551" t="s">
        <v>810</v>
      </c>
      <c r="G316" s="649" t="s">
        <v>1271</v>
      </c>
      <c r="H316" s="647" t="str">
        <f t="shared" si="40"/>
        <v>niet van toepassing</v>
      </c>
      <c r="I316" s="719" t="s">
        <v>106</v>
      </c>
      <c r="J316" s="623"/>
      <c r="K316" s="623"/>
      <c r="L316" s="668" t="s">
        <v>27</v>
      </c>
      <c r="M316" s="557">
        <f t="shared" si="44"/>
        <v>0</v>
      </c>
      <c r="N316" s="453"/>
      <c r="O316" s="557">
        <f t="shared" si="45"/>
        <v>0</v>
      </c>
      <c r="P316" s="633">
        <v>1</v>
      </c>
      <c r="Q316" s="776">
        <f t="shared" si="46"/>
        <v>0</v>
      </c>
      <c r="R316" s="776">
        <f t="shared" si="47"/>
        <v>0</v>
      </c>
      <c r="S316" s="552">
        <f t="shared" si="48"/>
        <v>0</v>
      </c>
      <c r="T316" s="626">
        <f t="shared" si="41"/>
        <v>0</v>
      </c>
      <c r="U316" s="626">
        <f t="shared" si="42"/>
        <v>0</v>
      </c>
      <c r="V316" s="553">
        <f t="shared" si="43"/>
        <v>0</v>
      </c>
      <c r="W316" s="554">
        <f t="shared" si="49"/>
        <v>0</v>
      </c>
      <c r="X316" s="454" t="s">
        <v>1454</v>
      </c>
      <c r="Y316" s="631">
        <f>IF(Q316=0,0,(Q316+R316)*'1.0-Contractblad'!$L$98)</f>
        <v>0</v>
      </c>
      <c r="Z316" s="632">
        <f>IF(J316=0,0,VLOOKUP(D316,'1.1a-Jaarprijzen'!$B$70:$P$124,14,FALSE)*(K316+J316))</f>
        <v>0</v>
      </c>
    </row>
    <row r="317" spans="1:26" hidden="1">
      <c r="A317" s="558"/>
      <c r="B317" s="548"/>
      <c r="C317" s="659">
        <v>3</v>
      </c>
      <c r="D317" s="549" t="s">
        <v>1473</v>
      </c>
      <c r="E317" s="660" t="s">
        <v>478</v>
      </c>
      <c r="F317" s="551" t="s">
        <v>811</v>
      </c>
      <c r="G317" s="649" t="s">
        <v>1271</v>
      </c>
      <c r="H317" s="647" t="str">
        <f t="shared" si="40"/>
        <v>niet van toepassing</v>
      </c>
      <c r="I317" s="719" t="s">
        <v>106</v>
      </c>
      <c r="J317" s="623"/>
      <c r="K317" s="623"/>
      <c r="L317" s="668" t="s">
        <v>27</v>
      </c>
      <c r="M317" s="557">
        <f t="shared" si="44"/>
        <v>0</v>
      </c>
      <c r="N317" s="453"/>
      <c r="O317" s="557">
        <f t="shared" si="45"/>
        <v>0</v>
      </c>
      <c r="P317" s="633">
        <v>1</v>
      </c>
      <c r="Q317" s="776">
        <f t="shared" si="46"/>
        <v>0</v>
      </c>
      <c r="R317" s="776">
        <f t="shared" si="47"/>
        <v>0</v>
      </c>
      <c r="S317" s="552">
        <f t="shared" si="48"/>
        <v>0</v>
      </c>
      <c r="T317" s="626">
        <f t="shared" si="41"/>
        <v>0</v>
      </c>
      <c r="U317" s="626">
        <f t="shared" si="42"/>
        <v>0</v>
      </c>
      <c r="V317" s="553">
        <f t="shared" si="43"/>
        <v>0</v>
      </c>
      <c r="W317" s="554">
        <f t="shared" si="49"/>
        <v>0</v>
      </c>
      <c r="X317" s="454" t="s">
        <v>1454</v>
      </c>
      <c r="Y317" s="631">
        <f>IF(Q317=0,0,(Q317+R317)*'1.0-Contractblad'!$L$98)</f>
        <v>0</v>
      </c>
      <c r="Z317" s="632">
        <f>IF(J317=0,0,VLOOKUP(D317,'1.1a-Jaarprijzen'!$B$70:$P$124,14,FALSE)*(K317+J317))</f>
        <v>0</v>
      </c>
    </row>
    <row r="318" spans="1:26" hidden="1">
      <c r="A318" s="558"/>
      <c r="B318" s="548"/>
      <c r="C318" s="659">
        <v>3</v>
      </c>
      <c r="D318" s="549" t="s">
        <v>1473</v>
      </c>
      <c r="E318" s="660" t="s">
        <v>478</v>
      </c>
      <c r="F318" s="551" t="s">
        <v>812</v>
      </c>
      <c r="G318" s="649" t="s">
        <v>1271</v>
      </c>
      <c r="H318" s="647" t="str">
        <f t="shared" si="40"/>
        <v>niet van toepassing</v>
      </c>
      <c r="I318" s="719" t="s">
        <v>106</v>
      </c>
      <c r="J318" s="623"/>
      <c r="K318" s="623"/>
      <c r="L318" s="668" t="s">
        <v>27</v>
      </c>
      <c r="M318" s="557">
        <f t="shared" si="44"/>
        <v>0</v>
      </c>
      <c r="N318" s="453"/>
      <c r="O318" s="557">
        <f t="shared" si="45"/>
        <v>0</v>
      </c>
      <c r="P318" s="633">
        <v>1</v>
      </c>
      <c r="Q318" s="776">
        <f t="shared" si="46"/>
        <v>0</v>
      </c>
      <c r="R318" s="776">
        <f t="shared" si="47"/>
        <v>0</v>
      </c>
      <c r="S318" s="552">
        <f t="shared" si="48"/>
        <v>0</v>
      </c>
      <c r="T318" s="626">
        <f t="shared" si="41"/>
        <v>0</v>
      </c>
      <c r="U318" s="626">
        <f t="shared" si="42"/>
        <v>0</v>
      </c>
      <c r="V318" s="553">
        <f t="shared" si="43"/>
        <v>0</v>
      </c>
      <c r="W318" s="554">
        <f t="shared" si="49"/>
        <v>0</v>
      </c>
      <c r="X318" s="454" t="s">
        <v>1454</v>
      </c>
      <c r="Y318" s="631">
        <f>IF(Q318=0,0,(Q318+R318)*'1.0-Contractblad'!$L$98)</f>
        <v>0</v>
      </c>
      <c r="Z318" s="632">
        <f>IF(J318=0,0,VLOOKUP(D318,'1.1a-Jaarprijzen'!$B$70:$P$124,14,FALSE)*(K318+J318))</f>
        <v>0</v>
      </c>
    </row>
    <row r="319" spans="1:26" hidden="1">
      <c r="A319" s="558"/>
      <c r="B319" s="548"/>
      <c r="C319" s="659">
        <v>3</v>
      </c>
      <c r="D319" s="549" t="s">
        <v>1473</v>
      </c>
      <c r="E319" s="660" t="s">
        <v>478</v>
      </c>
      <c r="F319" s="551" t="s">
        <v>813</v>
      </c>
      <c r="G319" s="649" t="s">
        <v>1271</v>
      </c>
      <c r="H319" s="647" t="str">
        <f t="shared" si="40"/>
        <v>niet van toepassing</v>
      </c>
      <c r="I319" s="719" t="s">
        <v>106</v>
      </c>
      <c r="J319" s="623"/>
      <c r="K319" s="623"/>
      <c r="L319" s="668" t="s">
        <v>27</v>
      </c>
      <c r="M319" s="557">
        <f t="shared" si="44"/>
        <v>0</v>
      </c>
      <c r="N319" s="453"/>
      <c r="O319" s="557">
        <f t="shared" si="45"/>
        <v>0</v>
      </c>
      <c r="P319" s="633">
        <v>1</v>
      </c>
      <c r="Q319" s="776">
        <f t="shared" si="46"/>
        <v>0</v>
      </c>
      <c r="R319" s="776">
        <f t="shared" si="47"/>
        <v>0</v>
      </c>
      <c r="S319" s="552">
        <f t="shared" si="48"/>
        <v>0</v>
      </c>
      <c r="T319" s="626">
        <f t="shared" si="41"/>
        <v>0</v>
      </c>
      <c r="U319" s="626">
        <f t="shared" si="42"/>
        <v>0</v>
      </c>
      <c r="V319" s="553">
        <f t="shared" si="43"/>
        <v>0</v>
      </c>
      <c r="W319" s="554">
        <f t="shared" si="49"/>
        <v>0</v>
      </c>
      <c r="X319" s="454" t="s">
        <v>1454</v>
      </c>
      <c r="Y319" s="631">
        <f>IF(Q319=0,0,(Q319+R319)*'1.0-Contractblad'!$L$98)</f>
        <v>0</v>
      </c>
      <c r="Z319" s="632">
        <f>IF(J319=0,0,VLOOKUP(D319,'1.1a-Jaarprijzen'!$B$70:$P$124,14,FALSE)*(K319+J319))</f>
        <v>0</v>
      </c>
    </row>
    <row r="320" spans="1:26" hidden="1">
      <c r="A320" s="558"/>
      <c r="B320" s="548"/>
      <c r="C320" s="659">
        <v>3</v>
      </c>
      <c r="D320" s="549" t="s">
        <v>1473</v>
      </c>
      <c r="E320" s="660" t="s">
        <v>478</v>
      </c>
      <c r="F320" s="551" t="s">
        <v>814</v>
      </c>
      <c r="G320" s="649" t="s">
        <v>1271</v>
      </c>
      <c r="H320" s="647" t="str">
        <f t="shared" si="40"/>
        <v>niet van toepassing</v>
      </c>
      <c r="I320" s="719" t="s">
        <v>106</v>
      </c>
      <c r="J320" s="623"/>
      <c r="K320" s="623"/>
      <c r="L320" s="668" t="s">
        <v>27</v>
      </c>
      <c r="M320" s="557">
        <f t="shared" si="44"/>
        <v>0</v>
      </c>
      <c r="N320" s="453"/>
      <c r="O320" s="557">
        <f t="shared" si="45"/>
        <v>0</v>
      </c>
      <c r="P320" s="633">
        <v>1</v>
      </c>
      <c r="Q320" s="776">
        <f t="shared" si="46"/>
        <v>0</v>
      </c>
      <c r="R320" s="776">
        <f t="shared" si="47"/>
        <v>0</v>
      </c>
      <c r="S320" s="552">
        <f t="shared" si="48"/>
        <v>0</v>
      </c>
      <c r="T320" s="626">
        <f t="shared" si="41"/>
        <v>0</v>
      </c>
      <c r="U320" s="626">
        <f t="shared" si="42"/>
        <v>0</v>
      </c>
      <c r="V320" s="553">
        <f t="shared" si="43"/>
        <v>0</v>
      </c>
      <c r="W320" s="554">
        <f t="shared" si="49"/>
        <v>0</v>
      </c>
      <c r="X320" s="454" t="s">
        <v>1454</v>
      </c>
      <c r="Y320" s="631">
        <f>IF(Q320=0,0,(Q320+R320)*'1.0-Contractblad'!$L$98)</f>
        <v>0</v>
      </c>
      <c r="Z320" s="632">
        <f>IF(J320=0,0,VLOOKUP(D320,'1.1a-Jaarprijzen'!$B$70:$P$124,14,FALSE)*(K320+J320))</f>
        <v>0</v>
      </c>
    </row>
    <row r="321" spans="1:26" hidden="1">
      <c r="A321" s="558"/>
      <c r="B321" s="548"/>
      <c r="C321" s="659">
        <v>3</v>
      </c>
      <c r="D321" s="549" t="s">
        <v>1473</v>
      </c>
      <c r="E321" s="660" t="s">
        <v>478</v>
      </c>
      <c r="F321" s="551" t="s">
        <v>815</v>
      </c>
      <c r="G321" s="649" t="s">
        <v>1271</v>
      </c>
      <c r="H321" s="647" t="str">
        <f t="shared" si="40"/>
        <v>niet van toepassing</v>
      </c>
      <c r="I321" s="719" t="s">
        <v>106</v>
      </c>
      <c r="J321" s="623"/>
      <c r="K321" s="623"/>
      <c r="L321" s="668" t="s">
        <v>27</v>
      </c>
      <c r="M321" s="557">
        <f t="shared" si="44"/>
        <v>0</v>
      </c>
      <c r="N321" s="453"/>
      <c r="O321" s="557">
        <f t="shared" si="45"/>
        <v>0</v>
      </c>
      <c r="P321" s="633">
        <v>1</v>
      </c>
      <c r="Q321" s="776">
        <f t="shared" si="46"/>
        <v>0</v>
      </c>
      <c r="R321" s="776">
        <f t="shared" si="47"/>
        <v>0</v>
      </c>
      <c r="S321" s="552">
        <f t="shared" si="48"/>
        <v>0</v>
      </c>
      <c r="T321" s="626">
        <f t="shared" si="41"/>
        <v>0</v>
      </c>
      <c r="U321" s="626">
        <f t="shared" si="42"/>
        <v>0</v>
      </c>
      <c r="V321" s="553">
        <f t="shared" si="43"/>
        <v>0</v>
      </c>
      <c r="W321" s="554">
        <f t="shared" si="49"/>
        <v>0</v>
      </c>
      <c r="X321" s="454" t="s">
        <v>1454</v>
      </c>
      <c r="Y321" s="631">
        <f>IF(Q321=0,0,(Q321+R321)*'1.0-Contractblad'!$L$98)</f>
        <v>0</v>
      </c>
      <c r="Z321" s="632">
        <f>IF(J321=0,0,VLOOKUP(D321,'1.1a-Jaarprijzen'!$B$70:$P$124,14,FALSE)*(K321+J321))</f>
        <v>0</v>
      </c>
    </row>
    <row r="322" spans="1:26" hidden="1">
      <c r="A322" s="558"/>
      <c r="B322" s="548"/>
      <c r="C322" s="659">
        <v>3</v>
      </c>
      <c r="D322" s="549" t="s">
        <v>1473</v>
      </c>
      <c r="E322" s="660" t="s">
        <v>478</v>
      </c>
      <c r="F322" s="551" t="s">
        <v>816</v>
      </c>
      <c r="G322" s="649" t="s">
        <v>1271</v>
      </c>
      <c r="H322" s="647" t="str">
        <f t="shared" si="40"/>
        <v>niet van toepassing</v>
      </c>
      <c r="I322" s="719" t="s">
        <v>106</v>
      </c>
      <c r="J322" s="623"/>
      <c r="K322" s="623"/>
      <c r="L322" s="668" t="s">
        <v>27</v>
      </c>
      <c r="M322" s="557">
        <f t="shared" si="44"/>
        <v>0</v>
      </c>
      <c r="N322" s="453"/>
      <c r="O322" s="557">
        <f t="shared" si="45"/>
        <v>0</v>
      </c>
      <c r="P322" s="633">
        <v>1</v>
      </c>
      <c r="Q322" s="776">
        <f t="shared" si="46"/>
        <v>0</v>
      </c>
      <c r="R322" s="776">
        <f t="shared" si="47"/>
        <v>0</v>
      </c>
      <c r="S322" s="552">
        <f t="shared" si="48"/>
        <v>0</v>
      </c>
      <c r="T322" s="626">
        <f t="shared" si="41"/>
        <v>0</v>
      </c>
      <c r="U322" s="626">
        <f t="shared" si="42"/>
        <v>0</v>
      </c>
      <c r="V322" s="553">
        <f t="shared" si="43"/>
        <v>0</v>
      </c>
      <c r="W322" s="554">
        <f t="shared" si="49"/>
        <v>0</v>
      </c>
      <c r="X322" s="454" t="s">
        <v>1454</v>
      </c>
      <c r="Y322" s="631">
        <f>IF(Q322=0,0,(Q322+R322)*'1.0-Contractblad'!$L$98)</f>
        <v>0</v>
      </c>
      <c r="Z322" s="632">
        <f>IF(J322=0,0,VLOOKUP(D322,'1.1a-Jaarprijzen'!$B$70:$P$124,14,FALSE)*(K322+J322))</f>
        <v>0</v>
      </c>
    </row>
    <row r="323" spans="1:26" hidden="1">
      <c r="A323" s="558"/>
      <c r="B323" s="548"/>
      <c r="C323" s="659">
        <v>3</v>
      </c>
      <c r="D323" s="549" t="s">
        <v>1473</v>
      </c>
      <c r="E323" s="660" t="s">
        <v>478</v>
      </c>
      <c r="F323" s="551" t="s">
        <v>817</v>
      </c>
      <c r="G323" s="649" t="s">
        <v>1271</v>
      </c>
      <c r="H323" s="647" t="str">
        <f t="shared" ref="H323:H386" si="50">IF(L323="","",VLOOKUP(L323,Kengetal,4,FALSE))</f>
        <v>niet van toepassing</v>
      </c>
      <c r="I323" s="719" t="s">
        <v>106</v>
      </c>
      <c r="J323" s="623"/>
      <c r="K323" s="623"/>
      <c r="L323" s="668" t="s">
        <v>27</v>
      </c>
      <c r="M323" s="557">
        <f t="shared" si="44"/>
        <v>0</v>
      </c>
      <c r="N323" s="453"/>
      <c r="O323" s="557">
        <f t="shared" si="45"/>
        <v>0</v>
      </c>
      <c r="P323" s="633">
        <v>1</v>
      </c>
      <c r="Q323" s="776">
        <f t="shared" si="46"/>
        <v>0</v>
      </c>
      <c r="R323" s="776">
        <f t="shared" si="47"/>
        <v>0</v>
      </c>
      <c r="S323" s="552">
        <f t="shared" si="48"/>
        <v>0</v>
      </c>
      <c r="T323" s="626">
        <f t="shared" si="41"/>
        <v>0</v>
      </c>
      <c r="U323" s="626">
        <f t="shared" si="42"/>
        <v>0</v>
      </c>
      <c r="V323" s="553">
        <f t="shared" si="43"/>
        <v>0</v>
      </c>
      <c r="W323" s="554">
        <f t="shared" si="49"/>
        <v>0</v>
      </c>
      <c r="X323" s="454" t="s">
        <v>1454</v>
      </c>
      <c r="Y323" s="631">
        <f>IF(Q323=0,0,(Q323+R323)*'1.0-Contractblad'!$L$98)</f>
        <v>0</v>
      </c>
      <c r="Z323" s="632">
        <f>IF(J323=0,0,VLOOKUP(D323,'1.1a-Jaarprijzen'!$B$70:$P$124,14,FALSE)*(K323+J323))</f>
        <v>0</v>
      </c>
    </row>
    <row r="324" spans="1:26" hidden="1">
      <c r="A324" s="558"/>
      <c r="B324" s="548"/>
      <c r="C324" s="659">
        <v>3</v>
      </c>
      <c r="D324" s="549" t="s">
        <v>1473</v>
      </c>
      <c r="E324" s="660" t="s">
        <v>478</v>
      </c>
      <c r="F324" s="551" t="s">
        <v>818</v>
      </c>
      <c r="G324" s="649" t="s">
        <v>1271</v>
      </c>
      <c r="H324" s="647" t="str">
        <f t="shared" si="50"/>
        <v>niet van toepassing</v>
      </c>
      <c r="I324" s="719" t="s">
        <v>106</v>
      </c>
      <c r="J324" s="623"/>
      <c r="K324" s="623"/>
      <c r="L324" s="668" t="s">
        <v>27</v>
      </c>
      <c r="M324" s="557">
        <f t="shared" si="44"/>
        <v>0</v>
      </c>
      <c r="N324" s="453"/>
      <c r="O324" s="557">
        <f t="shared" si="45"/>
        <v>0</v>
      </c>
      <c r="P324" s="633">
        <v>1</v>
      </c>
      <c r="Q324" s="776">
        <f t="shared" si="46"/>
        <v>0</v>
      </c>
      <c r="R324" s="776">
        <f t="shared" si="47"/>
        <v>0</v>
      </c>
      <c r="S324" s="552">
        <f t="shared" si="48"/>
        <v>0</v>
      </c>
      <c r="T324" s="626">
        <f t="shared" ref="T324:T387" si="51">VLOOKUP($L324,Kengetal,6,FALSE)</f>
        <v>0</v>
      </c>
      <c r="U324" s="626">
        <f t="shared" ref="U324:U387" si="52">VLOOKUP($L324,Kengetal,7,FALSE)</f>
        <v>0</v>
      </c>
      <c r="V324" s="553">
        <f t="shared" ref="V324:V387" si="53">VLOOKUP($N324,Kengetal,7,FALSE)</f>
        <v>0</v>
      </c>
      <c r="W324" s="554">
        <f t="shared" si="49"/>
        <v>0</v>
      </c>
      <c r="X324" s="454" t="s">
        <v>1454</v>
      </c>
      <c r="Y324" s="631">
        <f>IF(Q324=0,0,(Q324+R324)*'1.0-Contractblad'!$L$98)</f>
        <v>0</v>
      </c>
      <c r="Z324" s="632">
        <f>IF(J324=0,0,VLOOKUP(D324,'1.1a-Jaarprijzen'!$B$70:$P$124,14,FALSE)*(K324+J324))</f>
        <v>0</v>
      </c>
    </row>
    <row r="325" spans="1:26" hidden="1">
      <c r="A325" s="558"/>
      <c r="B325" s="548"/>
      <c r="C325" s="659">
        <v>3</v>
      </c>
      <c r="D325" s="549" t="s">
        <v>1473</v>
      </c>
      <c r="E325" s="660" t="s">
        <v>478</v>
      </c>
      <c r="F325" s="551" t="s">
        <v>819</v>
      </c>
      <c r="G325" s="649" t="s">
        <v>1318</v>
      </c>
      <c r="H325" s="647" t="str">
        <f t="shared" si="50"/>
        <v>sanitaire ruimte (toilet-/doucheruimte)</v>
      </c>
      <c r="I325" s="719" t="s">
        <v>84</v>
      </c>
      <c r="J325" s="623">
        <v>10.3</v>
      </c>
      <c r="K325" s="623"/>
      <c r="L325" s="559">
        <v>4255</v>
      </c>
      <c r="M325" s="557">
        <f t="shared" ref="M325:M388" si="54">VLOOKUP(L325,Kengetal,2,FALSE)</f>
        <v>104</v>
      </c>
      <c r="N325" s="453"/>
      <c r="O325" s="557">
        <f t="shared" ref="O325:O388" si="55">VLOOKUP(L325,Kengetal,3,FALSE)</f>
        <v>255</v>
      </c>
      <c r="P325" s="633">
        <v>1</v>
      </c>
      <c r="Q325" s="776">
        <f t="shared" ref="Q325:Q388" si="56">T325*J325*P325</f>
        <v>0</v>
      </c>
      <c r="R325" s="776">
        <f t="shared" ref="R325:R388" si="57">U325*J325*P325</f>
        <v>0</v>
      </c>
      <c r="S325" s="552">
        <f t="shared" ref="S325:S388" si="58">V325*J325*P325</f>
        <v>0</v>
      </c>
      <c r="T325" s="626">
        <f t="shared" si="51"/>
        <v>0</v>
      </c>
      <c r="U325" s="626">
        <f t="shared" si="52"/>
        <v>0</v>
      </c>
      <c r="V325" s="553">
        <f t="shared" si="53"/>
        <v>0</v>
      </c>
      <c r="W325" s="554" t="str">
        <f t="shared" ref="W325:W388" si="59">IF(L325="","",VLOOKUP(L325,Kengetal,14,FALSE))</f>
        <v>S</v>
      </c>
      <c r="X325" s="555"/>
      <c r="Y325" s="631">
        <f>IF(Q325=0,0,(Q325+R325)*'1.0-Contractblad'!$L$98)</f>
        <v>0</v>
      </c>
      <c r="Z325" s="632">
        <f ca="1">IF(J325=0,0,VLOOKUP(D325,'1.1a-Jaarprijzen'!$B$70:$P$124,14,FALSE)*(K325+J325))</f>
        <v>0</v>
      </c>
    </row>
    <row r="326" spans="1:26" hidden="1">
      <c r="A326" s="558"/>
      <c r="B326" s="548"/>
      <c r="C326" s="659">
        <v>3</v>
      </c>
      <c r="D326" s="549" t="s">
        <v>1473</v>
      </c>
      <c r="E326" s="660" t="s">
        <v>478</v>
      </c>
      <c r="F326" s="551" t="s">
        <v>820</v>
      </c>
      <c r="G326" s="649" t="s">
        <v>1274</v>
      </c>
      <c r="H326" s="647" t="str">
        <f t="shared" si="50"/>
        <v>leslokaal</v>
      </c>
      <c r="I326" s="719" t="s">
        <v>106</v>
      </c>
      <c r="J326" s="623">
        <v>73.2</v>
      </c>
      <c r="K326" s="623"/>
      <c r="L326" s="654">
        <v>7153</v>
      </c>
      <c r="M326" s="557">
        <f t="shared" si="54"/>
        <v>107</v>
      </c>
      <c r="N326" s="453"/>
      <c r="O326" s="557">
        <f t="shared" si="55"/>
        <v>153</v>
      </c>
      <c r="P326" s="633">
        <v>1</v>
      </c>
      <c r="Q326" s="776">
        <f t="shared" si="56"/>
        <v>0</v>
      </c>
      <c r="R326" s="776">
        <f t="shared" si="57"/>
        <v>0</v>
      </c>
      <c r="S326" s="552">
        <f t="shared" si="58"/>
        <v>0</v>
      </c>
      <c r="T326" s="626">
        <f t="shared" si="51"/>
        <v>0</v>
      </c>
      <c r="U326" s="626">
        <f t="shared" si="52"/>
        <v>0</v>
      </c>
      <c r="V326" s="553">
        <f t="shared" si="53"/>
        <v>0</v>
      </c>
      <c r="W326" s="554" t="str">
        <f t="shared" si="59"/>
        <v>L</v>
      </c>
      <c r="X326" s="555"/>
      <c r="Y326" s="631">
        <f>IF(Q326=0,0,(Q326+R326)*'1.0-Contractblad'!$L$98)</f>
        <v>0</v>
      </c>
      <c r="Z326" s="632">
        <f ca="1">IF(J326=0,0,VLOOKUP(D326,'1.1a-Jaarprijzen'!$B$70:$P$124,14,FALSE)*(K326+J326))</f>
        <v>0</v>
      </c>
    </row>
    <row r="327" spans="1:26" hidden="1">
      <c r="A327" s="558"/>
      <c r="B327" s="548"/>
      <c r="C327" s="659">
        <v>3</v>
      </c>
      <c r="D327" s="549" t="s">
        <v>1473</v>
      </c>
      <c r="E327" s="660" t="s">
        <v>478</v>
      </c>
      <c r="F327" s="551" t="s">
        <v>821</v>
      </c>
      <c r="G327" s="649" t="s">
        <v>1273</v>
      </c>
      <c r="H327" s="647" t="str">
        <f t="shared" si="50"/>
        <v>speellokaal</v>
      </c>
      <c r="I327" s="719" t="s">
        <v>106</v>
      </c>
      <c r="J327" s="623">
        <v>31.8</v>
      </c>
      <c r="K327" s="623"/>
      <c r="L327" s="653">
        <v>8153</v>
      </c>
      <c r="M327" s="557">
        <f t="shared" si="54"/>
        <v>107</v>
      </c>
      <c r="N327" s="453"/>
      <c r="O327" s="557">
        <f t="shared" si="55"/>
        <v>153</v>
      </c>
      <c r="P327" s="633">
        <v>1</v>
      </c>
      <c r="Q327" s="776">
        <f t="shared" si="56"/>
        <v>0</v>
      </c>
      <c r="R327" s="776">
        <f t="shared" si="57"/>
        <v>0</v>
      </c>
      <c r="S327" s="552">
        <f t="shared" si="58"/>
        <v>0</v>
      </c>
      <c r="T327" s="626">
        <f t="shared" si="51"/>
        <v>0</v>
      </c>
      <c r="U327" s="626">
        <f t="shared" si="52"/>
        <v>0</v>
      </c>
      <c r="V327" s="553">
        <f t="shared" si="53"/>
        <v>0</v>
      </c>
      <c r="W327" s="554" t="str">
        <f t="shared" si="59"/>
        <v>L</v>
      </c>
      <c r="X327" s="555"/>
      <c r="Y327" s="631">
        <f>IF(Q327=0,0,(Q327+R327)*'1.0-Contractblad'!$L$98)</f>
        <v>0</v>
      </c>
      <c r="Z327" s="632">
        <f ca="1">IF(J327=0,0,VLOOKUP(D327,'1.1a-Jaarprijzen'!$B$70:$P$124,14,FALSE)*(K327+J327))</f>
        <v>0</v>
      </c>
    </row>
    <row r="328" spans="1:26" hidden="1">
      <c r="A328" s="558"/>
      <c r="B328" s="548"/>
      <c r="C328" s="659">
        <v>3</v>
      </c>
      <c r="D328" s="549" t="s">
        <v>1473</v>
      </c>
      <c r="E328" s="660" t="s">
        <v>478</v>
      </c>
      <c r="F328" s="551" t="s">
        <v>822</v>
      </c>
      <c r="G328" s="649" t="s">
        <v>1275</v>
      </c>
      <c r="H328" s="647" t="str">
        <f t="shared" si="50"/>
        <v>administratieve -, personeels- en vergaderruimte</v>
      </c>
      <c r="I328" s="719" t="s">
        <v>106</v>
      </c>
      <c r="J328" s="623">
        <v>20.2</v>
      </c>
      <c r="K328" s="623"/>
      <c r="L328" s="651">
        <v>1153</v>
      </c>
      <c r="M328" s="557">
        <f t="shared" si="54"/>
        <v>101</v>
      </c>
      <c r="N328" s="453"/>
      <c r="O328" s="557">
        <f t="shared" si="55"/>
        <v>153</v>
      </c>
      <c r="P328" s="633">
        <v>1</v>
      </c>
      <c r="Q328" s="776">
        <f t="shared" si="56"/>
        <v>0</v>
      </c>
      <c r="R328" s="776">
        <f t="shared" si="57"/>
        <v>0</v>
      </c>
      <c r="S328" s="552">
        <f t="shared" si="58"/>
        <v>0</v>
      </c>
      <c r="T328" s="626">
        <f t="shared" si="51"/>
        <v>0</v>
      </c>
      <c r="U328" s="626">
        <f t="shared" si="52"/>
        <v>0</v>
      </c>
      <c r="V328" s="553">
        <f t="shared" si="53"/>
        <v>0</v>
      </c>
      <c r="W328" s="554" t="str">
        <f t="shared" si="59"/>
        <v>B</v>
      </c>
      <c r="X328" s="454"/>
      <c r="Y328" s="631">
        <f>IF(Q328=0,0,(Q328+R328)*'1.0-Contractblad'!$L$98)</f>
        <v>0</v>
      </c>
      <c r="Z328" s="632">
        <f ca="1">IF(J328=0,0,VLOOKUP(D328,'1.1a-Jaarprijzen'!$B$70:$P$124,14,FALSE)*(K328+J328))</f>
        <v>0</v>
      </c>
    </row>
    <row r="329" spans="1:26" hidden="1">
      <c r="A329" s="558"/>
      <c r="B329" s="548"/>
      <c r="C329" s="659">
        <v>3</v>
      </c>
      <c r="D329" s="549" t="s">
        <v>1473</v>
      </c>
      <c r="E329" s="660" t="s">
        <v>478</v>
      </c>
      <c r="F329" s="551" t="s">
        <v>823</v>
      </c>
      <c r="G329" s="649" t="s">
        <v>1243</v>
      </c>
      <c r="H329" s="647" t="str">
        <f t="shared" si="50"/>
        <v>administratieve -, personeels- en vergaderruimte</v>
      </c>
      <c r="I329" s="719" t="s">
        <v>106</v>
      </c>
      <c r="J329" s="623">
        <v>14.4</v>
      </c>
      <c r="K329" s="623"/>
      <c r="L329" s="651">
        <v>1153</v>
      </c>
      <c r="M329" s="557">
        <f t="shared" si="54"/>
        <v>101</v>
      </c>
      <c r="N329" s="453"/>
      <c r="O329" s="557">
        <f t="shared" si="55"/>
        <v>153</v>
      </c>
      <c r="P329" s="633">
        <v>1</v>
      </c>
      <c r="Q329" s="776">
        <f t="shared" si="56"/>
        <v>0</v>
      </c>
      <c r="R329" s="776">
        <f t="shared" si="57"/>
        <v>0</v>
      </c>
      <c r="S329" s="552">
        <f t="shared" si="58"/>
        <v>0</v>
      </c>
      <c r="T329" s="626">
        <f t="shared" si="51"/>
        <v>0</v>
      </c>
      <c r="U329" s="626">
        <f t="shared" si="52"/>
        <v>0</v>
      </c>
      <c r="V329" s="553">
        <f t="shared" si="53"/>
        <v>0</v>
      </c>
      <c r="W329" s="554" t="str">
        <f t="shared" si="59"/>
        <v>B</v>
      </c>
      <c r="X329" s="556"/>
      <c r="Y329" s="631">
        <f>IF(Q329=0,0,(Q329+R329)*'1.0-Contractblad'!$L$98)</f>
        <v>0</v>
      </c>
      <c r="Z329" s="632">
        <f ca="1">IF(J329=0,0,VLOOKUP(D329,'1.1a-Jaarprijzen'!$B$70:$P$124,14,FALSE)*(K329+J329))</f>
        <v>0</v>
      </c>
    </row>
    <row r="330" spans="1:26" hidden="1">
      <c r="A330" s="558"/>
      <c r="B330" s="548"/>
      <c r="C330" s="659">
        <v>3</v>
      </c>
      <c r="D330" s="549" t="s">
        <v>1473</v>
      </c>
      <c r="E330" s="660" t="s">
        <v>478</v>
      </c>
      <c r="F330" s="551" t="s">
        <v>824</v>
      </c>
      <c r="G330" s="649" t="s">
        <v>487</v>
      </c>
      <c r="H330" s="647" t="str">
        <f t="shared" si="50"/>
        <v>entree, gang, hal, repro, kopieer, was/droogruimte</v>
      </c>
      <c r="I330" s="719" t="s">
        <v>106</v>
      </c>
      <c r="J330" s="623">
        <v>5.6</v>
      </c>
      <c r="K330" s="623"/>
      <c r="L330" s="651">
        <v>3153</v>
      </c>
      <c r="M330" s="557">
        <f t="shared" si="54"/>
        <v>103</v>
      </c>
      <c r="N330" s="453"/>
      <c r="O330" s="557">
        <f t="shared" si="55"/>
        <v>153</v>
      </c>
      <c r="P330" s="633">
        <v>1</v>
      </c>
      <c r="Q330" s="776">
        <f t="shared" si="56"/>
        <v>0</v>
      </c>
      <c r="R330" s="776">
        <f t="shared" si="57"/>
        <v>0</v>
      </c>
      <c r="S330" s="552">
        <f t="shared" si="58"/>
        <v>0</v>
      </c>
      <c r="T330" s="626">
        <f t="shared" si="51"/>
        <v>0</v>
      </c>
      <c r="U330" s="626">
        <f t="shared" si="52"/>
        <v>0</v>
      </c>
      <c r="V330" s="553">
        <f t="shared" si="53"/>
        <v>0</v>
      </c>
      <c r="W330" s="554" t="str">
        <f t="shared" si="59"/>
        <v>V</v>
      </c>
      <c r="X330" s="555"/>
      <c r="Y330" s="631">
        <f>IF(Q330=0,0,(Q330+R330)*'1.0-Contractblad'!$L$98)</f>
        <v>0</v>
      </c>
      <c r="Z330" s="632">
        <f ca="1">IF(J330=0,0,VLOOKUP(D330,'1.1a-Jaarprijzen'!$B$70:$P$124,14,FALSE)*(K330+J330))</f>
        <v>0</v>
      </c>
    </row>
    <row r="331" spans="1:26" hidden="1">
      <c r="A331" s="558"/>
      <c r="B331" s="548"/>
      <c r="C331" s="659">
        <v>3</v>
      </c>
      <c r="D331" s="549" t="s">
        <v>1473</v>
      </c>
      <c r="E331" s="660" t="s">
        <v>478</v>
      </c>
      <c r="F331" s="551" t="s">
        <v>825</v>
      </c>
      <c r="G331" s="649" t="s">
        <v>1276</v>
      </c>
      <c r="H331" s="647" t="str">
        <f t="shared" si="50"/>
        <v>Keuken</v>
      </c>
      <c r="I331" s="719" t="s">
        <v>84</v>
      </c>
      <c r="J331" s="623">
        <v>9.4</v>
      </c>
      <c r="K331" s="623"/>
      <c r="L331" s="559">
        <v>18153</v>
      </c>
      <c r="M331" s="557" t="str">
        <f t="shared" si="54"/>
        <v>nvt</v>
      </c>
      <c r="N331" s="453"/>
      <c r="O331" s="557">
        <f t="shared" si="55"/>
        <v>153</v>
      </c>
      <c r="P331" s="633">
        <v>1</v>
      </c>
      <c r="Q331" s="776">
        <f t="shared" si="56"/>
        <v>0</v>
      </c>
      <c r="R331" s="776">
        <f t="shared" si="57"/>
        <v>0</v>
      </c>
      <c r="S331" s="552">
        <f t="shared" si="58"/>
        <v>0</v>
      </c>
      <c r="T331" s="626">
        <f t="shared" si="51"/>
        <v>0</v>
      </c>
      <c r="U331" s="626">
        <f t="shared" si="52"/>
        <v>0</v>
      </c>
      <c r="V331" s="553">
        <f t="shared" si="53"/>
        <v>0</v>
      </c>
      <c r="W331" s="554" t="str">
        <f t="shared" si="59"/>
        <v>V</v>
      </c>
      <c r="X331" s="556"/>
      <c r="Y331" s="631">
        <f>IF(Q331=0,0,(Q331+R331)*'1.0-Contractblad'!$L$98)</f>
        <v>0</v>
      </c>
      <c r="Z331" s="632">
        <f ca="1">IF(J331=0,0,VLOOKUP(D331,'1.1a-Jaarprijzen'!$B$70:$P$124,14,FALSE)*(K331+J331))</f>
        <v>0</v>
      </c>
    </row>
    <row r="332" spans="1:26" hidden="1">
      <c r="A332" s="558"/>
      <c r="B332" s="548"/>
      <c r="C332" s="659">
        <v>3</v>
      </c>
      <c r="D332" s="549" t="s">
        <v>1473</v>
      </c>
      <c r="E332" s="660" t="s">
        <v>478</v>
      </c>
      <c r="F332" s="551" t="s">
        <v>826</v>
      </c>
      <c r="G332" s="649" t="s">
        <v>488</v>
      </c>
      <c r="H332" s="647" t="str">
        <f t="shared" si="50"/>
        <v>sanitaire ruimte (toilet-/doucheruimte)</v>
      </c>
      <c r="I332" s="719" t="s">
        <v>84</v>
      </c>
      <c r="J332" s="623">
        <v>2.6</v>
      </c>
      <c r="K332" s="623"/>
      <c r="L332" s="559">
        <v>4153</v>
      </c>
      <c r="M332" s="557">
        <f t="shared" si="54"/>
        <v>104</v>
      </c>
      <c r="N332" s="453"/>
      <c r="O332" s="557">
        <f t="shared" si="55"/>
        <v>153</v>
      </c>
      <c r="P332" s="633">
        <v>1</v>
      </c>
      <c r="Q332" s="776">
        <f t="shared" si="56"/>
        <v>0</v>
      </c>
      <c r="R332" s="776">
        <f t="shared" si="57"/>
        <v>0</v>
      </c>
      <c r="S332" s="552">
        <f t="shared" si="58"/>
        <v>0</v>
      </c>
      <c r="T332" s="626">
        <f t="shared" si="51"/>
        <v>0</v>
      </c>
      <c r="U332" s="626">
        <f t="shared" si="52"/>
        <v>0</v>
      </c>
      <c r="V332" s="553">
        <f t="shared" si="53"/>
        <v>0</v>
      </c>
      <c r="W332" s="554" t="str">
        <f t="shared" si="59"/>
        <v>S</v>
      </c>
      <c r="X332" s="555"/>
      <c r="Y332" s="631">
        <f>IF(Q332=0,0,(Q332+R332)*'1.0-Contractblad'!$L$98)</f>
        <v>0</v>
      </c>
      <c r="Z332" s="632">
        <f ca="1">IF(J332=0,0,VLOOKUP(D332,'1.1a-Jaarprijzen'!$B$70:$P$124,14,FALSE)*(K332+J332))</f>
        <v>0</v>
      </c>
    </row>
    <row r="333" spans="1:26" hidden="1">
      <c r="A333" s="558"/>
      <c r="B333" s="548"/>
      <c r="C333" s="659">
        <v>3</v>
      </c>
      <c r="D333" s="549" t="s">
        <v>1473</v>
      </c>
      <c r="E333" s="660" t="s">
        <v>478</v>
      </c>
      <c r="F333" s="551" t="s">
        <v>827</v>
      </c>
      <c r="G333" s="649" t="s">
        <v>1269</v>
      </c>
      <c r="H333" s="647" t="str">
        <f t="shared" si="50"/>
        <v>niet van toepassing</v>
      </c>
      <c r="I333" s="719"/>
      <c r="J333" s="623"/>
      <c r="K333" s="623"/>
      <c r="L333" s="668" t="s">
        <v>27</v>
      </c>
      <c r="M333" s="557">
        <f t="shared" si="54"/>
        <v>0</v>
      </c>
      <c r="N333" s="453"/>
      <c r="O333" s="557">
        <f t="shared" si="55"/>
        <v>0</v>
      </c>
      <c r="P333" s="633">
        <v>1</v>
      </c>
      <c r="Q333" s="776">
        <f t="shared" si="56"/>
        <v>0</v>
      </c>
      <c r="R333" s="776">
        <f t="shared" si="57"/>
        <v>0</v>
      </c>
      <c r="S333" s="552">
        <f t="shared" si="58"/>
        <v>0</v>
      </c>
      <c r="T333" s="626">
        <f t="shared" si="51"/>
        <v>0</v>
      </c>
      <c r="U333" s="626">
        <f t="shared" si="52"/>
        <v>0</v>
      </c>
      <c r="V333" s="553">
        <f t="shared" si="53"/>
        <v>0</v>
      </c>
      <c r="W333" s="554">
        <f t="shared" si="59"/>
        <v>0</v>
      </c>
      <c r="X333" s="454" t="s">
        <v>1454</v>
      </c>
      <c r="Y333" s="631">
        <f>IF(Q333=0,0,(Q333+R333)*'1.0-Contractblad'!$L$98)</f>
        <v>0</v>
      </c>
      <c r="Z333" s="632">
        <f>IF(J333=0,0,VLOOKUP(D333,'1.1a-Jaarprijzen'!$B$70:$P$124,14,FALSE)*(K333+J333))</f>
        <v>0</v>
      </c>
    </row>
    <row r="334" spans="1:26" hidden="1">
      <c r="A334" s="558"/>
      <c r="B334" s="548"/>
      <c r="C334" s="659">
        <v>3</v>
      </c>
      <c r="D334" s="549" t="s">
        <v>1473</v>
      </c>
      <c r="E334" s="660" t="s">
        <v>478</v>
      </c>
      <c r="F334" s="551" t="s">
        <v>828</v>
      </c>
      <c r="G334" s="649" t="s">
        <v>1217</v>
      </c>
      <c r="H334" s="647" t="str">
        <f t="shared" si="50"/>
        <v>entree, gang, hal, repro, kopieer, was/droogruimte</v>
      </c>
      <c r="I334" s="719" t="s">
        <v>1402</v>
      </c>
      <c r="J334" s="623">
        <v>7.9</v>
      </c>
      <c r="K334" s="623"/>
      <c r="L334" s="651">
        <v>3153</v>
      </c>
      <c r="M334" s="557">
        <f t="shared" si="54"/>
        <v>103</v>
      </c>
      <c r="N334" s="453"/>
      <c r="O334" s="557">
        <f t="shared" si="55"/>
        <v>153</v>
      </c>
      <c r="P334" s="633">
        <v>1</v>
      </c>
      <c r="Q334" s="776">
        <f t="shared" si="56"/>
        <v>0</v>
      </c>
      <c r="R334" s="776">
        <f t="shared" si="57"/>
        <v>0</v>
      </c>
      <c r="S334" s="552">
        <f t="shared" si="58"/>
        <v>0</v>
      </c>
      <c r="T334" s="626">
        <f t="shared" si="51"/>
        <v>0</v>
      </c>
      <c r="U334" s="626">
        <f t="shared" si="52"/>
        <v>0</v>
      </c>
      <c r="V334" s="553">
        <f t="shared" si="53"/>
        <v>0</v>
      </c>
      <c r="W334" s="554" t="str">
        <f t="shared" si="59"/>
        <v>V</v>
      </c>
      <c r="X334" s="555"/>
      <c r="Y334" s="631">
        <f>IF(Q334=0,0,(Q334+R334)*'1.0-Contractblad'!$L$98)</f>
        <v>0</v>
      </c>
      <c r="Z334" s="632">
        <f ca="1">IF(J334=0,0,VLOOKUP(D334,'1.1a-Jaarprijzen'!$B$70:$P$124,14,FALSE)*(K334+J334))</f>
        <v>0</v>
      </c>
    </row>
    <row r="335" spans="1:26" hidden="1">
      <c r="A335" s="558"/>
      <c r="B335" s="548"/>
      <c r="C335" s="659">
        <v>3</v>
      </c>
      <c r="D335" s="549" t="s">
        <v>1473</v>
      </c>
      <c r="E335" s="660" t="s">
        <v>478</v>
      </c>
      <c r="F335" s="551" t="s">
        <v>829</v>
      </c>
      <c r="G335" s="649" t="s">
        <v>1277</v>
      </c>
      <c r="H335" s="647" t="str">
        <f t="shared" si="50"/>
        <v>sanitaire ruimte (toilet-/doucheruimte)</v>
      </c>
      <c r="I335" s="719" t="s">
        <v>84</v>
      </c>
      <c r="J335" s="623">
        <v>6.1</v>
      </c>
      <c r="K335" s="623"/>
      <c r="L335" s="559">
        <v>4255</v>
      </c>
      <c r="M335" s="557">
        <f t="shared" si="54"/>
        <v>104</v>
      </c>
      <c r="N335" s="453"/>
      <c r="O335" s="557">
        <f t="shared" si="55"/>
        <v>255</v>
      </c>
      <c r="P335" s="633">
        <v>1</v>
      </c>
      <c r="Q335" s="776">
        <f t="shared" si="56"/>
        <v>0</v>
      </c>
      <c r="R335" s="776">
        <f t="shared" si="57"/>
        <v>0</v>
      </c>
      <c r="S335" s="552">
        <f t="shared" si="58"/>
        <v>0</v>
      </c>
      <c r="T335" s="626">
        <f t="shared" si="51"/>
        <v>0</v>
      </c>
      <c r="U335" s="626">
        <f t="shared" si="52"/>
        <v>0</v>
      </c>
      <c r="V335" s="553">
        <f t="shared" si="53"/>
        <v>0</v>
      </c>
      <c r="W335" s="554" t="str">
        <f t="shared" si="59"/>
        <v>S</v>
      </c>
      <c r="X335" s="555"/>
      <c r="Y335" s="631">
        <f>IF(Q335=0,0,(Q335+R335)*'1.0-Contractblad'!$L$98)</f>
        <v>0</v>
      </c>
      <c r="Z335" s="632">
        <f ca="1">IF(J335=0,0,VLOOKUP(D335,'1.1a-Jaarprijzen'!$B$70:$P$124,14,FALSE)*(K335+J335))</f>
        <v>0</v>
      </c>
    </row>
    <row r="336" spans="1:26" hidden="1">
      <c r="A336" s="558"/>
      <c r="B336" s="548"/>
      <c r="C336" s="659">
        <v>3</v>
      </c>
      <c r="D336" s="549" t="s">
        <v>1473</v>
      </c>
      <c r="E336" s="660" t="s">
        <v>478</v>
      </c>
      <c r="F336" s="551" t="s">
        <v>830</v>
      </c>
      <c r="G336" s="649" t="s">
        <v>1319</v>
      </c>
      <c r="H336" s="647" t="str">
        <f t="shared" si="50"/>
        <v>niet van toepassing</v>
      </c>
      <c r="I336" s="719"/>
      <c r="J336" s="623"/>
      <c r="K336" s="623"/>
      <c r="L336" s="668" t="s">
        <v>27</v>
      </c>
      <c r="M336" s="557">
        <f t="shared" si="54"/>
        <v>0</v>
      </c>
      <c r="N336" s="453"/>
      <c r="O336" s="557">
        <f t="shared" si="55"/>
        <v>0</v>
      </c>
      <c r="P336" s="633">
        <v>1</v>
      </c>
      <c r="Q336" s="776">
        <f t="shared" si="56"/>
        <v>0</v>
      </c>
      <c r="R336" s="776">
        <f t="shared" si="57"/>
        <v>0</v>
      </c>
      <c r="S336" s="552">
        <f t="shared" si="58"/>
        <v>0</v>
      </c>
      <c r="T336" s="626">
        <f t="shared" si="51"/>
        <v>0</v>
      </c>
      <c r="U336" s="626">
        <f t="shared" si="52"/>
        <v>0</v>
      </c>
      <c r="V336" s="553">
        <f t="shared" si="53"/>
        <v>0</v>
      </c>
      <c r="W336" s="554">
        <f t="shared" si="59"/>
        <v>0</v>
      </c>
      <c r="X336" s="454" t="s">
        <v>1454</v>
      </c>
      <c r="Y336" s="631">
        <f>IF(Q336=0,0,(Q336+R336)*'1.0-Contractblad'!$L$98)</f>
        <v>0</v>
      </c>
      <c r="Z336" s="632">
        <f>IF(J336=0,0,VLOOKUP(D336,'1.1a-Jaarprijzen'!$B$70:$P$124,14,FALSE)*(K336+J336))</f>
        <v>0</v>
      </c>
    </row>
    <row r="337" spans="1:26" hidden="1">
      <c r="A337" s="558"/>
      <c r="B337" s="548"/>
      <c r="C337" s="659">
        <v>3</v>
      </c>
      <c r="D337" s="549" t="s">
        <v>1473</v>
      </c>
      <c r="E337" s="660" t="s">
        <v>478</v>
      </c>
      <c r="F337" s="551" t="s">
        <v>831</v>
      </c>
      <c r="G337" s="649" t="s">
        <v>1279</v>
      </c>
      <c r="H337" s="647" t="str">
        <f t="shared" si="50"/>
        <v>aula, gemeenschappelijke ruimte, bibliotheek</v>
      </c>
      <c r="I337" s="719" t="s">
        <v>106</v>
      </c>
      <c r="J337" s="623">
        <v>11.4</v>
      </c>
      <c r="K337" s="623"/>
      <c r="L337" s="559">
        <v>2153</v>
      </c>
      <c r="M337" s="557">
        <f t="shared" si="54"/>
        <v>102</v>
      </c>
      <c r="N337" s="453"/>
      <c r="O337" s="557">
        <f t="shared" si="55"/>
        <v>153</v>
      </c>
      <c r="P337" s="633">
        <v>1</v>
      </c>
      <c r="Q337" s="776">
        <f t="shared" si="56"/>
        <v>0</v>
      </c>
      <c r="R337" s="776">
        <f t="shared" si="57"/>
        <v>0</v>
      </c>
      <c r="S337" s="552">
        <f t="shared" si="58"/>
        <v>0</v>
      </c>
      <c r="T337" s="626">
        <f t="shared" si="51"/>
        <v>0</v>
      </c>
      <c r="U337" s="626">
        <f t="shared" si="52"/>
        <v>0</v>
      </c>
      <c r="V337" s="553">
        <f t="shared" si="53"/>
        <v>0</v>
      </c>
      <c r="W337" s="554" t="str">
        <f t="shared" si="59"/>
        <v>V</v>
      </c>
      <c r="X337" s="556"/>
      <c r="Y337" s="631">
        <f>IF(Q337=0,0,(Q337+R337)*'1.0-Contractblad'!$L$98)</f>
        <v>0</v>
      </c>
      <c r="Z337" s="632">
        <f ca="1">IF(J337=0,0,VLOOKUP(D337,'1.1a-Jaarprijzen'!$B$70:$P$124,14,FALSE)*(K337+J337))</f>
        <v>0</v>
      </c>
    </row>
    <row r="338" spans="1:26" hidden="1">
      <c r="A338" s="558"/>
      <c r="B338" s="548"/>
      <c r="C338" s="659">
        <v>3</v>
      </c>
      <c r="D338" s="549" t="s">
        <v>1473</v>
      </c>
      <c r="E338" s="660" t="s">
        <v>478</v>
      </c>
      <c r="F338" s="551" t="s">
        <v>832</v>
      </c>
      <c r="G338" s="649" t="s">
        <v>488</v>
      </c>
      <c r="H338" s="647" t="str">
        <f t="shared" si="50"/>
        <v>sanitaire ruimte (toilet-/doucheruimte)</v>
      </c>
      <c r="I338" s="719" t="s">
        <v>84</v>
      </c>
      <c r="J338" s="623">
        <v>1.4</v>
      </c>
      <c r="K338" s="623"/>
      <c r="L338" s="559">
        <v>4153</v>
      </c>
      <c r="M338" s="557">
        <f t="shared" si="54"/>
        <v>104</v>
      </c>
      <c r="N338" s="453"/>
      <c r="O338" s="557">
        <f t="shared" si="55"/>
        <v>153</v>
      </c>
      <c r="P338" s="633">
        <v>1</v>
      </c>
      <c r="Q338" s="776">
        <f t="shared" si="56"/>
        <v>0</v>
      </c>
      <c r="R338" s="776">
        <f t="shared" si="57"/>
        <v>0</v>
      </c>
      <c r="S338" s="552">
        <f t="shared" si="58"/>
        <v>0</v>
      </c>
      <c r="T338" s="626">
        <f t="shared" si="51"/>
        <v>0</v>
      </c>
      <c r="U338" s="626">
        <f t="shared" si="52"/>
        <v>0</v>
      </c>
      <c r="V338" s="553">
        <f t="shared" si="53"/>
        <v>0</v>
      </c>
      <c r="W338" s="554" t="str">
        <f t="shared" si="59"/>
        <v>S</v>
      </c>
      <c r="X338" s="555"/>
      <c r="Y338" s="631">
        <f>IF(Q338=0,0,(Q338+R338)*'1.0-Contractblad'!$L$98)</f>
        <v>0</v>
      </c>
      <c r="Z338" s="632">
        <f ca="1">IF(J338=0,0,VLOOKUP(D338,'1.1a-Jaarprijzen'!$B$70:$P$124,14,FALSE)*(K338+J338))</f>
        <v>0</v>
      </c>
    </row>
    <row r="339" spans="1:26" hidden="1">
      <c r="A339" s="558"/>
      <c r="B339" s="548"/>
      <c r="C339" s="659">
        <v>3</v>
      </c>
      <c r="D339" s="549" t="s">
        <v>1473</v>
      </c>
      <c r="E339" s="660" t="s">
        <v>478</v>
      </c>
      <c r="F339" s="551" t="s">
        <v>833</v>
      </c>
      <c r="G339" s="649" t="s">
        <v>1280</v>
      </c>
      <c r="H339" s="647" t="str">
        <f t="shared" si="50"/>
        <v>sanitaire ruimte (toilet-/doucheruimte)</v>
      </c>
      <c r="I339" s="719" t="s">
        <v>84</v>
      </c>
      <c r="J339" s="623">
        <v>2</v>
      </c>
      <c r="K339" s="623"/>
      <c r="L339" s="559">
        <v>4153</v>
      </c>
      <c r="M339" s="557">
        <f t="shared" si="54"/>
        <v>104</v>
      </c>
      <c r="N339" s="453"/>
      <c r="O339" s="557">
        <f t="shared" si="55"/>
        <v>153</v>
      </c>
      <c r="P339" s="633">
        <v>1</v>
      </c>
      <c r="Q339" s="776">
        <f t="shared" si="56"/>
        <v>0</v>
      </c>
      <c r="R339" s="776">
        <f t="shared" si="57"/>
        <v>0</v>
      </c>
      <c r="S339" s="552">
        <f t="shared" si="58"/>
        <v>0</v>
      </c>
      <c r="T339" s="626">
        <f t="shared" si="51"/>
        <v>0</v>
      </c>
      <c r="U339" s="626">
        <f t="shared" si="52"/>
        <v>0</v>
      </c>
      <c r="V339" s="553">
        <f t="shared" si="53"/>
        <v>0</v>
      </c>
      <c r="W339" s="554" t="str">
        <f t="shared" si="59"/>
        <v>S</v>
      </c>
      <c r="X339" s="555"/>
      <c r="Y339" s="631">
        <f>IF(Q339=0,0,(Q339+R339)*'1.0-Contractblad'!$L$98)</f>
        <v>0</v>
      </c>
      <c r="Z339" s="632">
        <f ca="1">IF(J339=0,0,VLOOKUP(D339,'1.1a-Jaarprijzen'!$B$70:$P$124,14,FALSE)*(K339+J339))</f>
        <v>0</v>
      </c>
    </row>
    <row r="340" spans="1:26" hidden="1">
      <c r="A340" s="558"/>
      <c r="B340" s="548"/>
      <c r="C340" s="659">
        <v>3</v>
      </c>
      <c r="D340" s="549" t="s">
        <v>1473</v>
      </c>
      <c r="E340" s="660" t="s">
        <v>478</v>
      </c>
      <c r="F340" s="551" t="s">
        <v>834</v>
      </c>
      <c r="G340" s="649" t="s">
        <v>1451</v>
      </c>
      <c r="H340" s="647" t="str">
        <f t="shared" si="50"/>
        <v>Keuken</v>
      </c>
      <c r="I340" s="719" t="s">
        <v>84</v>
      </c>
      <c r="J340" s="623">
        <v>14.4</v>
      </c>
      <c r="K340" s="623"/>
      <c r="L340" s="559">
        <v>18255</v>
      </c>
      <c r="M340" s="557" t="str">
        <f t="shared" si="54"/>
        <v>nvt</v>
      </c>
      <c r="N340" s="453"/>
      <c r="O340" s="557">
        <f t="shared" si="55"/>
        <v>255</v>
      </c>
      <c r="P340" s="633">
        <v>1</v>
      </c>
      <c r="Q340" s="776">
        <f t="shared" si="56"/>
        <v>0</v>
      </c>
      <c r="R340" s="776">
        <f t="shared" si="57"/>
        <v>0</v>
      </c>
      <c r="S340" s="552">
        <f t="shared" si="58"/>
        <v>0</v>
      </c>
      <c r="T340" s="626">
        <f t="shared" si="51"/>
        <v>0</v>
      </c>
      <c r="U340" s="626">
        <f t="shared" si="52"/>
        <v>0</v>
      </c>
      <c r="V340" s="553">
        <f t="shared" si="53"/>
        <v>0</v>
      </c>
      <c r="W340" s="554" t="str">
        <f t="shared" si="59"/>
        <v>V</v>
      </c>
      <c r="X340" s="555"/>
      <c r="Y340" s="631">
        <f>IF(Q340=0,0,(Q340+R340)*'1.0-Contractblad'!$L$98)</f>
        <v>0</v>
      </c>
      <c r="Z340" s="632">
        <f ca="1">IF(J340=0,0,VLOOKUP(D340,'1.1a-Jaarprijzen'!$B$70:$P$124,14,FALSE)*(K340+J340))</f>
        <v>0</v>
      </c>
    </row>
    <row r="341" spans="1:26" hidden="1">
      <c r="A341" s="558"/>
      <c r="B341" s="548"/>
      <c r="C341" s="659">
        <v>3</v>
      </c>
      <c r="D341" s="549" t="s">
        <v>1468</v>
      </c>
      <c r="E341" s="660" t="s">
        <v>478</v>
      </c>
      <c r="F341" s="551" t="s">
        <v>835</v>
      </c>
      <c r="G341" s="649" t="s">
        <v>1237</v>
      </c>
      <c r="H341" s="647" t="str">
        <f t="shared" si="50"/>
        <v>trappenhuis</v>
      </c>
      <c r="I341" s="719" t="s">
        <v>1402</v>
      </c>
      <c r="J341" s="623">
        <v>5.7</v>
      </c>
      <c r="K341" s="623"/>
      <c r="L341" s="559">
        <v>9153</v>
      </c>
      <c r="M341" s="557">
        <f t="shared" si="54"/>
        <v>109</v>
      </c>
      <c r="N341" s="453"/>
      <c r="O341" s="557">
        <f t="shared" si="55"/>
        <v>153</v>
      </c>
      <c r="P341" s="633">
        <v>1</v>
      </c>
      <c r="Q341" s="776">
        <f t="shared" si="56"/>
        <v>0</v>
      </c>
      <c r="R341" s="776">
        <f t="shared" si="57"/>
        <v>0</v>
      </c>
      <c r="S341" s="552">
        <f t="shared" si="58"/>
        <v>0</v>
      </c>
      <c r="T341" s="626">
        <f t="shared" si="51"/>
        <v>0</v>
      </c>
      <c r="U341" s="626">
        <f t="shared" si="52"/>
        <v>0</v>
      </c>
      <c r="V341" s="553">
        <f t="shared" si="53"/>
        <v>0</v>
      </c>
      <c r="W341" s="554" t="str">
        <f t="shared" si="59"/>
        <v>V</v>
      </c>
      <c r="X341" s="555"/>
      <c r="Y341" s="631">
        <f>IF(Q341=0,0,(Q341+R341)*'1.0-Contractblad'!$L$98)</f>
        <v>0</v>
      </c>
      <c r="Z341" s="632">
        <f ca="1">IF(J341=0,0,VLOOKUP(D341,'1.1a-Jaarprijzen'!$B$70:$P$124,14,FALSE)*(K341+J341))</f>
        <v>0</v>
      </c>
    </row>
    <row r="342" spans="1:26" hidden="1">
      <c r="A342" s="558"/>
      <c r="B342" s="548"/>
      <c r="C342" s="659">
        <v>3</v>
      </c>
      <c r="D342" s="549" t="s">
        <v>1468</v>
      </c>
      <c r="E342" s="660" t="s">
        <v>478</v>
      </c>
      <c r="F342" s="551" t="s">
        <v>836</v>
      </c>
      <c r="G342" s="649" t="s">
        <v>1217</v>
      </c>
      <c r="H342" s="647" t="str">
        <f t="shared" si="50"/>
        <v>entree, gang, hal, repro, kopieer, was/droogruimte</v>
      </c>
      <c r="I342" s="719" t="s">
        <v>1402</v>
      </c>
      <c r="J342" s="623">
        <v>9.8000000000000007</v>
      </c>
      <c r="K342" s="623"/>
      <c r="L342" s="651">
        <v>3153</v>
      </c>
      <c r="M342" s="557">
        <f t="shared" si="54"/>
        <v>103</v>
      </c>
      <c r="N342" s="453"/>
      <c r="O342" s="557">
        <f t="shared" si="55"/>
        <v>153</v>
      </c>
      <c r="P342" s="633">
        <v>1</v>
      </c>
      <c r="Q342" s="776">
        <f t="shared" si="56"/>
        <v>0</v>
      </c>
      <c r="R342" s="776">
        <f t="shared" si="57"/>
        <v>0</v>
      </c>
      <c r="S342" s="552">
        <f t="shared" si="58"/>
        <v>0</v>
      </c>
      <c r="T342" s="626">
        <f t="shared" si="51"/>
        <v>0</v>
      </c>
      <c r="U342" s="626">
        <f t="shared" si="52"/>
        <v>0</v>
      </c>
      <c r="V342" s="553">
        <f t="shared" si="53"/>
        <v>0</v>
      </c>
      <c r="W342" s="554" t="str">
        <f t="shared" si="59"/>
        <v>V</v>
      </c>
      <c r="X342" s="555"/>
      <c r="Y342" s="631">
        <f>IF(Q342=0,0,(Q342+R342)*'1.0-Contractblad'!$L$98)</f>
        <v>0</v>
      </c>
      <c r="Z342" s="632">
        <f ca="1">IF(J342=0,0,VLOOKUP(D342,'1.1a-Jaarprijzen'!$B$70:$P$124,14,FALSE)*(K342+J342))</f>
        <v>0</v>
      </c>
    </row>
    <row r="343" spans="1:26" hidden="1">
      <c r="A343" s="558"/>
      <c r="B343" s="548"/>
      <c r="C343" s="659">
        <v>3</v>
      </c>
      <c r="D343" s="549" t="s">
        <v>1468</v>
      </c>
      <c r="E343" s="660" t="s">
        <v>478</v>
      </c>
      <c r="F343" s="551" t="s">
        <v>837</v>
      </c>
      <c r="G343" s="649" t="s">
        <v>1221</v>
      </c>
      <c r="H343" s="647" t="str">
        <f t="shared" si="50"/>
        <v>entree, gang, hal, repro, kopieer, was/droogruimte</v>
      </c>
      <c r="I343" s="719" t="s">
        <v>106</v>
      </c>
      <c r="J343" s="623">
        <v>46.8</v>
      </c>
      <c r="K343" s="623"/>
      <c r="L343" s="651">
        <v>3153</v>
      </c>
      <c r="M343" s="557">
        <f t="shared" si="54"/>
        <v>103</v>
      </c>
      <c r="N343" s="453"/>
      <c r="O343" s="557">
        <f t="shared" si="55"/>
        <v>153</v>
      </c>
      <c r="P343" s="633">
        <v>1</v>
      </c>
      <c r="Q343" s="776">
        <f t="shared" si="56"/>
        <v>0</v>
      </c>
      <c r="R343" s="776">
        <f t="shared" si="57"/>
        <v>0</v>
      </c>
      <c r="S343" s="552">
        <f t="shared" si="58"/>
        <v>0</v>
      </c>
      <c r="T343" s="626">
        <f t="shared" si="51"/>
        <v>0</v>
      </c>
      <c r="U343" s="626">
        <f t="shared" si="52"/>
        <v>0</v>
      </c>
      <c r="V343" s="553">
        <f t="shared" si="53"/>
        <v>0</v>
      </c>
      <c r="W343" s="554" t="str">
        <f t="shared" si="59"/>
        <v>V</v>
      </c>
      <c r="X343" s="555"/>
      <c r="Y343" s="631">
        <f>IF(Q343=0,0,(Q343+R343)*'1.0-Contractblad'!$L$98)</f>
        <v>0</v>
      </c>
      <c r="Z343" s="632">
        <f ca="1">IF(J343=0,0,VLOOKUP(D343,'1.1a-Jaarprijzen'!$B$70:$P$124,14,FALSE)*(K343+J343))</f>
        <v>0</v>
      </c>
    </row>
    <row r="344" spans="1:26" hidden="1">
      <c r="A344" s="558"/>
      <c r="B344" s="701"/>
      <c r="C344" s="659">
        <v>3</v>
      </c>
      <c r="D344" s="549" t="s">
        <v>1468</v>
      </c>
      <c r="E344" s="660" t="s">
        <v>478</v>
      </c>
      <c r="F344" s="551" t="s">
        <v>838</v>
      </c>
      <c r="G344" s="649" t="s">
        <v>1320</v>
      </c>
      <c r="H344" s="647" t="str">
        <f t="shared" si="50"/>
        <v>niet van toepassing</v>
      </c>
      <c r="I344" s="719"/>
      <c r="J344" s="623"/>
      <c r="K344" s="623"/>
      <c r="L344" s="668" t="s">
        <v>27</v>
      </c>
      <c r="M344" s="557">
        <f t="shared" si="54"/>
        <v>0</v>
      </c>
      <c r="N344" s="453"/>
      <c r="O344" s="557">
        <f t="shared" si="55"/>
        <v>0</v>
      </c>
      <c r="P344" s="633">
        <v>1</v>
      </c>
      <c r="Q344" s="776">
        <f t="shared" si="56"/>
        <v>0</v>
      </c>
      <c r="R344" s="776">
        <f t="shared" si="57"/>
        <v>0</v>
      </c>
      <c r="S344" s="552">
        <f t="shared" si="58"/>
        <v>0</v>
      </c>
      <c r="T344" s="626">
        <f t="shared" si="51"/>
        <v>0</v>
      </c>
      <c r="U344" s="626">
        <f t="shared" si="52"/>
        <v>0</v>
      </c>
      <c r="V344" s="553">
        <f t="shared" si="53"/>
        <v>0</v>
      </c>
      <c r="W344" s="554">
        <f t="shared" si="59"/>
        <v>0</v>
      </c>
      <c r="X344" s="454" t="s">
        <v>1454</v>
      </c>
      <c r="Y344" s="631">
        <f>IF(Q344=0,0,(Q344+R344)*'1.0-Contractblad'!$L$98)</f>
        <v>0</v>
      </c>
      <c r="Z344" s="632">
        <f>IF(J344=0,0,VLOOKUP(D344,'1.1a-Jaarprijzen'!$B$70:$P$124,14,FALSE)*(K344+J344))</f>
        <v>0</v>
      </c>
    </row>
    <row r="345" spans="1:26" hidden="1">
      <c r="A345" s="558"/>
      <c r="B345" s="548"/>
      <c r="C345" s="659">
        <v>3</v>
      </c>
      <c r="D345" s="549" t="s">
        <v>1468</v>
      </c>
      <c r="E345" s="660" t="s">
        <v>478</v>
      </c>
      <c r="F345" s="551" t="s">
        <v>839</v>
      </c>
      <c r="G345" s="649" t="s">
        <v>1235</v>
      </c>
      <c r="H345" s="647" t="str">
        <f t="shared" si="50"/>
        <v>niet van toepassing</v>
      </c>
      <c r="I345" s="719"/>
      <c r="J345" s="623"/>
      <c r="K345" s="623"/>
      <c r="L345" s="668" t="s">
        <v>27</v>
      </c>
      <c r="M345" s="557">
        <f t="shared" si="54"/>
        <v>0</v>
      </c>
      <c r="N345" s="453"/>
      <c r="O345" s="557">
        <f t="shared" si="55"/>
        <v>0</v>
      </c>
      <c r="P345" s="633">
        <v>1</v>
      </c>
      <c r="Q345" s="776">
        <f t="shared" si="56"/>
        <v>0</v>
      </c>
      <c r="R345" s="776">
        <f t="shared" si="57"/>
        <v>0</v>
      </c>
      <c r="S345" s="552">
        <f t="shared" si="58"/>
        <v>0</v>
      </c>
      <c r="T345" s="626">
        <f t="shared" si="51"/>
        <v>0</v>
      </c>
      <c r="U345" s="626">
        <f t="shared" si="52"/>
        <v>0</v>
      </c>
      <c r="V345" s="553">
        <f t="shared" si="53"/>
        <v>0</v>
      </c>
      <c r="W345" s="554">
        <f t="shared" si="59"/>
        <v>0</v>
      </c>
      <c r="X345" s="454" t="s">
        <v>1454</v>
      </c>
      <c r="Y345" s="631">
        <f>IF(Q345=0,0,(Q345+R345)*'1.0-Contractblad'!$L$98)</f>
        <v>0</v>
      </c>
      <c r="Z345" s="632">
        <f>IF(J345=0,0,VLOOKUP(D345,'1.1a-Jaarprijzen'!$B$70:$P$124,14,FALSE)*(K345+J345))</f>
        <v>0</v>
      </c>
    </row>
    <row r="346" spans="1:26" hidden="1">
      <c r="A346" s="558"/>
      <c r="B346" s="548"/>
      <c r="C346" s="659">
        <v>3</v>
      </c>
      <c r="D346" s="549" t="s">
        <v>1468</v>
      </c>
      <c r="E346" s="660" t="s">
        <v>478</v>
      </c>
      <c r="F346" s="551" t="s">
        <v>840</v>
      </c>
      <c r="G346" s="649" t="s">
        <v>1271</v>
      </c>
      <c r="H346" s="647" t="str">
        <f t="shared" si="50"/>
        <v>niet van toepassing</v>
      </c>
      <c r="I346" s="719"/>
      <c r="J346" s="623"/>
      <c r="K346" s="623"/>
      <c r="L346" s="668" t="s">
        <v>27</v>
      </c>
      <c r="M346" s="557">
        <f t="shared" si="54"/>
        <v>0</v>
      </c>
      <c r="N346" s="453"/>
      <c r="O346" s="557">
        <f t="shared" si="55"/>
        <v>0</v>
      </c>
      <c r="P346" s="633">
        <v>1</v>
      </c>
      <c r="Q346" s="776">
        <f t="shared" si="56"/>
        <v>0</v>
      </c>
      <c r="R346" s="776">
        <f t="shared" si="57"/>
        <v>0</v>
      </c>
      <c r="S346" s="552">
        <f t="shared" si="58"/>
        <v>0</v>
      </c>
      <c r="T346" s="626">
        <f t="shared" si="51"/>
        <v>0</v>
      </c>
      <c r="U346" s="626">
        <f t="shared" si="52"/>
        <v>0</v>
      </c>
      <c r="V346" s="553">
        <f t="shared" si="53"/>
        <v>0</v>
      </c>
      <c r="W346" s="554">
        <f t="shared" si="59"/>
        <v>0</v>
      </c>
      <c r="X346" s="454" t="s">
        <v>1454</v>
      </c>
      <c r="Y346" s="631">
        <f>IF(Q346=0,0,(Q346+R346)*'1.0-Contractblad'!$L$98)</f>
        <v>0</v>
      </c>
      <c r="Z346" s="632">
        <f>IF(J346=0,0,VLOOKUP(D346,'1.1a-Jaarprijzen'!$B$70:$P$124,14,FALSE)*(K346+J346))</f>
        <v>0</v>
      </c>
    </row>
    <row r="347" spans="1:26" hidden="1">
      <c r="A347" s="558"/>
      <c r="B347" s="548"/>
      <c r="C347" s="659">
        <v>3</v>
      </c>
      <c r="D347" s="549" t="s">
        <v>1468</v>
      </c>
      <c r="E347" s="660" t="s">
        <v>478</v>
      </c>
      <c r="F347" s="551" t="s">
        <v>841</v>
      </c>
      <c r="G347" s="649" t="s">
        <v>1271</v>
      </c>
      <c r="H347" s="647" t="str">
        <f t="shared" si="50"/>
        <v>niet van toepassing</v>
      </c>
      <c r="I347" s="719"/>
      <c r="J347" s="623"/>
      <c r="K347" s="623"/>
      <c r="L347" s="668" t="s">
        <v>27</v>
      </c>
      <c r="M347" s="557">
        <f t="shared" si="54"/>
        <v>0</v>
      </c>
      <c r="N347" s="453"/>
      <c r="O347" s="557">
        <f t="shared" si="55"/>
        <v>0</v>
      </c>
      <c r="P347" s="633">
        <v>1</v>
      </c>
      <c r="Q347" s="776">
        <f t="shared" si="56"/>
        <v>0</v>
      </c>
      <c r="R347" s="776">
        <f t="shared" si="57"/>
        <v>0</v>
      </c>
      <c r="S347" s="552">
        <f t="shared" si="58"/>
        <v>0</v>
      </c>
      <c r="T347" s="626">
        <f t="shared" si="51"/>
        <v>0</v>
      </c>
      <c r="U347" s="626">
        <f t="shared" si="52"/>
        <v>0</v>
      </c>
      <c r="V347" s="553">
        <f t="shared" si="53"/>
        <v>0</v>
      </c>
      <c r="W347" s="554">
        <f t="shared" si="59"/>
        <v>0</v>
      </c>
      <c r="X347" s="454" t="s">
        <v>1454</v>
      </c>
      <c r="Y347" s="631">
        <f>IF(Q347=0,0,(Q347+R347)*'1.0-Contractblad'!$L$98)</f>
        <v>0</v>
      </c>
      <c r="Z347" s="632">
        <f>IF(J347=0,0,VLOOKUP(D347,'1.1a-Jaarprijzen'!$B$70:$P$124,14,FALSE)*(K347+J347))</f>
        <v>0</v>
      </c>
    </row>
    <row r="348" spans="1:26" hidden="1">
      <c r="A348" s="558"/>
      <c r="B348" s="548"/>
      <c r="C348" s="659">
        <v>3</v>
      </c>
      <c r="D348" s="549" t="s">
        <v>1468</v>
      </c>
      <c r="E348" s="660" t="s">
        <v>478</v>
      </c>
      <c r="F348" s="551" t="s">
        <v>842</v>
      </c>
      <c r="G348" s="649" t="s">
        <v>1271</v>
      </c>
      <c r="H348" s="647" t="str">
        <f t="shared" si="50"/>
        <v>niet van toepassing</v>
      </c>
      <c r="I348" s="719"/>
      <c r="J348" s="623"/>
      <c r="K348" s="623"/>
      <c r="L348" s="668" t="s">
        <v>27</v>
      </c>
      <c r="M348" s="557">
        <f t="shared" si="54"/>
        <v>0</v>
      </c>
      <c r="N348" s="453"/>
      <c r="O348" s="557">
        <f t="shared" si="55"/>
        <v>0</v>
      </c>
      <c r="P348" s="633">
        <v>1</v>
      </c>
      <c r="Q348" s="776">
        <f t="shared" si="56"/>
        <v>0</v>
      </c>
      <c r="R348" s="776">
        <f t="shared" si="57"/>
        <v>0</v>
      </c>
      <c r="S348" s="552">
        <f t="shared" si="58"/>
        <v>0</v>
      </c>
      <c r="T348" s="626">
        <f t="shared" si="51"/>
        <v>0</v>
      </c>
      <c r="U348" s="626">
        <f t="shared" si="52"/>
        <v>0</v>
      </c>
      <c r="V348" s="553">
        <f t="shared" si="53"/>
        <v>0</v>
      </c>
      <c r="W348" s="554">
        <f t="shared" si="59"/>
        <v>0</v>
      </c>
      <c r="X348" s="454" t="s">
        <v>1454</v>
      </c>
      <c r="Y348" s="631">
        <f>IF(Q348=0,0,(Q348+R348)*'1.0-Contractblad'!$L$98)</f>
        <v>0</v>
      </c>
      <c r="Z348" s="632">
        <f>IF(J348=0,0,VLOOKUP(D348,'1.1a-Jaarprijzen'!$B$70:$P$124,14,FALSE)*(K348+J348))</f>
        <v>0</v>
      </c>
    </row>
    <row r="349" spans="1:26" hidden="1">
      <c r="A349" s="558"/>
      <c r="B349" s="548"/>
      <c r="C349" s="659">
        <v>3</v>
      </c>
      <c r="D349" s="549" t="s">
        <v>1468</v>
      </c>
      <c r="E349" s="660" t="s">
        <v>478</v>
      </c>
      <c r="F349" s="551" t="s">
        <v>843</v>
      </c>
      <c r="G349" s="649" t="s">
        <v>1271</v>
      </c>
      <c r="H349" s="647" t="str">
        <f t="shared" si="50"/>
        <v>niet van toepassing</v>
      </c>
      <c r="I349" s="719"/>
      <c r="J349" s="623"/>
      <c r="K349" s="623"/>
      <c r="L349" s="668" t="s">
        <v>27</v>
      </c>
      <c r="M349" s="557">
        <f t="shared" si="54"/>
        <v>0</v>
      </c>
      <c r="N349" s="453"/>
      <c r="O349" s="557">
        <f t="shared" si="55"/>
        <v>0</v>
      </c>
      <c r="P349" s="633">
        <v>1</v>
      </c>
      <c r="Q349" s="776">
        <f t="shared" si="56"/>
        <v>0</v>
      </c>
      <c r="R349" s="776">
        <f t="shared" si="57"/>
        <v>0</v>
      </c>
      <c r="S349" s="552">
        <f t="shared" si="58"/>
        <v>0</v>
      </c>
      <c r="T349" s="626">
        <f t="shared" si="51"/>
        <v>0</v>
      </c>
      <c r="U349" s="626">
        <f t="shared" si="52"/>
        <v>0</v>
      </c>
      <c r="V349" s="553">
        <f t="shared" si="53"/>
        <v>0</v>
      </c>
      <c r="W349" s="554">
        <f t="shared" si="59"/>
        <v>0</v>
      </c>
      <c r="X349" s="454" t="s">
        <v>1454</v>
      </c>
      <c r="Y349" s="631">
        <f>IF(Q349=0,0,(Q349+R349)*'1.0-Contractblad'!$L$98)</f>
        <v>0</v>
      </c>
      <c r="Z349" s="632">
        <f>IF(J349=0,0,VLOOKUP(D349,'1.1a-Jaarprijzen'!$B$70:$P$124,14,FALSE)*(K349+J349))</f>
        <v>0</v>
      </c>
    </row>
    <row r="350" spans="1:26" hidden="1">
      <c r="A350" s="558"/>
      <c r="B350" s="548"/>
      <c r="C350" s="659">
        <v>3</v>
      </c>
      <c r="D350" s="549" t="s">
        <v>1468</v>
      </c>
      <c r="E350" s="660" t="s">
        <v>478</v>
      </c>
      <c r="F350" s="551" t="s">
        <v>844</v>
      </c>
      <c r="G350" s="649" t="s">
        <v>1271</v>
      </c>
      <c r="H350" s="647" t="str">
        <f t="shared" si="50"/>
        <v>niet van toepassing</v>
      </c>
      <c r="I350" s="719"/>
      <c r="J350" s="623"/>
      <c r="K350" s="623"/>
      <c r="L350" s="668" t="s">
        <v>27</v>
      </c>
      <c r="M350" s="557">
        <f t="shared" si="54"/>
        <v>0</v>
      </c>
      <c r="N350" s="453"/>
      <c r="O350" s="557">
        <f t="shared" si="55"/>
        <v>0</v>
      </c>
      <c r="P350" s="633">
        <v>1</v>
      </c>
      <c r="Q350" s="776">
        <f t="shared" si="56"/>
        <v>0</v>
      </c>
      <c r="R350" s="776">
        <f t="shared" si="57"/>
        <v>0</v>
      </c>
      <c r="S350" s="552">
        <f t="shared" si="58"/>
        <v>0</v>
      </c>
      <c r="T350" s="626">
        <f t="shared" si="51"/>
        <v>0</v>
      </c>
      <c r="U350" s="626">
        <f t="shared" si="52"/>
        <v>0</v>
      </c>
      <c r="V350" s="553">
        <f t="shared" si="53"/>
        <v>0</v>
      </c>
      <c r="W350" s="554">
        <f t="shared" si="59"/>
        <v>0</v>
      </c>
      <c r="X350" s="454" t="s">
        <v>1454</v>
      </c>
      <c r="Y350" s="631">
        <f>IF(Q350=0,0,(Q350+R350)*'1.0-Contractblad'!$L$98)</f>
        <v>0</v>
      </c>
      <c r="Z350" s="632">
        <f>IF(J350=0,0,VLOOKUP(D350,'1.1a-Jaarprijzen'!$B$70:$P$124,14,FALSE)*(K350+J350))</f>
        <v>0</v>
      </c>
    </row>
    <row r="351" spans="1:26" hidden="1">
      <c r="A351" s="558"/>
      <c r="B351" s="548"/>
      <c r="C351" s="659">
        <v>3</v>
      </c>
      <c r="D351" s="549" t="s">
        <v>1468</v>
      </c>
      <c r="E351" s="660" t="s">
        <v>478</v>
      </c>
      <c r="F351" s="551" t="s">
        <v>845</v>
      </c>
      <c r="G351" s="649" t="s">
        <v>1271</v>
      </c>
      <c r="H351" s="647" t="str">
        <f t="shared" si="50"/>
        <v>niet van toepassing</v>
      </c>
      <c r="I351" s="719"/>
      <c r="J351" s="623"/>
      <c r="K351" s="623"/>
      <c r="L351" s="668" t="s">
        <v>27</v>
      </c>
      <c r="M351" s="557">
        <f t="shared" si="54"/>
        <v>0</v>
      </c>
      <c r="N351" s="453"/>
      <c r="O351" s="557">
        <f t="shared" si="55"/>
        <v>0</v>
      </c>
      <c r="P351" s="633">
        <v>1</v>
      </c>
      <c r="Q351" s="776">
        <f t="shared" si="56"/>
        <v>0</v>
      </c>
      <c r="R351" s="776">
        <f t="shared" si="57"/>
        <v>0</v>
      </c>
      <c r="S351" s="552">
        <f t="shared" si="58"/>
        <v>0</v>
      </c>
      <c r="T351" s="626">
        <f t="shared" si="51"/>
        <v>0</v>
      </c>
      <c r="U351" s="626">
        <f t="shared" si="52"/>
        <v>0</v>
      </c>
      <c r="V351" s="553">
        <f t="shared" si="53"/>
        <v>0</v>
      </c>
      <c r="W351" s="554">
        <f t="shared" si="59"/>
        <v>0</v>
      </c>
      <c r="X351" s="454" t="s">
        <v>1454</v>
      </c>
      <c r="Y351" s="631">
        <f>IF(Q351=0,0,(Q351+R351)*'1.0-Contractblad'!$L$98)</f>
        <v>0</v>
      </c>
      <c r="Z351" s="632">
        <f>IF(J351=0,0,VLOOKUP(D351,'1.1a-Jaarprijzen'!$B$70:$P$124,14,FALSE)*(K351+J351))</f>
        <v>0</v>
      </c>
    </row>
    <row r="352" spans="1:26" hidden="1">
      <c r="A352" s="558"/>
      <c r="B352" s="548"/>
      <c r="C352" s="659">
        <v>3</v>
      </c>
      <c r="D352" s="549" t="s">
        <v>1468</v>
      </c>
      <c r="E352" s="660" t="s">
        <v>478</v>
      </c>
      <c r="F352" s="551" t="s">
        <v>846</v>
      </c>
      <c r="G352" s="649" t="s">
        <v>1271</v>
      </c>
      <c r="H352" s="647" t="str">
        <f t="shared" si="50"/>
        <v>niet van toepassing</v>
      </c>
      <c r="I352" s="719"/>
      <c r="J352" s="623"/>
      <c r="K352" s="623"/>
      <c r="L352" s="668" t="s">
        <v>27</v>
      </c>
      <c r="M352" s="557">
        <f t="shared" si="54"/>
        <v>0</v>
      </c>
      <c r="N352" s="453"/>
      <c r="O352" s="557">
        <f t="shared" si="55"/>
        <v>0</v>
      </c>
      <c r="P352" s="633">
        <v>1</v>
      </c>
      <c r="Q352" s="776">
        <f t="shared" si="56"/>
        <v>0</v>
      </c>
      <c r="R352" s="776">
        <f t="shared" si="57"/>
        <v>0</v>
      </c>
      <c r="S352" s="552">
        <f t="shared" si="58"/>
        <v>0</v>
      </c>
      <c r="T352" s="626">
        <f t="shared" si="51"/>
        <v>0</v>
      </c>
      <c r="U352" s="626">
        <f t="shared" si="52"/>
        <v>0</v>
      </c>
      <c r="V352" s="553">
        <f t="shared" si="53"/>
        <v>0</v>
      </c>
      <c r="W352" s="554">
        <f t="shared" si="59"/>
        <v>0</v>
      </c>
      <c r="X352" s="454" t="s">
        <v>1454</v>
      </c>
      <c r="Y352" s="631">
        <f>IF(Q352=0,0,(Q352+R352)*'1.0-Contractblad'!$L$98)</f>
        <v>0</v>
      </c>
      <c r="Z352" s="632">
        <f>IF(J352=0,0,VLOOKUP(D352,'1.1a-Jaarprijzen'!$B$70:$P$124,14,FALSE)*(K352+J352))</f>
        <v>0</v>
      </c>
    </row>
    <row r="353" spans="1:26" hidden="1">
      <c r="A353" s="558"/>
      <c r="B353" s="548"/>
      <c r="C353" s="659">
        <v>3</v>
      </c>
      <c r="D353" s="549" t="s">
        <v>1468</v>
      </c>
      <c r="E353" s="660" t="s">
        <v>478</v>
      </c>
      <c r="F353" s="551" t="s">
        <v>847</v>
      </c>
      <c r="G353" s="649" t="s">
        <v>1271</v>
      </c>
      <c r="H353" s="647" t="str">
        <f t="shared" si="50"/>
        <v>niet van toepassing</v>
      </c>
      <c r="I353" s="719"/>
      <c r="J353" s="623"/>
      <c r="K353" s="623"/>
      <c r="L353" s="668" t="s">
        <v>27</v>
      </c>
      <c r="M353" s="557">
        <f t="shared" si="54"/>
        <v>0</v>
      </c>
      <c r="N353" s="453"/>
      <c r="O353" s="557">
        <f t="shared" si="55"/>
        <v>0</v>
      </c>
      <c r="P353" s="633">
        <v>1</v>
      </c>
      <c r="Q353" s="776">
        <f t="shared" si="56"/>
        <v>0</v>
      </c>
      <c r="R353" s="776">
        <f t="shared" si="57"/>
        <v>0</v>
      </c>
      <c r="S353" s="552">
        <f t="shared" si="58"/>
        <v>0</v>
      </c>
      <c r="T353" s="626">
        <f t="shared" si="51"/>
        <v>0</v>
      </c>
      <c r="U353" s="626">
        <f t="shared" si="52"/>
        <v>0</v>
      </c>
      <c r="V353" s="553">
        <f t="shared" si="53"/>
        <v>0</v>
      </c>
      <c r="W353" s="554">
        <f t="shared" si="59"/>
        <v>0</v>
      </c>
      <c r="X353" s="454" t="s">
        <v>1454</v>
      </c>
      <c r="Y353" s="631">
        <f>IF(Q353=0,0,(Q353+R353)*'1.0-Contractblad'!$L$98)</f>
        <v>0</v>
      </c>
      <c r="Z353" s="632">
        <f>IF(J353=0,0,VLOOKUP(D353,'1.1a-Jaarprijzen'!$B$70:$P$124,14,FALSE)*(K353+J353))</f>
        <v>0</v>
      </c>
    </row>
    <row r="354" spans="1:26" hidden="1">
      <c r="A354" s="558"/>
      <c r="B354" s="548"/>
      <c r="C354" s="659">
        <v>3</v>
      </c>
      <c r="D354" s="549" t="s">
        <v>1468</v>
      </c>
      <c r="E354" s="660" t="s">
        <v>478</v>
      </c>
      <c r="F354" s="551" t="s">
        <v>848</v>
      </c>
      <c r="G354" s="649" t="s">
        <v>1271</v>
      </c>
      <c r="H354" s="647" t="str">
        <f t="shared" si="50"/>
        <v>niet van toepassing</v>
      </c>
      <c r="I354" s="719"/>
      <c r="J354" s="623"/>
      <c r="K354" s="623"/>
      <c r="L354" s="668" t="s">
        <v>27</v>
      </c>
      <c r="M354" s="557">
        <f t="shared" si="54"/>
        <v>0</v>
      </c>
      <c r="N354" s="453"/>
      <c r="O354" s="557">
        <f t="shared" si="55"/>
        <v>0</v>
      </c>
      <c r="P354" s="633">
        <v>1</v>
      </c>
      <c r="Q354" s="776">
        <f t="shared" si="56"/>
        <v>0</v>
      </c>
      <c r="R354" s="776">
        <f t="shared" si="57"/>
        <v>0</v>
      </c>
      <c r="S354" s="552">
        <f t="shared" si="58"/>
        <v>0</v>
      </c>
      <c r="T354" s="626">
        <f t="shared" si="51"/>
        <v>0</v>
      </c>
      <c r="U354" s="626">
        <f t="shared" si="52"/>
        <v>0</v>
      </c>
      <c r="V354" s="553">
        <f t="shared" si="53"/>
        <v>0</v>
      </c>
      <c r="W354" s="554">
        <f t="shared" si="59"/>
        <v>0</v>
      </c>
      <c r="X354" s="454" t="s">
        <v>1454</v>
      </c>
      <c r="Y354" s="631">
        <f>IF(Q354=0,0,(Q354+R354)*'1.0-Contractblad'!$L$98)</f>
        <v>0</v>
      </c>
      <c r="Z354" s="632">
        <f>IF(J354=0,0,VLOOKUP(D354,'1.1a-Jaarprijzen'!$B$70:$P$124,14,FALSE)*(K354+J354))</f>
        <v>0</v>
      </c>
    </row>
    <row r="355" spans="1:26" hidden="1">
      <c r="A355" s="558"/>
      <c r="B355" s="548"/>
      <c r="C355" s="659">
        <v>3</v>
      </c>
      <c r="D355" s="549" t="s">
        <v>1468</v>
      </c>
      <c r="E355" s="660" t="s">
        <v>478</v>
      </c>
      <c r="F355" s="551" t="s">
        <v>849</v>
      </c>
      <c r="G355" s="649" t="s">
        <v>489</v>
      </c>
      <c r="H355" s="647" t="str">
        <f t="shared" si="50"/>
        <v>sanitaire ruimte (toilet-/doucheruimte)</v>
      </c>
      <c r="I355" s="719" t="s">
        <v>84</v>
      </c>
      <c r="J355" s="623">
        <v>1.8</v>
      </c>
      <c r="K355" s="623"/>
      <c r="L355" s="559">
        <v>4255</v>
      </c>
      <c r="M355" s="557">
        <f t="shared" si="54"/>
        <v>104</v>
      </c>
      <c r="N355" s="453"/>
      <c r="O355" s="557">
        <f t="shared" si="55"/>
        <v>255</v>
      </c>
      <c r="P355" s="633">
        <v>1</v>
      </c>
      <c r="Q355" s="776">
        <f t="shared" si="56"/>
        <v>0</v>
      </c>
      <c r="R355" s="776">
        <f t="shared" si="57"/>
        <v>0</v>
      </c>
      <c r="S355" s="552">
        <f t="shared" si="58"/>
        <v>0</v>
      </c>
      <c r="T355" s="626">
        <f t="shared" si="51"/>
        <v>0</v>
      </c>
      <c r="U355" s="626">
        <f t="shared" si="52"/>
        <v>0</v>
      </c>
      <c r="V355" s="553">
        <f t="shared" si="53"/>
        <v>0</v>
      </c>
      <c r="W355" s="554" t="str">
        <f t="shared" si="59"/>
        <v>S</v>
      </c>
      <c r="X355" s="555"/>
      <c r="Y355" s="631">
        <f>IF(Q355=0,0,(Q355+R355)*'1.0-Contractblad'!$L$98)</f>
        <v>0</v>
      </c>
      <c r="Z355" s="632">
        <f ca="1">IF(J355=0,0,VLOOKUP(D355,'1.1a-Jaarprijzen'!$B$70:$P$124,14,FALSE)*(K355+J355))</f>
        <v>0</v>
      </c>
    </row>
    <row r="356" spans="1:26" hidden="1">
      <c r="A356" s="558"/>
      <c r="B356" s="548"/>
      <c r="C356" s="659">
        <v>3</v>
      </c>
      <c r="D356" s="549" t="s">
        <v>1468</v>
      </c>
      <c r="E356" s="660" t="s">
        <v>478</v>
      </c>
      <c r="F356" s="551" t="s">
        <v>850</v>
      </c>
      <c r="G356" s="649" t="s">
        <v>489</v>
      </c>
      <c r="H356" s="647" t="str">
        <f t="shared" si="50"/>
        <v>sanitaire ruimte (toilet-/doucheruimte)</v>
      </c>
      <c r="I356" s="719" t="s">
        <v>84</v>
      </c>
      <c r="J356" s="623">
        <v>2</v>
      </c>
      <c r="K356" s="623"/>
      <c r="L356" s="559">
        <v>4255</v>
      </c>
      <c r="M356" s="557">
        <f t="shared" si="54"/>
        <v>104</v>
      </c>
      <c r="N356" s="453"/>
      <c r="O356" s="557">
        <f t="shared" si="55"/>
        <v>255</v>
      </c>
      <c r="P356" s="633">
        <v>1</v>
      </c>
      <c r="Q356" s="776">
        <f t="shared" si="56"/>
        <v>0</v>
      </c>
      <c r="R356" s="776">
        <f t="shared" si="57"/>
        <v>0</v>
      </c>
      <c r="S356" s="552">
        <f t="shared" si="58"/>
        <v>0</v>
      </c>
      <c r="T356" s="626">
        <f t="shared" si="51"/>
        <v>0</v>
      </c>
      <c r="U356" s="626">
        <f t="shared" si="52"/>
        <v>0</v>
      </c>
      <c r="V356" s="553">
        <f t="shared" si="53"/>
        <v>0</v>
      </c>
      <c r="W356" s="554" t="str">
        <f t="shared" si="59"/>
        <v>S</v>
      </c>
      <c r="X356" s="555"/>
      <c r="Y356" s="631">
        <f>IF(Q356=0,0,(Q356+R356)*'1.0-Contractblad'!$L$98)</f>
        <v>0</v>
      </c>
      <c r="Z356" s="632">
        <f ca="1">IF(J356=0,0,VLOOKUP(D356,'1.1a-Jaarprijzen'!$B$70:$P$124,14,FALSE)*(K356+J356))</f>
        <v>0</v>
      </c>
    </row>
    <row r="357" spans="1:26" hidden="1">
      <c r="A357" s="558"/>
      <c r="B357" s="548"/>
      <c r="C357" s="659">
        <v>3</v>
      </c>
      <c r="D357" s="549" t="s">
        <v>1468</v>
      </c>
      <c r="E357" s="660" t="s">
        <v>478</v>
      </c>
      <c r="F357" s="551" t="s">
        <v>851</v>
      </c>
      <c r="G357" s="649" t="s">
        <v>489</v>
      </c>
      <c r="H357" s="647" t="str">
        <f t="shared" si="50"/>
        <v>sanitaire ruimte (toilet-/doucheruimte)</v>
      </c>
      <c r="I357" s="719" t="s">
        <v>84</v>
      </c>
      <c r="J357" s="623">
        <v>2.2999999999999998</v>
      </c>
      <c r="K357" s="623"/>
      <c r="L357" s="559">
        <v>4255</v>
      </c>
      <c r="M357" s="557">
        <f t="shared" si="54"/>
        <v>104</v>
      </c>
      <c r="N357" s="453"/>
      <c r="O357" s="557">
        <f t="shared" si="55"/>
        <v>255</v>
      </c>
      <c r="P357" s="633">
        <v>1</v>
      </c>
      <c r="Q357" s="776">
        <f t="shared" si="56"/>
        <v>0</v>
      </c>
      <c r="R357" s="776">
        <f t="shared" si="57"/>
        <v>0</v>
      </c>
      <c r="S357" s="552">
        <f t="shared" si="58"/>
        <v>0</v>
      </c>
      <c r="T357" s="626">
        <f t="shared" si="51"/>
        <v>0</v>
      </c>
      <c r="U357" s="626">
        <f t="shared" si="52"/>
        <v>0</v>
      </c>
      <c r="V357" s="553">
        <f t="shared" si="53"/>
        <v>0</v>
      </c>
      <c r="W357" s="554" t="str">
        <f t="shared" si="59"/>
        <v>S</v>
      </c>
      <c r="X357" s="555"/>
      <c r="Y357" s="631">
        <f>IF(Q357=0,0,(Q357+R357)*'1.0-Contractblad'!$L$98)</f>
        <v>0</v>
      </c>
      <c r="Z357" s="632">
        <f ca="1">IF(J357=0,0,VLOOKUP(D357,'1.1a-Jaarprijzen'!$B$70:$P$124,14,FALSE)*(K357+J357))</f>
        <v>0</v>
      </c>
    </row>
    <row r="358" spans="1:26" hidden="1">
      <c r="A358" s="558"/>
      <c r="B358" s="548"/>
      <c r="C358" s="659">
        <v>3</v>
      </c>
      <c r="D358" s="549" t="s">
        <v>1468</v>
      </c>
      <c r="E358" s="660" t="s">
        <v>478</v>
      </c>
      <c r="F358" s="551" t="s">
        <v>852</v>
      </c>
      <c r="G358" s="649" t="s">
        <v>488</v>
      </c>
      <c r="H358" s="647" t="str">
        <f t="shared" si="50"/>
        <v>sanitaire ruimte (toilet-/doucheruimte)</v>
      </c>
      <c r="I358" s="719" t="s">
        <v>84</v>
      </c>
      <c r="J358" s="623">
        <v>3.4</v>
      </c>
      <c r="K358" s="623"/>
      <c r="L358" s="559">
        <v>4153</v>
      </c>
      <c r="M358" s="557">
        <f t="shared" si="54"/>
        <v>104</v>
      </c>
      <c r="N358" s="453"/>
      <c r="O358" s="557">
        <f t="shared" si="55"/>
        <v>153</v>
      </c>
      <c r="P358" s="633">
        <v>1</v>
      </c>
      <c r="Q358" s="776">
        <f t="shared" si="56"/>
        <v>0</v>
      </c>
      <c r="R358" s="776">
        <f t="shared" si="57"/>
        <v>0</v>
      </c>
      <c r="S358" s="552">
        <f t="shared" si="58"/>
        <v>0</v>
      </c>
      <c r="T358" s="626">
        <f t="shared" si="51"/>
        <v>0</v>
      </c>
      <c r="U358" s="626">
        <f t="shared" si="52"/>
        <v>0</v>
      </c>
      <c r="V358" s="553">
        <f t="shared" si="53"/>
        <v>0</v>
      </c>
      <c r="W358" s="554" t="str">
        <f t="shared" si="59"/>
        <v>S</v>
      </c>
      <c r="X358" s="555"/>
      <c r="Y358" s="631">
        <f>IF(Q358=0,0,(Q358+R358)*'1.0-Contractblad'!$L$98)</f>
        <v>0</v>
      </c>
      <c r="Z358" s="632">
        <f ca="1">IF(J358=0,0,VLOOKUP(D358,'1.1a-Jaarprijzen'!$B$70:$P$124,14,FALSE)*(K358+J358))</f>
        <v>0</v>
      </c>
    </row>
    <row r="359" spans="1:26" hidden="1">
      <c r="A359" s="558"/>
      <c r="B359" s="548"/>
      <c r="C359" s="659">
        <v>3</v>
      </c>
      <c r="D359" s="549" t="s">
        <v>1468</v>
      </c>
      <c r="E359" s="660" t="s">
        <v>478</v>
      </c>
      <c r="F359" s="551" t="s">
        <v>853</v>
      </c>
      <c r="G359" s="649" t="s">
        <v>488</v>
      </c>
      <c r="H359" s="647" t="str">
        <f t="shared" si="50"/>
        <v>sanitaire ruimte (toilet-/doucheruimte)</v>
      </c>
      <c r="I359" s="719" t="s">
        <v>84</v>
      </c>
      <c r="J359" s="623">
        <v>3.8</v>
      </c>
      <c r="K359" s="623"/>
      <c r="L359" s="559">
        <v>4153</v>
      </c>
      <c r="M359" s="557">
        <f t="shared" si="54"/>
        <v>104</v>
      </c>
      <c r="N359" s="453"/>
      <c r="O359" s="557">
        <f t="shared" si="55"/>
        <v>153</v>
      </c>
      <c r="P359" s="633">
        <v>1</v>
      </c>
      <c r="Q359" s="776">
        <f t="shared" si="56"/>
        <v>0</v>
      </c>
      <c r="R359" s="776">
        <f t="shared" si="57"/>
        <v>0</v>
      </c>
      <c r="S359" s="552">
        <f t="shared" si="58"/>
        <v>0</v>
      </c>
      <c r="T359" s="626">
        <f t="shared" si="51"/>
        <v>0</v>
      </c>
      <c r="U359" s="626">
        <f t="shared" si="52"/>
        <v>0</v>
      </c>
      <c r="V359" s="553">
        <f t="shared" si="53"/>
        <v>0</v>
      </c>
      <c r="W359" s="554" t="str">
        <f t="shared" si="59"/>
        <v>S</v>
      </c>
      <c r="X359" s="555"/>
      <c r="Y359" s="631">
        <f>IF(Q359=0,0,(Q359+R359)*'1.0-Contractblad'!$L$98)</f>
        <v>0</v>
      </c>
      <c r="Z359" s="632">
        <f ca="1">IF(J359=0,0,VLOOKUP(D359,'1.1a-Jaarprijzen'!$B$70:$P$124,14,FALSE)*(K359+J359))</f>
        <v>0</v>
      </c>
    </row>
    <row r="360" spans="1:26" hidden="1">
      <c r="A360" s="558"/>
      <c r="B360" s="548"/>
      <c r="C360" s="659">
        <v>3</v>
      </c>
      <c r="D360" s="549" t="s">
        <v>1468</v>
      </c>
      <c r="E360" s="660" t="s">
        <v>478</v>
      </c>
      <c r="F360" s="551" t="s">
        <v>854</v>
      </c>
      <c r="G360" s="649" t="s">
        <v>1275</v>
      </c>
      <c r="H360" s="647" t="str">
        <f t="shared" si="50"/>
        <v>administratieve -, personeels- en vergaderruimte</v>
      </c>
      <c r="I360" s="719" t="s">
        <v>106</v>
      </c>
      <c r="J360" s="623">
        <v>16.8</v>
      </c>
      <c r="K360" s="623"/>
      <c r="L360" s="651">
        <v>1153</v>
      </c>
      <c r="M360" s="557">
        <f t="shared" si="54"/>
        <v>101</v>
      </c>
      <c r="N360" s="453"/>
      <c r="O360" s="557">
        <f t="shared" si="55"/>
        <v>153</v>
      </c>
      <c r="P360" s="633">
        <v>1</v>
      </c>
      <c r="Q360" s="776">
        <f t="shared" si="56"/>
        <v>0</v>
      </c>
      <c r="R360" s="776">
        <f t="shared" si="57"/>
        <v>0</v>
      </c>
      <c r="S360" s="552">
        <f t="shared" si="58"/>
        <v>0</v>
      </c>
      <c r="T360" s="626">
        <f t="shared" si="51"/>
        <v>0</v>
      </c>
      <c r="U360" s="626">
        <f t="shared" si="52"/>
        <v>0</v>
      </c>
      <c r="V360" s="553">
        <f t="shared" si="53"/>
        <v>0</v>
      </c>
      <c r="W360" s="554" t="str">
        <f t="shared" si="59"/>
        <v>B</v>
      </c>
      <c r="X360" s="454"/>
      <c r="Y360" s="631">
        <f>IF(Q360=0,0,(Q360+R360)*'1.0-Contractblad'!$L$98)</f>
        <v>0</v>
      </c>
      <c r="Z360" s="632">
        <f ca="1">IF(J360=0,0,VLOOKUP(D360,'1.1a-Jaarprijzen'!$B$70:$P$124,14,FALSE)*(K360+J360))</f>
        <v>0</v>
      </c>
    </row>
    <row r="361" spans="1:26" hidden="1">
      <c r="A361" s="558"/>
      <c r="B361" s="548"/>
      <c r="C361" s="659">
        <v>3</v>
      </c>
      <c r="D361" s="549" t="s">
        <v>1468</v>
      </c>
      <c r="E361" s="660" t="s">
        <v>478</v>
      </c>
      <c r="F361" s="551" t="s">
        <v>855</v>
      </c>
      <c r="G361" s="649" t="s">
        <v>1284</v>
      </c>
      <c r="H361" s="647" t="str">
        <f t="shared" si="50"/>
        <v>entree, gang, hal, repro, kopieer, was/droogruimte</v>
      </c>
      <c r="I361" s="719" t="s">
        <v>84</v>
      </c>
      <c r="J361" s="623">
        <v>7.9</v>
      </c>
      <c r="K361" s="623"/>
      <c r="L361" s="559">
        <v>3153</v>
      </c>
      <c r="M361" s="557">
        <f t="shared" si="54"/>
        <v>103</v>
      </c>
      <c r="N361" s="453"/>
      <c r="O361" s="557">
        <f t="shared" si="55"/>
        <v>153</v>
      </c>
      <c r="P361" s="633">
        <v>1</v>
      </c>
      <c r="Q361" s="776">
        <f t="shared" si="56"/>
        <v>0</v>
      </c>
      <c r="R361" s="776">
        <f t="shared" si="57"/>
        <v>0</v>
      </c>
      <c r="S361" s="552">
        <f t="shared" si="58"/>
        <v>0</v>
      </c>
      <c r="T361" s="626">
        <f t="shared" si="51"/>
        <v>0</v>
      </c>
      <c r="U361" s="626">
        <f t="shared" si="52"/>
        <v>0</v>
      </c>
      <c r="V361" s="553">
        <f t="shared" si="53"/>
        <v>0</v>
      </c>
      <c r="W361" s="554" t="str">
        <f t="shared" si="59"/>
        <v>V</v>
      </c>
      <c r="X361" s="555"/>
      <c r="Y361" s="631">
        <f>IF(Q361=0,0,(Q361+R361)*'1.0-Contractblad'!$L$98)</f>
        <v>0</v>
      </c>
      <c r="Z361" s="632">
        <f ca="1">IF(J361=0,0,VLOOKUP(D361,'1.1a-Jaarprijzen'!$B$70:$P$124,14,FALSE)*(K361+J361))</f>
        <v>0</v>
      </c>
    </row>
    <row r="362" spans="1:26" hidden="1">
      <c r="A362" s="558"/>
      <c r="B362" s="548"/>
      <c r="C362" s="659">
        <v>3</v>
      </c>
      <c r="D362" s="549" t="s">
        <v>1468</v>
      </c>
      <c r="E362" s="660" t="s">
        <v>478</v>
      </c>
      <c r="F362" s="551" t="s">
        <v>856</v>
      </c>
      <c r="G362" s="649" t="s">
        <v>1273</v>
      </c>
      <c r="H362" s="647" t="str">
        <f t="shared" si="50"/>
        <v>speellokaal</v>
      </c>
      <c r="I362" s="719" t="s">
        <v>106</v>
      </c>
      <c r="J362" s="623">
        <v>40.6</v>
      </c>
      <c r="K362" s="623"/>
      <c r="L362" s="653">
        <v>8153</v>
      </c>
      <c r="M362" s="557">
        <f t="shared" si="54"/>
        <v>107</v>
      </c>
      <c r="N362" s="453"/>
      <c r="O362" s="557">
        <f t="shared" si="55"/>
        <v>153</v>
      </c>
      <c r="P362" s="633">
        <v>1</v>
      </c>
      <c r="Q362" s="776">
        <f t="shared" si="56"/>
        <v>0</v>
      </c>
      <c r="R362" s="776">
        <f t="shared" si="57"/>
        <v>0</v>
      </c>
      <c r="S362" s="552">
        <f t="shared" si="58"/>
        <v>0</v>
      </c>
      <c r="T362" s="626">
        <f t="shared" si="51"/>
        <v>0</v>
      </c>
      <c r="U362" s="626">
        <f t="shared" si="52"/>
        <v>0</v>
      </c>
      <c r="V362" s="553">
        <f t="shared" si="53"/>
        <v>0</v>
      </c>
      <c r="W362" s="554" t="str">
        <f t="shared" si="59"/>
        <v>L</v>
      </c>
      <c r="X362" s="555"/>
      <c r="Y362" s="631">
        <f>IF(Q362=0,0,(Q362+R362)*'1.0-Contractblad'!$L$98)</f>
        <v>0</v>
      </c>
      <c r="Z362" s="632">
        <f ca="1">IF(J362=0,0,VLOOKUP(D362,'1.1a-Jaarprijzen'!$B$70:$P$124,14,FALSE)*(K362+J362))</f>
        <v>0</v>
      </c>
    </row>
    <row r="363" spans="1:26" hidden="1">
      <c r="A363" s="558"/>
      <c r="B363" s="548"/>
      <c r="C363" s="659">
        <v>3</v>
      </c>
      <c r="D363" s="549" t="s">
        <v>1468</v>
      </c>
      <c r="E363" s="660" t="s">
        <v>478</v>
      </c>
      <c r="F363" s="551" t="s">
        <v>857</v>
      </c>
      <c r="G363" s="649" t="s">
        <v>1274</v>
      </c>
      <c r="H363" s="647" t="str">
        <f t="shared" si="50"/>
        <v>leslokaal</v>
      </c>
      <c r="I363" s="719" t="s">
        <v>106</v>
      </c>
      <c r="J363" s="623">
        <v>70.5</v>
      </c>
      <c r="K363" s="623"/>
      <c r="L363" s="654">
        <v>7153</v>
      </c>
      <c r="M363" s="557">
        <f t="shared" si="54"/>
        <v>107</v>
      </c>
      <c r="N363" s="453"/>
      <c r="O363" s="557">
        <f t="shared" si="55"/>
        <v>153</v>
      </c>
      <c r="P363" s="633">
        <v>1</v>
      </c>
      <c r="Q363" s="776">
        <f t="shared" si="56"/>
        <v>0</v>
      </c>
      <c r="R363" s="776">
        <f t="shared" si="57"/>
        <v>0</v>
      </c>
      <c r="S363" s="552">
        <f t="shared" si="58"/>
        <v>0</v>
      </c>
      <c r="T363" s="626">
        <f t="shared" si="51"/>
        <v>0</v>
      </c>
      <c r="U363" s="626">
        <f t="shared" si="52"/>
        <v>0</v>
      </c>
      <c r="V363" s="553">
        <f t="shared" si="53"/>
        <v>0</v>
      </c>
      <c r="W363" s="554" t="str">
        <f t="shared" si="59"/>
        <v>L</v>
      </c>
      <c r="X363" s="555"/>
      <c r="Y363" s="631">
        <f>IF(Q363=0,0,(Q363+R363)*'1.0-Contractblad'!$L$98)</f>
        <v>0</v>
      </c>
      <c r="Z363" s="632">
        <f ca="1">IF(J363=0,0,VLOOKUP(D363,'1.1a-Jaarprijzen'!$B$70:$P$124,14,FALSE)*(K363+J363))</f>
        <v>0</v>
      </c>
    </row>
    <row r="364" spans="1:26" hidden="1">
      <c r="A364" s="558"/>
      <c r="B364" s="548"/>
      <c r="C364" s="659">
        <v>3</v>
      </c>
      <c r="D364" s="549" t="s">
        <v>1468</v>
      </c>
      <c r="E364" s="660" t="s">
        <v>478</v>
      </c>
      <c r="F364" s="551" t="s">
        <v>858</v>
      </c>
      <c r="G364" s="649" t="s">
        <v>1451</v>
      </c>
      <c r="H364" s="647" t="str">
        <f t="shared" si="50"/>
        <v>Keuken</v>
      </c>
      <c r="I364" s="719" t="s">
        <v>84</v>
      </c>
      <c r="J364" s="623">
        <v>13.2</v>
      </c>
      <c r="K364" s="623"/>
      <c r="L364" s="559">
        <v>18255</v>
      </c>
      <c r="M364" s="557" t="str">
        <f t="shared" si="54"/>
        <v>nvt</v>
      </c>
      <c r="N364" s="453"/>
      <c r="O364" s="557">
        <f t="shared" si="55"/>
        <v>255</v>
      </c>
      <c r="P364" s="633">
        <v>1</v>
      </c>
      <c r="Q364" s="776">
        <f t="shared" si="56"/>
        <v>0</v>
      </c>
      <c r="R364" s="776">
        <f t="shared" si="57"/>
        <v>0</v>
      </c>
      <c r="S364" s="552">
        <f t="shared" si="58"/>
        <v>0</v>
      </c>
      <c r="T364" s="626">
        <f t="shared" si="51"/>
        <v>0</v>
      </c>
      <c r="U364" s="626">
        <f t="shared" si="52"/>
        <v>0</v>
      </c>
      <c r="V364" s="553">
        <f t="shared" si="53"/>
        <v>0</v>
      </c>
      <c r="W364" s="554" t="str">
        <f t="shared" si="59"/>
        <v>V</v>
      </c>
      <c r="X364" s="555"/>
      <c r="Y364" s="631">
        <f>IF(Q364=0,0,(Q364+R364)*'1.0-Contractblad'!$L$98)</f>
        <v>0</v>
      </c>
      <c r="Z364" s="632">
        <f ca="1">IF(J364=0,0,VLOOKUP(D364,'1.1a-Jaarprijzen'!$B$70:$P$124,14,FALSE)*(K364+J364))</f>
        <v>0</v>
      </c>
    </row>
    <row r="365" spans="1:26" hidden="1">
      <c r="A365" s="558"/>
      <c r="B365" s="548"/>
      <c r="C365" s="659">
        <v>3</v>
      </c>
      <c r="D365" s="549" t="s">
        <v>1468</v>
      </c>
      <c r="E365" s="660" t="s">
        <v>478</v>
      </c>
      <c r="F365" s="551" t="s">
        <v>859</v>
      </c>
      <c r="G365" s="649" t="s">
        <v>1276</v>
      </c>
      <c r="H365" s="647" t="str">
        <f t="shared" si="50"/>
        <v>Keuken</v>
      </c>
      <c r="I365" s="719" t="s">
        <v>84</v>
      </c>
      <c r="J365" s="623">
        <v>6.7</v>
      </c>
      <c r="K365" s="623"/>
      <c r="L365" s="559">
        <v>18153</v>
      </c>
      <c r="M365" s="557" t="str">
        <f t="shared" si="54"/>
        <v>nvt</v>
      </c>
      <c r="N365" s="453"/>
      <c r="O365" s="557">
        <f t="shared" si="55"/>
        <v>153</v>
      </c>
      <c r="P365" s="633">
        <v>1</v>
      </c>
      <c r="Q365" s="776">
        <f t="shared" si="56"/>
        <v>0</v>
      </c>
      <c r="R365" s="776">
        <f t="shared" si="57"/>
        <v>0</v>
      </c>
      <c r="S365" s="552">
        <f t="shared" si="58"/>
        <v>0</v>
      </c>
      <c r="T365" s="626">
        <f t="shared" si="51"/>
        <v>0</v>
      </c>
      <c r="U365" s="626">
        <f t="shared" si="52"/>
        <v>0</v>
      </c>
      <c r="V365" s="553">
        <f t="shared" si="53"/>
        <v>0</v>
      </c>
      <c r="W365" s="554" t="str">
        <f t="shared" si="59"/>
        <v>V</v>
      </c>
      <c r="X365" s="556"/>
      <c r="Y365" s="631">
        <f>IF(Q365=0,0,(Q365+R365)*'1.0-Contractblad'!$L$98)</f>
        <v>0</v>
      </c>
      <c r="Z365" s="632">
        <f ca="1">IF(J365=0,0,VLOOKUP(D365,'1.1a-Jaarprijzen'!$B$70:$P$124,14,FALSE)*(K365+J365))</f>
        <v>0</v>
      </c>
    </row>
    <row r="366" spans="1:26" hidden="1">
      <c r="A366" s="558"/>
      <c r="B366" s="548"/>
      <c r="C366" s="659">
        <v>3</v>
      </c>
      <c r="D366" s="549" t="s">
        <v>1468</v>
      </c>
      <c r="E366" s="660" t="s">
        <v>478</v>
      </c>
      <c r="F366" s="551" t="s">
        <v>860</v>
      </c>
      <c r="G366" s="649" t="s">
        <v>1217</v>
      </c>
      <c r="H366" s="647" t="str">
        <f t="shared" si="50"/>
        <v>entree, gang, hal, repro, kopieer, was/droogruimte</v>
      </c>
      <c r="I366" s="719" t="s">
        <v>106</v>
      </c>
      <c r="J366" s="623">
        <v>12.8</v>
      </c>
      <c r="K366" s="623"/>
      <c r="L366" s="651">
        <v>3153</v>
      </c>
      <c r="M366" s="557">
        <f t="shared" si="54"/>
        <v>103</v>
      </c>
      <c r="N366" s="453"/>
      <c r="O366" s="557">
        <f t="shared" si="55"/>
        <v>153</v>
      </c>
      <c r="P366" s="633">
        <v>1</v>
      </c>
      <c r="Q366" s="776">
        <f t="shared" si="56"/>
        <v>0</v>
      </c>
      <c r="R366" s="776">
        <f t="shared" si="57"/>
        <v>0</v>
      </c>
      <c r="S366" s="552">
        <f t="shared" si="58"/>
        <v>0</v>
      </c>
      <c r="T366" s="626">
        <f t="shared" si="51"/>
        <v>0</v>
      </c>
      <c r="U366" s="626">
        <f t="shared" si="52"/>
        <v>0</v>
      </c>
      <c r="V366" s="553">
        <f t="shared" si="53"/>
        <v>0</v>
      </c>
      <c r="W366" s="554" t="str">
        <f t="shared" si="59"/>
        <v>V</v>
      </c>
      <c r="X366" s="555"/>
      <c r="Y366" s="631">
        <f>IF(Q366=0,0,(Q366+R366)*'1.0-Contractblad'!$L$98)</f>
        <v>0</v>
      </c>
      <c r="Z366" s="632">
        <f ca="1">IF(J366=0,0,VLOOKUP(D366,'1.1a-Jaarprijzen'!$B$70:$P$124,14,FALSE)*(K366+J366))</f>
        <v>0</v>
      </c>
    </row>
    <row r="367" spans="1:26" hidden="1">
      <c r="A367" s="558"/>
      <c r="B367" s="548"/>
      <c r="C367" s="659">
        <v>3</v>
      </c>
      <c r="D367" s="549" t="s">
        <v>1468</v>
      </c>
      <c r="E367" s="660" t="s">
        <v>478</v>
      </c>
      <c r="F367" s="551" t="s">
        <v>861</v>
      </c>
      <c r="G367" s="649" t="s">
        <v>1243</v>
      </c>
      <c r="H367" s="647" t="str">
        <f t="shared" si="50"/>
        <v>administratieve -, personeels- en vergaderruimte</v>
      </c>
      <c r="I367" s="719" t="s">
        <v>106</v>
      </c>
      <c r="J367" s="623">
        <v>11.3</v>
      </c>
      <c r="K367" s="623"/>
      <c r="L367" s="651">
        <v>1153</v>
      </c>
      <c r="M367" s="557">
        <f t="shared" si="54"/>
        <v>101</v>
      </c>
      <c r="N367" s="453"/>
      <c r="O367" s="557">
        <f t="shared" si="55"/>
        <v>153</v>
      </c>
      <c r="P367" s="633">
        <v>1</v>
      </c>
      <c r="Q367" s="776">
        <f t="shared" si="56"/>
        <v>0</v>
      </c>
      <c r="R367" s="776">
        <f t="shared" si="57"/>
        <v>0</v>
      </c>
      <c r="S367" s="552">
        <f t="shared" si="58"/>
        <v>0</v>
      </c>
      <c r="T367" s="626">
        <f t="shared" si="51"/>
        <v>0</v>
      </c>
      <c r="U367" s="626">
        <f t="shared" si="52"/>
        <v>0</v>
      </c>
      <c r="V367" s="553">
        <f t="shared" si="53"/>
        <v>0</v>
      </c>
      <c r="W367" s="554" t="str">
        <f t="shared" si="59"/>
        <v>B</v>
      </c>
      <c r="X367" s="556"/>
      <c r="Y367" s="631">
        <f>IF(Q367=0,0,(Q367+R367)*'1.0-Contractblad'!$L$98)</f>
        <v>0</v>
      </c>
      <c r="Z367" s="632">
        <f ca="1">IF(J367=0,0,VLOOKUP(D367,'1.1a-Jaarprijzen'!$B$70:$P$124,14,FALSE)*(K367+J367))</f>
        <v>0</v>
      </c>
    </row>
    <row r="368" spans="1:26" hidden="1">
      <c r="A368" s="558"/>
      <c r="B368" s="548"/>
      <c r="C368" s="659">
        <v>3</v>
      </c>
      <c r="D368" s="549" t="s">
        <v>1468</v>
      </c>
      <c r="E368" s="660" t="s">
        <v>478</v>
      </c>
      <c r="F368" s="551" t="s">
        <v>862</v>
      </c>
      <c r="G368" s="649" t="s">
        <v>1221</v>
      </c>
      <c r="H368" s="647" t="str">
        <f t="shared" si="50"/>
        <v>entree, gang, hal, repro, kopieer, was/droogruimte</v>
      </c>
      <c r="I368" s="719" t="s">
        <v>106</v>
      </c>
      <c r="J368" s="623">
        <v>8.4</v>
      </c>
      <c r="K368" s="623"/>
      <c r="L368" s="651">
        <v>3153</v>
      </c>
      <c r="M368" s="557">
        <f t="shared" si="54"/>
        <v>103</v>
      </c>
      <c r="N368" s="453"/>
      <c r="O368" s="557">
        <f t="shared" si="55"/>
        <v>153</v>
      </c>
      <c r="P368" s="633">
        <v>1</v>
      </c>
      <c r="Q368" s="776">
        <f t="shared" si="56"/>
        <v>0</v>
      </c>
      <c r="R368" s="776">
        <f t="shared" si="57"/>
        <v>0</v>
      </c>
      <c r="S368" s="552">
        <f t="shared" si="58"/>
        <v>0</v>
      </c>
      <c r="T368" s="626">
        <f t="shared" si="51"/>
        <v>0</v>
      </c>
      <c r="U368" s="626">
        <f t="shared" si="52"/>
        <v>0</v>
      </c>
      <c r="V368" s="553">
        <f t="shared" si="53"/>
        <v>0</v>
      </c>
      <c r="W368" s="554" t="str">
        <f t="shared" si="59"/>
        <v>V</v>
      </c>
      <c r="X368" s="555"/>
      <c r="Y368" s="631">
        <f>IF(Q368=0,0,(Q368+R368)*'1.0-Contractblad'!$L$98)</f>
        <v>0</v>
      </c>
      <c r="Z368" s="632">
        <f ca="1">IF(J368=0,0,VLOOKUP(D368,'1.1a-Jaarprijzen'!$B$70:$P$124,14,FALSE)*(K368+J368))</f>
        <v>0</v>
      </c>
    </row>
    <row r="369" spans="1:26" hidden="1">
      <c r="A369" s="558"/>
      <c r="B369" s="548"/>
      <c r="C369" s="659">
        <v>3</v>
      </c>
      <c r="D369" s="549" t="s">
        <v>1468</v>
      </c>
      <c r="E369" s="660" t="s">
        <v>478</v>
      </c>
      <c r="F369" s="551" t="s">
        <v>863</v>
      </c>
      <c r="G369" s="649" t="s">
        <v>1237</v>
      </c>
      <c r="H369" s="647" t="str">
        <f t="shared" si="50"/>
        <v>trappenhuis</v>
      </c>
      <c r="I369" s="719" t="s">
        <v>1402</v>
      </c>
      <c r="J369" s="623">
        <v>3.1</v>
      </c>
      <c r="K369" s="623"/>
      <c r="L369" s="559">
        <v>9153</v>
      </c>
      <c r="M369" s="557">
        <f t="shared" si="54"/>
        <v>109</v>
      </c>
      <c r="N369" s="453"/>
      <c r="O369" s="557">
        <f t="shared" si="55"/>
        <v>153</v>
      </c>
      <c r="P369" s="633">
        <v>1</v>
      </c>
      <c r="Q369" s="776">
        <f t="shared" si="56"/>
        <v>0</v>
      </c>
      <c r="R369" s="776">
        <f t="shared" si="57"/>
        <v>0</v>
      </c>
      <c r="S369" s="552">
        <f t="shared" si="58"/>
        <v>0</v>
      </c>
      <c r="T369" s="626">
        <f t="shared" si="51"/>
        <v>0</v>
      </c>
      <c r="U369" s="626">
        <f t="shared" si="52"/>
        <v>0</v>
      </c>
      <c r="V369" s="553">
        <f t="shared" si="53"/>
        <v>0</v>
      </c>
      <c r="W369" s="554" t="str">
        <f t="shared" si="59"/>
        <v>V</v>
      </c>
      <c r="X369" s="555"/>
      <c r="Y369" s="631">
        <f>IF(Q369=0,0,(Q369+R369)*'1.0-Contractblad'!$L$98)</f>
        <v>0</v>
      </c>
      <c r="Z369" s="632">
        <f ca="1">IF(J369=0,0,VLOOKUP(D369,'1.1a-Jaarprijzen'!$B$70:$P$124,14,FALSE)*(K369+J369))</f>
        <v>0</v>
      </c>
    </row>
    <row r="370" spans="1:26" hidden="1">
      <c r="A370" s="558"/>
      <c r="B370" s="548"/>
      <c r="C370" s="659">
        <v>3</v>
      </c>
      <c r="D370" s="549" t="s">
        <v>1468</v>
      </c>
      <c r="E370" s="660" t="s">
        <v>478</v>
      </c>
      <c r="F370" s="551" t="s">
        <v>864</v>
      </c>
      <c r="G370" s="649" t="s">
        <v>1217</v>
      </c>
      <c r="H370" s="647" t="str">
        <f t="shared" si="50"/>
        <v>entree, gang, hal, repro, kopieer, was/droogruimte</v>
      </c>
      <c r="I370" s="719" t="s">
        <v>1402</v>
      </c>
      <c r="J370" s="623">
        <v>8.6999999999999993</v>
      </c>
      <c r="K370" s="623"/>
      <c r="L370" s="651">
        <v>3153</v>
      </c>
      <c r="M370" s="557">
        <f t="shared" si="54"/>
        <v>103</v>
      </c>
      <c r="N370" s="453"/>
      <c r="O370" s="557">
        <f t="shared" si="55"/>
        <v>153</v>
      </c>
      <c r="P370" s="633">
        <v>1</v>
      </c>
      <c r="Q370" s="776">
        <f t="shared" si="56"/>
        <v>0</v>
      </c>
      <c r="R370" s="776">
        <f t="shared" si="57"/>
        <v>0</v>
      </c>
      <c r="S370" s="552">
        <f t="shared" si="58"/>
        <v>0</v>
      </c>
      <c r="T370" s="626">
        <f t="shared" si="51"/>
        <v>0</v>
      </c>
      <c r="U370" s="626">
        <f t="shared" si="52"/>
        <v>0</v>
      </c>
      <c r="V370" s="553">
        <f t="shared" si="53"/>
        <v>0</v>
      </c>
      <c r="W370" s="554" t="str">
        <f t="shared" si="59"/>
        <v>V</v>
      </c>
      <c r="X370" s="555"/>
      <c r="Y370" s="631">
        <f>IF(Q370=0,0,(Q370+R370)*'1.0-Contractblad'!$L$98)</f>
        <v>0</v>
      </c>
      <c r="Z370" s="632">
        <f ca="1">IF(J370=0,0,VLOOKUP(D370,'1.1a-Jaarprijzen'!$B$70:$P$124,14,FALSE)*(K370+J370))</f>
        <v>0</v>
      </c>
    </row>
    <row r="371" spans="1:26" hidden="1">
      <c r="A371" s="558"/>
      <c r="B371" s="548"/>
      <c r="C371" s="659">
        <v>3</v>
      </c>
      <c r="D371" s="549" t="s">
        <v>1468</v>
      </c>
      <c r="E371" s="660" t="s">
        <v>478</v>
      </c>
      <c r="F371" s="551" t="s">
        <v>865</v>
      </c>
      <c r="G371" s="649" t="s">
        <v>1278</v>
      </c>
      <c r="H371" s="647" t="str">
        <f t="shared" si="50"/>
        <v>niet van toepassing</v>
      </c>
      <c r="I371" s="719"/>
      <c r="J371" s="623"/>
      <c r="K371" s="623"/>
      <c r="L371" s="668" t="s">
        <v>27</v>
      </c>
      <c r="M371" s="557">
        <f t="shared" si="54"/>
        <v>0</v>
      </c>
      <c r="N371" s="453"/>
      <c r="O371" s="557">
        <f t="shared" si="55"/>
        <v>0</v>
      </c>
      <c r="P371" s="633">
        <v>1</v>
      </c>
      <c r="Q371" s="776">
        <f t="shared" si="56"/>
        <v>0</v>
      </c>
      <c r="R371" s="776">
        <f t="shared" si="57"/>
        <v>0</v>
      </c>
      <c r="S371" s="552">
        <f t="shared" si="58"/>
        <v>0</v>
      </c>
      <c r="T371" s="626">
        <f t="shared" si="51"/>
        <v>0</v>
      </c>
      <c r="U371" s="626">
        <f t="shared" si="52"/>
        <v>0</v>
      </c>
      <c r="V371" s="553">
        <f t="shared" si="53"/>
        <v>0</v>
      </c>
      <c r="W371" s="554">
        <f t="shared" si="59"/>
        <v>0</v>
      </c>
      <c r="X371" s="454" t="s">
        <v>1454</v>
      </c>
      <c r="Y371" s="631">
        <f>IF(Q371=0,0,(Q371+R371)*'1.0-Contractblad'!$L$98)</f>
        <v>0</v>
      </c>
      <c r="Z371" s="632">
        <f>IF(J371=0,0,VLOOKUP(D371,'1.1a-Jaarprijzen'!$B$70:$P$124,14,FALSE)*(K371+J371))</f>
        <v>0</v>
      </c>
    </row>
    <row r="372" spans="1:26" hidden="1">
      <c r="A372" s="558"/>
      <c r="B372" s="548"/>
      <c r="C372" s="659">
        <v>3</v>
      </c>
      <c r="D372" s="549" t="s">
        <v>1468</v>
      </c>
      <c r="E372" s="660" t="s">
        <v>478</v>
      </c>
      <c r="F372" s="551" t="s">
        <v>866</v>
      </c>
      <c r="G372" s="649" t="s">
        <v>1279</v>
      </c>
      <c r="H372" s="647" t="str">
        <f t="shared" si="50"/>
        <v>aula, gemeenschappelijke ruimte, bibliotheek</v>
      </c>
      <c r="I372" s="719" t="s">
        <v>106</v>
      </c>
      <c r="J372" s="623">
        <v>9.6999999999999993</v>
      </c>
      <c r="K372" s="623"/>
      <c r="L372" s="559">
        <v>2153</v>
      </c>
      <c r="M372" s="557">
        <f t="shared" si="54"/>
        <v>102</v>
      </c>
      <c r="N372" s="453"/>
      <c r="O372" s="557">
        <f t="shared" si="55"/>
        <v>153</v>
      </c>
      <c r="P372" s="633">
        <v>1</v>
      </c>
      <c r="Q372" s="776">
        <f t="shared" si="56"/>
        <v>0</v>
      </c>
      <c r="R372" s="776">
        <f t="shared" si="57"/>
        <v>0</v>
      </c>
      <c r="S372" s="552">
        <f t="shared" si="58"/>
        <v>0</v>
      </c>
      <c r="T372" s="626">
        <f t="shared" si="51"/>
        <v>0</v>
      </c>
      <c r="U372" s="626">
        <f t="shared" si="52"/>
        <v>0</v>
      </c>
      <c r="V372" s="553">
        <f t="shared" si="53"/>
        <v>0</v>
      </c>
      <c r="W372" s="554" t="str">
        <f t="shared" si="59"/>
        <v>V</v>
      </c>
      <c r="X372" s="556"/>
      <c r="Y372" s="631">
        <f>IF(Q372=0,0,(Q372+R372)*'1.0-Contractblad'!$L$98)</f>
        <v>0</v>
      </c>
      <c r="Z372" s="632">
        <f ca="1">IF(J372=0,0,VLOOKUP(D372,'1.1a-Jaarprijzen'!$B$70:$P$124,14,FALSE)*(K372+J372))</f>
        <v>0</v>
      </c>
    </row>
    <row r="373" spans="1:26" hidden="1">
      <c r="A373" s="558"/>
      <c r="B373" s="548"/>
      <c r="C373" s="659">
        <v>3</v>
      </c>
      <c r="D373" s="549" t="s">
        <v>1468</v>
      </c>
      <c r="E373" s="660" t="s">
        <v>478</v>
      </c>
      <c r="F373" s="551" t="s">
        <v>867</v>
      </c>
      <c r="G373" s="649" t="s">
        <v>1277</v>
      </c>
      <c r="H373" s="647" t="str">
        <f t="shared" si="50"/>
        <v>sanitaire ruimte (toilet-/doucheruimte)</v>
      </c>
      <c r="I373" s="719" t="s">
        <v>84</v>
      </c>
      <c r="J373" s="623">
        <v>5.0999999999999996</v>
      </c>
      <c r="K373" s="623"/>
      <c r="L373" s="559">
        <v>4255</v>
      </c>
      <c r="M373" s="557">
        <f t="shared" si="54"/>
        <v>104</v>
      </c>
      <c r="N373" s="453"/>
      <c r="O373" s="557">
        <f t="shared" si="55"/>
        <v>255</v>
      </c>
      <c r="P373" s="633">
        <v>1</v>
      </c>
      <c r="Q373" s="776">
        <f t="shared" si="56"/>
        <v>0</v>
      </c>
      <c r="R373" s="776">
        <f t="shared" si="57"/>
        <v>0</v>
      </c>
      <c r="S373" s="552">
        <f t="shared" si="58"/>
        <v>0</v>
      </c>
      <c r="T373" s="626">
        <f t="shared" si="51"/>
        <v>0</v>
      </c>
      <c r="U373" s="626">
        <f t="shared" si="52"/>
        <v>0</v>
      </c>
      <c r="V373" s="553">
        <f t="shared" si="53"/>
        <v>0</v>
      </c>
      <c r="W373" s="554" t="str">
        <f t="shared" si="59"/>
        <v>S</v>
      </c>
      <c r="X373" s="555"/>
      <c r="Y373" s="631">
        <f>IF(Q373=0,0,(Q373+R373)*'1.0-Contractblad'!$L$98)</f>
        <v>0</v>
      </c>
      <c r="Z373" s="632">
        <f ca="1">IF(J373=0,0,VLOOKUP(D373,'1.1a-Jaarprijzen'!$B$70:$P$124,14,FALSE)*(K373+J373))</f>
        <v>0</v>
      </c>
    </row>
    <row r="374" spans="1:26" hidden="1">
      <c r="A374" s="558"/>
      <c r="B374" s="548"/>
      <c r="C374" s="659">
        <v>3</v>
      </c>
      <c r="D374" s="549" t="s">
        <v>1468</v>
      </c>
      <c r="E374" s="660" t="s">
        <v>478</v>
      </c>
      <c r="F374" s="551" t="s">
        <v>868</v>
      </c>
      <c r="G374" s="649" t="s">
        <v>1243</v>
      </c>
      <c r="H374" s="647" t="str">
        <f t="shared" si="50"/>
        <v>administratieve -, personeels- en vergaderruimte</v>
      </c>
      <c r="I374" s="719" t="s">
        <v>106</v>
      </c>
      <c r="J374" s="623">
        <v>19.2</v>
      </c>
      <c r="K374" s="623"/>
      <c r="L374" s="651">
        <v>1153</v>
      </c>
      <c r="M374" s="557">
        <f t="shared" si="54"/>
        <v>101</v>
      </c>
      <c r="N374" s="453"/>
      <c r="O374" s="557">
        <f t="shared" si="55"/>
        <v>153</v>
      </c>
      <c r="P374" s="633">
        <v>1</v>
      </c>
      <c r="Q374" s="776">
        <f t="shared" si="56"/>
        <v>0</v>
      </c>
      <c r="R374" s="776">
        <f t="shared" si="57"/>
        <v>0</v>
      </c>
      <c r="S374" s="552">
        <f t="shared" si="58"/>
        <v>0</v>
      </c>
      <c r="T374" s="626">
        <f t="shared" si="51"/>
        <v>0</v>
      </c>
      <c r="U374" s="626">
        <f t="shared" si="52"/>
        <v>0</v>
      </c>
      <c r="V374" s="553">
        <f t="shared" si="53"/>
        <v>0</v>
      </c>
      <c r="W374" s="554" t="str">
        <f t="shared" si="59"/>
        <v>B</v>
      </c>
      <c r="X374" s="556"/>
      <c r="Y374" s="631">
        <f>IF(Q374=0,0,(Q374+R374)*'1.0-Contractblad'!$L$98)</f>
        <v>0</v>
      </c>
      <c r="Z374" s="632">
        <f ca="1">IF(J374=0,0,VLOOKUP(D374,'1.1a-Jaarprijzen'!$B$70:$P$124,14,FALSE)*(K374+J374))</f>
        <v>0</v>
      </c>
    </row>
    <row r="375" spans="1:26" hidden="1">
      <c r="A375" s="558"/>
      <c r="B375" s="548"/>
      <c r="C375" s="659">
        <v>3</v>
      </c>
      <c r="D375" s="549" t="s">
        <v>1474</v>
      </c>
      <c r="E375" s="660" t="s">
        <v>478</v>
      </c>
      <c r="F375" s="551" t="s">
        <v>869</v>
      </c>
      <c r="G375" s="649" t="s">
        <v>1237</v>
      </c>
      <c r="H375" s="647" t="str">
        <f t="shared" si="50"/>
        <v>trappenhuis</v>
      </c>
      <c r="I375" s="719" t="s">
        <v>1402</v>
      </c>
      <c r="J375" s="623">
        <v>5.7</v>
      </c>
      <c r="K375" s="623"/>
      <c r="L375" s="559">
        <v>9153</v>
      </c>
      <c r="M375" s="557">
        <f t="shared" si="54"/>
        <v>109</v>
      </c>
      <c r="N375" s="453"/>
      <c r="O375" s="557">
        <f t="shared" si="55"/>
        <v>153</v>
      </c>
      <c r="P375" s="633">
        <v>1</v>
      </c>
      <c r="Q375" s="776">
        <f t="shared" si="56"/>
        <v>0</v>
      </c>
      <c r="R375" s="776">
        <f t="shared" si="57"/>
        <v>0</v>
      </c>
      <c r="S375" s="552">
        <f t="shared" si="58"/>
        <v>0</v>
      </c>
      <c r="T375" s="626">
        <f t="shared" si="51"/>
        <v>0</v>
      </c>
      <c r="U375" s="626">
        <f t="shared" si="52"/>
        <v>0</v>
      </c>
      <c r="V375" s="553">
        <f t="shared" si="53"/>
        <v>0</v>
      </c>
      <c r="W375" s="554" t="str">
        <f t="shared" si="59"/>
        <v>V</v>
      </c>
      <c r="X375" s="555"/>
      <c r="Y375" s="631">
        <f>IF(Q375=0,0,(Q375+R375)*'1.0-Contractblad'!$L$98)</f>
        <v>0</v>
      </c>
      <c r="Z375" s="632">
        <f ca="1">IF(J375=0,0,VLOOKUP(D375,'1.1a-Jaarprijzen'!$B$70:$P$124,14,FALSE)*(K375+J375))</f>
        <v>0</v>
      </c>
    </row>
    <row r="376" spans="1:26" hidden="1">
      <c r="A376" s="558"/>
      <c r="B376" s="548"/>
      <c r="C376" s="659">
        <v>3</v>
      </c>
      <c r="D376" s="549" t="s">
        <v>1474</v>
      </c>
      <c r="E376" s="660" t="s">
        <v>478</v>
      </c>
      <c r="F376" s="551" t="s">
        <v>870</v>
      </c>
      <c r="G376" s="649" t="s">
        <v>1217</v>
      </c>
      <c r="H376" s="647" t="str">
        <f t="shared" si="50"/>
        <v>entree, gang, hal, repro, kopieer, was/droogruimte</v>
      </c>
      <c r="I376" s="719" t="s">
        <v>106</v>
      </c>
      <c r="J376" s="623">
        <v>9.8000000000000007</v>
      </c>
      <c r="K376" s="623"/>
      <c r="L376" s="651">
        <v>3153</v>
      </c>
      <c r="M376" s="557">
        <f t="shared" si="54"/>
        <v>103</v>
      </c>
      <c r="N376" s="453"/>
      <c r="O376" s="557">
        <f t="shared" si="55"/>
        <v>153</v>
      </c>
      <c r="P376" s="633">
        <v>1</v>
      </c>
      <c r="Q376" s="776">
        <f t="shared" si="56"/>
        <v>0</v>
      </c>
      <c r="R376" s="776">
        <f t="shared" si="57"/>
        <v>0</v>
      </c>
      <c r="S376" s="552">
        <f t="shared" si="58"/>
        <v>0</v>
      </c>
      <c r="T376" s="626">
        <f t="shared" si="51"/>
        <v>0</v>
      </c>
      <c r="U376" s="626">
        <f t="shared" si="52"/>
        <v>0</v>
      </c>
      <c r="V376" s="553">
        <f t="shared" si="53"/>
        <v>0</v>
      </c>
      <c r="W376" s="554" t="str">
        <f t="shared" si="59"/>
        <v>V</v>
      </c>
      <c r="X376" s="555"/>
      <c r="Y376" s="631">
        <f>IF(Q376=0,0,(Q376+R376)*'1.0-Contractblad'!$L$98)</f>
        <v>0</v>
      </c>
      <c r="Z376" s="632">
        <f ca="1">IF(J376=0,0,VLOOKUP(D376,'1.1a-Jaarprijzen'!$B$70:$P$124,14,FALSE)*(K376+J376))</f>
        <v>0</v>
      </c>
    </row>
    <row r="377" spans="1:26" hidden="1">
      <c r="A377" s="558"/>
      <c r="B377" s="548"/>
      <c r="C377" s="659">
        <v>3</v>
      </c>
      <c r="D377" s="549" t="s">
        <v>1474</v>
      </c>
      <c r="E377" s="660" t="s">
        <v>478</v>
      </c>
      <c r="F377" s="551" t="s">
        <v>871</v>
      </c>
      <c r="G377" s="649" t="s">
        <v>1221</v>
      </c>
      <c r="H377" s="647" t="str">
        <f t="shared" si="50"/>
        <v>entree, gang, hal, repro, kopieer, was/droogruimte</v>
      </c>
      <c r="I377" s="719" t="s">
        <v>106</v>
      </c>
      <c r="J377" s="623">
        <v>46.8</v>
      </c>
      <c r="K377" s="623"/>
      <c r="L377" s="651">
        <v>3153</v>
      </c>
      <c r="M377" s="557">
        <f t="shared" si="54"/>
        <v>103</v>
      </c>
      <c r="N377" s="453"/>
      <c r="O377" s="557">
        <f t="shared" si="55"/>
        <v>153</v>
      </c>
      <c r="P377" s="633">
        <v>1</v>
      </c>
      <c r="Q377" s="776">
        <f t="shared" si="56"/>
        <v>0</v>
      </c>
      <c r="R377" s="776">
        <f t="shared" si="57"/>
        <v>0</v>
      </c>
      <c r="S377" s="552">
        <f t="shared" si="58"/>
        <v>0</v>
      </c>
      <c r="T377" s="626">
        <f t="shared" si="51"/>
        <v>0</v>
      </c>
      <c r="U377" s="626">
        <f t="shared" si="52"/>
        <v>0</v>
      </c>
      <c r="V377" s="553">
        <f t="shared" si="53"/>
        <v>0</v>
      </c>
      <c r="W377" s="554" t="str">
        <f t="shared" si="59"/>
        <v>V</v>
      </c>
      <c r="X377" s="555"/>
      <c r="Y377" s="631">
        <f>IF(Q377=0,0,(Q377+R377)*'1.0-Contractblad'!$L$98)</f>
        <v>0</v>
      </c>
      <c r="Z377" s="632">
        <f ca="1">IF(J377=0,0,VLOOKUP(D377,'1.1a-Jaarprijzen'!$B$70:$P$124,14,FALSE)*(K377+J377))</f>
        <v>0</v>
      </c>
    </row>
    <row r="378" spans="1:26" hidden="1">
      <c r="A378" s="558"/>
      <c r="B378" s="701"/>
      <c r="C378" s="659">
        <v>3</v>
      </c>
      <c r="D378" s="549" t="s">
        <v>1474</v>
      </c>
      <c r="E378" s="660" t="s">
        <v>478</v>
      </c>
      <c r="F378" s="551" t="s">
        <v>872</v>
      </c>
      <c r="G378" s="649" t="s">
        <v>1270</v>
      </c>
      <c r="H378" s="647" t="str">
        <f t="shared" si="50"/>
        <v>niet van toepassing</v>
      </c>
      <c r="I378" s="719" t="s">
        <v>106</v>
      </c>
      <c r="J378" s="650"/>
      <c r="K378" s="650"/>
      <c r="L378" s="668" t="s">
        <v>27</v>
      </c>
      <c r="M378" s="557">
        <f t="shared" si="54"/>
        <v>0</v>
      </c>
      <c r="N378" s="453"/>
      <c r="O378" s="557">
        <f t="shared" si="55"/>
        <v>0</v>
      </c>
      <c r="P378" s="633">
        <v>1</v>
      </c>
      <c r="Q378" s="776">
        <f t="shared" si="56"/>
        <v>0</v>
      </c>
      <c r="R378" s="776">
        <f t="shared" si="57"/>
        <v>0</v>
      </c>
      <c r="S378" s="552">
        <f t="shared" si="58"/>
        <v>0</v>
      </c>
      <c r="T378" s="626">
        <f t="shared" si="51"/>
        <v>0</v>
      </c>
      <c r="U378" s="626">
        <f t="shared" si="52"/>
        <v>0</v>
      </c>
      <c r="V378" s="553">
        <f t="shared" si="53"/>
        <v>0</v>
      </c>
      <c r="W378" s="554">
        <f t="shared" si="59"/>
        <v>0</v>
      </c>
      <c r="X378" s="454" t="s">
        <v>1454</v>
      </c>
      <c r="Y378" s="631">
        <f>IF(Q378=0,0,(Q378+R378)*'1.0-Contractblad'!$L$98)</f>
        <v>0</v>
      </c>
      <c r="Z378" s="632">
        <f>IF(J378=0,0,VLOOKUP(D378,'1.1a-Jaarprijzen'!$B$70:$P$124,14,FALSE)*(K378+J378))</f>
        <v>0</v>
      </c>
    </row>
    <row r="379" spans="1:26" hidden="1">
      <c r="A379" s="558"/>
      <c r="B379" s="548"/>
      <c r="C379" s="659">
        <v>3</v>
      </c>
      <c r="D379" s="549" t="s">
        <v>1474</v>
      </c>
      <c r="E379" s="660" t="s">
        <v>478</v>
      </c>
      <c r="F379" s="551" t="s">
        <v>873</v>
      </c>
      <c r="G379" s="649" t="s">
        <v>1235</v>
      </c>
      <c r="H379" s="647" t="str">
        <f t="shared" si="50"/>
        <v>niet van toepassing</v>
      </c>
      <c r="I379" s="719" t="s">
        <v>106</v>
      </c>
      <c r="J379" s="623"/>
      <c r="K379" s="623"/>
      <c r="L379" s="668" t="s">
        <v>27</v>
      </c>
      <c r="M379" s="557">
        <f t="shared" si="54"/>
        <v>0</v>
      </c>
      <c r="N379" s="453"/>
      <c r="O379" s="557">
        <f t="shared" si="55"/>
        <v>0</v>
      </c>
      <c r="P379" s="633">
        <v>1</v>
      </c>
      <c r="Q379" s="776">
        <f t="shared" si="56"/>
        <v>0</v>
      </c>
      <c r="R379" s="776">
        <f t="shared" si="57"/>
        <v>0</v>
      </c>
      <c r="S379" s="552">
        <f t="shared" si="58"/>
        <v>0</v>
      </c>
      <c r="T379" s="626">
        <f t="shared" si="51"/>
        <v>0</v>
      </c>
      <c r="U379" s="626">
        <f t="shared" si="52"/>
        <v>0</v>
      </c>
      <c r="V379" s="553">
        <f t="shared" si="53"/>
        <v>0</v>
      </c>
      <c r="W379" s="554">
        <f t="shared" si="59"/>
        <v>0</v>
      </c>
      <c r="X379" s="454" t="s">
        <v>1454</v>
      </c>
      <c r="Y379" s="631">
        <f>IF(Q379=0,0,(Q379+R379)*'1.0-Contractblad'!$L$98)</f>
        <v>0</v>
      </c>
      <c r="Z379" s="632">
        <f>IF(J379=0,0,VLOOKUP(D379,'1.1a-Jaarprijzen'!$B$70:$P$124,14,FALSE)*(K379+J379))</f>
        <v>0</v>
      </c>
    </row>
    <row r="380" spans="1:26" hidden="1">
      <c r="A380" s="558"/>
      <c r="B380" s="548"/>
      <c r="C380" s="659">
        <v>3</v>
      </c>
      <c r="D380" s="549" t="s">
        <v>1474</v>
      </c>
      <c r="E380" s="660" t="s">
        <v>478</v>
      </c>
      <c r="F380" s="551" t="s">
        <v>874</v>
      </c>
      <c r="G380" s="649" t="s">
        <v>1271</v>
      </c>
      <c r="H380" s="647" t="str">
        <f t="shared" si="50"/>
        <v>niet van toepassing</v>
      </c>
      <c r="I380" s="719" t="s">
        <v>106</v>
      </c>
      <c r="J380" s="623"/>
      <c r="K380" s="623"/>
      <c r="L380" s="668" t="s">
        <v>27</v>
      </c>
      <c r="M380" s="557">
        <f t="shared" si="54"/>
        <v>0</v>
      </c>
      <c r="N380" s="453"/>
      <c r="O380" s="557">
        <f t="shared" si="55"/>
        <v>0</v>
      </c>
      <c r="P380" s="633">
        <v>1</v>
      </c>
      <c r="Q380" s="776">
        <f t="shared" si="56"/>
        <v>0</v>
      </c>
      <c r="R380" s="776">
        <f t="shared" si="57"/>
        <v>0</v>
      </c>
      <c r="S380" s="552">
        <f t="shared" si="58"/>
        <v>0</v>
      </c>
      <c r="T380" s="626">
        <f t="shared" si="51"/>
        <v>0</v>
      </c>
      <c r="U380" s="626">
        <f t="shared" si="52"/>
        <v>0</v>
      </c>
      <c r="V380" s="553">
        <f t="shared" si="53"/>
        <v>0</v>
      </c>
      <c r="W380" s="554">
        <f t="shared" si="59"/>
        <v>0</v>
      </c>
      <c r="X380" s="454" t="s">
        <v>1454</v>
      </c>
      <c r="Y380" s="631">
        <f>IF(Q380=0,0,(Q380+R380)*'1.0-Contractblad'!$L$98)</f>
        <v>0</v>
      </c>
      <c r="Z380" s="632">
        <f>IF(J380=0,0,VLOOKUP(D380,'1.1a-Jaarprijzen'!$B$70:$P$124,14,FALSE)*(K380+J380))</f>
        <v>0</v>
      </c>
    </row>
    <row r="381" spans="1:26" hidden="1">
      <c r="A381" s="558"/>
      <c r="B381" s="548"/>
      <c r="C381" s="659">
        <v>3</v>
      </c>
      <c r="D381" s="549" t="s">
        <v>1474</v>
      </c>
      <c r="E381" s="660" t="s">
        <v>478</v>
      </c>
      <c r="F381" s="551" t="s">
        <v>875</v>
      </c>
      <c r="G381" s="649" t="s">
        <v>1271</v>
      </c>
      <c r="H381" s="647" t="str">
        <f t="shared" si="50"/>
        <v>niet van toepassing</v>
      </c>
      <c r="I381" s="719" t="s">
        <v>106</v>
      </c>
      <c r="J381" s="623"/>
      <c r="K381" s="623"/>
      <c r="L381" s="668" t="s">
        <v>27</v>
      </c>
      <c r="M381" s="557">
        <f t="shared" si="54"/>
        <v>0</v>
      </c>
      <c r="N381" s="453"/>
      <c r="O381" s="557">
        <f t="shared" si="55"/>
        <v>0</v>
      </c>
      <c r="P381" s="633">
        <v>1</v>
      </c>
      <c r="Q381" s="776">
        <f t="shared" si="56"/>
        <v>0</v>
      </c>
      <c r="R381" s="776">
        <f t="shared" si="57"/>
        <v>0</v>
      </c>
      <c r="S381" s="552">
        <f t="shared" si="58"/>
        <v>0</v>
      </c>
      <c r="T381" s="626">
        <f t="shared" si="51"/>
        <v>0</v>
      </c>
      <c r="U381" s="626">
        <f t="shared" si="52"/>
        <v>0</v>
      </c>
      <c r="V381" s="553">
        <f t="shared" si="53"/>
        <v>0</v>
      </c>
      <c r="W381" s="554">
        <f t="shared" si="59"/>
        <v>0</v>
      </c>
      <c r="X381" s="454" t="s">
        <v>1454</v>
      </c>
      <c r="Y381" s="631">
        <f>IF(Q381=0,0,(Q381+R381)*'1.0-Contractblad'!$L$98)</f>
        <v>0</v>
      </c>
      <c r="Z381" s="632">
        <f>IF(J381=0,0,VLOOKUP(D381,'1.1a-Jaarprijzen'!$B$70:$P$124,14,FALSE)*(K381+J381))</f>
        <v>0</v>
      </c>
    </row>
    <row r="382" spans="1:26" hidden="1">
      <c r="A382" s="558"/>
      <c r="B382" s="548"/>
      <c r="C382" s="659">
        <v>3</v>
      </c>
      <c r="D382" s="549" t="s">
        <v>1474</v>
      </c>
      <c r="E382" s="660" t="s">
        <v>478</v>
      </c>
      <c r="F382" s="551" t="s">
        <v>876</v>
      </c>
      <c r="G382" s="649" t="s">
        <v>1271</v>
      </c>
      <c r="H382" s="647" t="str">
        <f t="shared" si="50"/>
        <v>niet van toepassing</v>
      </c>
      <c r="I382" s="719" t="s">
        <v>106</v>
      </c>
      <c r="J382" s="623"/>
      <c r="K382" s="623"/>
      <c r="L382" s="668" t="s">
        <v>27</v>
      </c>
      <c r="M382" s="557">
        <f t="shared" si="54"/>
        <v>0</v>
      </c>
      <c r="N382" s="453"/>
      <c r="O382" s="557">
        <f t="shared" si="55"/>
        <v>0</v>
      </c>
      <c r="P382" s="633">
        <v>1</v>
      </c>
      <c r="Q382" s="776">
        <f t="shared" si="56"/>
        <v>0</v>
      </c>
      <c r="R382" s="776">
        <f t="shared" si="57"/>
        <v>0</v>
      </c>
      <c r="S382" s="552">
        <f t="shared" si="58"/>
        <v>0</v>
      </c>
      <c r="T382" s="626">
        <f t="shared" si="51"/>
        <v>0</v>
      </c>
      <c r="U382" s="626">
        <f t="shared" si="52"/>
        <v>0</v>
      </c>
      <c r="V382" s="553">
        <f t="shared" si="53"/>
        <v>0</v>
      </c>
      <c r="W382" s="554">
        <f t="shared" si="59"/>
        <v>0</v>
      </c>
      <c r="X382" s="454" t="s">
        <v>1454</v>
      </c>
      <c r="Y382" s="631">
        <f>IF(Q382=0,0,(Q382+R382)*'1.0-Contractblad'!$L$98)</f>
        <v>0</v>
      </c>
      <c r="Z382" s="632">
        <f>IF(J382=0,0,VLOOKUP(D382,'1.1a-Jaarprijzen'!$B$70:$P$124,14,FALSE)*(K382+J382))</f>
        <v>0</v>
      </c>
    </row>
    <row r="383" spans="1:26" hidden="1">
      <c r="A383" s="558"/>
      <c r="B383" s="548"/>
      <c r="C383" s="659">
        <v>3</v>
      </c>
      <c r="D383" s="549" t="s">
        <v>1474</v>
      </c>
      <c r="E383" s="660" t="s">
        <v>478</v>
      </c>
      <c r="F383" s="551" t="s">
        <v>877</v>
      </c>
      <c r="G383" s="649" t="s">
        <v>1271</v>
      </c>
      <c r="H383" s="647" t="str">
        <f t="shared" si="50"/>
        <v>niet van toepassing</v>
      </c>
      <c r="I383" s="719" t="s">
        <v>106</v>
      </c>
      <c r="J383" s="623"/>
      <c r="K383" s="623"/>
      <c r="L383" s="668" t="s">
        <v>27</v>
      </c>
      <c r="M383" s="557">
        <f t="shared" si="54"/>
        <v>0</v>
      </c>
      <c r="N383" s="453"/>
      <c r="O383" s="557">
        <f t="shared" si="55"/>
        <v>0</v>
      </c>
      <c r="P383" s="633">
        <v>1</v>
      </c>
      <c r="Q383" s="776">
        <f t="shared" si="56"/>
        <v>0</v>
      </c>
      <c r="R383" s="776">
        <f t="shared" si="57"/>
        <v>0</v>
      </c>
      <c r="S383" s="552">
        <f t="shared" si="58"/>
        <v>0</v>
      </c>
      <c r="T383" s="626">
        <f t="shared" si="51"/>
        <v>0</v>
      </c>
      <c r="U383" s="626">
        <f t="shared" si="52"/>
        <v>0</v>
      </c>
      <c r="V383" s="553">
        <f t="shared" si="53"/>
        <v>0</v>
      </c>
      <c r="W383" s="554">
        <f t="shared" si="59"/>
        <v>0</v>
      </c>
      <c r="X383" s="454" t="s">
        <v>1454</v>
      </c>
      <c r="Y383" s="631">
        <f>IF(Q383=0,0,(Q383+R383)*'1.0-Contractblad'!$L$98)</f>
        <v>0</v>
      </c>
      <c r="Z383" s="632">
        <f>IF(J383=0,0,VLOOKUP(D383,'1.1a-Jaarprijzen'!$B$70:$P$124,14,FALSE)*(K383+J383))</f>
        <v>0</v>
      </c>
    </row>
    <row r="384" spans="1:26" hidden="1">
      <c r="A384" s="558"/>
      <c r="B384" s="548"/>
      <c r="C384" s="659">
        <v>3</v>
      </c>
      <c r="D384" s="549" t="s">
        <v>1474</v>
      </c>
      <c r="E384" s="660" t="s">
        <v>478</v>
      </c>
      <c r="F384" s="551" t="s">
        <v>878</v>
      </c>
      <c r="G384" s="649" t="s">
        <v>1271</v>
      </c>
      <c r="H384" s="647" t="str">
        <f t="shared" si="50"/>
        <v>niet van toepassing</v>
      </c>
      <c r="I384" s="719" t="s">
        <v>106</v>
      </c>
      <c r="J384" s="623"/>
      <c r="K384" s="623"/>
      <c r="L384" s="668" t="s">
        <v>27</v>
      </c>
      <c r="M384" s="557">
        <f t="shared" si="54"/>
        <v>0</v>
      </c>
      <c r="N384" s="453"/>
      <c r="O384" s="557">
        <f t="shared" si="55"/>
        <v>0</v>
      </c>
      <c r="P384" s="633">
        <v>1</v>
      </c>
      <c r="Q384" s="776">
        <f t="shared" si="56"/>
        <v>0</v>
      </c>
      <c r="R384" s="776">
        <f t="shared" si="57"/>
        <v>0</v>
      </c>
      <c r="S384" s="552">
        <f t="shared" si="58"/>
        <v>0</v>
      </c>
      <c r="T384" s="626">
        <f t="shared" si="51"/>
        <v>0</v>
      </c>
      <c r="U384" s="626">
        <f t="shared" si="52"/>
        <v>0</v>
      </c>
      <c r="V384" s="553">
        <f t="shared" si="53"/>
        <v>0</v>
      </c>
      <c r="W384" s="554">
        <f t="shared" si="59"/>
        <v>0</v>
      </c>
      <c r="X384" s="454" t="s">
        <v>1454</v>
      </c>
      <c r="Y384" s="631">
        <f>IF(Q384=0,0,(Q384+R384)*'1.0-Contractblad'!$L$98)</f>
        <v>0</v>
      </c>
      <c r="Z384" s="632">
        <f>IF(J384=0,0,VLOOKUP(D384,'1.1a-Jaarprijzen'!$B$70:$P$124,14,FALSE)*(K384+J384))</f>
        <v>0</v>
      </c>
    </row>
    <row r="385" spans="1:26" hidden="1">
      <c r="A385" s="558"/>
      <c r="B385" s="548"/>
      <c r="C385" s="659">
        <v>3</v>
      </c>
      <c r="D385" s="549" t="s">
        <v>1474</v>
      </c>
      <c r="E385" s="660" t="s">
        <v>478</v>
      </c>
      <c r="F385" s="551" t="s">
        <v>879</v>
      </c>
      <c r="G385" s="649" t="s">
        <v>1271</v>
      </c>
      <c r="H385" s="647" t="str">
        <f t="shared" si="50"/>
        <v>niet van toepassing</v>
      </c>
      <c r="I385" s="719" t="s">
        <v>106</v>
      </c>
      <c r="J385" s="623"/>
      <c r="K385" s="623"/>
      <c r="L385" s="668" t="s">
        <v>27</v>
      </c>
      <c r="M385" s="557">
        <f t="shared" si="54"/>
        <v>0</v>
      </c>
      <c r="N385" s="453"/>
      <c r="O385" s="557">
        <f t="shared" si="55"/>
        <v>0</v>
      </c>
      <c r="P385" s="633">
        <v>1</v>
      </c>
      <c r="Q385" s="776">
        <f t="shared" si="56"/>
        <v>0</v>
      </c>
      <c r="R385" s="776">
        <f t="shared" si="57"/>
        <v>0</v>
      </c>
      <c r="S385" s="552">
        <f t="shared" si="58"/>
        <v>0</v>
      </c>
      <c r="T385" s="626">
        <f t="shared" si="51"/>
        <v>0</v>
      </c>
      <c r="U385" s="626">
        <f t="shared" si="52"/>
        <v>0</v>
      </c>
      <c r="V385" s="553">
        <f t="shared" si="53"/>
        <v>0</v>
      </c>
      <c r="W385" s="554">
        <f t="shared" si="59"/>
        <v>0</v>
      </c>
      <c r="X385" s="454" t="s">
        <v>1454</v>
      </c>
      <c r="Y385" s="631">
        <f>IF(Q385=0,0,(Q385+R385)*'1.0-Contractblad'!$L$98)</f>
        <v>0</v>
      </c>
      <c r="Z385" s="632">
        <f>IF(J385=0,0,VLOOKUP(D385,'1.1a-Jaarprijzen'!$B$70:$P$124,14,FALSE)*(K385+J385))</f>
        <v>0</v>
      </c>
    </row>
    <row r="386" spans="1:26" hidden="1">
      <c r="A386" s="558"/>
      <c r="B386" s="548"/>
      <c r="C386" s="659">
        <v>3</v>
      </c>
      <c r="D386" s="549" t="s">
        <v>1474</v>
      </c>
      <c r="E386" s="660" t="s">
        <v>478</v>
      </c>
      <c r="F386" s="551" t="s">
        <v>880</v>
      </c>
      <c r="G386" s="649" t="s">
        <v>1271</v>
      </c>
      <c r="H386" s="647" t="str">
        <f t="shared" si="50"/>
        <v>niet van toepassing</v>
      </c>
      <c r="I386" s="719" t="s">
        <v>106</v>
      </c>
      <c r="J386" s="623"/>
      <c r="K386" s="623"/>
      <c r="L386" s="668" t="s">
        <v>27</v>
      </c>
      <c r="M386" s="557">
        <f t="shared" si="54"/>
        <v>0</v>
      </c>
      <c r="N386" s="453"/>
      <c r="O386" s="557">
        <f t="shared" si="55"/>
        <v>0</v>
      </c>
      <c r="P386" s="633">
        <v>1</v>
      </c>
      <c r="Q386" s="776">
        <f t="shared" si="56"/>
        <v>0</v>
      </c>
      <c r="R386" s="776">
        <f t="shared" si="57"/>
        <v>0</v>
      </c>
      <c r="S386" s="552">
        <f t="shared" si="58"/>
        <v>0</v>
      </c>
      <c r="T386" s="626">
        <f t="shared" si="51"/>
        <v>0</v>
      </c>
      <c r="U386" s="626">
        <f t="shared" si="52"/>
        <v>0</v>
      </c>
      <c r="V386" s="553">
        <f t="shared" si="53"/>
        <v>0</v>
      </c>
      <c r="W386" s="554">
        <f t="shared" si="59"/>
        <v>0</v>
      </c>
      <c r="X386" s="454" t="s">
        <v>1454</v>
      </c>
      <c r="Y386" s="631">
        <f>IF(Q386=0,0,(Q386+R386)*'1.0-Contractblad'!$L$98)</f>
        <v>0</v>
      </c>
      <c r="Z386" s="632">
        <f>IF(J386=0,0,VLOOKUP(D386,'1.1a-Jaarprijzen'!$B$70:$P$124,14,FALSE)*(K386+J386))</f>
        <v>0</v>
      </c>
    </row>
    <row r="387" spans="1:26" hidden="1">
      <c r="A387" s="558"/>
      <c r="B387" s="548"/>
      <c r="C387" s="659">
        <v>3</v>
      </c>
      <c r="D387" s="549" t="s">
        <v>1474</v>
      </c>
      <c r="E387" s="660" t="s">
        <v>478</v>
      </c>
      <c r="F387" s="551" t="s">
        <v>881</v>
      </c>
      <c r="G387" s="649" t="s">
        <v>1271</v>
      </c>
      <c r="H387" s="647" t="str">
        <f t="shared" ref="H387:H450" si="60">IF(L387="","",VLOOKUP(L387,Kengetal,4,FALSE))</f>
        <v>niet van toepassing</v>
      </c>
      <c r="I387" s="719" t="s">
        <v>106</v>
      </c>
      <c r="J387" s="623"/>
      <c r="K387" s="623"/>
      <c r="L387" s="668" t="s">
        <v>27</v>
      </c>
      <c r="M387" s="557">
        <f t="shared" si="54"/>
        <v>0</v>
      </c>
      <c r="N387" s="453"/>
      <c r="O387" s="557">
        <f t="shared" si="55"/>
        <v>0</v>
      </c>
      <c r="P387" s="633">
        <v>1</v>
      </c>
      <c r="Q387" s="776">
        <f t="shared" si="56"/>
        <v>0</v>
      </c>
      <c r="R387" s="776">
        <f t="shared" si="57"/>
        <v>0</v>
      </c>
      <c r="S387" s="552">
        <f t="shared" si="58"/>
        <v>0</v>
      </c>
      <c r="T387" s="626">
        <f t="shared" si="51"/>
        <v>0</v>
      </c>
      <c r="U387" s="626">
        <f t="shared" si="52"/>
        <v>0</v>
      </c>
      <c r="V387" s="553">
        <f t="shared" si="53"/>
        <v>0</v>
      </c>
      <c r="W387" s="554">
        <f t="shared" si="59"/>
        <v>0</v>
      </c>
      <c r="X387" s="454" t="s">
        <v>1454</v>
      </c>
      <c r="Y387" s="631">
        <f>IF(Q387=0,0,(Q387+R387)*'1.0-Contractblad'!$L$98)</f>
        <v>0</v>
      </c>
      <c r="Z387" s="632">
        <f>IF(J387=0,0,VLOOKUP(D387,'1.1a-Jaarprijzen'!$B$70:$P$124,14,FALSE)*(K387+J387))</f>
        <v>0</v>
      </c>
    </row>
    <row r="388" spans="1:26" hidden="1">
      <c r="A388" s="558"/>
      <c r="B388" s="548"/>
      <c r="C388" s="659">
        <v>3</v>
      </c>
      <c r="D388" s="549" t="s">
        <v>1474</v>
      </c>
      <c r="E388" s="660" t="s">
        <v>478</v>
      </c>
      <c r="F388" s="551" t="s">
        <v>882</v>
      </c>
      <c r="G388" s="649" t="s">
        <v>486</v>
      </c>
      <c r="H388" s="647" t="str">
        <f t="shared" si="60"/>
        <v>niet van toepassing</v>
      </c>
      <c r="I388" s="719"/>
      <c r="J388" s="623"/>
      <c r="K388" s="623"/>
      <c r="L388" s="668" t="s">
        <v>27</v>
      </c>
      <c r="M388" s="557">
        <f t="shared" si="54"/>
        <v>0</v>
      </c>
      <c r="N388" s="453"/>
      <c r="O388" s="557">
        <f t="shared" si="55"/>
        <v>0</v>
      </c>
      <c r="P388" s="633">
        <v>1</v>
      </c>
      <c r="Q388" s="776">
        <f t="shared" si="56"/>
        <v>0</v>
      </c>
      <c r="R388" s="776">
        <f t="shared" si="57"/>
        <v>0</v>
      </c>
      <c r="S388" s="552">
        <f t="shared" si="58"/>
        <v>0</v>
      </c>
      <c r="T388" s="626">
        <f t="shared" ref="T388:T451" si="61">VLOOKUP($L388,Kengetal,6,FALSE)</f>
        <v>0</v>
      </c>
      <c r="U388" s="626">
        <f t="shared" ref="U388:U451" si="62">VLOOKUP($L388,Kengetal,7,FALSE)</f>
        <v>0</v>
      </c>
      <c r="V388" s="553">
        <f t="shared" ref="V388:V451" si="63">VLOOKUP($N388,Kengetal,7,FALSE)</f>
        <v>0</v>
      </c>
      <c r="W388" s="554">
        <f t="shared" si="59"/>
        <v>0</v>
      </c>
      <c r="X388" s="454" t="s">
        <v>1454</v>
      </c>
      <c r="Y388" s="631">
        <f>IF(Q388=0,0,(Q388+R388)*'1.0-Contractblad'!$L$98)</f>
        <v>0</v>
      </c>
      <c r="Z388" s="632">
        <f>IF(J388=0,0,VLOOKUP(D388,'1.1a-Jaarprijzen'!$B$70:$P$124,14,FALSE)*(K388+J388))</f>
        <v>0</v>
      </c>
    </row>
    <row r="389" spans="1:26" hidden="1">
      <c r="A389" s="558"/>
      <c r="B389" s="548"/>
      <c r="C389" s="659">
        <v>3</v>
      </c>
      <c r="D389" s="549" t="s">
        <v>1474</v>
      </c>
      <c r="E389" s="660" t="s">
        <v>478</v>
      </c>
      <c r="F389" s="551" t="s">
        <v>883</v>
      </c>
      <c r="G389" s="649" t="s">
        <v>489</v>
      </c>
      <c r="H389" s="647" t="str">
        <f t="shared" si="60"/>
        <v>sanitaire ruimte (toilet-/doucheruimte)</v>
      </c>
      <c r="I389" s="719" t="s">
        <v>84</v>
      </c>
      <c r="J389" s="623">
        <v>1.9</v>
      </c>
      <c r="K389" s="623"/>
      <c r="L389" s="559">
        <v>4255</v>
      </c>
      <c r="M389" s="557">
        <f t="shared" ref="M389:M452" si="64">VLOOKUP(L389,Kengetal,2,FALSE)</f>
        <v>104</v>
      </c>
      <c r="N389" s="453"/>
      <c r="O389" s="557">
        <f t="shared" ref="O389:O452" si="65">VLOOKUP(L389,Kengetal,3,FALSE)</f>
        <v>255</v>
      </c>
      <c r="P389" s="633">
        <v>1</v>
      </c>
      <c r="Q389" s="776">
        <f t="shared" ref="Q389:Q452" si="66">T389*J389*P389</f>
        <v>0</v>
      </c>
      <c r="R389" s="776">
        <f t="shared" ref="R389:R452" si="67">U389*J389*P389</f>
        <v>0</v>
      </c>
      <c r="S389" s="552">
        <f t="shared" ref="S389:S452" si="68">V389*J389*P389</f>
        <v>0</v>
      </c>
      <c r="T389" s="626">
        <f t="shared" si="61"/>
        <v>0</v>
      </c>
      <c r="U389" s="626">
        <f t="shared" si="62"/>
        <v>0</v>
      </c>
      <c r="V389" s="553">
        <f t="shared" si="63"/>
        <v>0</v>
      </c>
      <c r="W389" s="554" t="str">
        <f t="shared" ref="W389:W452" si="69">IF(L389="","",VLOOKUP(L389,Kengetal,14,FALSE))</f>
        <v>S</v>
      </c>
      <c r="X389" s="555"/>
      <c r="Y389" s="631">
        <f>IF(Q389=0,0,(Q389+R389)*'1.0-Contractblad'!$L$98)</f>
        <v>0</v>
      </c>
      <c r="Z389" s="632">
        <f ca="1">IF(J389=0,0,VLOOKUP(D389,'1.1a-Jaarprijzen'!$B$70:$P$124,14,FALSE)*(K389+J389))</f>
        <v>0</v>
      </c>
    </row>
    <row r="390" spans="1:26" hidden="1">
      <c r="A390" s="558"/>
      <c r="B390" s="548"/>
      <c r="C390" s="659">
        <v>3</v>
      </c>
      <c r="D390" s="549" t="s">
        <v>1474</v>
      </c>
      <c r="E390" s="660" t="s">
        <v>478</v>
      </c>
      <c r="F390" s="551" t="s">
        <v>884</v>
      </c>
      <c r="G390" s="649" t="s">
        <v>489</v>
      </c>
      <c r="H390" s="647" t="str">
        <f t="shared" si="60"/>
        <v>sanitaire ruimte (toilet-/doucheruimte)</v>
      </c>
      <c r="I390" s="719" t="s">
        <v>84</v>
      </c>
      <c r="J390" s="623">
        <v>2.1</v>
      </c>
      <c r="K390" s="623"/>
      <c r="L390" s="559">
        <v>4255</v>
      </c>
      <c r="M390" s="557">
        <f t="shared" si="64"/>
        <v>104</v>
      </c>
      <c r="N390" s="453"/>
      <c r="O390" s="557">
        <f t="shared" si="65"/>
        <v>255</v>
      </c>
      <c r="P390" s="633">
        <v>1</v>
      </c>
      <c r="Q390" s="776">
        <f t="shared" si="66"/>
        <v>0</v>
      </c>
      <c r="R390" s="776">
        <f t="shared" si="67"/>
        <v>0</v>
      </c>
      <c r="S390" s="552">
        <f t="shared" si="68"/>
        <v>0</v>
      </c>
      <c r="T390" s="626">
        <f t="shared" si="61"/>
        <v>0</v>
      </c>
      <c r="U390" s="626">
        <f t="shared" si="62"/>
        <v>0</v>
      </c>
      <c r="V390" s="553">
        <f t="shared" si="63"/>
        <v>0</v>
      </c>
      <c r="W390" s="554" t="str">
        <f t="shared" si="69"/>
        <v>S</v>
      </c>
      <c r="X390" s="555"/>
      <c r="Y390" s="631">
        <f>IF(Q390=0,0,(Q390+R390)*'1.0-Contractblad'!$L$98)</f>
        <v>0</v>
      </c>
      <c r="Z390" s="632">
        <f ca="1">IF(J390=0,0,VLOOKUP(D390,'1.1a-Jaarprijzen'!$B$70:$P$124,14,FALSE)*(K390+J390))</f>
        <v>0</v>
      </c>
    </row>
    <row r="391" spans="1:26" hidden="1">
      <c r="A391" s="558"/>
      <c r="B391" s="548"/>
      <c r="C391" s="659">
        <v>3</v>
      </c>
      <c r="D391" s="549" t="s">
        <v>1474</v>
      </c>
      <c r="E391" s="660" t="s">
        <v>478</v>
      </c>
      <c r="F391" s="551" t="s">
        <v>885</v>
      </c>
      <c r="G391" s="649" t="s">
        <v>489</v>
      </c>
      <c r="H391" s="647" t="str">
        <f t="shared" si="60"/>
        <v>sanitaire ruimte (toilet-/doucheruimte)</v>
      </c>
      <c r="I391" s="719" t="s">
        <v>84</v>
      </c>
      <c r="J391" s="623">
        <v>2.2999999999999998</v>
      </c>
      <c r="K391" s="623"/>
      <c r="L391" s="559">
        <v>4255</v>
      </c>
      <c r="M391" s="557">
        <f t="shared" si="64"/>
        <v>104</v>
      </c>
      <c r="N391" s="453"/>
      <c r="O391" s="557">
        <f t="shared" si="65"/>
        <v>255</v>
      </c>
      <c r="P391" s="633">
        <v>1</v>
      </c>
      <c r="Q391" s="776">
        <f t="shared" si="66"/>
        <v>0</v>
      </c>
      <c r="R391" s="776">
        <f t="shared" si="67"/>
        <v>0</v>
      </c>
      <c r="S391" s="552">
        <f t="shared" si="68"/>
        <v>0</v>
      </c>
      <c r="T391" s="626">
        <f t="shared" si="61"/>
        <v>0</v>
      </c>
      <c r="U391" s="626">
        <f t="shared" si="62"/>
        <v>0</v>
      </c>
      <c r="V391" s="553">
        <f t="shared" si="63"/>
        <v>0</v>
      </c>
      <c r="W391" s="554" t="str">
        <f t="shared" si="69"/>
        <v>S</v>
      </c>
      <c r="X391" s="555"/>
      <c r="Y391" s="631">
        <f>IF(Q391=0,0,(Q391+R391)*'1.0-Contractblad'!$L$98)</f>
        <v>0</v>
      </c>
      <c r="Z391" s="632">
        <f ca="1">IF(J391=0,0,VLOOKUP(D391,'1.1a-Jaarprijzen'!$B$70:$P$124,14,FALSE)*(K391+J391))</f>
        <v>0</v>
      </c>
    </row>
    <row r="392" spans="1:26" hidden="1">
      <c r="A392" s="558"/>
      <c r="B392" s="548"/>
      <c r="C392" s="659">
        <v>3</v>
      </c>
      <c r="D392" s="549" t="s">
        <v>1474</v>
      </c>
      <c r="E392" s="660" t="s">
        <v>478</v>
      </c>
      <c r="F392" s="551" t="s">
        <v>886</v>
      </c>
      <c r="G392" s="649" t="s">
        <v>1216</v>
      </c>
      <c r="H392" s="647" t="str">
        <f t="shared" si="60"/>
        <v>sanitaire ruimte (toilet-/doucheruimte)</v>
      </c>
      <c r="I392" s="719" t="s">
        <v>84</v>
      </c>
      <c r="J392" s="623">
        <v>3.4</v>
      </c>
      <c r="K392" s="623"/>
      <c r="L392" s="559">
        <v>4153</v>
      </c>
      <c r="M392" s="557">
        <f t="shared" si="64"/>
        <v>104</v>
      </c>
      <c r="N392" s="453"/>
      <c r="O392" s="557">
        <f t="shared" si="65"/>
        <v>153</v>
      </c>
      <c r="P392" s="633">
        <v>1</v>
      </c>
      <c r="Q392" s="776">
        <f t="shared" si="66"/>
        <v>0</v>
      </c>
      <c r="R392" s="776">
        <f t="shared" si="67"/>
        <v>0</v>
      </c>
      <c r="S392" s="552">
        <f t="shared" si="68"/>
        <v>0</v>
      </c>
      <c r="T392" s="626">
        <f t="shared" si="61"/>
        <v>0</v>
      </c>
      <c r="U392" s="626">
        <f t="shared" si="62"/>
        <v>0</v>
      </c>
      <c r="V392" s="553">
        <f t="shared" si="63"/>
        <v>0</v>
      </c>
      <c r="W392" s="554" t="str">
        <f t="shared" si="69"/>
        <v>S</v>
      </c>
      <c r="X392" s="555"/>
      <c r="Y392" s="631">
        <f>IF(Q392=0,0,(Q392+R392)*'1.0-Contractblad'!$L$98)</f>
        <v>0</v>
      </c>
      <c r="Z392" s="632">
        <f ca="1">IF(J392=0,0,VLOOKUP(D392,'1.1a-Jaarprijzen'!$B$70:$P$124,14,FALSE)*(K392+J392))</f>
        <v>0</v>
      </c>
    </row>
    <row r="393" spans="1:26" hidden="1">
      <c r="A393" s="558"/>
      <c r="B393" s="548"/>
      <c r="C393" s="659">
        <v>3</v>
      </c>
      <c r="D393" s="549" t="s">
        <v>1474</v>
      </c>
      <c r="E393" s="660" t="s">
        <v>478</v>
      </c>
      <c r="F393" s="551" t="s">
        <v>887</v>
      </c>
      <c r="G393" s="649" t="s">
        <v>1216</v>
      </c>
      <c r="H393" s="647" t="str">
        <f t="shared" si="60"/>
        <v>sanitaire ruimte (toilet-/doucheruimte)</v>
      </c>
      <c r="I393" s="719" t="s">
        <v>84</v>
      </c>
      <c r="J393" s="623">
        <v>3.9</v>
      </c>
      <c r="K393" s="623"/>
      <c r="L393" s="559">
        <v>4153</v>
      </c>
      <c r="M393" s="557">
        <f t="shared" si="64"/>
        <v>104</v>
      </c>
      <c r="N393" s="453"/>
      <c r="O393" s="557">
        <f t="shared" si="65"/>
        <v>153</v>
      </c>
      <c r="P393" s="633">
        <v>1</v>
      </c>
      <c r="Q393" s="776">
        <f t="shared" si="66"/>
        <v>0</v>
      </c>
      <c r="R393" s="776">
        <f t="shared" si="67"/>
        <v>0</v>
      </c>
      <c r="S393" s="552">
        <f t="shared" si="68"/>
        <v>0</v>
      </c>
      <c r="T393" s="626">
        <f t="shared" si="61"/>
        <v>0</v>
      </c>
      <c r="U393" s="626">
        <f t="shared" si="62"/>
        <v>0</v>
      </c>
      <c r="V393" s="553">
        <f t="shared" si="63"/>
        <v>0</v>
      </c>
      <c r="W393" s="554" t="str">
        <f t="shared" si="69"/>
        <v>S</v>
      </c>
      <c r="X393" s="555"/>
      <c r="Y393" s="631">
        <f>IF(Q393=0,0,(Q393+R393)*'1.0-Contractblad'!$L$98)</f>
        <v>0</v>
      </c>
      <c r="Z393" s="632">
        <f ca="1">IF(J393=0,0,VLOOKUP(D393,'1.1a-Jaarprijzen'!$B$70:$P$124,14,FALSE)*(K393+J393))</f>
        <v>0</v>
      </c>
    </row>
    <row r="394" spans="1:26" hidden="1">
      <c r="A394" s="558"/>
      <c r="B394" s="548"/>
      <c r="C394" s="659">
        <v>3</v>
      </c>
      <c r="D394" s="549" t="s">
        <v>1474</v>
      </c>
      <c r="E394" s="660" t="s">
        <v>478</v>
      </c>
      <c r="F394" s="551" t="s">
        <v>888</v>
      </c>
      <c r="G394" s="649" t="s">
        <v>1275</v>
      </c>
      <c r="H394" s="647" t="str">
        <f t="shared" si="60"/>
        <v>administratieve -, personeels- en vergaderruimte</v>
      </c>
      <c r="I394" s="719" t="s">
        <v>106</v>
      </c>
      <c r="J394" s="623">
        <v>18.399999999999999</v>
      </c>
      <c r="K394" s="623"/>
      <c r="L394" s="651">
        <v>1153</v>
      </c>
      <c r="M394" s="557">
        <f t="shared" si="64"/>
        <v>101</v>
      </c>
      <c r="N394" s="453"/>
      <c r="O394" s="557">
        <f t="shared" si="65"/>
        <v>153</v>
      </c>
      <c r="P394" s="633">
        <v>1</v>
      </c>
      <c r="Q394" s="776">
        <f t="shared" si="66"/>
        <v>0</v>
      </c>
      <c r="R394" s="776">
        <f t="shared" si="67"/>
        <v>0</v>
      </c>
      <c r="S394" s="552">
        <f t="shared" si="68"/>
        <v>0</v>
      </c>
      <c r="T394" s="626">
        <f t="shared" si="61"/>
        <v>0</v>
      </c>
      <c r="U394" s="626">
        <f t="shared" si="62"/>
        <v>0</v>
      </c>
      <c r="V394" s="553">
        <f t="shared" si="63"/>
        <v>0</v>
      </c>
      <c r="W394" s="554" t="str">
        <f t="shared" si="69"/>
        <v>B</v>
      </c>
      <c r="X394" s="454"/>
      <c r="Y394" s="631">
        <f>IF(Q394=0,0,(Q394+R394)*'1.0-Contractblad'!$L$98)</f>
        <v>0</v>
      </c>
      <c r="Z394" s="632">
        <f ca="1">IF(J394=0,0,VLOOKUP(D394,'1.1a-Jaarprijzen'!$B$70:$P$124,14,FALSE)*(K394+J394))</f>
        <v>0</v>
      </c>
    </row>
    <row r="395" spans="1:26" hidden="1">
      <c r="A395" s="558"/>
      <c r="B395" s="548"/>
      <c r="C395" s="659">
        <v>3</v>
      </c>
      <c r="D395" s="549" t="s">
        <v>1474</v>
      </c>
      <c r="E395" s="660" t="s">
        <v>478</v>
      </c>
      <c r="F395" s="551" t="s">
        <v>889</v>
      </c>
      <c r="G395" s="649" t="s">
        <v>1283</v>
      </c>
      <c r="H395" s="647" t="str">
        <f t="shared" si="60"/>
        <v>niet van toepassing</v>
      </c>
      <c r="I395" s="719"/>
      <c r="J395" s="623"/>
      <c r="K395" s="623"/>
      <c r="L395" s="668" t="s">
        <v>27</v>
      </c>
      <c r="M395" s="557">
        <f t="shared" si="64"/>
        <v>0</v>
      </c>
      <c r="N395" s="453"/>
      <c r="O395" s="557">
        <f t="shared" si="65"/>
        <v>0</v>
      </c>
      <c r="P395" s="633">
        <v>1</v>
      </c>
      <c r="Q395" s="776">
        <f t="shared" si="66"/>
        <v>0</v>
      </c>
      <c r="R395" s="776">
        <f t="shared" si="67"/>
        <v>0</v>
      </c>
      <c r="S395" s="552">
        <f t="shared" si="68"/>
        <v>0</v>
      </c>
      <c r="T395" s="626">
        <f t="shared" si="61"/>
        <v>0</v>
      </c>
      <c r="U395" s="626">
        <f t="shared" si="62"/>
        <v>0</v>
      </c>
      <c r="V395" s="553">
        <f t="shared" si="63"/>
        <v>0</v>
      </c>
      <c r="W395" s="554">
        <f t="shared" si="69"/>
        <v>0</v>
      </c>
      <c r="X395" s="454" t="s">
        <v>1454</v>
      </c>
      <c r="Y395" s="631">
        <f>IF(Q395=0,0,(Q395+R395)*'1.0-Contractblad'!$L$98)</f>
        <v>0</v>
      </c>
      <c r="Z395" s="632">
        <f>IF(J395=0,0,VLOOKUP(D395,'1.1a-Jaarprijzen'!$B$70:$P$124,14,FALSE)*(K395+J395))</f>
        <v>0</v>
      </c>
    </row>
    <row r="396" spans="1:26" hidden="1">
      <c r="A396" s="558"/>
      <c r="B396" s="548"/>
      <c r="C396" s="659">
        <v>3</v>
      </c>
      <c r="D396" s="549" t="s">
        <v>1474</v>
      </c>
      <c r="E396" s="660" t="s">
        <v>478</v>
      </c>
      <c r="F396" s="551" t="s">
        <v>890</v>
      </c>
      <c r="G396" s="649" t="s">
        <v>1284</v>
      </c>
      <c r="H396" s="647" t="str">
        <f t="shared" si="60"/>
        <v>entree, gang, hal, repro, kopieer, was/droogruimte</v>
      </c>
      <c r="I396" s="719" t="s">
        <v>84</v>
      </c>
      <c r="J396" s="623">
        <v>7.9</v>
      </c>
      <c r="K396" s="623"/>
      <c r="L396" s="559">
        <v>3153</v>
      </c>
      <c r="M396" s="557">
        <f t="shared" si="64"/>
        <v>103</v>
      </c>
      <c r="N396" s="453"/>
      <c r="O396" s="557">
        <f t="shared" si="65"/>
        <v>153</v>
      </c>
      <c r="P396" s="633">
        <v>1</v>
      </c>
      <c r="Q396" s="776">
        <f t="shared" si="66"/>
        <v>0</v>
      </c>
      <c r="R396" s="776">
        <f t="shared" si="67"/>
        <v>0</v>
      </c>
      <c r="S396" s="552">
        <f t="shared" si="68"/>
        <v>0</v>
      </c>
      <c r="T396" s="626">
        <f t="shared" si="61"/>
        <v>0</v>
      </c>
      <c r="U396" s="626">
        <f t="shared" si="62"/>
        <v>0</v>
      </c>
      <c r="V396" s="553">
        <f t="shared" si="63"/>
        <v>0</v>
      </c>
      <c r="W396" s="554" t="str">
        <f t="shared" si="69"/>
        <v>V</v>
      </c>
      <c r="X396" s="555"/>
      <c r="Y396" s="631">
        <f>IF(Q396=0,0,(Q396+R396)*'1.0-Contractblad'!$L$98)</f>
        <v>0</v>
      </c>
      <c r="Z396" s="632">
        <f ca="1">IF(J396=0,0,VLOOKUP(D396,'1.1a-Jaarprijzen'!$B$70:$P$124,14,FALSE)*(K396+J396))</f>
        <v>0</v>
      </c>
    </row>
    <row r="397" spans="1:26" hidden="1">
      <c r="A397" s="558"/>
      <c r="B397" s="548"/>
      <c r="C397" s="659">
        <v>3</v>
      </c>
      <c r="D397" s="549" t="s">
        <v>1474</v>
      </c>
      <c r="E397" s="660" t="s">
        <v>478</v>
      </c>
      <c r="F397" s="551" t="s">
        <v>891</v>
      </c>
      <c r="G397" s="649" t="s">
        <v>1273</v>
      </c>
      <c r="H397" s="647" t="str">
        <f t="shared" si="60"/>
        <v>speellokaal</v>
      </c>
      <c r="I397" s="719" t="s">
        <v>106</v>
      </c>
      <c r="J397" s="623">
        <v>40.6</v>
      </c>
      <c r="K397" s="623"/>
      <c r="L397" s="653">
        <v>8153</v>
      </c>
      <c r="M397" s="557">
        <f t="shared" si="64"/>
        <v>107</v>
      </c>
      <c r="N397" s="453"/>
      <c r="O397" s="557">
        <f t="shared" si="65"/>
        <v>153</v>
      </c>
      <c r="P397" s="633">
        <v>1</v>
      </c>
      <c r="Q397" s="776">
        <f t="shared" si="66"/>
        <v>0</v>
      </c>
      <c r="R397" s="776">
        <f t="shared" si="67"/>
        <v>0</v>
      </c>
      <c r="S397" s="552">
        <f t="shared" si="68"/>
        <v>0</v>
      </c>
      <c r="T397" s="626">
        <f t="shared" si="61"/>
        <v>0</v>
      </c>
      <c r="U397" s="626">
        <f t="shared" si="62"/>
        <v>0</v>
      </c>
      <c r="V397" s="553">
        <f t="shared" si="63"/>
        <v>0</v>
      </c>
      <c r="W397" s="554" t="str">
        <f t="shared" si="69"/>
        <v>L</v>
      </c>
      <c r="X397" s="555"/>
      <c r="Y397" s="631">
        <f>IF(Q397=0,0,(Q397+R397)*'1.0-Contractblad'!$L$98)</f>
        <v>0</v>
      </c>
      <c r="Z397" s="632">
        <f ca="1">IF(J397=0,0,VLOOKUP(D397,'1.1a-Jaarprijzen'!$B$70:$P$124,14,FALSE)*(K397+J397))</f>
        <v>0</v>
      </c>
    </row>
    <row r="398" spans="1:26" hidden="1">
      <c r="A398" s="558"/>
      <c r="B398" s="548"/>
      <c r="C398" s="659">
        <v>3</v>
      </c>
      <c r="D398" s="549" t="s">
        <v>1474</v>
      </c>
      <c r="E398" s="660" t="s">
        <v>478</v>
      </c>
      <c r="F398" s="551" t="s">
        <v>892</v>
      </c>
      <c r="G398" s="649" t="s">
        <v>1274</v>
      </c>
      <c r="H398" s="647" t="str">
        <f t="shared" si="60"/>
        <v>leslokaal</v>
      </c>
      <c r="I398" s="719" t="s">
        <v>106</v>
      </c>
      <c r="J398" s="623">
        <v>70.5</v>
      </c>
      <c r="K398" s="623"/>
      <c r="L398" s="654">
        <v>7153</v>
      </c>
      <c r="M398" s="557">
        <f t="shared" si="64"/>
        <v>107</v>
      </c>
      <c r="N398" s="453"/>
      <c r="O398" s="557">
        <f t="shared" si="65"/>
        <v>153</v>
      </c>
      <c r="P398" s="633">
        <v>1</v>
      </c>
      <c r="Q398" s="776">
        <f t="shared" si="66"/>
        <v>0</v>
      </c>
      <c r="R398" s="776">
        <f t="shared" si="67"/>
        <v>0</v>
      </c>
      <c r="S398" s="552">
        <f t="shared" si="68"/>
        <v>0</v>
      </c>
      <c r="T398" s="626">
        <f t="shared" si="61"/>
        <v>0</v>
      </c>
      <c r="U398" s="626">
        <f t="shared" si="62"/>
        <v>0</v>
      </c>
      <c r="V398" s="553">
        <f t="shared" si="63"/>
        <v>0</v>
      </c>
      <c r="W398" s="554" t="str">
        <f t="shared" si="69"/>
        <v>L</v>
      </c>
      <c r="X398" s="555"/>
      <c r="Y398" s="631">
        <f>IF(Q398=0,0,(Q398+R398)*'1.0-Contractblad'!$L$98)</f>
        <v>0</v>
      </c>
      <c r="Z398" s="632">
        <f ca="1">IF(J398=0,0,VLOOKUP(D398,'1.1a-Jaarprijzen'!$B$70:$P$124,14,FALSE)*(K398+J398))</f>
        <v>0</v>
      </c>
    </row>
    <row r="399" spans="1:26" hidden="1">
      <c r="A399" s="558"/>
      <c r="B399" s="548"/>
      <c r="C399" s="659">
        <v>3</v>
      </c>
      <c r="D399" s="549" t="s">
        <v>1474</v>
      </c>
      <c r="E399" s="660" t="s">
        <v>478</v>
      </c>
      <c r="F399" s="551" t="s">
        <v>893</v>
      </c>
      <c r="G399" s="649" t="s">
        <v>1451</v>
      </c>
      <c r="H399" s="647" t="str">
        <f t="shared" si="60"/>
        <v>Keuken</v>
      </c>
      <c r="I399" s="719" t="s">
        <v>84</v>
      </c>
      <c r="J399" s="623">
        <v>13.2</v>
      </c>
      <c r="K399" s="623"/>
      <c r="L399" s="559">
        <v>18255</v>
      </c>
      <c r="M399" s="557" t="str">
        <f t="shared" si="64"/>
        <v>nvt</v>
      </c>
      <c r="N399" s="453"/>
      <c r="O399" s="557">
        <f t="shared" si="65"/>
        <v>255</v>
      </c>
      <c r="P399" s="633">
        <v>1</v>
      </c>
      <c r="Q399" s="776">
        <f t="shared" si="66"/>
        <v>0</v>
      </c>
      <c r="R399" s="776">
        <f t="shared" si="67"/>
        <v>0</v>
      </c>
      <c r="S399" s="552">
        <f t="shared" si="68"/>
        <v>0</v>
      </c>
      <c r="T399" s="626">
        <f t="shared" si="61"/>
        <v>0</v>
      </c>
      <c r="U399" s="626">
        <f t="shared" si="62"/>
        <v>0</v>
      </c>
      <c r="V399" s="553">
        <f t="shared" si="63"/>
        <v>0</v>
      </c>
      <c r="W399" s="554" t="str">
        <f t="shared" si="69"/>
        <v>V</v>
      </c>
      <c r="X399" s="555"/>
      <c r="Y399" s="631">
        <f>IF(Q399=0,0,(Q399+R399)*'1.0-Contractblad'!$L$98)</f>
        <v>0</v>
      </c>
      <c r="Z399" s="632">
        <f ca="1">IF(J399=0,0,VLOOKUP(D399,'1.1a-Jaarprijzen'!$B$70:$P$124,14,FALSE)*(K399+J399))</f>
        <v>0</v>
      </c>
    </row>
    <row r="400" spans="1:26" hidden="1">
      <c r="A400" s="558"/>
      <c r="B400" s="548"/>
      <c r="C400" s="659">
        <v>3</v>
      </c>
      <c r="D400" s="549" t="s">
        <v>1474</v>
      </c>
      <c r="E400" s="660" t="s">
        <v>478</v>
      </c>
      <c r="F400" s="551" t="s">
        <v>894</v>
      </c>
      <c r="G400" s="649" t="s">
        <v>1276</v>
      </c>
      <c r="H400" s="647" t="str">
        <f t="shared" si="60"/>
        <v>Keuken</v>
      </c>
      <c r="I400" s="719" t="s">
        <v>84</v>
      </c>
      <c r="J400" s="623">
        <v>6.7</v>
      </c>
      <c r="K400" s="623"/>
      <c r="L400" s="559">
        <v>18153</v>
      </c>
      <c r="M400" s="557" t="str">
        <f t="shared" si="64"/>
        <v>nvt</v>
      </c>
      <c r="N400" s="453"/>
      <c r="O400" s="557">
        <f t="shared" si="65"/>
        <v>153</v>
      </c>
      <c r="P400" s="633">
        <v>1</v>
      </c>
      <c r="Q400" s="776">
        <f t="shared" si="66"/>
        <v>0</v>
      </c>
      <c r="R400" s="776">
        <f t="shared" si="67"/>
        <v>0</v>
      </c>
      <c r="S400" s="552">
        <f t="shared" si="68"/>
        <v>0</v>
      </c>
      <c r="T400" s="626">
        <f t="shared" si="61"/>
        <v>0</v>
      </c>
      <c r="U400" s="626">
        <f t="shared" si="62"/>
        <v>0</v>
      </c>
      <c r="V400" s="553">
        <f t="shared" si="63"/>
        <v>0</v>
      </c>
      <c r="W400" s="554" t="str">
        <f t="shared" si="69"/>
        <v>V</v>
      </c>
      <c r="X400" s="556"/>
      <c r="Y400" s="631">
        <f>IF(Q400=0,0,(Q400+R400)*'1.0-Contractblad'!$L$98)</f>
        <v>0</v>
      </c>
      <c r="Z400" s="632">
        <f ca="1">IF(J400=0,0,VLOOKUP(D400,'1.1a-Jaarprijzen'!$B$70:$P$124,14,FALSE)*(K400+J400))</f>
        <v>0</v>
      </c>
    </row>
    <row r="401" spans="1:26" hidden="1">
      <c r="A401" s="558"/>
      <c r="B401" s="548"/>
      <c r="C401" s="659">
        <v>3</v>
      </c>
      <c r="D401" s="549" t="s">
        <v>1474</v>
      </c>
      <c r="E401" s="660" t="s">
        <v>478</v>
      </c>
      <c r="F401" s="551" t="s">
        <v>895</v>
      </c>
      <c r="G401" s="649" t="s">
        <v>1264</v>
      </c>
      <c r="H401" s="647" t="str">
        <f t="shared" si="60"/>
        <v>entree, gang, hal, repro, kopieer, was/droogruimte</v>
      </c>
      <c r="I401" s="719" t="s">
        <v>106</v>
      </c>
      <c r="J401" s="623">
        <v>12.7</v>
      </c>
      <c r="K401" s="623"/>
      <c r="L401" s="651">
        <v>3153</v>
      </c>
      <c r="M401" s="557">
        <f t="shared" si="64"/>
        <v>103</v>
      </c>
      <c r="N401" s="453"/>
      <c r="O401" s="557">
        <f t="shared" si="65"/>
        <v>153</v>
      </c>
      <c r="P401" s="633">
        <v>1</v>
      </c>
      <c r="Q401" s="776">
        <f t="shared" si="66"/>
        <v>0</v>
      </c>
      <c r="R401" s="776">
        <f t="shared" si="67"/>
        <v>0</v>
      </c>
      <c r="S401" s="552">
        <f t="shared" si="68"/>
        <v>0</v>
      </c>
      <c r="T401" s="626">
        <f t="shared" si="61"/>
        <v>0</v>
      </c>
      <c r="U401" s="626">
        <f t="shared" si="62"/>
        <v>0</v>
      </c>
      <c r="V401" s="553">
        <f t="shared" si="63"/>
        <v>0</v>
      </c>
      <c r="W401" s="554" t="str">
        <f t="shared" si="69"/>
        <v>V</v>
      </c>
      <c r="X401" s="555"/>
      <c r="Y401" s="631">
        <f>IF(Q401=0,0,(Q401+R401)*'1.0-Contractblad'!$L$98)</f>
        <v>0</v>
      </c>
      <c r="Z401" s="632">
        <f ca="1">IF(J401=0,0,VLOOKUP(D401,'1.1a-Jaarprijzen'!$B$70:$P$124,14,FALSE)*(K401+J401))</f>
        <v>0</v>
      </c>
    </row>
    <row r="402" spans="1:26" hidden="1">
      <c r="A402" s="558"/>
      <c r="B402" s="548"/>
      <c r="C402" s="659">
        <v>3</v>
      </c>
      <c r="D402" s="549" t="s">
        <v>1474</v>
      </c>
      <c r="E402" s="660" t="s">
        <v>478</v>
      </c>
      <c r="F402" s="551" t="s">
        <v>896</v>
      </c>
      <c r="G402" s="649" t="s">
        <v>1243</v>
      </c>
      <c r="H402" s="647" t="str">
        <f t="shared" si="60"/>
        <v>administratieve -, personeels- en vergaderruimte</v>
      </c>
      <c r="I402" s="719" t="s">
        <v>106</v>
      </c>
      <c r="J402" s="623">
        <v>12.5</v>
      </c>
      <c r="K402" s="623"/>
      <c r="L402" s="651">
        <v>1153</v>
      </c>
      <c r="M402" s="557">
        <f t="shared" si="64"/>
        <v>101</v>
      </c>
      <c r="N402" s="453"/>
      <c r="O402" s="557">
        <f t="shared" si="65"/>
        <v>153</v>
      </c>
      <c r="P402" s="633">
        <v>1</v>
      </c>
      <c r="Q402" s="776">
        <f t="shared" si="66"/>
        <v>0</v>
      </c>
      <c r="R402" s="776">
        <f t="shared" si="67"/>
        <v>0</v>
      </c>
      <c r="S402" s="552">
        <f t="shared" si="68"/>
        <v>0</v>
      </c>
      <c r="T402" s="626">
        <f t="shared" si="61"/>
        <v>0</v>
      </c>
      <c r="U402" s="626">
        <f t="shared" si="62"/>
        <v>0</v>
      </c>
      <c r="V402" s="553">
        <f t="shared" si="63"/>
        <v>0</v>
      </c>
      <c r="W402" s="554" t="str">
        <f t="shared" si="69"/>
        <v>B</v>
      </c>
      <c r="X402" s="556"/>
      <c r="Y402" s="631">
        <f>IF(Q402=0,0,(Q402+R402)*'1.0-Contractblad'!$L$98)</f>
        <v>0</v>
      </c>
      <c r="Z402" s="632">
        <f ca="1">IF(J402=0,0,VLOOKUP(D402,'1.1a-Jaarprijzen'!$B$70:$P$124,14,FALSE)*(K402+J402))</f>
        <v>0</v>
      </c>
    </row>
    <row r="403" spans="1:26" hidden="1">
      <c r="A403" s="558"/>
      <c r="B403" s="548"/>
      <c r="C403" s="659">
        <v>3</v>
      </c>
      <c r="D403" s="549" t="s">
        <v>1474</v>
      </c>
      <c r="E403" s="660" t="s">
        <v>478</v>
      </c>
      <c r="F403" s="551" t="s">
        <v>897</v>
      </c>
      <c r="G403" s="649" t="s">
        <v>1221</v>
      </c>
      <c r="H403" s="647" t="str">
        <f t="shared" si="60"/>
        <v>entree, gang, hal, repro, kopieer, was/droogruimte</v>
      </c>
      <c r="I403" s="719" t="s">
        <v>106</v>
      </c>
      <c r="J403" s="623">
        <v>7.3</v>
      </c>
      <c r="K403" s="623"/>
      <c r="L403" s="651">
        <v>3153</v>
      </c>
      <c r="M403" s="557">
        <f t="shared" si="64"/>
        <v>103</v>
      </c>
      <c r="N403" s="453"/>
      <c r="O403" s="557">
        <f t="shared" si="65"/>
        <v>153</v>
      </c>
      <c r="P403" s="633">
        <v>1</v>
      </c>
      <c r="Q403" s="776">
        <f t="shared" si="66"/>
        <v>0</v>
      </c>
      <c r="R403" s="776">
        <f t="shared" si="67"/>
        <v>0</v>
      </c>
      <c r="S403" s="552">
        <f t="shared" si="68"/>
        <v>0</v>
      </c>
      <c r="T403" s="626">
        <f t="shared" si="61"/>
        <v>0</v>
      </c>
      <c r="U403" s="626">
        <f t="shared" si="62"/>
        <v>0</v>
      </c>
      <c r="V403" s="553">
        <f t="shared" si="63"/>
        <v>0</v>
      </c>
      <c r="W403" s="554" t="str">
        <f t="shared" si="69"/>
        <v>V</v>
      </c>
      <c r="X403" s="555"/>
      <c r="Y403" s="631">
        <f>IF(Q403=0,0,(Q403+R403)*'1.0-Contractblad'!$L$98)</f>
        <v>0</v>
      </c>
      <c r="Z403" s="632">
        <f ca="1">IF(J403=0,0,VLOOKUP(D403,'1.1a-Jaarprijzen'!$B$70:$P$124,14,FALSE)*(K403+J403))</f>
        <v>0</v>
      </c>
    </row>
    <row r="404" spans="1:26" hidden="1">
      <c r="A404" s="558"/>
      <c r="B404" s="548"/>
      <c r="C404" s="659">
        <v>3</v>
      </c>
      <c r="D404" s="549" t="s">
        <v>1474</v>
      </c>
      <c r="E404" s="660" t="s">
        <v>478</v>
      </c>
      <c r="F404" s="551" t="s">
        <v>898</v>
      </c>
      <c r="G404" s="649" t="s">
        <v>1237</v>
      </c>
      <c r="H404" s="647" t="str">
        <f t="shared" si="60"/>
        <v>trappenhuis</v>
      </c>
      <c r="I404" s="719" t="s">
        <v>1402</v>
      </c>
      <c r="J404" s="623">
        <v>3.1</v>
      </c>
      <c r="K404" s="623"/>
      <c r="L404" s="559">
        <v>9153</v>
      </c>
      <c r="M404" s="557">
        <f t="shared" si="64"/>
        <v>109</v>
      </c>
      <c r="N404" s="453"/>
      <c r="O404" s="557">
        <f t="shared" si="65"/>
        <v>153</v>
      </c>
      <c r="P404" s="633">
        <v>1</v>
      </c>
      <c r="Q404" s="776">
        <f t="shared" si="66"/>
        <v>0</v>
      </c>
      <c r="R404" s="776">
        <f t="shared" si="67"/>
        <v>0</v>
      </c>
      <c r="S404" s="552">
        <f t="shared" si="68"/>
        <v>0</v>
      </c>
      <c r="T404" s="626">
        <f t="shared" si="61"/>
        <v>0</v>
      </c>
      <c r="U404" s="626">
        <f t="shared" si="62"/>
        <v>0</v>
      </c>
      <c r="V404" s="553">
        <f t="shared" si="63"/>
        <v>0</v>
      </c>
      <c r="W404" s="554" t="str">
        <f t="shared" si="69"/>
        <v>V</v>
      </c>
      <c r="X404" s="555"/>
      <c r="Y404" s="631">
        <f>IF(Q404=0,0,(Q404+R404)*'1.0-Contractblad'!$L$98)</f>
        <v>0</v>
      </c>
      <c r="Z404" s="632">
        <f ca="1">IF(J404=0,0,VLOOKUP(D404,'1.1a-Jaarprijzen'!$B$70:$P$124,14,FALSE)*(K404+J404))</f>
        <v>0</v>
      </c>
    </row>
    <row r="405" spans="1:26" hidden="1">
      <c r="A405" s="558"/>
      <c r="B405" s="548"/>
      <c r="C405" s="659">
        <v>3</v>
      </c>
      <c r="D405" s="549" t="s">
        <v>1474</v>
      </c>
      <c r="E405" s="660" t="s">
        <v>478</v>
      </c>
      <c r="F405" s="551" t="s">
        <v>899</v>
      </c>
      <c r="G405" s="649" t="s">
        <v>1217</v>
      </c>
      <c r="H405" s="647" t="str">
        <f t="shared" si="60"/>
        <v>entree, gang, hal, repro, kopieer, was/droogruimte</v>
      </c>
      <c r="I405" s="719" t="s">
        <v>1402</v>
      </c>
      <c r="J405" s="623">
        <v>8.6999999999999993</v>
      </c>
      <c r="K405" s="623"/>
      <c r="L405" s="651">
        <v>3153</v>
      </c>
      <c r="M405" s="557">
        <f t="shared" si="64"/>
        <v>103</v>
      </c>
      <c r="N405" s="453"/>
      <c r="O405" s="557">
        <f t="shared" si="65"/>
        <v>153</v>
      </c>
      <c r="P405" s="633">
        <v>1</v>
      </c>
      <c r="Q405" s="776">
        <f t="shared" si="66"/>
        <v>0</v>
      </c>
      <c r="R405" s="776">
        <f t="shared" si="67"/>
        <v>0</v>
      </c>
      <c r="S405" s="552">
        <f t="shared" si="68"/>
        <v>0</v>
      </c>
      <c r="T405" s="626">
        <f t="shared" si="61"/>
        <v>0</v>
      </c>
      <c r="U405" s="626">
        <f t="shared" si="62"/>
        <v>0</v>
      </c>
      <c r="V405" s="553">
        <f t="shared" si="63"/>
        <v>0</v>
      </c>
      <c r="W405" s="554" t="str">
        <f t="shared" si="69"/>
        <v>V</v>
      </c>
      <c r="X405" s="555"/>
      <c r="Y405" s="631">
        <f>IF(Q405=0,0,(Q405+R405)*'1.0-Contractblad'!$L$98)</f>
        <v>0</v>
      </c>
      <c r="Z405" s="632">
        <f ca="1">IF(J405=0,0,VLOOKUP(D405,'1.1a-Jaarprijzen'!$B$70:$P$124,14,FALSE)*(K405+J405))</f>
        <v>0</v>
      </c>
    </row>
    <row r="406" spans="1:26" hidden="1">
      <c r="A406" s="558"/>
      <c r="B406" s="548"/>
      <c r="C406" s="659">
        <v>3</v>
      </c>
      <c r="D406" s="549" t="s">
        <v>1474</v>
      </c>
      <c r="E406" s="660" t="s">
        <v>478</v>
      </c>
      <c r="F406" s="551" t="s">
        <v>900</v>
      </c>
      <c r="G406" s="649" t="s">
        <v>1278</v>
      </c>
      <c r="H406" s="647" t="str">
        <f t="shared" si="60"/>
        <v>niet van toepassing</v>
      </c>
      <c r="I406" s="719" t="s">
        <v>1402</v>
      </c>
      <c r="J406" s="623"/>
      <c r="K406" s="623"/>
      <c r="L406" s="668" t="s">
        <v>27</v>
      </c>
      <c r="M406" s="557">
        <f t="shared" si="64"/>
        <v>0</v>
      </c>
      <c r="N406" s="453"/>
      <c r="O406" s="557">
        <f t="shared" si="65"/>
        <v>0</v>
      </c>
      <c r="P406" s="633">
        <v>1</v>
      </c>
      <c r="Q406" s="776">
        <f t="shared" si="66"/>
        <v>0</v>
      </c>
      <c r="R406" s="776">
        <f t="shared" si="67"/>
        <v>0</v>
      </c>
      <c r="S406" s="552">
        <f t="shared" si="68"/>
        <v>0</v>
      </c>
      <c r="T406" s="626">
        <f t="shared" si="61"/>
        <v>0</v>
      </c>
      <c r="U406" s="626">
        <f t="shared" si="62"/>
        <v>0</v>
      </c>
      <c r="V406" s="553">
        <f t="shared" si="63"/>
        <v>0</v>
      </c>
      <c r="W406" s="554">
        <f t="shared" si="69"/>
        <v>0</v>
      </c>
      <c r="X406" s="454" t="s">
        <v>1454</v>
      </c>
      <c r="Y406" s="631">
        <f>IF(Q406=0,0,(Q406+R406)*'1.0-Contractblad'!$L$98)</f>
        <v>0</v>
      </c>
      <c r="Z406" s="632">
        <f>IF(J406=0,0,VLOOKUP(D406,'1.1a-Jaarprijzen'!$B$70:$P$124,14,FALSE)*(K406+J406))</f>
        <v>0</v>
      </c>
    </row>
    <row r="407" spans="1:26" hidden="1">
      <c r="A407" s="558"/>
      <c r="B407" s="548"/>
      <c r="C407" s="659">
        <v>3</v>
      </c>
      <c r="D407" s="549" t="s">
        <v>1474</v>
      </c>
      <c r="E407" s="660" t="s">
        <v>478</v>
      </c>
      <c r="F407" s="551" t="s">
        <v>901</v>
      </c>
      <c r="G407" s="649" t="s">
        <v>1279</v>
      </c>
      <c r="H407" s="647" t="str">
        <f t="shared" si="60"/>
        <v>aula, gemeenschappelijke ruimte, bibliotheek</v>
      </c>
      <c r="I407" s="719" t="s">
        <v>106</v>
      </c>
      <c r="J407" s="623">
        <v>9.6999999999999993</v>
      </c>
      <c r="K407" s="623"/>
      <c r="L407" s="559">
        <v>2153</v>
      </c>
      <c r="M407" s="557">
        <f t="shared" si="64"/>
        <v>102</v>
      </c>
      <c r="N407" s="453"/>
      <c r="O407" s="557">
        <f t="shared" si="65"/>
        <v>153</v>
      </c>
      <c r="P407" s="633">
        <v>1</v>
      </c>
      <c r="Q407" s="776">
        <f t="shared" si="66"/>
        <v>0</v>
      </c>
      <c r="R407" s="776">
        <f t="shared" si="67"/>
        <v>0</v>
      </c>
      <c r="S407" s="552">
        <f t="shared" si="68"/>
        <v>0</v>
      </c>
      <c r="T407" s="626">
        <f t="shared" si="61"/>
        <v>0</v>
      </c>
      <c r="U407" s="626">
        <f t="shared" si="62"/>
        <v>0</v>
      </c>
      <c r="V407" s="553">
        <f t="shared" si="63"/>
        <v>0</v>
      </c>
      <c r="W407" s="554" t="str">
        <f t="shared" si="69"/>
        <v>V</v>
      </c>
      <c r="X407" s="556"/>
      <c r="Y407" s="631">
        <f>IF(Q407=0,0,(Q407+R407)*'1.0-Contractblad'!$L$98)</f>
        <v>0</v>
      </c>
      <c r="Z407" s="632">
        <f ca="1">IF(J407=0,0,VLOOKUP(D407,'1.1a-Jaarprijzen'!$B$70:$P$124,14,FALSE)*(K407+J407))</f>
        <v>0</v>
      </c>
    </row>
    <row r="408" spans="1:26" hidden="1">
      <c r="A408" s="558"/>
      <c r="B408" s="548"/>
      <c r="C408" s="659">
        <v>3</v>
      </c>
      <c r="D408" s="549" t="s">
        <v>1474</v>
      </c>
      <c r="E408" s="660" t="s">
        <v>478</v>
      </c>
      <c r="F408" s="551" t="s">
        <v>902</v>
      </c>
      <c r="G408" s="649" t="s">
        <v>1277</v>
      </c>
      <c r="H408" s="647" t="str">
        <f t="shared" si="60"/>
        <v>sanitaire ruimte (toilet-/doucheruimte)</v>
      </c>
      <c r="I408" s="719" t="s">
        <v>84</v>
      </c>
      <c r="J408" s="623">
        <v>5.0999999999999996</v>
      </c>
      <c r="K408" s="623"/>
      <c r="L408" s="559">
        <v>4255</v>
      </c>
      <c r="M408" s="557">
        <f t="shared" si="64"/>
        <v>104</v>
      </c>
      <c r="N408" s="453"/>
      <c r="O408" s="557">
        <f t="shared" si="65"/>
        <v>255</v>
      </c>
      <c r="P408" s="633">
        <v>1</v>
      </c>
      <c r="Q408" s="776">
        <f t="shared" si="66"/>
        <v>0</v>
      </c>
      <c r="R408" s="776">
        <f t="shared" si="67"/>
        <v>0</v>
      </c>
      <c r="S408" s="552">
        <f t="shared" si="68"/>
        <v>0</v>
      </c>
      <c r="T408" s="626">
        <f t="shared" si="61"/>
        <v>0</v>
      </c>
      <c r="U408" s="626">
        <f t="shared" si="62"/>
        <v>0</v>
      </c>
      <c r="V408" s="553">
        <f t="shared" si="63"/>
        <v>0</v>
      </c>
      <c r="W408" s="554" t="str">
        <f t="shared" si="69"/>
        <v>S</v>
      </c>
      <c r="X408" s="555"/>
      <c r="Y408" s="631">
        <f>IF(Q408=0,0,(Q408+R408)*'1.0-Contractblad'!$L$98)</f>
        <v>0</v>
      </c>
      <c r="Z408" s="632">
        <f ca="1">IF(J408=0,0,VLOOKUP(D408,'1.1a-Jaarprijzen'!$B$70:$P$124,14,FALSE)*(K408+J408))</f>
        <v>0</v>
      </c>
    </row>
    <row r="409" spans="1:26" hidden="1">
      <c r="A409" s="558"/>
      <c r="B409" s="548"/>
      <c r="C409" s="659">
        <v>3</v>
      </c>
      <c r="D409" s="549" t="s">
        <v>1474</v>
      </c>
      <c r="E409" s="660" t="s">
        <v>478</v>
      </c>
      <c r="F409" s="551" t="s">
        <v>903</v>
      </c>
      <c r="G409" s="649" t="s">
        <v>1282</v>
      </c>
      <c r="H409" s="647" t="str">
        <f t="shared" si="60"/>
        <v>niet van toepassing</v>
      </c>
      <c r="I409" s="719"/>
      <c r="J409" s="623"/>
      <c r="K409" s="623"/>
      <c r="L409" s="668" t="s">
        <v>27</v>
      </c>
      <c r="M409" s="557">
        <f t="shared" si="64"/>
        <v>0</v>
      </c>
      <c r="N409" s="453"/>
      <c r="O409" s="557">
        <f t="shared" si="65"/>
        <v>0</v>
      </c>
      <c r="P409" s="633">
        <v>1</v>
      </c>
      <c r="Q409" s="776">
        <f t="shared" si="66"/>
        <v>0</v>
      </c>
      <c r="R409" s="776">
        <f t="shared" si="67"/>
        <v>0</v>
      </c>
      <c r="S409" s="552">
        <f t="shared" si="68"/>
        <v>0</v>
      </c>
      <c r="T409" s="626">
        <f t="shared" si="61"/>
        <v>0</v>
      </c>
      <c r="U409" s="626">
        <f t="shared" si="62"/>
        <v>0</v>
      </c>
      <c r="V409" s="553">
        <f t="shared" si="63"/>
        <v>0</v>
      </c>
      <c r="W409" s="554">
        <f t="shared" si="69"/>
        <v>0</v>
      </c>
      <c r="X409" s="454" t="s">
        <v>1454</v>
      </c>
      <c r="Y409" s="631">
        <f>IF(Q409=0,0,(Q409+R409)*'1.0-Contractblad'!$L$98)</f>
        <v>0</v>
      </c>
      <c r="Z409" s="632">
        <f>IF(J409=0,0,VLOOKUP(D409,'1.1a-Jaarprijzen'!$B$70:$P$124,14,FALSE)*(K409+J409))</f>
        <v>0</v>
      </c>
    </row>
    <row r="410" spans="1:26" hidden="1">
      <c r="A410" s="558"/>
      <c r="B410" s="548"/>
      <c r="C410" s="659">
        <v>3</v>
      </c>
      <c r="D410" s="549" t="s">
        <v>1474</v>
      </c>
      <c r="E410" s="660" t="s">
        <v>478</v>
      </c>
      <c r="F410" s="551" t="s">
        <v>904</v>
      </c>
      <c r="G410" s="649" t="s">
        <v>1282</v>
      </c>
      <c r="H410" s="647" t="str">
        <f t="shared" si="60"/>
        <v>niet van toepassing</v>
      </c>
      <c r="I410" s="719"/>
      <c r="J410" s="623"/>
      <c r="K410" s="623"/>
      <c r="L410" s="668" t="s">
        <v>27</v>
      </c>
      <c r="M410" s="557">
        <f t="shared" si="64"/>
        <v>0</v>
      </c>
      <c r="N410" s="453"/>
      <c r="O410" s="557">
        <f t="shared" si="65"/>
        <v>0</v>
      </c>
      <c r="P410" s="633">
        <v>1</v>
      </c>
      <c r="Q410" s="776">
        <f t="shared" si="66"/>
        <v>0</v>
      </c>
      <c r="R410" s="776">
        <f t="shared" si="67"/>
        <v>0</v>
      </c>
      <c r="S410" s="552">
        <f t="shared" si="68"/>
        <v>0</v>
      </c>
      <c r="T410" s="626">
        <f t="shared" si="61"/>
        <v>0</v>
      </c>
      <c r="U410" s="626">
        <f t="shared" si="62"/>
        <v>0</v>
      </c>
      <c r="V410" s="553">
        <f t="shared" si="63"/>
        <v>0</v>
      </c>
      <c r="W410" s="554">
        <f t="shared" si="69"/>
        <v>0</v>
      </c>
      <c r="X410" s="454" t="s">
        <v>1454</v>
      </c>
      <c r="Y410" s="631">
        <f>IF(Q410=0,0,(Q410+R410)*'1.0-Contractblad'!$L$98)</f>
        <v>0</v>
      </c>
      <c r="Z410" s="632">
        <f>IF(J410=0,0,VLOOKUP(D410,'1.1a-Jaarprijzen'!$B$70:$P$124,14,FALSE)*(K410+J410))</f>
        <v>0</v>
      </c>
    </row>
    <row r="411" spans="1:26" hidden="1">
      <c r="A411" s="558"/>
      <c r="B411" s="548"/>
      <c r="C411" s="659">
        <v>3</v>
      </c>
      <c r="D411" s="549" t="s">
        <v>1475</v>
      </c>
      <c r="E411" s="660" t="s">
        <v>478</v>
      </c>
      <c r="F411" s="551" t="s">
        <v>905</v>
      </c>
      <c r="G411" s="649" t="s">
        <v>1237</v>
      </c>
      <c r="H411" s="647" t="str">
        <f t="shared" si="60"/>
        <v>trappenhuis</v>
      </c>
      <c r="I411" s="719" t="s">
        <v>1402</v>
      </c>
      <c r="J411" s="623">
        <v>5.7</v>
      </c>
      <c r="K411" s="623"/>
      <c r="L411" s="559">
        <v>9153</v>
      </c>
      <c r="M411" s="557">
        <f t="shared" si="64"/>
        <v>109</v>
      </c>
      <c r="N411" s="453"/>
      <c r="O411" s="557">
        <f t="shared" si="65"/>
        <v>153</v>
      </c>
      <c r="P411" s="633">
        <v>1</v>
      </c>
      <c r="Q411" s="776">
        <f t="shared" si="66"/>
        <v>0</v>
      </c>
      <c r="R411" s="776">
        <f t="shared" si="67"/>
        <v>0</v>
      </c>
      <c r="S411" s="552">
        <f t="shared" si="68"/>
        <v>0</v>
      </c>
      <c r="T411" s="626">
        <f t="shared" si="61"/>
        <v>0</v>
      </c>
      <c r="U411" s="626">
        <f t="shared" si="62"/>
        <v>0</v>
      </c>
      <c r="V411" s="553">
        <f t="shared" si="63"/>
        <v>0</v>
      </c>
      <c r="W411" s="554" t="str">
        <f t="shared" si="69"/>
        <v>V</v>
      </c>
      <c r="X411" s="555"/>
      <c r="Y411" s="631">
        <f>IF(Q411=0,0,(Q411+R411)*'1.0-Contractblad'!$L$98)</f>
        <v>0</v>
      </c>
      <c r="Z411" s="632">
        <f ca="1">IF(J411=0,0,VLOOKUP(D411,'1.1a-Jaarprijzen'!$B$70:$P$124,14,FALSE)*(K411+J411))</f>
        <v>0</v>
      </c>
    </row>
    <row r="412" spans="1:26" hidden="1">
      <c r="A412" s="558"/>
      <c r="B412" s="548"/>
      <c r="C412" s="659">
        <v>3</v>
      </c>
      <c r="D412" s="549" t="s">
        <v>1475</v>
      </c>
      <c r="E412" s="660" t="s">
        <v>478</v>
      </c>
      <c r="F412" s="551" t="s">
        <v>906</v>
      </c>
      <c r="G412" s="649" t="s">
        <v>1217</v>
      </c>
      <c r="H412" s="647" t="str">
        <f t="shared" si="60"/>
        <v>entree, gang, hal, repro, kopieer, was/droogruimte</v>
      </c>
      <c r="I412" s="719" t="s">
        <v>1402</v>
      </c>
      <c r="J412" s="623">
        <v>9.8000000000000007</v>
      </c>
      <c r="K412" s="623"/>
      <c r="L412" s="651">
        <v>3153</v>
      </c>
      <c r="M412" s="557">
        <f t="shared" si="64"/>
        <v>103</v>
      </c>
      <c r="N412" s="453"/>
      <c r="O412" s="557">
        <f t="shared" si="65"/>
        <v>153</v>
      </c>
      <c r="P412" s="633">
        <v>1</v>
      </c>
      <c r="Q412" s="776">
        <f t="shared" si="66"/>
        <v>0</v>
      </c>
      <c r="R412" s="776">
        <f t="shared" si="67"/>
        <v>0</v>
      </c>
      <c r="S412" s="552">
        <f t="shared" si="68"/>
        <v>0</v>
      </c>
      <c r="T412" s="626">
        <f t="shared" si="61"/>
        <v>0</v>
      </c>
      <c r="U412" s="626">
        <f t="shared" si="62"/>
        <v>0</v>
      </c>
      <c r="V412" s="553">
        <f t="shared" si="63"/>
        <v>0</v>
      </c>
      <c r="W412" s="554" t="str">
        <f t="shared" si="69"/>
        <v>V</v>
      </c>
      <c r="X412" s="555"/>
      <c r="Y412" s="631">
        <f>IF(Q412=0,0,(Q412+R412)*'1.0-Contractblad'!$L$98)</f>
        <v>0</v>
      </c>
      <c r="Z412" s="632">
        <f ca="1">IF(J412=0,0,VLOOKUP(D412,'1.1a-Jaarprijzen'!$B$70:$P$124,14,FALSE)*(K412+J412))</f>
        <v>0</v>
      </c>
    </row>
    <row r="413" spans="1:26" hidden="1">
      <c r="A413" s="558"/>
      <c r="B413" s="548"/>
      <c r="C413" s="659">
        <v>3</v>
      </c>
      <c r="D413" s="549" t="s">
        <v>1475</v>
      </c>
      <c r="E413" s="660" t="s">
        <v>478</v>
      </c>
      <c r="F413" s="551" t="s">
        <v>907</v>
      </c>
      <c r="G413" s="649" t="s">
        <v>1221</v>
      </c>
      <c r="H413" s="647" t="str">
        <f t="shared" si="60"/>
        <v>entree, gang, hal, repro, kopieer, was/droogruimte</v>
      </c>
      <c r="I413" s="719" t="s">
        <v>106</v>
      </c>
      <c r="J413" s="623">
        <v>46.8</v>
      </c>
      <c r="K413" s="623"/>
      <c r="L413" s="651">
        <v>3153</v>
      </c>
      <c r="M413" s="557">
        <f t="shared" si="64"/>
        <v>103</v>
      </c>
      <c r="N413" s="453"/>
      <c r="O413" s="557">
        <f t="shared" si="65"/>
        <v>153</v>
      </c>
      <c r="P413" s="633">
        <v>1</v>
      </c>
      <c r="Q413" s="776">
        <f t="shared" si="66"/>
        <v>0</v>
      </c>
      <c r="R413" s="776">
        <f t="shared" si="67"/>
        <v>0</v>
      </c>
      <c r="S413" s="552">
        <f t="shared" si="68"/>
        <v>0</v>
      </c>
      <c r="T413" s="626">
        <f t="shared" si="61"/>
        <v>0</v>
      </c>
      <c r="U413" s="626">
        <f t="shared" si="62"/>
        <v>0</v>
      </c>
      <c r="V413" s="553">
        <f t="shared" si="63"/>
        <v>0</v>
      </c>
      <c r="W413" s="554" t="str">
        <f t="shared" si="69"/>
        <v>V</v>
      </c>
      <c r="X413" s="555"/>
      <c r="Y413" s="631">
        <f>IF(Q413=0,0,(Q413+R413)*'1.0-Contractblad'!$L$98)</f>
        <v>0</v>
      </c>
      <c r="Z413" s="632">
        <f ca="1">IF(J413=0,0,VLOOKUP(D413,'1.1a-Jaarprijzen'!$B$70:$P$124,14,FALSE)*(K413+J413))</f>
        <v>0</v>
      </c>
    </row>
    <row r="414" spans="1:26" hidden="1">
      <c r="A414" s="558"/>
      <c r="B414" s="548"/>
      <c r="C414" s="659">
        <v>3</v>
      </c>
      <c r="D414" s="549" t="s">
        <v>1475</v>
      </c>
      <c r="E414" s="660" t="s">
        <v>478</v>
      </c>
      <c r="F414" s="551" t="s">
        <v>710</v>
      </c>
      <c r="G414" s="649" t="s">
        <v>1288</v>
      </c>
      <c r="H414" s="647" t="str">
        <f t="shared" si="60"/>
        <v>niet van toepassing</v>
      </c>
      <c r="I414" s="719" t="s">
        <v>106</v>
      </c>
      <c r="J414" s="623"/>
      <c r="K414" s="623"/>
      <c r="L414" s="668" t="s">
        <v>27</v>
      </c>
      <c r="M414" s="557">
        <f t="shared" si="64"/>
        <v>0</v>
      </c>
      <c r="N414" s="453"/>
      <c r="O414" s="557">
        <f t="shared" si="65"/>
        <v>0</v>
      </c>
      <c r="P414" s="633">
        <v>1</v>
      </c>
      <c r="Q414" s="776">
        <f t="shared" si="66"/>
        <v>0</v>
      </c>
      <c r="R414" s="776">
        <f t="shared" si="67"/>
        <v>0</v>
      </c>
      <c r="S414" s="552">
        <f t="shared" si="68"/>
        <v>0</v>
      </c>
      <c r="T414" s="626">
        <f t="shared" si="61"/>
        <v>0</v>
      </c>
      <c r="U414" s="626">
        <f t="shared" si="62"/>
        <v>0</v>
      </c>
      <c r="V414" s="553">
        <f t="shared" si="63"/>
        <v>0</v>
      </c>
      <c r="W414" s="554">
        <f t="shared" si="69"/>
        <v>0</v>
      </c>
      <c r="X414" s="454" t="s">
        <v>1454</v>
      </c>
      <c r="Y414" s="631">
        <f>IF(Q414=0,0,(Q414+R414)*'1.0-Contractblad'!$L$98)</f>
        <v>0</v>
      </c>
      <c r="Z414" s="632">
        <f>IF(J414=0,0,VLOOKUP(D414,'1.1a-Jaarprijzen'!$B$70:$P$124,14,FALSE)*(K414+J414))</f>
        <v>0</v>
      </c>
    </row>
    <row r="415" spans="1:26" hidden="1">
      <c r="A415" s="558"/>
      <c r="B415" s="548"/>
      <c r="C415" s="659">
        <v>3</v>
      </c>
      <c r="D415" s="549" t="s">
        <v>1475</v>
      </c>
      <c r="E415" s="660" t="s">
        <v>478</v>
      </c>
      <c r="F415" s="551" t="s">
        <v>711</v>
      </c>
      <c r="G415" s="649" t="s">
        <v>1288</v>
      </c>
      <c r="H415" s="647" t="str">
        <f t="shared" si="60"/>
        <v>niet van toepassing</v>
      </c>
      <c r="I415" s="719" t="s">
        <v>106</v>
      </c>
      <c r="J415" s="623"/>
      <c r="K415" s="623"/>
      <c r="L415" s="668" t="s">
        <v>27</v>
      </c>
      <c r="M415" s="557">
        <f t="shared" si="64"/>
        <v>0</v>
      </c>
      <c r="N415" s="453"/>
      <c r="O415" s="557">
        <f t="shared" si="65"/>
        <v>0</v>
      </c>
      <c r="P415" s="633">
        <v>1</v>
      </c>
      <c r="Q415" s="776">
        <f t="shared" si="66"/>
        <v>0</v>
      </c>
      <c r="R415" s="776">
        <f t="shared" si="67"/>
        <v>0</v>
      </c>
      <c r="S415" s="552">
        <f t="shared" si="68"/>
        <v>0</v>
      </c>
      <c r="T415" s="626">
        <f t="shared" si="61"/>
        <v>0</v>
      </c>
      <c r="U415" s="626">
        <f t="shared" si="62"/>
        <v>0</v>
      </c>
      <c r="V415" s="553">
        <f t="shared" si="63"/>
        <v>0</v>
      </c>
      <c r="W415" s="554">
        <f t="shared" si="69"/>
        <v>0</v>
      </c>
      <c r="X415" s="454" t="s">
        <v>1454</v>
      </c>
      <c r="Y415" s="631">
        <f>IF(Q415=0,0,(Q415+R415)*'1.0-Contractblad'!$L$98)</f>
        <v>0</v>
      </c>
      <c r="Z415" s="632">
        <f>IF(J415=0,0,VLOOKUP(D415,'1.1a-Jaarprijzen'!$B$70:$P$124,14,FALSE)*(K415+J415))</f>
        <v>0</v>
      </c>
    </row>
    <row r="416" spans="1:26" hidden="1">
      <c r="A416" s="558"/>
      <c r="B416" s="548"/>
      <c r="C416" s="659">
        <v>3</v>
      </c>
      <c r="D416" s="549" t="s">
        <v>1475</v>
      </c>
      <c r="E416" s="660" t="s">
        <v>478</v>
      </c>
      <c r="F416" s="551" t="s">
        <v>712</v>
      </c>
      <c r="G416" s="649" t="s">
        <v>1288</v>
      </c>
      <c r="H416" s="647" t="str">
        <f t="shared" si="60"/>
        <v>niet van toepassing</v>
      </c>
      <c r="I416" s="719" t="s">
        <v>106</v>
      </c>
      <c r="J416" s="623"/>
      <c r="K416" s="623"/>
      <c r="L416" s="668" t="s">
        <v>27</v>
      </c>
      <c r="M416" s="557">
        <f t="shared" si="64"/>
        <v>0</v>
      </c>
      <c r="N416" s="453"/>
      <c r="O416" s="557">
        <f t="shared" si="65"/>
        <v>0</v>
      </c>
      <c r="P416" s="633">
        <v>1</v>
      </c>
      <c r="Q416" s="776">
        <f t="shared" si="66"/>
        <v>0</v>
      </c>
      <c r="R416" s="776">
        <f t="shared" si="67"/>
        <v>0</v>
      </c>
      <c r="S416" s="552">
        <f t="shared" si="68"/>
        <v>0</v>
      </c>
      <c r="T416" s="626">
        <f t="shared" si="61"/>
        <v>0</v>
      </c>
      <c r="U416" s="626">
        <f t="shared" si="62"/>
        <v>0</v>
      </c>
      <c r="V416" s="553">
        <f t="shared" si="63"/>
        <v>0</v>
      </c>
      <c r="W416" s="554">
        <f t="shared" si="69"/>
        <v>0</v>
      </c>
      <c r="X416" s="454" t="s">
        <v>1454</v>
      </c>
      <c r="Y416" s="631">
        <f>IF(Q416=0,0,(Q416+R416)*'1.0-Contractblad'!$L$98)</f>
        <v>0</v>
      </c>
      <c r="Z416" s="632">
        <f>IF(J416=0,0,VLOOKUP(D416,'1.1a-Jaarprijzen'!$B$70:$P$124,14,FALSE)*(K416+J416))</f>
        <v>0</v>
      </c>
    </row>
    <row r="417" spans="1:26" hidden="1">
      <c r="A417" s="558"/>
      <c r="B417" s="548"/>
      <c r="C417" s="659">
        <v>3</v>
      </c>
      <c r="D417" s="549" t="s">
        <v>1475</v>
      </c>
      <c r="E417" s="660" t="s">
        <v>478</v>
      </c>
      <c r="F417" s="551" t="s">
        <v>713</v>
      </c>
      <c r="G417" s="649" t="s">
        <v>1288</v>
      </c>
      <c r="H417" s="647" t="str">
        <f t="shared" si="60"/>
        <v>niet van toepassing</v>
      </c>
      <c r="I417" s="719" t="s">
        <v>106</v>
      </c>
      <c r="J417" s="623"/>
      <c r="K417" s="623"/>
      <c r="L417" s="668" t="s">
        <v>27</v>
      </c>
      <c r="M417" s="557">
        <f t="shared" si="64"/>
        <v>0</v>
      </c>
      <c r="N417" s="453"/>
      <c r="O417" s="557">
        <f t="shared" si="65"/>
        <v>0</v>
      </c>
      <c r="P417" s="633">
        <v>1</v>
      </c>
      <c r="Q417" s="776">
        <f t="shared" si="66"/>
        <v>0</v>
      </c>
      <c r="R417" s="776">
        <f t="shared" si="67"/>
        <v>0</v>
      </c>
      <c r="S417" s="552">
        <f t="shared" si="68"/>
        <v>0</v>
      </c>
      <c r="T417" s="626">
        <f t="shared" si="61"/>
        <v>0</v>
      </c>
      <c r="U417" s="626">
        <f t="shared" si="62"/>
        <v>0</v>
      </c>
      <c r="V417" s="553">
        <f t="shared" si="63"/>
        <v>0</v>
      </c>
      <c r="W417" s="554">
        <f t="shared" si="69"/>
        <v>0</v>
      </c>
      <c r="X417" s="454" t="s">
        <v>1454</v>
      </c>
      <c r="Y417" s="631">
        <f>IF(Q417=0,0,(Q417+R417)*'1.0-Contractblad'!$L$98)</f>
        <v>0</v>
      </c>
      <c r="Z417" s="632">
        <f>IF(J417=0,0,VLOOKUP(D417,'1.1a-Jaarprijzen'!$B$70:$P$124,14,FALSE)*(K417+J417))</f>
        <v>0</v>
      </c>
    </row>
    <row r="418" spans="1:26" hidden="1">
      <c r="A418" s="558"/>
      <c r="B418" s="548"/>
      <c r="C418" s="659">
        <v>3</v>
      </c>
      <c r="D418" s="549" t="s">
        <v>1475</v>
      </c>
      <c r="E418" s="660" t="s">
        <v>478</v>
      </c>
      <c r="F418" s="551" t="s">
        <v>714</v>
      </c>
      <c r="G418" s="649" t="s">
        <v>1288</v>
      </c>
      <c r="H418" s="647" t="str">
        <f t="shared" si="60"/>
        <v>niet van toepassing</v>
      </c>
      <c r="I418" s="719" t="s">
        <v>106</v>
      </c>
      <c r="J418" s="623"/>
      <c r="K418" s="623"/>
      <c r="L418" s="668" t="s">
        <v>27</v>
      </c>
      <c r="M418" s="557">
        <f t="shared" si="64"/>
        <v>0</v>
      </c>
      <c r="N418" s="453"/>
      <c r="O418" s="557">
        <f t="shared" si="65"/>
        <v>0</v>
      </c>
      <c r="P418" s="633">
        <v>1</v>
      </c>
      <c r="Q418" s="776">
        <f t="shared" si="66"/>
        <v>0</v>
      </c>
      <c r="R418" s="776">
        <f t="shared" si="67"/>
        <v>0</v>
      </c>
      <c r="S418" s="552">
        <f t="shared" si="68"/>
        <v>0</v>
      </c>
      <c r="T418" s="626">
        <f t="shared" si="61"/>
        <v>0</v>
      </c>
      <c r="U418" s="626">
        <f t="shared" si="62"/>
        <v>0</v>
      </c>
      <c r="V418" s="553">
        <f t="shared" si="63"/>
        <v>0</v>
      </c>
      <c r="W418" s="554">
        <f t="shared" si="69"/>
        <v>0</v>
      </c>
      <c r="X418" s="454" t="s">
        <v>1454</v>
      </c>
      <c r="Y418" s="631">
        <f>IF(Q418=0,0,(Q418+R418)*'1.0-Contractblad'!$L$98)</f>
        <v>0</v>
      </c>
      <c r="Z418" s="632">
        <f>IF(J418=0,0,VLOOKUP(D418,'1.1a-Jaarprijzen'!$B$70:$P$124,14,FALSE)*(K418+J418))</f>
        <v>0</v>
      </c>
    </row>
    <row r="419" spans="1:26" hidden="1">
      <c r="A419" s="558"/>
      <c r="B419" s="548"/>
      <c r="C419" s="659">
        <v>3</v>
      </c>
      <c r="D419" s="549" t="s">
        <v>1475</v>
      </c>
      <c r="E419" s="660" t="s">
        <v>478</v>
      </c>
      <c r="F419" s="551" t="s">
        <v>715</v>
      </c>
      <c r="G419" s="649" t="s">
        <v>1288</v>
      </c>
      <c r="H419" s="647" t="str">
        <f t="shared" si="60"/>
        <v>niet van toepassing</v>
      </c>
      <c r="I419" s="719" t="s">
        <v>106</v>
      </c>
      <c r="J419" s="623"/>
      <c r="K419" s="623"/>
      <c r="L419" s="668" t="s">
        <v>27</v>
      </c>
      <c r="M419" s="557">
        <f t="shared" si="64"/>
        <v>0</v>
      </c>
      <c r="N419" s="453"/>
      <c r="O419" s="557">
        <f t="shared" si="65"/>
        <v>0</v>
      </c>
      <c r="P419" s="633">
        <v>1</v>
      </c>
      <c r="Q419" s="776">
        <f t="shared" si="66"/>
        <v>0</v>
      </c>
      <c r="R419" s="776">
        <f t="shared" si="67"/>
        <v>0</v>
      </c>
      <c r="S419" s="552">
        <f t="shared" si="68"/>
        <v>0</v>
      </c>
      <c r="T419" s="626">
        <f t="shared" si="61"/>
        <v>0</v>
      </c>
      <c r="U419" s="626">
        <f t="shared" si="62"/>
        <v>0</v>
      </c>
      <c r="V419" s="553">
        <f t="shared" si="63"/>
        <v>0</v>
      </c>
      <c r="W419" s="554">
        <f t="shared" si="69"/>
        <v>0</v>
      </c>
      <c r="X419" s="454" t="s">
        <v>1454</v>
      </c>
      <c r="Y419" s="631">
        <f>IF(Q419=0,0,(Q419+R419)*'1.0-Contractblad'!$L$98)</f>
        <v>0</v>
      </c>
      <c r="Z419" s="632">
        <f>IF(J419=0,0,VLOOKUP(D419,'1.1a-Jaarprijzen'!$B$70:$P$124,14,FALSE)*(K419+J419))</f>
        <v>0</v>
      </c>
    </row>
    <row r="420" spans="1:26" hidden="1">
      <c r="A420" s="558"/>
      <c r="B420" s="548"/>
      <c r="C420" s="659">
        <v>3</v>
      </c>
      <c r="D420" s="549" t="s">
        <v>1475</v>
      </c>
      <c r="E420" s="660" t="s">
        <v>478</v>
      </c>
      <c r="F420" s="551" t="s">
        <v>716</v>
      </c>
      <c r="G420" s="649" t="s">
        <v>1288</v>
      </c>
      <c r="H420" s="647" t="str">
        <f t="shared" si="60"/>
        <v>niet van toepassing</v>
      </c>
      <c r="I420" s="719" t="s">
        <v>106</v>
      </c>
      <c r="J420" s="623"/>
      <c r="K420" s="623"/>
      <c r="L420" s="668" t="s">
        <v>27</v>
      </c>
      <c r="M420" s="557">
        <f t="shared" si="64"/>
        <v>0</v>
      </c>
      <c r="N420" s="453"/>
      <c r="O420" s="557">
        <f t="shared" si="65"/>
        <v>0</v>
      </c>
      <c r="P420" s="633">
        <v>1</v>
      </c>
      <c r="Q420" s="776">
        <f t="shared" si="66"/>
        <v>0</v>
      </c>
      <c r="R420" s="776">
        <f t="shared" si="67"/>
        <v>0</v>
      </c>
      <c r="S420" s="552">
        <f t="shared" si="68"/>
        <v>0</v>
      </c>
      <c r="T420" s="626">
        <f t="shared" si="61"/>
        <v>0</v>
      </c>
      <c r="U420" s="626">
        <f t="shared" si="62"/>
        <v>0</v>
      </c>
      <c r="V420" s="553">
        <f t="shared" si="63"/>
        <v>0</v>
      </c>
      <c r="W420" s="554">
        <f t="shared" si="69"/>
        <v>0</v>
      </c>
      <c r="X420" s="454" t="s">
        <v>1454</v>
      </c>
      <c r="Y420" s="631">
        <f>IF(Q420=0,0,(Q420+R420)*'1.0-Contractblad'!$L$98)</f>
        <v>0</v>
      </c>
      <c r="Z420" s="632">
        <f>IF(J420=0,0,VLOOKUP(D420,'1.1a-Jaarprijzen'!$B$70:$P$124,14,FALSE)*(K420+J420))</f>
        <v>0</v>
      </c>
    </row>
    <row r="421" spans="1:26" hidden="1">
      <c r="A421" s="558"/>
      <c r="B421" s="548"/>
      <c r="C421" s="659">
        <v>3</v>
      </c>
      <c r="D421" s="549" t="s">
        <v>1475</v>
      </c>
      <c r="E421" s="660" t="s">
        <v>478</v>
      </c>
      <c r="F421" s="551" t="s">
        <v>717</v>
      </c>
      <c r="G421" s="649" t="s">
        <v>1288</v>
      </c>
      <c r="H421" s="647" t="str">
        <f t="shared" si="60"/>
        <v>niet van toepassing</v>
      </c>
      <c r="I421" s="719" t="s">
        <v>106</v>
      </c>
      <c r="J421" s="623"/>
      <c r="K421" s="623"/>
      <c r="L421" s="668" t="s">
        <v>27</v>
      </c>
      <c r="M421" s="557">
        <f t="shared" si="64"/>
        <v>0</v>
      </c>
      <c r="N421" s="453"/>
      <c r="O421" s="557">
        <f t="shared" si="65"/>
        <v>0</v>
      </c>
      <c r="P421" s="633">
        <v>1</v>
      </c>
      <c r="Q421" s="776">
        <f t="shared" si="66"/>
        <v>0</v>
      </c>
      <c r="R421" s="776">
        <f t="shared" si="67"/>
        <v>0</v>
      </c>
      <c r="S421" s="552">
        <f t="shared" si="68"/>
        <v>0</v>
      </c>
      <c r="T421" s="626">
        <f t="shared" si="61"/>
        <v>0</v>
      </c>
      <c r="U421" s="626">
        <f t="shared" si="62"/>
        <v>0</v>
      </c>
      <c r="V421" s="553">
        <f t="shared" si="63"/>
        <v>0</v>
      </c>
      <c r="W421" s="554">
        <f t="shared" si="69"/>
        <v>0</v>
      </c>
      <c r="X421" s="454" t="s">
        <v>1454</v>
      </c>
      <c r="Y421" s="631">
        <f>IF(Q421=0,0,(Q421+R421)*'1.0-Contractblad'!$L$98)</f>
        <v>0</v>
      </c>
      <c r="Z421" s="632">
        <f>IF(J421=0,0,VLOOKUP(D421,'1.1a-Jaarprijzen'!$B$70:$P$124,14,FALSE)*(K421+J421))</f>
        <v>0</v>
      </c>
    </row>
    <row r="422" spans="1:26" hidden="1">
      <c r="A422" s="558"/>
      <c r="B422" s="548"/>
      <c r="C422" s="659">
        <v>3</v>
      </c>
      <c r="D422" s="549" t="s">
        <v>1475</v>
      </c>
      <c r="E422" s="660" t="s">
        <v>478</v>
      </c>
      <c r="F422" s="551" t="s">
        <v>718</v>
      </c>
      <c r="G422" s="649" t="s">
        <v>1288</v>
      </c>
      <c r="H422" s="647" t="str">
        <f t="shared" si="60"/>
        <v>niet van toepassing</v>
      </c>
      <c r="I422" s="719" t="s">
        <v>106</v>
      </c>
      <c r="J422" s="623"/>
      <c r="K422" s="623"/>
      <c r="L422" s="668" t="s">
        <v>27</v>
      </c>
      <c r="M422" s="557">
        <f t="shared" si="64"/>
        <v>0</v>
      </c>
      <c r="N422" s="453"/>
      <c r="O422" s="557">
        <f t="shared" si="65"/>
        <v>0</v>
      </c>
      <c r="P422" s="633">
        <v>1</v>
      </c>
      <c r="Q422" s="776">
        <f t="shared" si="66"/>
        <v>0</v>
      </c>
      <c r="R422" s="776">
        <f t="shared" si="67"/>
        <v>0</v>
      </c>
      <c r="S422" s="552">
        <f t="shared" si="68"/>
        <v>0</v>
      </c>
      <c r="T422" s="626">
        <f t="shared" si="61"/>
        <v>0</v>
      </c>
      <c r="U422" s="626">
        <f t="shared" si="62"/>
        <v>0</v>
      </c>
      <c r="V422" s="553">
        <f t="shared" si="63"/>
        <v>0</v>
      </c>
      <c r="W422" s="554">
        <f t="shared" si="69"/>
        <v>0</v>
      </c>
      <c r="X422" s="454" t="s">
        <v>1454</v>
      </c>
      <c r="Y422" s="631">
        <f>IF(Q422=0,0,(Q422+R422)*'1.0-Contractblad'!$L$98)</f>
        <v>0</v>
      </c>
      <c r="Z422" s="632">
        <f>IF(J422=0,0,VLOOKUP(D422,'1.1a-Jaarprijzen'!$B$70:$P$124,14,FALSE)*(K422+J422))</f>
        <v>0</v>
      </c>
    </row>
    <row r="423" spans="1:26" hidden="1">
      <c r="A423" s="558"/>
      <c r="B423" s="548"/>
      <c r="C423" s="659">
        <v>3</v>
      </c>
      <c r="D423" s="549" t="s">
        <v>1475</v>
      </c>
      <c r="E423" s="660" t="s">
        <v>478</v>
      </c>
      <c r="F423" s="551" t="s">
        <v>719</v>
      </c>
      <c r="G423" s="649" t="s">
        <v>1288</v>
      </c>
      <c r="H423" s="647" t="str">
        <f t="shared" si="60"/>
        <v>niet van toepassing</v>
      </c>
      <c r="I423" s="719" t="s">
        <v>106</v>
      </c>
      <c r="J423" s="623"/>
      <c r="K423" s="623"/>
      <c r="L423" s="668" t="s">
        <v>27</v>
      </c>
      <c r="M423" s="557">
        <f t="shared" si="64"/>
        <v>0</v>
      </c>
      <c r="N423" s="453"/>
      <c r="O423" s="557">
        <f t="shared" si="65"/>
        <v>0</v>
      </c>
      <c r="P423" s="633">
        <v>1</v>
      </c>
      <c r="Q423" s="776">
        <f t="shared" si="66"/>
        <v>0</v>
      </c>
      <c r="R423" s="776">
        <f t="shared" si="67"/>
        <v>0</v>
      </c>
      <c r="S423" s="552">
        <f t="shared" si="68"/>
        <v>0</v>
      </c>
      <c r="T423" s="626">
        <f t="shared" si="61"/>
        <v>0</v>
      </c>
      <c r="U423" s="626">
        <f t="shared" si="62"/>
        <v>0</v>
      </c>
      <c r="V423" s="553">
        <f t="shared" si="63"/>
        <v>0</v>
      </c>
      <c r="W423" s="554">
        <f t="shared" si="69"/>
        <v>0</v>
      </c>
      <c r="X423" s="454" t="s">
        <v>1454</v>
      </c>
      <c r="Y423" s="631">
        <f>IF(Q423=0,0,(Q423+R423)*'1.0-Contractblad'!$L$98)</f>
        <v>0</v>
      </c>
      <c r="Z423" s="632">
        <f>IF(J423=0,0,VLOOKUP(D423,'1.1a-Jaarprijzen'!$B$70:$P$124,14,FALSE)*(K423+J423))</f>
        <v>0</v>
      </c>
    </row>
    <row r="424" spans="1:26" hidden="1">
      <c r="A424" s="558"/>
      <c r="B424" s="548"/>
      <c r="C424" s="659">
        <v>3</v>
      </c>
      <c r="D424" s="549" t="s">
        <v>1475</v>
      </c>
      <c r="E424" s="660" t="s">
        <v>478</v>
      </c>
      <c r="F424" s="551" t="s">
        <v>720</v>
      </c>
      <c r="G424" s="649" t="s">
        <v>1288</v>
      </c>
      <c r="H424" s="647" t="str">
        <f t="shared" si="60"/>
        <v>niet van toepassing</v>
      </c>
      <c r="I424" s="719" t="s">
        <v>106</v>
      </c>
      <c r="J424" s="623"/>
      <c r="K424" s="623"/>
      <c r="L424" s="668" t="s">
        <v>27</v>
      </c>
      <c r="M424" s="557">
        <f t="shared" si="64"/>
        <v>0</v>
      </c>
      <c r="N424" s="453"/>
      <c r="O424" s="557">
        <f t="shared" si="65"/>
        <v>0</v>
      </c>
      <c r="P424" s="633">
        <v>1</v>
      </c>
      <c r="Q424" s="776">
        <f t="shared" si="66"/>
        <v>0</v>
      </c>
      <c r="R424" s="776">
        <f t="shared" si="67"/>
        <v>0</v>
      </c>
      <c r="S424" s="552">
        <f t="shared" si="68"/>
        <v>0</v>
      </c>
      <c r="T424" s="626">
        <f t="shared" si="61"/>
        <v>0</v>
      </c>
      <c r="U424" s="626">
        <f t="shared" si="62"/>
        <v>0</v>
      </c>
      <c r="V424" s="553">
        <f t="shared" si="63"/>
        <v>0</v>
      </c>
      <c r="W424" s="554">
        <f t="shared" si="69"/>
        <v>0</v>
      </c>
      <c r="X424" s="454" t="s">
        <v>1454</v>
      </c>
      <c r="Y424" s="631">
        <f>IF(Q424=0,0,(Q424+R424)*'1.0-Contractblad'!$L$98)</f>
        <v>0</v>
      </c>
      <c r="Z424" s="632">
        <f>IF(J424=0,0,VLOOKUP(D424,'1.1a-Jaarprijzen'!$B$70:$P$124,14,FALSE)*(K424+J424))</f>
        <v>0</v>
      </c>
    </row>
    <row r="425" spans="1:26" hidden="1">
      <c r="A425" s="558"/>
      <c r="B425" s="548"/>
      <c r="C425" s="659">
        <v>3</v>
      </c>
      <c r="D425" s="549" t="s">
        <v>1475</v>
      </c>
      <c r="E425" s="660" t="s">
        <v>478</v>
      </c>
      <c r="F425" s="551" t="s">
        <v>908</v>
      </c>
      <c r="G425" s="649" t="s">
        <v>489</v>
      </c>
      <c r="H425" s="647" t="str">
        <f t="shared" si="60"/>
        <v>sanitaire ruimte (toilet-/doucheruimte)</v>
      </c>
      <c r="I425" s="719" t="s">
        <v>84</v>
      </c>
      <c r="J425" s="623">
        <v>1.8</v>
      </c>
      <c r="K425" s="623"/>
      <c r="L425" s="559">
        <v>4255</v>
      </c>
      <c r="M425" s="557">
        <f t="shared" si="64"/>
        <v>104</v>
      </c>
      <c r="N425" s="453"/>
      <c r="O425" s="557">
        <f t="shared" si="65"/>
        <v>255</v>
      </c>
      <c r="P425" s="633">
        <v>1</v>
      </c>
      <c r="Q425" s="776">
        <f t="shared" si="66"/>
        <v>0</v>
      </c>
      <c r="R425" s="776">
        <f t="shared" si="67"/>
        <v>0</v>
      </c>
      <c r="S425" s="552">
        <f t="shared" si="68"/>
        <v>0</v>
      </c>
      <c r="T425" s="626">
        <f t="shared" si="61"/>
        <v>0</v>
      </c>
      <c r="U425" s="626">
        <f t="shared" si="62"/>
        <v>0</v>
      </c>
      <c r="V425" s="553">
        <f t="shared" si="63"/>
        <v>0</v>
      </c>
      <c r="W425" s="554" t="str">
        <f t="shared" si="69"/>
        <v>S</v>
      </c>
      <c r="X425" s="555"/>
      <c r="Y425" s="631">
        <f>IF(Q425=0,0,(Q425+R425)*'1.0-Contractblad'!$L$98)</f>
        <v>0</v>
      </c>
      <c r="Z425" s="632">
        <f ca="1">IF(J425=0,0,VLOOKUP(D425,'1.1a-Jaarprijzen'!$B$70:$P$124,14,FALSE)*(K425+J425))</f>
        <v>0</v>
      </c>
    </row>
    <row r="426" spans="1:26" hidden="1">
      <c r="A426" s="558"/>
      <c r="B426" s="548"/>
      <c r="C426" s="659">
        <v>3</v>
      </c>
      <c r="D426" s="549" t="s">
        <v>1475</v>
      </c>
      <c r="E426" s="660" t="s">
        <v>478</v>
      </c>
      <c r="F426" s="551" t="s">
        <v>909</v>
      </c>
      <c r="G426" s="649" t="s">
        <v>489</v>
      </c>
      <c r="H426" s="647" t="str">
        <f t="shared" si="60"/>
        <v>sanitaire ruimte (toilet-/doucheruimte)</v>
      </c>
      <c r="I426" s="719" t="s">
        <v>84</v>
      </c>
      <c r="J426" s="623">
        <v>2</v>
      </c>
      <c r="K426" s="623"/>
      <c r="L426" s="559">
        <v>4255</v>
      </c>
      <c r="M426" s="557">
        <f t="shared" si="64"/>
        <v>104</v>
      </c>
      <c r="N426" s="453"/>
      <c r="O426" s="557">
        <f t="shared" si="65"/>
        <v>255</v>
      </c>
      <c r="P426" s="633">
        <v>1</v>
      </c>
      <c r="Q426" s="776">
        <f t="shared" si="66"/>
        <v>0</v>
      </c>
      <c r="R426" s="776">
        <f t="shared" si="67"/>
        <v>0</v>
      </c>
      <c r="S426" s="552">
        <f t="shared" si="68"/>
        <v>0</v>
      </c>
      <c r="T426" s="626">
        <f t="shared" si="61"/>
        <v>0</v>
      </c>
      <c r="U426" s="626">
        <f t="shared" si="62"/>
        <v>0</v>
      </c>
      <c r="V426" s="553">
        <f t="shared" si="63"/>
        <v>0</v>
      </c>
      <c r="W426" s="554" t="str">
        <f t="shared" si="69"/>
        <v>S</v>
      </c>
      <c r="X426" s="555"/>
      <c r="Y426" s="631">
        <f>IF(Q426=0,0,(Q426+R426)*'1.0-Contractblad'!$L$98)</f>
        <v>0</v>
      </c>
      <c r="Z426" s="632">
        <f ca="1">IF(J426=0,0,VLOOKUP(D426,'1.1a-Jaarprijzen'!$B$70:$P$124,14,FALSE)*(K426+J426))</f>
        <v>0</v>
      </c>
    </row>
    <row r="427" spans="1:26" hidden="1">
      <c r="A427" s="558"/>
      <c r="B427" s="548"/>
      <c r="C427" s="659">
        <v>3</v>
      </c>
      <c r="D427" s="549" t="s">
        <v>1475</v>
      </c>
      <c r="E427" s="660" t="s">
        <v>478</v>
      </c>
      <c r="F427" s="551" t="s">
        <v>910</v>
      </c>
      <c r="G427" s="649" t="s">
        <v>489</v>
      </c>
      <c r="H427" s="647" t="str">
        <f t="shared" si="60"/>
        <v>sanitaire ruimte (toilet-/doucheruimte)</v>
      </c>
      <c r="I427" s="719" t="s">
        <v>84</v>
      </c>
      <c r="J427" s="623">
        <v>2.2999999999999998</v>
      </c>
      <c r="K427" s="623"/>
      <c r="L427" s="559">
        <v>4255</v>
      </c>
      <c r="M427" s="557">
        <f t="shared" si="64"/>
        <v>104</v>
      </c>
      <c r="N427" s="453"/>
      <c r="O427" s="557">
        <f t="shared" si="65"/>
        <v>255</v>
      </c>
      <c r="P427" s="633">
        <v>1</v>
      </c>
      <c r="Q427" s="776">
        <f t="shared" si="66"/>
        <v>0</v>
      </c>
      <c r="R427" s="776">
        <f t="shared" si="67"/>
        <v>0</v>
      </c>
      <c r="S427" s="552">
        <f t="shared" si="68"/>
        <v>0</v>
      </c>
      <c r="T427" s="626">
        <f t="shared" si="61"/>
        <v>0</v>
      </c>
      <c r="U427" s="626">
        <f t="shared" si="62"/>
        <v>0</v>
      </c>
      <c r="V427" s="553">
        <f t="shared" si="63"/>
        <v>0</v>
      </c>
      <c r="W427" s="554" t="str">
        <f t="shared" si="69"/>
        <v>S</v>
      </c>
      <c r="X427" s="555"/>
      <c r="Y427" s="631">
        <f>IF(Q427=0,0,(Q427+R427)*'1.0-Contractblad'!$L$98)</f>
        <v>0</v>
      </c>
      <c r="Z427" s="632">
        <f ca="1">IF(J427=0,0,VLOOKUP(D427,'1.1a-Jaarprijzen'!$B$70:$P$124,14,FALSE)*(K427+J427))</f>
        <v>0</v>
      </c>
    </row>
    <row r="428" spans="1:26" hidden="1">
      <c r="A428" s="558"/>
      <c r="B428" s="548"/>
      <c r="C428" s="659">
        <v>3</v>
      </c>
      <c r="D428" s="549" t="s">
        <v>1475</v>
      </c>
      <c r="E428" s="660" t="s">
        <v>478</v>
      </c>
      <c r="F428" s="551" t="s">
        <v>911</v>
      </c>
      <c r="G428" s="649" t="s">
        <v>1216</v>
      </c>
      <c r="H428" s="647" t="str">
        <f t="shared" si="60"/>
        <v>sanitaire ruimte (toilet-/doucheruimte)</v>
      </c>
      <c r="I428" s="719" t="s">
        <v>84</v>
      </c>
      <c r="J428" s="623">
        <v>3.4</v>
      </c>
      <c r="K428" s="623"/>
      <c r="L428" s="559">
        <v>4153</v>
      </c>
      <c r="M428" s="557">
        <f t="shared" si="64"/>
        <v>104</v>
      </c>
      <c r="N428" s="453"/>
      <c r="O428" s="557">
        <f t="shared" si="65"/>
        <v>153</v>
      </c>
      <c r="P428" s="633">
        <v>1</v>
      </c>
      <c r="Q428" s="776">
        <f t="shared" si="66"/>
        <v>0</v>
      </c>
      <c r="R428" s="776">
        <f t="shared" si="67"/>
        <v>0</v>
      </c>
      <c r="S428" s="552">
        <f t="shared" si="68"/>
        <v>0</v>
      </c>
      <c r="T428" s="626">
        <f t="shared" si="61"/>
        <v>0</v>
      </c>
      <c r="U428" s="626">
        <f t="shared" si="62"/>
        <v>0</v>
      </c>
      <c r="V428" s="553">
        <f t="shared" si="63"/>
        <v>0</v>
      </c>
      <c r="W428" s="554" t="str">
        <f t="shared" si="69"/>
        <v>S</v>
      </c>
      <c r="X428" s="555"/>
      <c r="Y428" s="631">
        <f>IF(Q428=0,0,(Q428+R428)*'1.0-Contractblad'!$L$98)</f>
        <v>0</v>
      </c>
      <c r="Z428" s="632">
        <f ca="1">IF(J428=0,0,VLOOKUP(D428,'1.1a-Jaarprijzen'!$B$70:$P$124,14,FALSE)*(K428+J428))</f>
        <v>0</v>
      </c>
    </row>
    <row r="429" spans="1:26" hidden="1">
      <c r="A429" s="558"/>
      <c r="B429" s="548"/>
      <c r="C429" s="659">
        <v>3</v>
      </c>
      <c r="D429" s="549" t="s">
        <v>1475</v>
      </c>
      <c r="E429" s="660" t="s">
        <v>478</v>
      </c>
      <c r="F429" s="551" t="s">
        <v>912</v>
      </c>
      <c r="G429" s="649" t="s">
        <v>1216</v>
      </c>
      <c r="H429" s="647" t="str">
        <f t="shared" si="60"/>
        <v>sanitaire ruimte (toilet-/doucheruimte)</v>
      </c>
      <c r="I429" s="719" t="s">
        <v>84</v>
      </c>
      <c r="J429" s="623">
        <v>3.8</v>
      </c>
      <c r="K429" s="623"/>
      <c r="L429" s="559">
        <v>4153</v>
      </c>
      <c r="M429" s="557">
        <f t="shared" si="64"/>
        <v>104</v>
      </c>
      <c r="N429" s="453"/>
      <c r="O429" s="557">
        <f t="shared" si="65"/>
        <v>153</v>
      </c>
      <c r="P429" s="633">
        <v>1</v>
      </c>
      <c r="Q429" s="776">
        <f t="shared" si="66"/>
        <v>0</v>
      </c>
      <c r="R429" s="776">
        <f t="shared" si="67"/>
        <v>0</v>
      </c>
      <c r="S429" s="552">
        <f t="shared" si="68"/>
        <v>0</v>
      </c>
      <c r="T429" s="626">
        <f t="shared" si="61"/>
        <v>0</v>
      </c>
      <c r="U429" s="626">
        <f t="shared" si="62"/>
        <v>0</v>
      </c>
      <c r="V429" s="553">
        <f t="shared" si="63"/>
        <v>0</v>
      </c>
      <c r="W429" s="554" t="str">
        <f t="shared" si="69"/>
        <v>S</v>
      </c>
      <c r="X429" s="555"/>
      <c r="Y429" s="631">
        <f>IF(Q429=0,0,(Q429+R429)*'1.0-Contractblad'!$L$98)</f>
        <v>0</v>
      </c>
      <c r="Z429" s="632">
        <f ca="1">IF(J429=0,0,VLOOKUP(D429,'1.1a-Jaarprijzen'!$B$70:$P$124,14,FALSE)*(K429+J429))</f>
        <v>0</v>
      </c>
    </row>
    <row r="430" spans="1:26" hidden="1">
      <c r="A430" s="558"/>
      <c r="B430" s="548"/>
      <c r="C430" s="659">
        <v>3</v>
      </c>
      <c r="D430" s="549" t="s">
        <v>1475</v>
      </c>
      <c r="E430" s="660" t="s">
        <v>478</v>
      </c>
      <c r="F430" s="551" t="s">
        <v>913</v>
      </c>
      <c r="G430" s="649" t="s">
        <v>1275</v>
      </c>
      <c r="H430" s="647" t="str">
        <f t="shared" si="60"/>
        <v>administratieve -, personeels- en vergaderruimte</v>
      </c>
      <c r="I430" s="719" t="s">
        <v>106</v>
      </c>
      <c r="J430" s="623">
        <v>16.8</v>
      </c>
      <c r="K430" s="623"/>
      <c r="L430" s="651">
        <v>1153</v>
      </c>
      <c r="M430" s="557">
        <f t="shared" si="64"/>
        <v>101</v>
      </c>
      <c r="N430" s="453"/>
      <c r="O430" s="557">
        <f t="shared" si="65"/>
        <v>153</v>
      </c>
      <c r="P430" s="633">
        <v>1</v>
      </c>
      <c r="Q430" s="776">
        <f t="shared" si="66"/>
        <v>0</v>
      </c>
      <c r="R430" s="776">
        <f t="shared" si="67"/>
        <v>0</v>
      </c>
      <c r="S430" s="552">
        <f t="shared" si="68"/>
        <v>0</v>
      </c>
      <c r="T430" s="626">
        <f t="shared" si="61"/>
        <v>0</v>
      </c>
      <c r="U430" s="626">
        <f t="shared" si="62"/>
        <v>0</v>
      </c>
      <c r="V430" s="553">
        <f t="shared" si="63"/>
        <v>0</v>
      </c>
      <c r="W430" s="554" t="str">
        <f t="shared" si="69"/>
        <v>B</v>
      </c>
      <c r="X430" s="454"/>
      <c r="Y430" s="631">
        <f>IF(Q430=0,0,(Q430+R430)*'1.0-Contractblad'!$L$98)</f>
        <v>0</v>
      </c>
      <c r="Z430" s="632">
        <f ca="1">IF(J430=0,0,VLOOKUP(D430,'1.1a-Jaarprijzen'!$B$70:$P$124,14,FALSE)*(K430+J430))</f>
        <v>0</v>
      </c>
    </row>
    <row r="431" spans="1:26" hidden="1">
      <c r="A431" s="558"/>
      <c r="B431" s="548"/>
      <c r="C431" s="659">
        <v>3</v>
      </c>
      <c r="D431" s="549" t="s">
        <v>1475</v>
      </c>
      <c r="E431" s="660" t="s">
        <v>478</v>
      </c>
      <c r="F431" s="551" t="s">
        <v>914</v>
      </c>
      <c r="G431" s="649" t="s">
        <v>1283</v>
      </c>
      <c r="H431" s="647" t="str">
        <f t="shared" si="60"/>
        <v>niet van toepassing</v>
      </c>
      <c r="I431" s="719"/>
      <c r="J431" s="623"/>
      <c r="K431" s="623"/>
      <c r="L431" s="668" t="s">
        <v>27</v>
      </c>
      <c r="M431" s="557">
        <f t="shared" si="64"/>
        <v>0</v>
      </c>
      <c r="N431" s="453"/>
      <c r="O431" s="557">
        <f t="shared" si="65"/>
        <v>0</v>
      </c>
      <c r="P431" s="633">
        <v>1</v>
      </c>
      <c r="Q431" s="776">
        <f t="shared" si="66"/>
        <v>0</v>
      </c>
      <c r="R431" s="776">
        <f t="shared" si="67"/>
        <v>0</v>
      </c>
      <c r="S431" s="552">
        <f t="shared" si="68"/>
        <v>0</v>
      </c>
      <c r="T431" s="626">
        <f t="shared" si="61"/>
        <v>0</v>
      </c>
      <c r="U431" s="626">
        <f t="shared" si="62"/>
        <v>0</v>
      </c>
      <c r="V431" s="553">
        <f t="shared" si="63"/>
        <v>0</v>
      </c>
      <c r="W431" s="554">
        <f t="shared" si="69"/>
        <v>0</v>
      </c>
      <c r="X431" s="454" t="s">
        <v>1454</v>
      </c>
      <c r="Y431" s="631">
        <f>IF(Q431=0,0,(Q431+R431)*'1.0-Contractblad'!$L$98)</f>
        <v>0</v>
      </c>
      <c r="Z431" s="632">
        <f>IF(J431=0,0,VLOOKUP(D431,'1.1a-Jaarprijzen'!$B$70:$P$124,14,FALSE)*(K431+J431))</f>
        <v>0</v>
      </c>
    </row>
    <row r="432" spans="1:26" hidden="1">
      <c r="A432" s="558"/>
      <c r="B432" s="548"/>
      <c r="C432" s="659">
        <v>3</v>
      </c>
      <c r="D432" s="549" t="s">
        <v>1475</v>
      </c>
      <c r="E432" s="660" t="s">
        <v>478</v>
      </c>
      <c r="F432" s="551" t="s">
        <v>915</v>
      </c>
      <c r="G432" s="649" t="s">
        <v>1284</v>
      </c>
      <c r="H432" s="647" t="str">
        <f t="shared" si="60"/>
        <v>entree, gang, hal, repro, kopieer, was/droogruimte</v>
      </c>
      <c r="I432" s="719" t="s">
        <v>84</v>
      </c>
      <c r="J432" s="623">
        <v>7.9</v>
      </c>
      <c r="K432" s="623"/>
      <c r="L432" s="559">
        <v>3153</v>
      </c>
      <c r="M432" s="557">
        <f t="shared" si="64"/>
        <v>103</v>
      </c>
      <c r="N432" s="453"/>
      <c r="O432" s="557">
        <f t="shared" si="65"/>
        <v>153</v>
      </c>
      <c r="P432" s="633">
        <v>1</v>
      </c>
      <c r="Q432" s="776">
        <f t="shared" si="66"/>
        <v>0</v>
      </c>
      <c r="R432" s="776">
        <f t="shared" si="67"/>
        <v>0</v>
      </c>
      <c r="S432" s="552">
        <f t="shared" si="68"/>
        <v>0</v>
      </c>
      <c r="T432" s="626">
        <f t="shared" si="61"/>
        <v>0</v>
      </c>
      <c r="U432" s="626">
        <f t="shared" si="62"/>
        <v>0</v>
      </c>
      <c r="V432" s="553">
        <f t="shared" si="63"/>
        <v>0</v>
      </c>
      <c r="W432" s="554" t="str">
        <f t="shared" si="69"/>
        <v>V</v>
      </c>
      <c r="X432" s="555"/>
      <c r="Y432" s="631">
        <f>IF(Q432=0,0,(Q432+R432)*'1.0-Contractblad'!$L$98)</f>
        <v>0</v>
      </c>
      <c r="Z432" s="632">
        <f ca="1">IF(J432=0,0,VLOOKUP(D432,'1.1a-Jaarprijzen'!$B$70:$P$124,14,FALSE)*(K432+J432))</f>
        <v>0</v>
      </c>
    </row>
    <row r="433" spans="1:26" hidden="1">
      <c r="A433" s="558"/>
      <c r="B433" s="548"/>
      <c r="C433" s="659">
        <v>3</v>
      </c>
      <c r="D433" s="549" t="s">
        <v>1475</v>
      </c>
      <c r="E433" s="660" t="s">
        <v>478</v>
      </c>
      <c r="F433" s="551" t="s">
        <v>916</v>
      </c>
      <c r="G433" s="649" t="s">
        <v>1273</v>
      </c>
      <c r="H433" s="647" t="str">
        <f t="shared" si="60"/>
        <v>speellokaal</v>
      </c>
      <c r="I433" s="719" t="s">
        <v>106</v>
      </c>
      <c r="J433" s="623">
        <v>40.6</v>
      </c>
      <c r="K433" s="623"/>
      <c r="L433" s="653">
        <v>8153</v>
      </c>
      <c r="M433" s="557">
        <f t="shared" si="64"/>
        <v>107</v>
      </c>
      <c r="N433" s="453"/>
      <c r="O433" s="557">
        <f t="shared" si="65"/>
        <v>153</v>
      </c>
      <c r="P433" s="633">
        <v>1</v>
      </c>
      <c r="Q433" s="776">
        <f t="shared" si="66"/>
        <v>0</v>
      </c>
      <c r="R433" s="776">
        <f t="shared" si="67"/>
        <v>0</v>
      </c>
      <c r="S433" s="552">
        <f t="shared" si="68"/>
        <v>0</v>
      </c>
      <c r="T433" s="626">
        <f t="shared" si="61"/>
        <v>0</v>
      </c>
      <c r="U433" s="626">
        <f t="shared" si="62"/>
        <v>0</v>
      </c>
      <c r="V433" s="553">
        <f t="shared" si="63"/>
        <v>0</v>
      </c>
      <c r="W433" s="554" t="str">
        <f t="shared" si="69"/>
        <v>L</v>
      </c>
      <c r="X433" s="555"/>
      <c r="Y433" s="631">
        <f>IF(Q433=0,0,(Q433+R433)*'1.0-Contractblad'!$L$98)</f>
        <v>0</v>
      </c>
      <c r="Z433" s="632">
        <f ca="1">IF(J433=0,0,VLOOKUP(D433,'1.1a-Jaarprijzen'!$B$70:$P$124,14,FALSE)*(K433+J433))</f>
        <v>0</v>
      </c>
    </row>
    <row r="434" spans="1:26" hidden="1">
      <c r="A434" s="558"/>
      <c r="B434" s="548"/>
      <c r="C434" s="659">
        <v>3</v>
      </c>
      <c r="D434" s="549" t="s">
        <v>1475</v>
      </c>
      <c r="E434" s="660" t="s">
        <v>478</v>
      </c>
      <c r="F434" s="551" t="s">
        <v>917</v>
      </c>
      <c r="G434" s="649" t="s">
        <v>1274</v>
      </c>
      <c r="H434" s="647" t="str">
        <f t="shared" si="60"/>
        <v>leslokaal</v>
      </c>
      <c r="I434" s="719" t="s">
        <v>106</v>
      </c>
      <c r="J434" s="623">
        <v>70.5</v>
      </c>
      <c r="K434" s="623"/>
      <c r="L434" s="654">
        <v>7153</v>
      </c>
      <c r="M434" s="557">
        <f t="shared" si="64"/>
        <v>107</v>
      </c>
      <c r="N434" s="453"/>
      <c r="O434" s="557">
        <f t="shared" si="65"/>
        <v>153</v>
      </c>
      <c r="P434" s="633">
        <v>1</v>
      </c>
      <c r="Q434" s="776">
        <f t="shared" si="66"/>
        <v>0</v>
      </c>
      <c r="R434" s="776">
        <f t="shared" si="67"/>
        <v>0</v>
      </c>
      <c r="S434" s="552">
        <f t="shared" si="68"/>
        <v>0</v>
      </c>
      <c r="T434" s="626">
        <f t="shared" si="61"/>
        <v>0</v>
      </c>
      <c r="U434" s="626">
        <f t="shared" si="62"/>
        <v>0</v>
      </c>
      <c r="V434" s="553">
        <f t="shared" si="63"/>
        <v>0</v>
      </c>
      <c r="W434" s="554" t="str">
        <f t="shared" si="69"/>
        <v>L</v>
      </c>
      <c r="X434" s="555"/>
      <c r="Y434" s="631">
        <f>IF(Q434=0,0,(Q434+R434)*'1.0-Contractblad'!$L$98)</f>
        <v>0</v>
      </c>
      <c r="Z434" s="632">
        <f ca="1">IF(J434=0,0,VLOOKUP(D434,'1.1a-Jaarprijzen'!$B$70:$P$124,14,FALSE)*(K434+J434))</f>
        <v>0</v>
      </c>
    </row>
    <row r="435" spans="1:26" hidden="1">
      <c r="A435" s="558"/>
      <c r="B435" s="548"/>
      <c r="C435" s="659">
        <v>3</v>
      </c>
      <c r="D435" s="549" t="s">
        <v>1475</v>
      </c>
      <c r="E435" s="660" t="s">
        <v>478</v>
      </c>
      <c r="F435" s="551" t="s">
        <v>918</v>
      </c>
      <c r="G435" s="649" t="s">
        <v>1451</v>
      </c>
      <c r="H435" s="647" t="str">
        <f t="shared" si="60"/>
        <v>Keuken</v>
      </c>
      <c r="I435" s="719" t="s">
        <v>84</v>
      </c>
      <c r="J435" s="623">
        <v>13.2</v>
      </c>
      <c r="K435" s="623"/>
      <c r="L435" s="559">
        <v>18255</v>
      </c>
      <c r="M435" s="557" t="str">
        <f t="shared" si="64"/>
        <v>nvt</v>
      </c>
      <c r="N435" s="453"/>
      <c r="O435" s="557">
        <f t="shared" si="65"/>
        <v>255</v>
      </c>
      <c r="P435" s="633">
        <v>1</v>
      </c>
      <c r="Q435" s="776">
        <f t="shared" si="66"/>
        <v>0</v>
      </c>
      <c r="R435" s="776">
        <f t="shared" si="67"/>
        <v>0</v>
      </c>
      <c r="S435" s="552">
        <f t="shared" si="68"/>
        <v>0</v>
      </c>
      <c r="T435" s="626">
        <f t="shared" si="61"/>
        <v>0</v>
      </c>
      <c r="U435" s="626">
        <f t="shared" si="62"/>
        <v>0</v>
      </c>
      <c r="V435" s="553">
        <f t="shared" si="63"/>
        <v>0</v>
      </c>
      <c r="W435" s="554" t="str">
        <f t="shared" si="69"/>
        <v>V</v>
      </c>
      <c r="X435" s="555"/>
      <c r="Y435" s="631">
        <f>IF(Q435=0,0,(Q435+R435)*'1.0-Contractblad'!$L$98)</f>
        <v>0</v>
      </c>
      <c r="Z435" s="632">
        <f ca="1">IF(J435=0,0,VLOOKUP(D435,'1.1a-Jaarprijzen'!$B$70:$P$124,14,FALSE)*(K435+J435))</f>
        <v>0</v>
      </c>
    </row>
    <row r="436" spans="1:26" hidden="1">
      <c r="A436" s="558"/>
      <c r="B436" s="548"/>
      <c r="C436" s="659">
        <v>3</v>
      </c>
      <c r="D436" s="549" t="s">
        <v>1475</v>
      </c>
      <c r="E436" s="660" t="s">
        <v>478</v>
      </c>
      <c r="F436" s="551" t="s">
        <v>919</v>
      </c>
      <c r="G436" s="649" t="s">
        <v>1276</v>
      </c>
      <c r="H436" s="647" t="str">
        <f t="shared" si="60"/>
        <v>Keuken</v>
      </c>
      <c r="I436" s="719" t="s">
        <v>84</v>
      </c>
      <c r="J436" s="623">
        <v>6.7</v>
      </c>
      <c r="K436" s="623"/>
      <c r="L436" s="559">
        <v>18153</v>
      </c>
      <c r="M436" s="557" t="str">
        <f t="shared" si="64"/>
        <v>nvt</v>
      </c>
      <c r="N436" s="453"/>
      <c r="O436" s="557">
        <f t="shared" si="65"/>
        <v>153</v>
      </c>
      <c r="P436" s="633">
        <v>1</v>
      </c>
      <c r="Q436" s="776">
        <f t="shared" si="66"/>
        <v>0</v>
      </c>
      <c r="R436" s="776">
        <f t="shared" si="67"/>
        <v>0</v>
      </c>
      <c r="S436" s="552">
        <f t="shared" si="68"/>
        <v>0</v>
      </c>
      <c r="T436" s="626">
        <f t="shared" si="61"/>
        <v>0</v>
      </c>
      <c r="U436" s="626">
        <f t="shared" si="62"/>
        <v>0</v>
      </c>
      <c r="V436" s="553">
        <f t="shared" si="63"/>
        <v>0</v>
      </c>
      <c r="W436" s="554" t="str">
        <f t="shared" si="69"/>
        <v>V</v>
      </c>
      <c r="X436" s="556"/>
      <c r="Y436" s="631">
        <f>IF(Q436=0,0,(Q436+R436)*'1.0-Contractblad'!$L$98)</f>
        <v>0</v>
      </c>
      <c r="Z436" s="632">
        <f ca="1">IF(J436=0,0,VLOOKUP(D436,'1.1a-Jaarprijzen'!$B$70:$P$124,14,FALSE)*(K436+J436))</f>
        <v>0</v>
      </c>
    </row>
    <row r="437" spans="1:26" hidden="1">
      <c r="A437" s="558"/>
      <c r="B437" s="548"/>
      <c r="C437" s="659">
        <v>3</v>
      </c>
      <c r="D437" s="549" t="s">
        <v>1475</v>
      </c>
      <c r="E437" s="660" t="s">
        <v>478</v>
      </c>
      <c r="F437" s="551" t="s">
        <v>920</v>
      </c>
      <c r="G437" s="649" t="s">
        <v>1264</v>
      </c>
      <c r="H437" s="647" t="str">
        <f t="shared" si="60"/>
        <v>entree, gang, hal, repro, kopieer, was/droogruimte</v>
      </c>
      <c r="I437" s="719" t="s">
        <v>106</v>
      </c>
      <c r="J437" s="623">
        <v>12.8</v>
      </c>
      <c r="K437" s="623"/>
      <c r="L437" s="651">
        <v>3153</v>
      </c>
      <c r="M437" s="557">
        <f t="shared" si="64"/>
        <v>103</v>
      </c>
      <c r="N437" s="453"/>
      <c r="O437" s="557">
        <f t="shared" si="65"/>
        <v>153</v>
      </c>
      <c r="P437" s="633">
        <v>1</v>
      </c>
      <c r="Q437" s="776">
        <f t="shared" si="66"/>
        <v>0</v>
      </c>
      <c r="R437" s="776">
        <f t="shared" si="67"/>
        <v>0</v>
      </c>
      <c r="S437" s="552">
        <f t="shared" si="68"/>
        <v>0</v>
      </c>
      <c r="T437" s="626">
        <f t="shared" si="61"/>
        <v>0</v>
      </c>
      <c r="U437" s="626">
        <f t="shared" si="62"/>
        <v>0</v>
      </c>
      <c r="V437" s="553">
        <f t="shared" si="63"/>
        <v>0</v>
      </c>
      <c r="W437" s="554" t="str">
        <f t="shared" si="69"/>
        <v>V</v>
      </c>
      <c r="X437" s="555"/>
      <c r="Y437" s="631">
        <f>IF(Q437=0,0,(Q437+R437)*'1.0-Contractblad'!$L$98)</f>
        <v>0</v>
      </c>
      <c r="Z437" s="632">
        <f ca="1">IF(J437=0,0,VLOOKUP(D437,'1.1a-Jaarprijzen'!$B$70:$P$124,14,FALSE)*(K437+J437))</f>
        <v>0</v>
      </c>
    </row>
    <row r="438" spans="1:26" hidden="1">
      <c r="A438" s="558"/>
      <c r="B438" s="548"/>
      <c r="C438" s="659">
        <v>3</v>
      </c>
      <c r="D438" s="549" t="s">
        <v>1475</v>
      </c>
      <c r="E438" s="660" t="s">
        <v>478</v>
      </c>
      <c r="F438" s="551" t="s">
        <v>921</v>
      </c>
      <c r="G438" s="649" t="s">
        <v>1243</v>
      </c>
      <c r="H438" s="647" t="str">
        <f t="shared" si="60"/>
        <v>administratieve -, personeels- en vergaderruimte</v>
      </c>
      <c r="I438" s="719" t="s">
        <v>106</v>
      </c>
      <c r="J438" s="623">
        <v>11.3</v>
      </c>
      <c r="K438" s="623"/>
      <c r="L438" s="651">
        <v>1153</v>
      </c>
      <c r="M438" s="557">
        <f t="shared" si="64"/>
        <v>101</v>
      </c>
      <c r="N438" s="453"/>
      <c r="O438" s="557">
        <f t="shared" si="65"/>
        <v>153</v>
      </c>
      <c r="P438" s="633">
        <v>1</v>
      </c>
      <c r="Q438" s="776">
        <f t="shared" si="66"/>
        <v>0</v>
      </c>
      <c r="R438" s="776">
        <f t="shared" si="67"/>
        <v>0</v>
      </c>
      <c r="S438" s="552">
        <f t="shared" si="68"/>
        <v>0</v>
      </c>
      <c r="T438" s="626">
        <f t="shared" si="61"/>
        <v>0</v>
      </c>
      <c r="U438" s="626">
        <f t="shared" si="62"/>
        <v>0</v>
      </c>
      <c r="V438" s="553">
        <f t="shared" si="63"/>
        <v>0</v>
      </c>
      <c r="W438" s="554" t="str">
        <f t="shared" si="69"/>
        <v>B</v>
      </c>
      <c r="X438" s="556"/>
      <c r="Y438" s="631">
        <f>IF(Q438=0,0,(Q438+R438)*'1.0-Contractblad'!$L$98)</f>
        <v>0</v>
      </c>
      <c r="Z438" s="632">
        <f ca="1">IF(J438=0,0,VLOOKUP(D438,'1.1a-Jaarprijzen'!$B$70:$P$124,14,FALSE)*(K438+J438))</f>
        <v>0</v>
      </c>
    </row>
    <row r="439" spans="1:26" hidden="1">
      <c r="A439" s="558"/>
      <c r="B439" s="548"/>
      <c r="C439" s="659">
        <v>3</v>
      </c>
      <c r="D439" s="549" t="s">
        <v>1475</v>
      </c>
      <c r="E439" s="660" t="s">
        <v>478</v>
      </c>
      <c r="F439" s="551" t="s">
        <v>922</v>
      </c>
      <c r="G439" s="649" t="s">
        <v>1221</v>
      </c>
      <c r="H439" s="647" t="str">
        <f t="shared" si="60"/>
        <v>entree, gang, hal, repro, kopieer, was/droogruimte</v>
      </c>
      <c r="I439" s="719" t="s">
        <v>106</v>
      </c>
      <c r="J439" s="623">
        <v>8.4</v>
      </c>
      <c r="K439" s="623"/>
      <c r="L439" s="651">
        <v>3153</v>
      </c>
      <c r="M439" s="557">
        <f t="shared" si="64"/>
        <v>103</v>
      </c>
      <c r="N439" s="453"/>
      <c r="O439" s="557">
        <f t="shared" si="65"/>
        <v>153</v>
      </c>
      <c r="P439" s="633">
        <v>1</v>
      </c>
      <c r="Q439" s="776">
        <f t="shared" si="66"/>
        <v>0</v>
      </c>
      <c r="R439" s="776">
        <f t="shared" si="67"/>
        <v>0</v>
      </c>
      <c r="S439" s="552">
        <f t="shared" si="68"/>
        <v>0</v>
      </c>
      <c r="T439" s="626">
        <f t="shared" si="61"/>
        <v>0</v>
      </c>
      <c r="U439" s="626">
        <f t="shared" si="62"/>
        <v>0</v>
      </c>
      <c r="V439" s="553">
        <f t="shared" si="63"/>
        <v>0</v>
      </c>
      <c r="W439" s="554" t="str">
        <f t="shared" si="69"/>
        <v>V</v>
      </c>
      <c r="X439" s="555"/>
      <c r="Y439" s="631">
        <f>IF(Q439=0,0,(Q439+R439)*'1.0-Contractblad'!$L$98)</f>
        <v>0</v>
      </c>
      <c r="Z439" s="632">
        <f ca="1">IF(J439=0,0,VLOOKUP(D439,'1.1a-Jaarprijzen'!$B$70:$P$124,14,FALSE)*(K439+J439))</f>
        <v>0</v>
      </c>
    </row>
    <row r="440" spans="1:26" hidden="1">
      <c r="A440" s="558"/>
      <c r="B440" s="548"/>
      <c r="C440" s="659">
        <v>3</v>
      </c>
      <c r="D440" s="549" t="s">
        <v>1475</v>
      </c>
      <c r="E440" s="660" t="s">
        <v>478</v>
      </c>
      <c r="F440" s="551" t="s">
        <v>923</v>
      </c>
      <c r="G440" s="649" t="s">
        <v>1237</v>
      </c>
      <c r="H440" s="647" t="str">
        <f t="shared" si="60"/>
        <v>trappenhuis</v>
      </c>
      <c r="I440" s="719" t="s">
        <v>1402</v>
      </c>
      <c r="J440" s="623">
        <v>3.1</v>
      </c>
      <c r="K440" s="623"/>
      <c r="L440" s="559">
        <v>9153</v>
      </c>
      <c r="M440" s="557">
        <f t="shared" si="64"/>
        <v>109</v>
      </c>
      <c r="N440" s="453"/>
      <c r="O440" s="557">
        <f t="shared" si="65"/>
        <v>153</v>
      </c>
      <c r="P440" s="633">
        <v>1</v>
      </c>
      <c r="Q440" s="776">
        <f t="shared" si="66"/>
        <v>0</v>
      </c>
      <c r="R440" s="776">
        <f t="shared" si="67"/>
        <v>0</v>
      </c>
      <c r="S440" s="552">
        <f t="shared" si="68"/>
        <v>0</v>
      </c>
      <c r="T440" s="626">
        <f t="shared" si="61"/>
        <v>0</v>
      </c>
      <c r="U440" s="626">
        <f t="shared" si="62"/>
        <v>0</v>
      </c>
      <c r="V440" s="553">
        <f t="shared" si="63"/>
        <v>0</v>
      </c>
      <c r="W440" s="554" t="str">
        <f t="shared" si="69"/>
        <v>V</v>
      </c>
      <c r="X440" s="555"/>
      <c r="Y440" s="631">
        <f>IF(Q440=0,0,(Q440+R440)*'1.0-Contractblad'!$L$98)</f>
        <v>0</v>
      </c>
      <c r="Z440" s="632">
        <f ca="1">IF(J440=0,0,VLOOKUP(D440,'1.1a-Jaarprijzen'!$B$70:$P$124,14,FALSE)*(K440+J440))</f>
        <v>0</v>
      </c>
    </row>
    <row r="441" spans="1:26" hidden="1">
      <c r="A441" s="558"/>
      <c r="B441" s="548"/>
      <c r="C441" s="659">
        <v>3</v>
      </c>
      <c r="D441" s="549" t="s">
        <v>1475</v>
      </c>
      <c r="E441" s="660" t="s">
        <v>478</v>
      </c>
      <c r="F441" s="551" t="s">
        <v>924</v>
      </c>
      <c r="G441" s="649" t="s">
        <v>1217</v>
      </c>
      <c r="H441" s="647" t="str">
        <f t="shared" si="60"/>
        <v>entree, gang, hal, repro, kopieer, was/droogruimte</v>
      </c>
      <c r="I441" s="719" t="s">
        <v>1402</v>
      </c>
      <c r="J441" s="623">
        <v>8.6999999999999993</v>
      </c>
      <c r="K441" s="623"/>
      <c r="L441" s="651">
        <v>3153</v>
      </c>
      <c r="M441" s="557">
        <f t="shared" si="64"/>
        <v>103</v>
      </c>
      <c r="N441" s="453"/>
      <c r="O441" s="557">
        <f t="shared" si="65"/>
        <v>153</v>
      </c>
      <c r="P441" s="633">
        <v>1</v>
      </c>
      <c r="Q441" s="776">
        <f t="shared" si="66"/>
        <v>0</v>
      </c>
      <c r="R441" s="776">
        <f t="shared" si="67"/>
        <v>0</v>
      </c>
      <c r="S441" s="552">
        <f t="shared" si="68"/>
        <v>0</v>
      </c>
      <c r="T441" s="626">
        <f t="shared" si="61"/>
        <v>0</v>
      </c>
      <c r="U441" s="626">
        <f t="shared" si="62"/>
        <v>0</v>
      </c>
      <c r="V441" s="553">
        <f t="shared" si="63"/>
        <v>0</v>
      </c>
      <c r="W441" s="554" t="str">
        <f t="shared" si="69"/>
        <v>V</v>
      </c>
      <c r="X441" s="555"/>
      <c r="Y441" s="631">
        <f>IF(Q441=0,0,(Q441+R441)*'1.0-Contractblad'!$L$98)</f>
        <v>0</v>
      </c>
      <c r="Z441" s="632">
        <f ca="1">IF(J441=0,0,VLOOKUP(D441,'1.1a-Jaarprijzen'!$B$70:$P$124,14,FALSE)*(K441+J441))</f>
        <v>0</v>
      </c>
    </row>
    <row r="442" spans="1:26" hidden="1">
      <c r="A442" s="558"/>
      <c r="B442" s="548"/>
      <c r="C442" s="659">
        <v>3</v>
      </c>
      <c r="D442" s="549" t="s">
        <v>1475</v>
      </c>
      <c r="E442" s="660" t="s">
        <v>478</v>
      </c>
      <c r="F442" s="551" t="s">
        <v>925</v>
      </c>
      <c r="G442" s="649" t="s">
        <v>1278</v>
      </c>
      <c r="H442" s="647" t="str">
        <f t="shared" si="60"/>
        <v>niet van toepassing</v>
      </c>
      <c r="I442" s="719"/>
      <c r="J442" s="623"/>
      <c r="K442" s="623"/>
      <c r="L442" s="668" t="s">
        <v>27</v>
      </c>
      <c r="M442" s="557">
        <f t="shared" si="64"/>
        <v>0</v>
      </c>
      <c r="N442" s="453"/>
      <c r="O442" s="557">
        <f t="shared" si="65"/>
        <v>0</v>
      </c>
      <c r="P442" s="633">
        <v>1</v>
      </c>
      <c r="Q442" s="776">
        <f t="shared" si="66"/>
        <v>0</v>
      </c>
      <c r="R442" s="776">
        <f t="shared" si="67"/>
        <v>0</v>
      </c>
      <c r="S442" s="552">
        <f t="shared" si="68"/>
        <v>0</v>
      </c>
      <c r="T442" s="626">
        <f t="shared" si="61"/>
        <v>0</v>
      </c>
      <c r="U442" s="626">
        <f t="shared" si="62"/>
        <v>0</v>
      </c>
      <c r="V442" s="553">
        <f t="shared" si="63"/>
        <v>0</v>
      </c>
      <c r="W442" s="554">
        <f t="shared" si="69"/>
        <v>0</v>
      </c>
      <c r="X442" s="454" t="s">
        <v>1454</v>
      </c>
      <c r="Y442" s="631">
        <f>IF(Q442=0,0,(Q442+R442)*'1.0-Contractblad'!$L$98)</f>
        <v>0</v>
      </c>
      <c r="Z442" s="632">
        <f>IF(J442=0,0,VLOOKUP(D442,'1.1a-Jaarprijzen'!$B$70:$P$124,14,FALSE)*(K442+J442))</f>
        <v>0</v>
      </c>
    </row>
    <row r="443" spans="1:26" hidden="1">
      <c r="A443" s="558"/>
      <c r="B443" s="548"/>
      <c r="C443" s="659">
        <v>3</v>
      </c>
      <c r="D443" s="549" t="s">
        <v>1475</v>
      </c>
      <c r="E443" s="660" t="s">
        <v>478</v>
      </c>
      <c r="F443" s="551" t="s">
        <v>926</v>
      </c>
      <c r="G443" s="649" t="s">
        <v>1279</v>
      </c>
      <c r="H443" s="647" t="str">
        <f t="shared" si="60"/>
        <v>aula, gemeenschappelijke ruimte, bibliotheek</v>
      </c>
      <c r="I443" s="719" t="s">
        <v>106</v>
      </c>
      <c r="J443" s="623">
        <v>9.6999999999999993</v>
      </c>
      <c r="K443" s="623"/>
      <c r="L443" s="559">
        <v>2153</v>
      </c>
      <c r="M443" s="557">
        <f t="shared" si="64"/>
        <v>102</v>
      </c>
      <c r="N443" s="453"/>
      <c r="O443" s="557">
        <f t="shared" si="65"/>
        <v>153</v>
      </c>
      <c r="P443" s="633">
        <v>1</v>
      </c>
      <c r="Q443" s="776">
        <f t="shared" si="66"/>
        <v>0</v>
      </c>
      <c r="R443" s="776">
        <f t="shared" si="67"/>
        <v>0</v>
      </c>
      <c r="S443" s="552">
        <f t="shared" si="68"/>
        <v>0</v>
      </c>
      <c r="T443" s="626">
        <f t="shared" si="61"/>
        <v>0</v>
      </c>
      <c r="U443" s="626">
        <f t="shared" si="62"/>
        <v>0</v>
      </c>
      <c r="V443" s="553">
        <f t="shared" si="63"/>
        <v>0</v>
      </c>
      <c r="W443" s="554" t="str">
        <f t="shared" si="69"/>
        <v>V</v>
      </c>
      <c r="X443" s="556"/>
      <c r="Y443" s="631">
        <f>IF(Q443=0,0,(Q443+R443)*'1.0-Contractblad'!$L$98)</f>
        <v>0</v>
      </c>
      <c r="Z443" s="632">
        <f ca="1">IF(J443=0,0,VLOOKUP(D443,'1.1a-Jaarprijzen'!$B$70:$P$124,14,FALSE)*(K443+J443))</f>
        <v>0</v>
      </c>
    </row>
    <row r="444" spans="1:26" hidden="1">
      <c r="A444" s="558"/>
      <c r="B444" s="548"/>
      <c r="C444" s="659">
        <v>3</v>
      </c>
      <c r="D444" s="549" t="s">
        <v>1475</v>
      </c>
      <c r="E444" s="660" t="s">
        <v>478</v>
      </c>
      <c r="F444" s="551" t="s">
        <v>927</v>
      </c>
      <c r="G444" s="649" t="s">
        <v>1277</v>
      </c>
      <c r="H444" s="647" t="str">
        <f t="shared" si="60"/>
        <v>sanitaire ruimte (toilet-/doucheruimte)</v>
      </c>
      <c r="I444" s="719" t="s">
        <v>84</v>
      </c>
      <c r="J444" s="623">
        <v>5.0999999999999996</v>
      </c>
      <c r="K444" s="623"/>
      <c r="L444" s="559">
        <v>4255</v>
      </c>
      <c r="M444" s="557">
        <f t="shared" si="64"/>
        <v>104</v>
      </c>
      <c r="N444" s="453"/>
      <c r="O444" s="557">
        <f t="shared" si="65"/>
        <v>255</v>
      </c>
      <c r="P444" s="633">
        <v>1</v>
      </c>
      <c r="Q444" s="776">
        <f t="shared" si="66"/>
        <v>0</v>
      </c>
      <c r="R444" s="776">
        <f t="shared" si="67"/>
        <v>0</v>
      </c>
      <c r="S444" s="552">
        <f t="shared" si="68"/>
        <v>0</v>
      </c>
      <c r="T444" s="626">
        <f t="shared" si="61"/>
        <v>0</v>
      </c>
      <c r="U444" s="626">
        <f t="shared" si="62"/>
        <v>0</v>
      </c>
      <c r="V444" s="553">
        <f t="shared" si="63"/>
        <v>0</v>
      </c>
      <c r="W444" s="554" t="str">
        <f t="shared" si="69"/>
        <v>S</v>
      </c>
      <c r="X444" s="555"/>
      <c r="Y444" s="631">
        <f>IF(Q444=0,0,(Q444+R444)*'1.0-Contractblad'!$L$98)</f>
        <v>0</v>
      </c>
      <c r="Z444" s="632">
        <f ca="1">IF(J444=0,0,VLOOKUP(D444,'1.1a-Jaarprijzen'!$B$70:$P$124,14,FALSE)*(K444+J444))</f>
        <v>0</v>
      </c>
    </row>
    <row r="445" spans="1:26" hidden="1">
      <c r="A445" s="558"/>
      <c r="B445" s="548"/>
      <c r="C445" s="659">
        <v>3</v>
      </c>
      <c r="D445" s="549" t="s">
        <v>1475</v>
      </c>
      <c r="E445" s="660" t="s">
        <v>478</v>
      </c>
      <c r="F445" s="551" t="s">
        <v>928</v>
      </c>
      <c r="G445" s="649" t="s">
        <v>486</v>
      </c>
      <c r="H445" s="647" t="str">
        <f t="shared" si="60"/>
        <v>niet van toepassing</v>
      </c>
      <c r="I445" s="719"/>
      <c r="J445" s="623"/>
      <c r="K445" s="623"/>
      <c r="L445" s="668" t="s">
        <v>27</v>
      </c>
      <c r="M445" s="557">
        <f t="shared" si="64"/>
        <v>0</v>
      </c>
      <c r="N445" s="453"/>
      <c r="O445" s="557">
        <f t="shared" si="65"/>
        <v>0</v>
      </c>
      <c r="P445" s="633">
        <v>1</v>
      </c>
      <c r="Q445" s="776">
        <f t="shared" si="66"/>
        <v>0</v>
      </c>
      <c r="R445" s="776">
        <f t="shared" si="67"/>
        <v>0</v>
      </c>
      <c r="S445" s="552">
        <f t="shared" si="68"/>
        <v>0</v>
      </c>
      <c r="T445" s="626">
        <f t="shared" si="61"/>
        <v>0</v>
      </c>
      <c r="U445" s="626">
        <f t="shared" si="62"/>
        <v>0</v>
      </c>
      <c r="V445" s="553">
        <f t="shared" si="63"/>
        <v>0</v>
      </c>
      <c r="W445" s="554">
        <f t="shared" si="69"/>
        <v>0</v>
      </c>
      <c r="X445" s="454" t="s">
        <v>1454</v>
      </c>
      <c r="Y445" s="631">
        <f>IF(Q445=0,0,(Q445+R445)*'1.0-Contractblad'!$L$98)</f>
        <v>0</v>
      </c>
      <c r="Z445" s="632">
        <f>IF(J445=0,0,VLOOKUP(D445,'1.1a-Jaarprijzen'!$B$70:$P$124,14,FALSE)*(K445+J445))</f>
        <v>0</v>
      </c>
    </row>
    <row r="446" spans="1:26" hidden="1">
      <c r="A446" s="558"/>
      <c r="B446" s="548"/>
      <c r="C446" s="659">
        <v>3</v>
      </c>
      <c r="D446" s="549" t="s">
        <v>1472</v>
      </c>
      <c r="E446" s="660" t="s">
        <v>478</v>
      </c>
      <c r="F446" s="551" t="s">
        <v>929</v>
      </c>
      <c r="G446" s="649" t="s">
        <v>1321</v>
      </c>
      <c r="H446" s="647" t="str">
        <f t="shared" si="60"/>
        <v>niet van toepassing</v>
      </c>
      <c r="I446" s="719"/>
      <c r="J446" s="623"/>
      <c r="K446" s="650"/>
      <c r="L446" s="668" t="s">
        <v>27</v>
      </c>
      <c r="M446" s="557">
        <f t="shared" si="64"/>
        <v>0</v>
      </c>
      <c r="N446" s="453"/>
      <c r="O446" s="557">
        <f t="shared" si="65"/>
        <v>0</v>
      </c>
      <c r="P446" s="633">
        <v>1</v>
      </c>
      <c r="Q446" s="776">
        <f t="shared" si="66"/>
        <v>0</v>
      </c>
      <c r="R446" s="776">
        <f t="shared" si="67"/>
        <v>0</v>
      </c>
      <c r="S446" s="552">
        <f t="shared" si="68"/>
        <v>0</v>
      </c>
      <c r="T446" s="626">
        <f t="shared" si="61"/>
        <v>0</v>
      </c>
      <c r="U446" s="626">
        <f t="shared" si="62"/>
        <v>0</v>
      </c>
      <c r="V446" s="553">
        <f t="shared" si="63"/>
        <v>0</v>
      </c>
      <c r="W446" s="554">
        <f t="shared" si="69"/>
        <v>0</v>
      </c>
      <c r="X446" s="454" t="s">
        <v>1454</v>
      </c>
      <c r="Y446" s="631">
        <f>IF(Q446=0,0,(Q446+R446)*'1.0-Contractblad'!$L$98)</f>
        <v>0</v>
      </c>
      <c r="Z446" s="632">
        <f>IF(J446=0,0,VLOOKUP(D446,'1.1a-Jaarprijzen'!$B$70:$P$124,14,FALSE)*(K446+J446))</f>
        <v>0</v>
      </c>
    </row>
    <row r="447" spans="1:26" hidden="1">
      <c r="A447" s="558"/>
      <c r="B447" s="548"/>
      <c r="C447" s="659">
        <v>3</v>
      </c>
      <c r="D447" s="549" t="s">
        <v>1487</v>
      </c>
      <c r="E447" s="550" t="s">
        <v>502</v>
      </c>
      <c r="F447" s="551"/>
      <c r="G447" s="649" t="s">
        <v>493</v>
      </c>
      <c r="H447" s="647" t="str">
        <f t="shared" si="60"/>
        <v>niet van toepassing</v>
      </c>
      <c r="I447" s="719" t="s">
        <v>76</v>
      </c>
      <c r="J447" s="623"/>
      <c r="K447" s="650">
        <v>18.3</v>
      </c>
      <c r="L447" s="668" t="s">
        <v>27</v>
      </c>
      <c r="M447" s="557">
        <f t="shared" si="64"/>
        <v>0</v>
      </c>
      <c r="N447" s="453"/>
      <c r="O447" s="557">
        <f t="shared" si="65"/>
        <v>0</v>
      </c>
      <c r="P447" s="633">
        <v>1</v>
      </c>
      <c r="Q447" s="776">
        <f t="shared" si="66"/>
        <v>0</v>
      </c>
      <c r="R447" s="776">
        <f t="shared" si="67"/>
        <v>0</v>
      </c>
      <c r="S447" s="552">
        <f t="shared" si="68"/>
        <v>0</v>
      </c>
      <c r="T447" s="626">
        <f t="shared" si="61"/>
        <v>0</v>
      </c>
      <c r="U447" s="626">
        <f t="shared" si="62"/>
        <v>0</v>
      </c>
      <c r="V447" s="553">
        <f t="shared" si="63"/>
        <v>0</v>
      </c>
      <c r="W447" s="554">
        <f t="shared" si="69"/>
        <v>0</v>
      </c>
      <c r="X447" s="454"/>
      <c r="Y447" s="631">
        <f>IF(Q447=0,0,(Q447+R447)*'1.0-Contractblad'!$L$98)</f>
        <v>0</v>
      </c>
      <c r="Z447" s="632">
        <f>IF(J447=0,0,VLOOKUP(D447,'1.1a-Jaarprijzen'!$B$70:$P$124,14,FALSE)*(K447+J447))</f>
        <v>0</v>
      </c>
    </row>
    <row r="448" spans="1:26" hidden="1">
      <c r="A448" s="558"/>
      <c r="B448" s="548"/>
      <c r="C448" s="659">
        <v>3</v>
      </c>
      <c r="D448" s="549" t="s">
        <v>1487</v>
      </c>
      <c r="E448" s="550" t="s">
        <v>502</v>
      </c>
      <c r="F448" s="551"/>
      <c r="G448" s="649" t="s">
        <v>493</v>
      </c>
      <c r="H448" s="647" t="str">
        <f t="shared" si="60"/>
        <v>niet van toepassing</v>
      </c>
      <c r="I448" s="719" t="s">
        <v>76</v>
      </c>
      <c r="J448" s="623"/>
      <c r="K448" s="650">
        <v>18.28</v>
      </c>
      <c r="L448" s="668" t="s">
        <v>27</v>
      </c>
      <c r="M448" s="557">
        <f t="shared" si="64"/>
        <v>0</v>
      </c>
      <c r="N448" s="453"/>
      <c r="O448" s="557">
        <f t="shared" si="65"/>
        <v>0</v>
      </c>
      <c r="P448" s="633">
        <v>1</v>
      </c>
      <c r="Q448" s="776">
        <f t="shared" si="66"/>
        <v>0</v>
      </c>
      <c r="R448" s="776">
        <f t="shared" si="67"/>
        <v>0</v>
      </c>
      <c r="S448" s="552">
        <f t="shared" si="68"/>
        <v>0</v>
      </c>
      <c r="T448" s="626">
        <f t="shared" si="61"/>
        <v>0</v>
      </c>
      <c r="U448" s="626">
        <f t="shared" si="62"/>
        <v>0</v>
      </c>
      <c r="V448" s="553">
        <f t="shared" si="63"/>
        <v>0</v>
      </c>
      <c r="W448" s="554">
        <f t="shared" si="69"/>
        <v>0</v>
      </c>
      <c r="X448" s="454"/>
      <c r="Y448" s="631">
        <f>IF(Q448=0,0,(Q448+R448)*'1.0-Contractblad'!$L$98)</f>
        <v>0</v>
      </c>
      <c r="Z448" s="632">
        <f>IF(J448=0,0,VLOOKUP(D448,'1.1a-Jaarprijzen'!$B$70:$P$124,14,FALSE)*(K448+J448))</f>
        <v>0</v>
      </c>
    </row>
    <row r="449" spans="1:26" hidden="1">
      <c r="A449" s="558"/>
      <c r="B449" s="548"/>
      <c r="C449" s="659">
        <v>3</v>
      </c>
      <c r="D449" s="549" t="s">
        <v>1487</v>
      </c>
      <c r="E449" s="550" t="s">
        <v>502</v>
      </c>
      <c r="F449" s="551"/>
      <c r="G449" s="649" t="s">
        <v>493</v>
      </c>
      <c r="H449" s="647" t="str">
        <f t="shared" si="60"/>
        <v>niet van toepassing</v>
      </c>
      <c r="I449" s="719" t="s">
        <v>76</v>
      </c>
      <c r="J449" s="623"/>
      <c r="K449" s="650">
        <v>18.329999999999998</v>
      </c>
      <c r="L449" s="668" t="s">
        <v>27</v>
      </c>
      <c r="M449" s="557">
        <f t="shared" si="64"/>
        <v>0</v>
      </c>
      <c r="N449" s="453"/>
      <c r="O449" s="557">
        <f t="shared" si="65"/>
        <v>0</v>
      </c>
      <c r="P449" s="633">
        <v>1</v>
      </c>
      <c r="Q449" s="776">
        <f t="shared" si="66"/>
        <v>0</v>
      </c>
      <c r="R449" s="776">
        <f t="shared" si="67"/>
        <v>0</v>
      </c>
      <c r="S449" s="552">
        <f t="shared" si="68"/>
        <v>0</v>
      </c>
      <c r="T449" s="626">
        <f t="shared" si="61"/>
        <v>0</v>
      </c>
      <c r="U449" s="626">
        <f t="shared" si="62"/>
        <v>0</v>
      </c>
      <c r="V449" s="553">
        <f t="shared" si="63"/>
        <v>0</v>
      </c>
      <c r="W449" s="554">
        <f t="shared" si="69"/>
        <v>0</v>
      </c>
      <c r="X449" s="454"/>
      <c r="Y449" s="631">
        <f>IF(Q449=0,0,(Q449+R449)*'1.0-Contractblad'!$L$98)</f>
        <v>0</v>
      </c>
      <c r="Z449" s="632">
        <f>IF(J449=0,0,VLOOKUP(D449,'1.1a-Jaarprijzen'!$B$70:$P$124,14,FALSE)*(K449+J449))</f>
        <v>0</v>
      </c>
    </row>
    <row r="450" spans="1:26" hidden="1">
      <c r="A450" s="558"/>
      <c r="B450" s="548"/>
      <c r="C450" s="659">
        <v>3</v>
      </c>
      <c r="D450" s="549" t="s">
        <v>1487</v>
      </c>
      <c r="E450" s="550" t="s">
        <v>502</v>
      </c>
      <c r="F450" s="551"/>
      <c r="G450" s="649" t="s">
        <v>493</v>
      </c>
      <c r="H450" s="647" t="str">
        <f t="shared" si="60"/>
        <v>niet van toepassing</v>
      </c>
      <c r="I450" s="719" t="s">
        <v>76</v>
      </c>
      <c r="J450" s="623"/>
      <c r="K450" s="650">
        <v>18.28</v>
      </c>
      <c r="L450" s="668" t="s">
        <v>27</v>
      </c>
      <c r="M450" s="557">
        <f t="shared" si="64"/>
        <v>0</v>
      </c>
      <c r="N450" s="453"/>
      <c r="O450" s="557">
        <f t="shared" si="65"/>
        <v>0</v>
      </c>
      <c r="P450" s="633">
        <v>1</v>
      </c>
      <c r="Q450" s="776">
        <f t="shared" si="66"/>
        <v>0</v>
      </c>
      <c r="R450" s="776">
        <f t="shared" si="67"/>
        <v>0</v>
      </c>
      <c r="S450" s="552">
        <f t="shared" si="68"/>
        <v>0</v>
      </c>
      <c r="T450" s="626">
        <f t="shared" si="61"/>
        <v>0</v>
      </c>
      <c r="U450" s="626">
        <f t="shared" si="62"/>
        <v>0</v>
      </c>
      <c r="V450" s="553">
        <f t="shared" si="63"/>
        <v>0</v>
      </c>
      <c r="W450" s="554">
        <f t="shared" si="69"/>
        <v>0</v>
      </c>
      <c r="X450" s="454"/>
      <c r="Y450" s="631">
        <f>IF(Q450=0,0,(Q450+R450)*'1.0-Contractblad'!$L$98)</f>
        <v>0</v>
      </c>
      <c r="Z450" s="632">
        <f>IF(J450=0,0,VLOOKUP(D450,'1.1a-Jaarprijzen'!$B$70:$P$124,14,FALSE)*(K450+J450))</f>
        <v>0</v>
      </c>
    </row>
    <row r="451" spans="1:26" hidden="1">
      <c r="A451" s="558"/>
      <c r="B451" s="548"/>
      <c r="C451" s="659">
        <v>3</v>
      </c>
      <c r="D451" s="549" t="s">
        <v>1487</v>
      </c>
      <c r="E451" s="550" t="s">
        <v>502</v>
      </c>
      <c r="F451" s="551"/>
      <c r="G451" s="649" t="s">
        <v>493</v>
      </c>
      <c r="H451" s="647" t="str">
        <f t="shared" ref="H451:H514" si="70">IF(L451="","",VLOOKUP(L451,Kengetal,4,FALSE))</f>
        <v>niet van toepassing</v>
      </c>
      <c r="I451" s="719" t="s">
        <v>76</v>
      </c>
      <c r="J451" s="623"/>
      <c r="K451" s="650">
        <v>20</v>
      </c>
      <c r="L451" s="668" t="s">
        <v>27</v>
      </c>
      <c r="M451" s="557">
        <f t="shared" si="64"/>
        <v>0</v>
      </c>
      <c r="N451" s="453"/>
      <c r="O451" s="557">
        <f t="shared" si="65"/>
        <v>0</v>
      </c>
      <c r="P451" s="633">
        <v>1</v>
      </c>
      <c r="Q451" s="776">
        <f t="shared" si="66"/>
        <v>0</v>
      </c>
      <c r="R451" s="776">
        <f t="shared" si="67"/>
        <v>0</v>
      </c>
      <c r="S451" s="552">
        <f t="shared" si="68"/>
        <v>0</v>
      </c>
      <c r="T451" s="626">
        <f t="shared" si="61"/>
        <v>0</v>
      </c>
      <c r="U451" s="626">
        <f t="shared" si="62"/>
        <v>0</v>
      </c>
      <c r="V451" s="553">
        <f t="shared" si="63"/>
        <v>0</v>
      </c>
      <c r="W451" s="554">
        <f t="shared" si="69"/>
        <v>0</v>
      </c>
      <c r="X451" s="454"/>
      <c r="Y451" s="631">
        <f>IF(Q451=0,0,(Q451+R451)*'1.0-Contractblad'!$L$98)</f>
        <v>0</v>
      </c>
      <c r="Z451" s="632">
        <f>IF(J451=0,0,VLOOKUP(D451,'1.1a-Jaarprijzen'!$B$70:$P$124,14,FALSE)*(K451+J451))</f>
        <v>0</v>
      </c>
    </row>
    <row r="452" spans="1:26" hidden="1">
      <c r="A452" s="558"/>
      <c r="B452" s="548"/>
      <c r="C452" s="659">
        <v>3</v>
      </c>
      <c r="D452" s="549" t="s">
        <v>1487</v>
      </c>
      <c r="E452" s="550" t="s">
        <v>502</v>
      </c>
      <c r="F452" s="551"/>
      <c r="G452" s="649" t="s">
        <v>493</v>
      </c>
      <c r="H452" s="647" t="str">
        <f t="shared" si="70"/>
        <v>niet van toepassing</v>
      </c>
      <c r="I452" s="719" t="s">
        <v>76</v>
      </c>
      <c r="J452" s="623"/>
      <c r="K452" s="650">
        <v>12.05</v>
      </c>
      <c r="L452" s="668" t="s">
        <v>27</v>
      </c>
      <c r="M452" s="557">
        <f t="shared" si="64"/>
        <v>0</v>
      </c>
      <c r="N452" s="453"/>
      <c r="O452" s="557">
        <f t="shared" si="65"/>
        <v>0</v>
      </c>
      <c r="P452" s="633">
        <v>1</v>
      </c>
      <c r="Q452" s="776">
        <f t="shared" si="66"/>
        <v>0</v>
      </c>
      <c r="R452" s="776">
        <f t="shared" si="67"/>
        <v>0</v>
      </c>
      <c r="S452" s="552">
        <f t="shared" si="68"/>
        <v>0</v>
      </c>
      <c r="T452" s="626">
        <f t="shared" ref="T452:T515" si="71">VLOOKUP($L452,Kengetal,6,FALSE)</f>
        <v>0</v>
      </c>
      <c r="U452" s="626">
        <f t="shared" ref="U452:U515" si="72">VLOOKUP($L452,Kengetal,7,FALSE)</f>
        <v>0</v>
      </c>
      <c r="V452" s="553">
        <f t="shared" ref="V452:V515" si="73">VLOOKUP($N452,Kengetal,7,FALSE)</f>
        <v>0</v>
      </c>
      <c r="W452" s="554">
        <f t="shared" si="69"/>
        <v>0</v>
      </c>
      <c r="X452" s="454"/>
      <c r="Y452" s="631">
        <f>IF(Q452=0,0,(Q452+R452)*'1.0-Contractblad'!$L$98)</f>
        <v>0</v>
      </c>
      <c r="Z452" s="632">
        <f>IF(J452=0,0,VLOOKUP(D452,'1.1a-Jaarprijzen'!$B$70:$P$124,14,FALSE)*(K452+J452))</f>
        <v>0</v>
      </c>
    </row>
    <row r="453" spans="1:26" hidden="1">
      <c r="A453" s="558"/>
      <c r="B453" s="701"/>
      <c r="C453" s="659">
        <v>3</v>
      </c>
      <c r="D453" s="549" t="s">
        <v>1487</v>
      </c>
      <c r="E453" s="550" t="s">
        <v>502</v>
      </c>
      <c r="F453" s="551"/>
      <c r="G453" s="649" t="s">
        <v>1224</v>
      </c>
      <c r="H453" s="647" t="str">
        <f t="shared" si="70"/>
        <v>op afroep</v>
      </c>
      <c r="I453" s="719" t="s">
        <v>106</v>
      </c>
      <c r="J453" s="650">
        <v>11.03</v>
      </c>
      <c r="K453" s="650"/>
      <c r="L453" s="698" t="s">
        <v>1450</v>
      </c>
      <c r="M453" s="557">
        <f t="shared" ref="M453:M516" si="74">VLOOKUP(L453,Kengetal,2,FALSE)</f>
        <v>0</v>
      </c>
      <c r="N453" s="453"/>
      <c r="O453" s="557">
        <f t="shared" ref="O453:O516" si="75">VLOOKUP(L453,Kengetal,3,FALSE)</f>
        <v>0</v>
      </c>
      <c r="P453" s="633">
        <v>1</v>
      </c>
      <c r="Q453" s="776">
        <f t="shared" ref="Q453:Q516" si="76">T453*J453*P453</f>
        <v>0</v>
      </c>
      <c r="R453" s="776">
        <f t="shared" ref="R453:R516" si="77">U453*J453*P453</f>
        <v>0</v>
      </c>
      <c r="S453" s="552">
        <f t="shared" ref="S453:S516" si="78">V453*J453*P453</f>
        <v>0</v>
      </c>
      <c r="T453" s="626">
        <f t="shared" si="71"/>
        <v>0</v>
      </c>
      <c r="U453" s="626">
        <f t="shared" si="72"/>
        <v>0</v>
      </c>
      <c r="V453" s="553">
        <f t="shared" si="73"/>
        <v>0</v>
      </c>
      <c r="W453" s="554">
        <f t="shared" ref="W453:W516" si="79">IF(L453="","",VLOOKUP(L453,Kengetal,14,FALSE))</f>
        <v>0</v>
      </c>
      <c r="X453" s="454" t="s">
        <v>1454</v>
      </c>
      <c r="Y453" s="631">
        <f>IF(Q453=0,0,(Q453+R453)*'1.0-Contractblad'!$L$98)</f>
        <v>0</v>
      </c>
      <c r="Z453" s="632">
        <f ca="1">IF(J453=0,0,VLOOKUP(D453,'1.1a-Jaarprijzen'!$B$70:$P$124,14,FALSE)*(K453+J453))</f>
        <v>0</v>
      </c>
    </row>
    <row r="454" spans="1:26" hidden="1">
      <c r="A454" s="558"/>
      <c r="B454" s="701"/>
      <c r="C454" s="659">
        <v>3</v>
      </c>
      <c r="D454" s="549" t="s">
        <v>1487</v>
      </c>
      <c r="E454" s="550" t="s">
        <v>502</v>
      </c>
      <c r="F454" s="551"/>
      <c r="G454" s="649" t="s">
        <v>1322</v>
      </c>
      <c r="H454" s="647" t="str">
        <f t="shared" si="70"/>
        <v>op afroep</v>
      </c>
      <c r="I454" s="719" t="s">
        <v>106</v>
      </c>
      <c r="J454" s="650">
        <v>1.82</v>
      </c>
      <c r="K454" s="650"/>
      <c r="L454" s="698" t="s">
        <v>1450</v>
      </c>
      <c r="M454" s="557">
        <f t="shared" si="74"/>
        <v>0</v>
      </c>
      <c r="N454" s="453"/>
      <c r="O454" s="557">
        <f t="shared" si="75"/>
        <v>0</v>
      </c>
      <c r="P454" s="633">
        <v>1</v>
      </c>
      <c r="Q454" s="776">
        <f t="shared" si="76"/>
        <v>0</v>
      </c>
      <c r="R454" s="776">
        <f t="shared" si="77"/>
        <v>0</v>
      </c>
      <c r="S454" s="552">
        <f t="shared" si="78"/>
        <v>0</v>
      </c>
      <c r="T454" s="626">
        <f t="shared" si="71"/>
        <v>0</v>
      </c>
      <c r="U454" s="626">
        <f t="shared" si="72"/>
        <v>0</v>
      </c>
      <c r="V454" s="553">
        <f t="shared" si="73"/>
        <v>0</v>
      </c>
      <c r="W454" s="554">
        <f t="shared" si="79"/>
        <v>0</v>
      </c>
      <c r="X454" s="454" t="s">
        <v>1454</v>
      </c>
      <c r="Y454" s="631">
        <f>IF(Q454=0,0,(Q454+R454)*'1.0-Contractblad'!$L$98)</f>
        <v>0</v>
      </c>
      <c r="Z454" s="632">
        <f ca="1">IF(J454=0,0,VLOOKUP(D454,'1.1a-Jaarprijzen'!$B$70:$P$124,14,FALSE)*(K454+J454))</f>
        <v>0</v>
      </c>
    </row>
    <row r="455" spans="1:26" hidden="1">
      <c r="A455" s="558"/>
      <c r="B455" s="701"/>
      <c r="C455" s="659">
        <v>3</v>
      </c>
      <c r="D455" s="549" t="s">
        <v>1487</v>
      </c>
      <c r="E455" s="550" t="s">
        <v>502</v>
      </c>
      <c r="F455" s="551"/>
      <c r="G455" s="649" t="s">
        <v>1323</v>
      </c>
      <c r="H455" s="647" t="str">
        <f t="shared" si="70"/>
        <v>op afroep</v>
      </c>
      <c r="I455" s="719" t="s">
        <v>106</v>
      </c>
      <c r="J455" s="650">
        <v>1.84</v>
      </c>
      <c r="K455" s="650"/>
      <c r="L455" s="698" t="s">
        <v>1450</v>
      </c>
      <c r="M455" s="557">
        <f t="shared" si="74"/>
        <v>0</v>
      </c>
      <c r="N455" s="453"/>
      <c r="O455" s="557">
        <f t="shared" si="75"/>
        <v>0</v>
      </c>
      <c r="P455" s="633">
        <v>1</v>
      </c>
      <c r="Q455" s="776">
        <f t="shared" si="76"/>
        <v>0</v>
      </c>
      <c r="R455" s="776">
        <f t="shared" si="77"/>
        <v>0</v>
      </c>
      <c r="S455" s="552">
        <f t="shared" si="78"/>
        <v>0</v>
      </c>
      <c r="T455" s="626">
        <f t="shared" si="71"/>
        <v>0</v>
      </c>
      <c r="U455" s="626">
        <f t="shared" si="72"/>
        <v>0</v>
      </c>
      <c r="V455" s="553">
        <f t="shared" si="73"/>
        <v>0</v>
      </c>
      <c r="W455" s="554">
        <f t="shared" si="79"/>
        <v>0</v>
      </c>
      <c r="X455" s="454" t="s">
        <v>1454</v>
      </c>
      <c r="Y455" s="631">
        <f>IF(Q455=0,0,(Q455+R455)*'1.0-Contractblad'!$L$98)</f>
        <v>0</v>
      </c>
      <c r="Z455" s="632">
        <f ca="1">IF(J455=0,0,VLOOKUP(D455,'1.1a-Jaarprijzen'!$B$70:$P$124,14,FALSE)*(K455+J455))</f>
        <v>0</v>
      </c>
    </row>
    <row r="456" spans="1:26" hidden="1">
      <c r="A456" s="558"/>
      <c r="B456" s="701"/>
      <c r="C456" s="659">
        <v>3</v>
      </c>
      <c r="D456" s="549" t="s">
        <v>1487</v>
      </c>
      <c r="E456" s="550" t="s">
        <v>502</v>
      </c>
      <c r="F456" s="551"/>
      <c r="G456" s="649" t="s">
        <v>1324</v>
      </c>
      <c r="H456" s="647" t="str">
        <f t="shared" si="70"/>
        <v>niet van toepassing</v>
      </c>
      <c r="I456" s="719"/>
      <c r="J456" s="650"/>
      <c r="K456" s="650"/>
      <c r="L456" s="698" t="s">
        <v>27</v>
      </c>
      <c r="M456" s="557">
        <f t="shared" si="74"/>
        <v>0</v>
      </c>
      <c r="N456" s="453"/>
      <c r="O456" s="557">
        <f t="shared" si="75"/>
        <v>0</v>
      </c>
      <c r="P456" s="633">
        <v>1</v>
      </c>
      <c r="Q456" s="776">
        <f t="shared" si="76"/>
        <v>0</v>
      </c>
      <c r="R456" s="776">
        <f t="shared" si="77"/>
        <v>0</v>
      </c>
      <c r="S456" s="552">
        <f t="shared" si="78"/>
        <v>0</v>
      </c>
      <c r="T456" s="626">
        <f t="shared" si="71"/>
        <v>0</v>
      </c>
      <c r="U456" s="626">
        <f t="shared" si="72"/>
        <v>0</v>
      </c>
      <c r="V456" s="553">
        <f t="shared" si="73"/>
        <v>0</v>
      </c>
      <c r="W456" s="554">
        <f t="shared" si="79"/>
        <v>0</v>
      </c>
      <c r="X456" s="454" t="s">
        <v>1454</v>
      </c>
      <c r="Y456" s="631">
        <f>IF(Q456=0,0,(Q456+R456)*'1.0-Contractblad'!$L$98)</f>
        <v>0</v>
      </c>
      <c r="Z456" s="632">
        <f>IF(J456=0,0,VLOOKUP(D456,'1.1a-Jaarprijzen'!$B$70:$P$124,14,FALSE)*(K456+J456))</f>
        <v>0</v>
      </c>
    </row>
    <row r="457" spans="1:26" hidden="1">
      <c r="A457" s="558"/>
      <c r="B457" s="701"/>
      <c r="C457" s="659">
        <v>3</v>
      </c>
      <c r="D457" s="549" t="s">
        <v>1487</v>
      </c>
      <c r="E457" s="550" t="s">
        <v>502</v>
      </c>
      <c r="F457" s="551"/>
      <c r="G457" s="649" t="s">
        <v>498</v>
      </c>
      <c r="H457" s="647" t="str">
        <f t="shared" si="70"/>
        <v>op afroep</v>
      </c>
      <c r="I457" s="719" t="s">
        <v>76</v>
      </c>
      <c r="J457" s="650">
        <v>14.18</v>
      </c>
      <c r="K457" s="650"/>
      <c r="L457" s="698" t="s">
        <v>1450</v>
      </c>
      <c r="M457" s="557">
        <f t="shared" si="74"/>
        <v>0</v>
      </c>
      <c r="N457" s="453"/>
      <c r="O457" s="557">
        <f t="shared" si="75"/>
        <v>0</v>
      </c>
      <c r="P457" s="633">
        <v>1</v>
      </c>
      <c r="Q457" s="776">
        <f t="shared" si="76"/>
        <v>0</v>
      </c>
      <c r="R457" s="776">
        <f t="shared" si="77"/>
        <v>0</v>
      </c>
      <c r="S457" s="552">
        <f t="shared" si="78"/>
        <v>0</v>
      </c>
      <c r="T457" s="626">
        <f t="shared" si="71"/>
        <v>0</v>
      </c>
      <c r="U457" s="626">
        <f t="shared" si="72"/>
        <v>0</v>
      </c>
      <c r="V457" s="553">
        <f t="shared" si="73"/>
        <v>0</v>
      </c>
      <c r="W457" s="554">
        <f t="shared" si="79"/>
        <v>0</v>
      </c>
      <c r="X457" s="454" t="s">
        <v>1454</v>
      </c>
      <c r="Y457" s="631">
        <f>IF(Q457=0,0,(Q457+R457)*'1.0-Contractblad'!$L$98)</f>
        <v>0</v>
      </c>
      <c r="Z457" s="632">
        <f ca="1">IF(J457=0,0,VLOOKUP(D457,'1.1a-Jaarprijzen'!$B$70:$P$124,14,FALSE)*(K457+J457))</f>
        <v>0</v>
      </c>
    </row>
    <row r="458" spans="1:26" hidden="1">
      <c r="A458" s="558"/>
      <c r="B458" s="701"/>
      <c r="C458" s="659">
        <v>3</v>
      </c>
      <c r="D458" s="549" t="s">
        <v>1487</v>
      </c>
      <c r="E458" s="550" t="s">
        <v>502</v>
      </c>
      <c r="F458" s="551"/>
      <c r="G458" s="649" t="s">
        <v>1325</v>
      </c>
      <c r="H458" s="647" t="str">
        <f t="shared" si="70"/>
        <v>op afroep</v>
      </c>
      <c r="I458" s="719" t="s">
        <v>76</v>
      </c>
      <c r="J458" s="650">
        <v>12.16</v>
      </c>
      <c r="K458" s="650"/>
      <c r="L458" s="698" t="s">
        <v>1450</v>
      </c>
      <c r="M458" s="557">
        <f t="shared" si="74"/>
        <v>0</v>
      </c>
      <c r="N458" s="453"/>
      <c r="O458" s="557">
        <f t="shared" si="75"/>
        <v>0</v>
      </c>
      <c r="P458" s="633">
        <v>1</v>
      </c>
      <c r="Q458" s="776">
        <f t="shared" si="76"/>
        <v>0</v>
      </c>
      <c r="R458" s="776">
        <f t="shared" si="77"/>
        <v>0</v>
      </c>
      <c r="S458" s="552">
        <f t="shared" si="78"/>
        <v>0</v>
      </c>
      <c r="T458" s="626">
        <f t="shared" si="71"/>
        <v>0</v>
      </c>
      <c r="U458" s="626">
        <f t="shared" si="72"/>
        <v>0</v>
      </c>
      <c r="V458" s="553">
        <f t="shared" si="73"/>
        <v>0</v>
      </c>
      <c r="W458" s="554">
        <f t="shared" si="79"/>
        <v>0</v>
      </c>
      <c r="X458" s="454" t="s">
        <v>1454</v>
      </c>
      <c r="Y458" s="631">
        <f>IF(Q458=0,0,(Q458+R458)*'1.0-Contractblad'!$L$98)</f>
        <v>0</v>
      </c>
      <c r="Z458" s="632">
        <f ca="1">IF(J458=0,0,VLOOKUP(D458,'1.1a-Jaarprijzen'!$B$70:$P$124,14,FALSE)*(K458+J458))</f>
        <v>0</v>
      </c>
    </row>
    <row r="459" spans="1:26" hidden="1">
      <c r="A459" s="558"/>
      <c r="B459" s="548"/>
      <c r="C459" s="659">
        <v>3</v>
      </c>
      <c r="D459" s="549" t="s">
        <v>1487</v>
      </c>
      <c r="E459" s="550" t="s">
        <v>502</v>
      </c>
      <c r="F459" s="551"/>
      <c r="G459" s="649" t="s">
        <v>1221</v>
      </c>
      <c r="H459" s="647" t="str">
        <f t="shared" si="70"/>
        <v>niet van toepassing</v>
      </c>
      <c r="I459" s="719" t="s">
        <v>76</v>
      </c>
      <c r="J459" s="623"/>
      <c r="K459" s="650">
        <v>36.200000000000003</v>
      </c>
      <c r="L459" s="668" t="s">
        <v>27</v>
      </c>
      <c r="M459" s="557">
        <f t="shared" si="74"/>
        <v>0</v>
      </c>
      <c r="N459" s="453"/>
      <c r="O459" s="557">
        <f t="shared" si="75"/>
        <v>0</v>
      </c>
      <c r="P459" s="633">
        <v>1</v>
      </c>
      <c r="Q459" s="776">
        <f t="shared" si="76"/>
        <v>0</v>
      </c>
      <c r="R459" s="776">
        <f t="shared" si="77"/>
        <v>0</v>
      </c>
      <c r="S459" s="552">
        <f t="shared" si="78"/>
        <v>0</v>
      </c>
      <c r="T459" s="626">
        <f t="shared" si="71"/>
        <v>0</v>
      </c>
      <c r="U459" s="626">
        <f t="shared" si="72"/>
        <v>0</v>
      </c>
      <c r="V459" s="553">
        <f t="shared" si="73"/>
        <v>0</v>
      </c>
      <c r="W459" s="554">
        <f t="shared" si="79"/>
        <v>0</v>
      </c>
      <c r="X459" s="454"/>
      <c r="Y459" s="631">
        <f>IF(Q459=0,0,(Q459+R459)*'1.0-Contractblad'!$L$98)</f>
        <v>0</v>
      </c>
      <c r="Z459" s="632">
        <f>IF(J459=0,0,VLOOKUP(D459,'1.1a-Jaarprijzen'!$B$70:$P$124,14,FALSE)*(K459+J459))</f>
        <v>0</v>
      </c>
    </row>
    <row r="460" spans="1:26" hidden="1">
      <c r="A460" s="558"/>
      <c r="B460" s="548"/>
      <c r="C460" s="659">
        <v>3</v>
      </c>
      <c r="D460" s="549" t="s">
        <v>1477</v>
      </c>
      <c r="E460" s="550" t="s">
        <v>502</v>
      </c>
      <c r="F460" s="551" t="s">
        <v>930</v>
      </c>
      <c r="G460" s="649" t="s">
        <v>1291</v>
      </c>
      <c r="H460" s="647" t="str">
        <f t="shared" si="70"/>
        <v>entree, gang, hal, repro, kopieer, was/droogruimte</v>
      </c>
      <c r="I460" s="719" t="s">
        <v>106</v>
      </c>
      <c r="J460" s="623">
        <v>22.2</v>
      </c>
      <c r="K460" s="650"/>
      <c r="L460" s="651">
        <v>3153</v>
      </c>
      <c r="M460" s="557">
        <f t="shared" si="74"/>
        <v>103</v>
      </c>
      <c r="N460" s="453"/>
      <c r="O460" s="557">
        <f t="shared" si="75"/>
        <v>153</v>
      </c>
      <c r="P460" s="633">
        <v>1</v>
      </c>
      <c r="Q460" s="776">
        <f t="shared" si="76"/>
        <v>0</v>
      </c>
      <c r="R460" s="776">
        <f t="shared" si="77"/>
        <v>0</v>
      </c>
      <c r="S460" s="552">
        <f t="shared" si="78"/>
        <v>0</v>
      </c>
      <c r="T460" s="626">
        <f t="shared" si="71"/>
        <v>0</v>
      </c>
      <c r="U460" s="626">
        <f t="shared" si="72"/>
        <v>0</v>
      </c>
      <c r="V460" s="553">
        <f t="shared" si="73"/>
        <v>0</v>
      </c>
      <c r="W460" s="554" t="str">
        <f t="shared" si="79"/>
        <v>V</v>
      </c>
      <c r="X460" s="555"/>
      <c r="Y460" s="631">
        <f>IF(Q460=0,0,(Q460+R460)*'1.0-Contractblad'!$L$98)</f>
        <v>0</v>
      </c>
      <c r="Z460" s="632">
        <f ca="1">IF(J460=0,0,VLOOKUP(D460,'1.1a-Jaarprijzen'!$B$70:$P$124,14,FALSE)*(K460+J460))</f>
        <v>0</v>
      </c>
    </row>
    <row r="461" spans="1:26" hidden="1">
      <c r="A461" s="558"/>
      <c r="B461" s="548"/>
      <c r="C461" s="659">
        <v>3</v>
      </c>
      <c r="D461" s="549" t="s">
        <v>1477</v>
      </c>
      <c r="E461" s="550" t="s">
        <v>502</v>
      </c>
      <c r="F461" s="551" t="s">
        <v>931</v>
      </c>
      <c r="G461" s="649" t="s">
        <v>1326</v>
      </c>
      <c r="H461" s="647" t="str">
        <f t="shared" si="70"/>
        <v>trappenhuis</v>
      </c>
      <c r="I461" s="719" t="s">
        <v>1402</v>
      </c>
      <c r="J461" s="623">
        <v>10</v>
      </c>
      <c r="K461" s="623"/>
      <c r="L461" s="559">
        <v>9153</v>
      </c>
      <c r="M461" s="557">
        <f t="shared" si="74"/>
        <v>109</v>
      </c>
      <c r="N461" s="453"/>
      <c r="O461" s="557">
        <f t="shared" si="75"/>
        <v>153</v>
      </c>
      <c r="P461" s="633">
        <v>1</v>
      </c>
      <c r="Q461" s="776">
        <f t="shared" si="76"/>
        <v>0</v>
      </c>
      <c r="R461" s="776">
        <f t="shared" si="77"/>
        <v>0</v>
      </c>
      <c r="S461" s="552">
        <f t="shared" si="78"/>
        <v>0</v>
      </c>
      <c r="T461" s="626">
        <f t="shared" si="71"/>
        <v>0</v>
      </c>
      <c r="U461" s="626">
        <f t="shared" si="72"/>
        <v>0</v>
      </c>
      <c r="V461" s="553">
        <f t="shared" si="73"/>
        <v>0</v>
      </c>
      <c r="W461" s="554" t="str">
        <f t="shared" si="79"/>
        <v>V</v>
      </c>
      <c r="X461" s="555"/>
      <c r="Y461" s="631">
        <f>IF(Q461=0,0,(Q461+R461)*'1.0-Contractblad'!$L$98)</f>
        <v>0</v>
      </c>
      <c r="Z461" s="632">
        <f ca="1">IF(J461=0,0,VLOOKUP(D461,'1.1a-Jaarprijzen'!$B$70:$P$124,14,FALSE)*(K461+J461))</f>
        <v>0</v>
      </c>
    </row>
    <row r="462" spans="1:26" hidden="1">
      <c r="A462" s="558"/>
      <c r="B462" s="548"/>
      <c r="C462" s="659">
        <v>3</v>
      </c>
      <c r="D462" s="549" t="s">
        <v>1477</v>
      </c>
      <c r="E462" s="550" t="s">
        <v>502</v>
      </c>
      <c r="F462" s="551" t="s">
        <v>932</v>
      </c>
      <c r="G462" s="649" t="s">
        <v>1327</v>
      </c>
      <c r="H462" s="647" t="str">
        <f t="shared" si="70"/>
        <v>sanitaire ruimte (toilet-/doucheruimte)</v>
      </c>
      <c r="I462" s="719" t="s">
        <v>1402</v>
      </c>
      <c r="J462" s="623">
        <v>9.5</v>
      </c>
      <c r="K462" s="623"/>
      <c r="L462" s="559">
        <v>4255</v>
      </c>
      <c r="M462" s="557">
        <f t="shared" si="74"/>
        <v>104</v>
      </c>
      <c r="N462" s="453"/>
      <c r="O462" s="557">
        <f t="shared" si="75"/>
        <v>255</v>
      </c>
      <c r="P462" s="633">
        <v>1</v>
      </c>
      <c r="Q462" s="776">
        <f t="shared" si="76"/>
        <v>0</v>
      </c>
      <c r="R462" s="776">
        <f t="shared" si="77"/>
        <v>0</v>
      </c>
      <c r="S462" s="552">
        <f t="shared" si="78"/>
        <v>0</v>
      </c>
      <c r="T462" s="626">
        <f t="shared" si="71"/>
        <v>0</v>
      </c>
      <c r="U462" s="626">
        <f t="shared" si="72"/>
        <v>0</v>
      </c>
      <c r="V462" s="553">
        <f t="shared" si="73"/>
        <v>0</v>
      </c>
      <c r="W462" s="554" t="str">
        <f t="shared" si="79"/>
        <v>S</v>
      </c>
      <c r="X462" s="555"/>
      <c r="Y462" s="631">
        <f>IF(Q462=0,0,(Q462+R462)*'1.0-Contractblad'!$L$98)</f>
        <v>0</v>
      </c>
      <c r="Z462" s="632">
        <f ca="1">IF(J462=0,0,VLOOKUP(D462,'1.1a-Jaarprijzen'!$B$70:$P$124,14,FALSE)*(K462+J462))</f>
        <v>0</v>
      </c>
    </row>
    <row r="463" spans="1:26" hidden="1">
      <c r="A463" s="558"/>
      <c r="B463" s="548"/>
      <c r="C463" s="659">
        <v>3</v>
      </c>
      <c r="D463" s="549" t="s">
        <v>1477</v>
      </c>
      <c r="E463" s="550" t="s">
        <v>502</v>
      </c>
      <c r="F463" s="551" t="s">
        <v>933</v>
      </c>
      <c r="G463" s="649" t="s">
        <v>1328</v>
      </c>
      <c r="H463" s="647" t="str">
        <f t="shared" si="70"/>
        <v>niet van toepassing</v>
      </c>
      <c r="I463" s="719"/>
      <c r="J463" s="623"/>
      <c r="K463" s="623"/>
      <c r="L463" s="668" t="s">
        <v>27</v>
      </c>
      <c r="M463" s="557">
        <f t="shared" si="74"/>
        <v>0</v>
      </c>
      <c r="N463" s="453"/>
      <c r="O463" s="557">
        <f t="shared" si="75"/>
        <v>0</v>
      </c>
      <c r="P463" s="633">
        <v>1</v>
      </c>
      <c r="Q463" s="776">
        <f t="shared" si="76"/>
        <v>0</v>
      </c>
      <c r="R463" s="776">
        <f t="shared" si="77"/>
        <v>0</v>
      </c>
      <c r="S463" s="552">
        <f t="shared" si="78"/>
        <v>0</v>
      </c>
      <c r="T463" s="626">
        <f t="shared" si="71"/>
        <v>0</v>
      </c>
      <c r="U463" s="626">
        <f t="shared" si="72"/>
        <v>0</v>
      </c>
      <c r="V463" s="553">
        <f t="shared" si="73"/>
        <v>0</v>
      </c>
      <c r="W463" s="554">
        <f t="shared" si="79"/>
        <v>0</v>
      </c>
      <c r="X463" s="454" t="s">
        <v>1454</v>
      </c>
      <c r="Y463" s="631">
        <f>IF(Q463=0,0,(Q463+R463)*'1.0-Contractblad'!$L$98)</f>
        <v>0</v>
      </c>
      <c r="Z463" s="632">
        <f>IF(J463=0,0,VLOOKUP(D463,'1.1a-Jaarprijzen'!$B$70:$P$124,14,FALSE)*(K463+J463))</f>
        <v>0</v>
      </c>
    </row>
    <row r="464" spans="1:26" hidden="1">
      <c r="A464" s="558"/>
      <c r="B464" s="548"/>
      <c r="C464" s="659">
        <v>3</v>
      </c>
      <c r="D464" s="549" t="s">
        <v>1477</v>
      </c>
      <c r="E464" s="550" t="s">
        <v>502</v>
      </c>
      <c r="F464" s="551" t="s">
        <v>934</v>
      </c>
      <c r="G464" s="649" t="s">
        <v>1329</v>
      </c>
      <c r="H464" s="647" t="str">
        <f t="shared" si="70"/>
        <v>administratieve -, personeels- en vergaderruimte</v>
      </c>
      <c r="I464" s="719" t="s">
        <v>76</v>
      </c>
      <c r="J464" s="623">
        <v>24</v>
      </c>
      <c r="K464" s="623"/>
      <c r="L464" s="651">
        <v>1153</v>
      </c>
      <c r="M464" s="557">
        <f t="shared" si="74"/>
        <v>101</v>
      </c>
      <c r="N464" s="453"/>
      <c r="O464" s="557">
        <f t="shared" si="75"/>
        <v>153</v>
      </c>
      <c r="P464" s="633">
        <v>1</v>
      </c>
      <c r="Q464" s="776">
        <f t="shared" si="76"/>
        <v>0</v>
      </c>
      <c r="R464" s="776">
        <f t="shared" si="77"/>
        <v>0</v>
      </c>
      <c r="S464" s="552">
        <f t="shared" si="78"/>
        <v>0</v>
      </c>
      <c r="T464" s="626">
        <f t="shared" si="71"/>
        <v>0</v>
      </c>
      <c r="U464" s="626">
        <f t="shared" si="72"/>
        <v>0</v>
      </c>
      <c r="V464" s="553">
        <f t="shared" si="73"/>
        <v>0</v>
      </c>
      <c r="W464" s="554" t="str">
        <f t="shared" si="79"/>
        <v>B</v>
      </c>
      <c r="X464" s="454"/>
      <c r="Y464" s="631">
        <f>IF(Q464=0,0,(Q464+R464)*'1.0-Contractblad'!$L$98)</f>
        <v>0</v>
      </c>
      <c r="Z464" s="632">
        <f ca="1">IF(J464=0,0,VLOOKUP(D464,'1.1a-Jaarprijzen'!$B$70:$P$124,14,FALSE)*(K464+J464))</f>
        <v>0</v>
      </c>
    </row>
    <row r="465" spans="1:26">
      <c r="A465" s="558"/>
      <c r="B465" s="548"/>
      <c r="C465" s="659">
        <v>3</v>
      </c>
      <c r="D465" s="549" t="s">
        <v>1477</v>
      </c>
      <c r="E465" s="550" t="s">
        <v>502</v>
      </c>
      <c r="F465" s="551" t="s">
        <v>935</v>
      </c>
      <c r="G465" s="649" t="s">
        <v>1330</v>
      </c>
      <c r="H465" s="647" t="str">
        <f t="shared" si="70"/>
        <v>aula, gemeenschappelijke ruimte, bibliotheek</v>
      </c>
      <c r="I465" s="719" t="s">
        <v>1404</v>
      </c>
      <c r="J465" s="623">
        <v>112.4</v>
      </c>
      <c r="K465" s="623"/>
      <c r="L465" s="559">
        <v>2153</v>
      </c>
      <c r="M465" s="557">
        <f t="shared" si="74"/>
        <v>102</v>
      </c>
      <c r="N465" s="453"/>
      <c r="O465" s="557">
        <f t="shared" si="75"/>
        <v>153</v>
      </c>
      <c r="P465" s="633">
        <v>1</v>
      </c>
      <c r="Q465" s="776">
        <f t="shared" si="76"/>
        <v>0</v>
      </c>
      <c r="R465" s="776">
        <f t="shared" si="77"/>
        <v>0</v>
      </c>
      <c r="S465" s="552">
        <f t="shared" si="78"/>
        <v>0</v>
      </c>
      <c r="T465" s="626">
        <f t="shared" si="71"/>
        <v>0</v>
      </c>
      <c r="U465" s="626">
        <f t="shared" si="72"/>
        <v>0</v>
      </c>
      <c r="V465" s="553">
        <f t="shared" si="73"/>
        <v>0</v>
      </c>
      <c r="W465" s="554" t="str">
        <f t="shared" si="79"/>
        <v>V</v>
      </c>
      <c r="X465" s="555"/>
      <c r="Y465" s="631">
        <f>IF(Q465=0,0,(Q465+R465)*'1.0-Contractblad'!$L$98)</f>
        <v>0</v>
      </c>
      <c r="Z465" s="632">
        <f ca="1">IF(J465=0,0,VLOOKUP(D465,'1.1a-Jaarprijzen'!$B$70:$P$124,14,FALSE)*(K465+J465))</f>
        <v>0</v>
      </c>
    </row>
    <row r="466" spans="1:26" hidden="1">
      <c r="A466" s="558"/>
      <c r="B466" s="548"/>
      <c r="C466" s="659">
        <v>3</v>
      </c>
      <c r="D466" s="549" t="s">
        <v>1477</v>
      </c>
      <c r="E466" s="550" t="s">
        <v>502</v>
      </c>
      <c r="F466" s="551" t="s">
        <v>936</v>
      </c>
      <c r="G466" s="649" t="s">
        <v>1282</v>
      </c>
      <c r="H466" s="647" t="str">
        <f t="shared" si="70"/>
        <v>niet van toepassing</v>
      </c>
      <c r="I466" s="719"/>
      <c r="J466" s="623"/>
      <c r="K466" s="623"/>
      <c r="L466" s="668" t="s">
        <v>27</v>
      </c>
      <c r="M466" s="557">
        <f t="shared" si="74"/>
        <v>0</v>
      </c>
      <c r="N466" s="453"/>
      <c r="O466" s="557">
        <f t="shared" si="75"/>
        <v>0</v>
      </c>
      <c r="P466" s="633">
        <v>1</v>
      </c>
      <c r="Q466" s="776">
        <f t="shared" si="76"/>
        <v>0</v>
      </c>
      <c r="R466" s="776">
        <f t="shared" si="77"/>
        <v>0</v>
      </c>
      <c r="S466" s="552">
        <f t="shared" si="78"/>
        <v>0</v>
      </c>
      <c r="T466" s="626">
        <f t="shared" si="71"/>
        <v>0</v>
      </c>
      <c r="U466" s="626">
        <f t="shared" si="72"/>
        <v>0</v>
      </c>
      <c r="V466" s="553">
        <f t="shared" si="73"/>
        <v>0</v>
      </c>
      <c r="W466" s="554">
        <f t="shared" si="79"/>
        <v>0</v>
      </c>
      <c r="X466" s="454" t="s">
        <v>1454</v>
      </c>
      <c r="Y466" s="631">
        <f>IF(Q466=0,0,(Q466+R466)*'1.0-Contractblad'!$L$98)</f>
        <v>0</v>
      </c>
      <c r="Z466" s="632">
        <f>IF(J466=0,0,VLOOKUP(D466,'1.1a-Jaarprijzen'!$B$70:$P$124,14,FALSE)*(K466+J466))</f>
        <v>0</v>
      </c>
    </row>
    <row r="467" spans="1:26" hidden="1">
      <c r="A467" s="558"/>
      <c r="B467" s="548"/>
      <c r="C467" s="659">
        <v>3</v>
      </c>
      <c r="D467" s="549" t="s">
        <v>1477</v>
      </c>
      <c r="E467" s="550" t="s">
        <v>502</v>
      </c>
      <c r="F467" s="551" t="s">
        <v>937</v>
      </c>
      <c r="G467" s="649" t="s">
        <v>1452</v>
      </c>
      <c r="H467" s="647" t="str">
        <f t="shared" si="70"/>
        <v>Keuken</v>
      </c>
      <c r="I467" s="719" t="s">
        <v>84</v>
      </c>
      <c r="J467" s="623">
        <v>18.3</v>
      </c>
      <c r="K467" s="623"/>
      <c r="L467" s="559">
        <v>18255</v>
      </c>
      <c r="M467" s="557" t="str">
        <f t="shared" si="74"/>
        <v>nvt</v>
      </c>
      <c r="N467" s="453"/>
      <c r="O467" s="557">
        <f t="shared" si="75"/>
        <v>255</v>
      </c>
      <c r="P467" s="633">
        <v>1</v>
      </c>
      <c r="Q467" s="776">
        <f t="shared" si="76"/>
        <v>0</v>
      </c>
      <c r="R467" s="776">
        <f t="shared" si="77"/>
        <v>0</v>
      </c>
      <c r="S467" s="552">
        <f t="shared" si="78"/>
        <v>0</v>
      </c>
      <c r="T467" s="626">
        <f t="shared" si="71"/>
        <v>0</v>
      </c>
      <c r="U467" s="626">
        <f t="shared" si="72"/>
        <v>0</v>
      </c>
      <c r="V467" s="553">
        <f t="shared" si="73"/>
        <v>0</v>
      </c>
      <c r="W467" s="554" t="str">
        <f t="shared" si="79"/>
        <v>V</v>
      </c>
      <c r="X467" s="555"/>
      <c r="Y467" s="631">
        <f>IF(Q467=0,0,(Q467+R467)*'1.0-Contractblad'!$L$98)</f>
        <v>0</v>
      </c>
      <c r="Z467" s="632">
        <f ca="1">IF(J467=0,0,VLOOKUP(D467,'1.1a-Jaarprijzen'!$B$70:$P$124,14,FALSE)*(K467+J467))</f>
        <v>0</v>
      </c>
    </row>
    <row r="468" spans="1:26" hidden="1">
      <c r="A468" s="558"/>
      <c r="B468" s="548"/>
      <c r="C468" s="659">
        <v>3</v>
      </c>
      <c r="D468" s="549" t="s">
        <v>1477</v>
      </c>
      <c r="E468" s="660" t="s">
        <v>478</v>
      </c>
      <c r="F468" s="551" t="s">
        <v>938</v>
      </c>
      <c r="G468" s="649" t="s">
        <v>1331</v>
      </c>
      <c r="H468" s="647" t="str">
        <f t="shared" si="70"/>
        <v>niet van toepassing</v>
      </c>
      <c r="I468" s="719"/>
      <c r="J468" s="623"/>
      <c r="K468" s="623"/>
      <c r="L468" s="668" t="s">
        <v>27</v>
      </c>
      <c r="M468" s="557">
        <f t="shared" si="74"/>
        <v>0</v>
      </c>
      <c r="N468" s="453"/>
      <c r="O468" s="557">
        <f t="shared" si="75"/>
        <v>0</v>
      </c>
      <c r="P468" s="633">
        <v>1</v>
      </c>
      <c r="Q468" s="776">
        <f t="shared" si="76"/>
        <v>0</v>
      </c>
      <c r="R468" s="776">
        <f t="shared" si="77"/>
        <v>0</v>
      </c>
      <c r="S468" s="552">
        <f t="shared" si="78"/>
        <v>0</v>
      </c>
      <c r="T468" s="626">
        <f t="shared" si="71"/>
        <v>0</v>
      </c>
      <c r="U468" s="626">
        <f t="shared" si="72"/>
        <v>0</v>
      </c>
      <c r="V468" s="553">
        <f t="shared" si="73"/>
        <v>0</v>
      </c>
      <c r="W468" s="554">
        <f t="shared" si="79"/>
        <v>0</v>
      </c>
      <c r="X468" s="454" t="s">
        <v>1454</v>
      </c>
      <c r="Y468" s="631">
        <f>IF(Q468=0,0,(Q468+R468)*'1.0-Contractblad'!$L$98)</f>
        <v>0</v>
      </c>
      <c r="Z468" s="632">
        <f>IF(J468=0,0,VLOOKUP(D468,'1.1a-Jaarprijzen'!$B$70:$P$124,14,FALSE)*(K468+J468))</f>
        <v>0</v>
      </c>
    </row>
    <row r="469" spans="1:26" hidden="1">
      <c r="A469" s="558"/>
      <c r="B469" s="548"/>
      <c r="C469" s="659">
        <v>3</v>
      </c>
      <c r="D469" s="549" t="s">
        <v>1477</v>
      </c>
      <c r="E469" s="550" t="s">
        <v>502</v>
      </c>
      <c r="F469" s="551" t="s">
        <v>939</v>
      </c>
      <c r="G469" s="649" t="s">
        <v>1332</v>
      </c>
      <c r="H469" s="647" t="str">
        <f t="shared" si="70"/>
        <v>Keuken</v>
      </c>
      <c r="I469" s="719" t="s">
        <v>84</v>
      </c>
      <c r="J469" s="623">
        <v>4.8</v>
      </c>
      <c r="K469" s="623"/>
      <c r="L469" s="559">
        <v>18153</v>
      </c>
      <c r="M469" s="557" t="str">
        <f t="shared" si="74"/>
        <v>nvt</v>
      </c>
      <c r="N469" s="453"/>
      <c r="O469" s="557">
        <f t="shared" si="75"/>
        <v>153</v>
      </c>
      <c r="P469" s="633">
        <v>1</v>
      </c>
      <c r="Q469" s="776">
        <f t="shared" si="76"/>
        <v>0</v>
      </c>
      <c r="R469" s="776">
        <f t="shared" si="77"/>
        <v>0</v>
      </c>
      <c r="S469" s="552">
        <f t="shared" si="78"/>
        <v>0</v>
      </c>
      <c r="T469" s="626">
        <f t="shared" si="71"/>
        <v>0</v>
      </c>
      <c r="U469" s="626">
        <f t="shared" si="72"/>
        <v>0</v>
      </c>
      <c r="V469" s="553">
        <f t="shared" si="73"/>
        <v>0</v>
      </c>
      <c r="W469" s="554" t="str">
        <f t="shared" si="79"/>
        <v>V</v>
      </c>
      <c r="X469" s="556"/>
      <c r="Y469" s="631">
        <f>IF(Q469=0,0,(Q469+R469)*'1.0-Contractblad'!$L$98)</f>
        <v>0</v>
      </c>
      <c r="Z469" s="632">
        <f ca="1">IF(J469=0,0,VLOOKUP(D469,'1.1a-Jaarprijzen'!$B$70:$P$124,14,FALSE)*(K469+J469))</f>
        <v>0</v>
      </c>
    </row>
    <row r="470" spans="1:26" hidden="1">
      <c r="A470" s="558"/>
      <c r="B470" s="548"/>
      <c r="C470" s="659">
        <v>3</v>
      </c>
      <c r="D470" s="549" t="s">
        <v>1477</v>
      </c>
      <c r="E470" s="550" t="s">
        <v>502</v>
      </c>
      <c r="F470" s="551" t="s">
        <v>940</v>
      </c>
      <c r="G470" s="649" t="s">
        <v>1216</v>
      </c>
      <c r="H470" s="647" t="str">
        <f t="shared" si="70"/>
        <v>sanitaire ruimte (toilet-/doucheruimte)</v>
      </c>
      <c r="I470" s="719" t="s">
        <v>84</v>
      </c>
      <c r="J470" s="623">
        <v>1.4</v>
      </c>
      <c r="K470" s="623"/>
      <c r="L470" s="559">
        <v>4255</v>
      </c>
      <c r="M470" s="557">
        <f t="shared" si="74"/>
        <v>104</v>
      </c>
      <c r="N470" s="453"/>
      <c r="O470" s="557">
        <f t="shared" si="75"/>
        <v>255</v>
      </c>
      <c r="P470" s="633">
        <v>1</v>
      </c>
      <c r="Q470" s="776">
        <f t="shared" si="76"/>
        <v>0</v>
      </c>
      <c r="R470" s="776">
        <f t="shared" si="77"/>
        <v>0</v>
      </c>
      <c r="S470" s="552">
        <f t="shared" si="78"/>
        <v>0</v>
      </c>
      <c r="T470" s="626">
        <f t="shared" si="71"/>
        <v>0</v>
      </c>
      <c r="U470" s="626">
        <f t="shared" si="72"/>
        <v>0</v>
      </c>
      <c r="V470" s="553">
        <f t="shared" si="73"/>
        <v>0</v>
      </c>
      <c r="W470" s="554" t="str">
        <f t="shared" si="79"/>
        <v>S</v>
      </c>
      <c r="X470" s="555"/>
      <c r="Y470" s="631">
        <f>IF(Q470=0,0,(Q470+R470)*'1.0-Contractblad'!$L$98)</f>
        <v>0</v>
      </c>
      <c r="Z470" s="632">
        <f ca="1">IF(J470=0,0,VLOOKUP(D470,'1.1a-Jaarprijzen'!$B$70:$P$124,14,FALSE)*(K470+J470))</f>
        <v>0</v>
      </c>
    </row>
    <row r="471" spans="1:26" hidden="1">
      <c r="A471" s="558"/>
      <c r="B471" s="548"/>
      <c r="C471" s="659">
        <v>3</v>
      </c>
      <c r="D471" s="549" t="s">
        <v>1477</v>
      </c>
      <c r="E471" s="550" t="s">
        <v>502</v>
      </c>
      <c r="F471" s="551" t="s">
        <v>941</v>
      </c>
      <c r="G471" s="649" t="s">
        <v>1216</v>
      </c>
      <c r="H471" s="647" t="str">
        <f t="shared" si="70"/>
        <v>sanitaire ruimte (toilet-/doucheruimte)</v>
      </c>
      <c r="I471" s="719" t="s">
        <v>84</v>
      </c>
      <c r="J471" s="623">
        <v>1.4</v>
      </c>
      <c r="K471" s="623"/>
      <c r="L471" s="559">
        <v>4255</v>
      </c>
      <c r="M471" s="557">
        <f t="shared" si="74"/>
        <v>104</v>
      </c>
      <c r="N471" s="453"/>
      <c r="O471" s="557">
        <f t="shared" si="75"/>
        <v>255</v>
      </c>
      <c r="P471" s="633">
        <v>1</v>
      </c>
      <c r="Q471" s="776">
        <f t="shared" si="76"/>
        <v>0</v>
      </c>
      <c r="R471" s="776">
        <f t="shared" si="77"/>
        <v>0</v>
      </c>
      <c r="S471" s="552">
        <f t="shared" si="78"/>
        <v>0</v>
      </c>
      <c r="T471" s="626">
        <f t="shared" si="71"/>
        <v>0</v>
      </c>
      <c r="U471" s="626">
        <f t="shared" si="72"/>
        <v>0</v>
      </c>
      <c r="V471" s="553">
        <f t="shared" si="73"/>
        <v>0</v>
      </c>
      <c r="W471" s="554" t="str">
        <f t="shared" si="79"/>
        <v>S</v>
      </c>
      <c r="X471" s="555"/>
      <c r="Y471" s="631">
        <f>IF(Q471=0,0,(Q471+R471)*'1.0-Contractblad'!$L$98)</f>
        <v>0</v>
      </c>
      <c r="Z471" s="632">
        <f ca="1">IF(J471=0,0,VLOOKUP(D471,'1.1a-Jaarprijzen'!$B$70:$P$124,14,FALSE)*(K471+J471))</f>
        <v>0</v>
      </c>
    </row>
    <row r="472" spans="1:26" hidden="1">
      <c r="A472" s="558"/>
      <c r="B472" s="548"/>
      <c r="C472" s="659">
        <v>3</v>
      </c>
      <c r="D472" s="549" t="s">
        <v>1477</v>
      </c>
      <c r="E472" s="550" t="s">
        <v>502</v>
      </c>
      <c r="F472" s="551" t="s">
        <v>942</v>
      </c>
      <c r="G472" s="649" t="s">
        <v>1333</v>
      </c>
      <c r="H472" s="647" t="str">
        <f t="shared" si="70"/>
        <v>sanitaire ruimte (toilet-/doucheruimte)</v>
      </c>
      <c r="I472" s="719" t="s">
        <v>84</v>
      </c>
      <c r="J472" s="623">
        <v>4.5999999999999996</v>
      </c>
      <c r="K472" s="623"/>
      <c r="L472" s="559">
        <v>4255</v>
      </c>
      <c r="M472" s="557">
        <f t="shared" si="74"/>
        <v>104</v>
      </c>
      <c r="N472" s="453"/>
      <c r="O472" s="557">
        <f t="shared" si="75"/>
        <v>255</v>
      </c>
      <c r="P472" s="633">
        <v>1</v>
      </c>
      <c r="Q472" s="776">
        <f t="shared" si="76"/>
        <v>0</v>
      </c>
      <c r="R472" s="776">
        <f t="shared" si="77"/>
        <v>0</v>
      </c>
      <c r="S472" s="552">
        <f t="shared" si="78"/>
        <v>0</v>
      </c>
      <c r="T472" s="626">
        <f t="shared" si="71"/>
        <v>0</v>
      </c>
      <c r="U472" s="626">
        <f t="shared" si="72"/>
        <v>0</v>
      </c>
      <c r="V472" s="553">
        <f t="shared" si="73"/>
        <v>0</v>
      </c>
      <c r="W472" s="554" t="str">
        <f t="shared" si="79"/>
        <v>S</v>
      </c>
      <c r="X472" s="555"/>
      <c r="Y472" s="631">
        <f>IF(Q472=0,0,(Q472+R472)*'1.0-Contractblad'!$L$98)</f>
        <v>0</v>
      </c>
      <c r="Z472" s="632">
        <f ca="1">IF(J472=0,0,VLOOKUP(D472,'1.1a-Jaarprijzen'!$B$70:$P$124,14,FALSE)*(K472+J472))</f>
        <v>0</v>
      </c>
    </row>
    <row r="473" spans="1:26" hidden="1">
      <c r="A473" s="558"/>
      <c r="B473" s="548"/>
      <c r="C473" s="659">
        <v>3</v>
      </c>
      <c r="D473" s="549" t="s">
        <v>1477</v>
      </c>
      <c r="E473" s="550" t="s">
        <v>502</v>
      </c>
      <c r="F473" s="551" t="s">
        <v>943</v>
      </c>
      <c r="G473" s="649" t="s">
        <v>1334</v>
      </c>
      <c r="H473" s="647" t="str">
        <f t="shared" si="70"/>
        <v>sanitaire ruimte (toilet-/doucheruimte)</v>
      </c>
      <c r="I473" s="719" t="s">
        <v>84</v>
      </c>
      <c r="J473" s="623">
        <v>10.1</v>
      </c>
      <c r="K473" s="623"/>
      <c r="L473" s="559">
        <v>4255</v>
      </c>
      <c r="M473" s="557">
        <f t="shared" si="74"/>
        <v>104</v>
      </c>
      <c r="N473" s="453"/>
      <c r="O473" s="557">
        <f t="shared" si="75"/>
        <v>255</v>
      </c>
      <c r="P473" s="633">
        <v>1</v>
      </c>
      <c r="Q473" s="776">
        <f t="shared" si="76"/>
        <v>0</v>
      </c>
      <c r="R473" s="776">
        <f t="shared" si="77"/>
        <v>0</v>
      </c>
      <c r="S473" s="552">
        <f t="shared" si="78"/>
        <v>0</v>
      </c>
      <c r="T473" s="626">
        <f t="shared" si="71"/>
        <v>0</v>
      </c>
      <c r="U473" s="626">
        <f t="shared" si="72"/>
        <v>0</v>
      </c>
      <c r="V473" s="553">
        <f t="shared" si="73"/>
        <v>0</v>
      </c>
      <c r="W473" s="554" t="str">
        <f t="shared" si="79"/>
        <v>S</v>
      </c>
      <c r="X473" s="555"/>
      <c r="Y473" s="631">
        <f>IF(Q473=0,0,(Q473+R473)*'1.0-Contractblad'!$L$98)</f>
        <v>0</v>
      </c>
      <c r="Z473" s="632">
        <f ca="1">IF(J473=0,0,VLOOKUP(D473,'1.1a-Jaarprijzen'!$B$70:$P$124,14,FALSE)*(K473+J473))</f>
        <v>0</v>
      </c>
    </row>
    <row r="474" spans="1:26" hidden="1">
      <c r="A474" s="558"/>
      <c r="B474" s="701"/>
      <c r="C474" s="659">
        <v>3</v>
      </c>
      <c r="D474" s="549" t="s">
        <v>1477</v>
      </c>
      <c r="E474" s="550" t="s">
        <v>502</v>
      </c>
      <c r="F474" s="551" t="s">
        <v>944</v>
      </c>
      <c r="G474" s="649" t="s">
        <v>1335</v>
      </c>
      <c r="H474" s="647" t="str">
        <f t="shared" si="70"/>
        <v>op afroep</v>
      </c>
      <c r="I474" s="719" t="s">
        <v>106</v>
      </c>
      <c r="J474" s="650">
        <v>10.1</v>
      </c>
      <c r="K474" s="650"/>
      <c r="L474" s="698" t="s">
        <v>1450</v>
      </c>
      <c r="M474" s="557">
        <f t="shared" si="74"/>
        <v>0</v>
      </c>
      <c r="N474" s="453"/>
      <c r="O474" s="557">
        <f t="shared" si="75"/>
        <v>0</v>
      </c>
      <c r="P474" s="633">
        <v>1</v>
      </c>
      <c r="Q474" s="776">
        <f t="shared" si="76"/>
        <v>0</v>
      </c>
      <c r="R474" s="776">
        <f t="shared" si="77"/>
        <v>0</v>
      </c>
      <c r="S474" s="552">
        <f t="shared" si="78"/>
        <v>0</v>
      </c>
      <c r="T474" s="626">
        <f t="shared" si="71"/>
        <v>0</v>
      </c>
      <c r="U474" s="626">
        <f t="shared" si="72"/>
        <v>0</v>
      </c>
      <c r="V474" s="553">
        <f t="shared" si="73"/>
        <v>0</v>
      </c>
      <c r="W474" s="554">
        <f t="shared" si="79"/>
        <v>0</v>
      </c>
      <c r="X474" s="555"/>
      <c r="Y474" s="631">
        <f>IF(Q474=0,0,(Q474+R474)*'1.0-Contractblad'!$L$98)</f>
        <v>0</v>
      </c>
      <c r="Z474" s="632">
        <f ca="1">IF(J474=0,0,VLOOKUP(D474,'1.1a-Jaarprijzen'!$B$70:$P$124,14,FALSE)*(K474+J474))</f>
        <v>0</v>
      </c>
    </row>
    <row r="475" spans="1:26" hidden="1">
      <c r="A475" s="558"/>
      <c r="B475" s="548"/>
      <c r="C475" s="659">
        <v>3</v>
      </c>
      <c r="D475" s="549" t="s">
        <v>1477</v>
      </c>
      <c r="E475" s="550" t="s">
        <v>502</v>
      </c>
      <c r="F475" s="551" t="s">
        <v>945</v>
      </c>
      <c r="G475" s="649" t="s">
        <v>1291</v>
      </c>
      <c r="H475" s="647" t="str">
        <f t="shared" si="70"/>
        <v>entree, gang, hal, repro, kopieer, was/droogruimte</v>
      </c>
      <c r="I475" s="719" t="s">
        <v>106</v>
      </c>
      <c r="J475" s="623">
        <v>6.9</v>
      </c>
      <c r="K475" s="623"/>
      <c r="L475" s="651">
        <v>3153</v>
      </c>
      <c r="M475" s="557">
        <f t="shared" si="74"/>
        <v>103</v>
      </c>
      <c r="N475" s="453"/>
      <c r="O475" s="557">
        <f t="shared" si="75"/>
        <v>153</v>
      </c>
      <c r="P475" s="633">
        <v>1</v>
      </c>
      <c r="Q475" s="776">
        <f t="shared" si="76"/>
        <v>0</v>
      </c>
      <c r="R475" s="776">
        <f t="shared" si="77"/>
        <v>0</v>
      </c>
      <c r="S475" s="552">
        <f t="shared" si="78"/>
        <v>0</v>
      </c>
      <c r="T475" s="626">
        <f t="shared" si="71"/>
        <v>0</v>
      </c>
      <c r="U475" s="626">
        <f t="shared" si="72"/>
        <v>0</v>
      </c>
      <c r="V475" s="553">
        <f t="shared" si="73"/>
        <v>0</v>
      </c>
      <c r="W475" s="554" t="str">
        <f t="shared" si="79"/>
        <v>V</v>
      </c>
      <c r="X475" s="555"/>
      <c r="Y475" s="631">
        <f>IF(Q475=0,0,(Q475+R475)*'1.0-Contractblad'!$L$98)</f>
        <v>0</v>
      </c>
      <c r="Z475" s="632">
        <f ca="1">IF(J475=0,0,VLOOKUP(D475,'1.1a-Jaarprijzen'!$B$70:$P$124,14,FALSE)*(K475+J475))</f>
        <v>0</v>
      </c>
    </row>
    <row r="476" spans="1:26" hidden="1">
      <c r="A476" s="558"/>
      <c r="B476" s="548"/>
      <c r="C476" s="659">
        <v>3</v>
      </c>
      <c r="D476" s="549" t="s">
        <v>1478</v>
      </c>
      <c r="E476" s="550" t="s">
        <v>502</v>
      </c>
      <c r="F476" s="551" t="s">
        <v>946</v>
      </c>
      <c r="G476" s="649" t="s">
        <v>1326</v>
      </c>
      <c r="H476" s="647" t="str">
        <f t="shared" si="70"/>
        <v>trappenhuis</v>
      </c>
      <c r="I476" s="719" t="s">
        <v>1402</v>
      </c>
      <c r="J476" s="623">
        <v>9.6</v>
      </c>
      <c r="K476" s="623"/>
      <c r="L476" s="559">
        <v>9153</v>
      </c>
      <c r="M476" s="557">
        <f t="shared" si="74"/>
        <v>109</v>
      </c>
      <c r="N476" s="453"/>
      <c r="O476" s="557">
        <f t="shared" si="75"/>
        <v>153</v>
      </c>
      <c r="P476" s="633">
        <v>1</v>
      </c>
      <c r="Q476" s="776">
        <f t="shared" si="76"/>
        <v>0</v>
      </c>
      <c r="R476" s="776">
        <f t="shared" si="77"/>
        <v>0</v>
      </c>
      <c r="S476" s="552">
        <f t="shared" si="78"/>
        <v>0</v>
      </c>
      <c r="T476" s="626">
        <f t="shared" si="71"/>
        <v>0</v>
      </c>
      <c r="U476" s="626">
        <f t="shared" si="72"/>
        <v>0</v>
      </c>
      <c r="V476" s="553">
        <f t="shared" si="73"/>
        <v>0</v>
      </c>
      <c r="W476" s="554" t="str">
        <f t="shared" si="79"/>
        <v>V</v>
      </c>
      <c r="X476" s="555"/>
      <c r="Y476" s="631">
        <f>IF(Q476=0,0,(Q476+R476)*'1.0-Contractblad'!$L$98)</f>
        <v>0</v>
      </c>
      <c r="Z476" s="632">
        <f ca="1">IF(J476=0,0,VLOOKUP(D476,'1.1a-Jaarprijzen'!$B$70:$P$124,14,FALSE)*(K476+J476))</f>
        <v>0</v>
      </c>
    </row>
    <row r="477" spans="1:26" hidden="1">
      <c r="A477" s="558"/>
      <c r="B477" s="548"/>
      <c r="C477" s="659">
        <v>3</v>
      </c>
      <c r="D477" s="549" t="s">
        <v>1478</v>
      </c>
      <c r="E477" s="550" t="s">
        <v>502</v>
      </c>
      <c r="F477" s="551" t="s">
        <v>947</v>
      </c>
      <c r="G477" s="649" t="s">
        <v>1327</v>
      </c>
      <c r="H477" s="647" t="str">
        <f t="shared" si="70"/>
        <v>sanitaire ruimte (toilet-/doucheruimte)</v>
      </c>
      <c r="I477" s="719" t="s">
        <v>84</v>
      </c>
      <c r="J477" s="623">
        <v>9.5</v>
      </c>
      <c r="K477" s="623"/>
      <c r="L477" s="559">
        <v>4255</v>
      </c>
      <c r="M477" s="557">
        <f t="shared" si="74"/>
        <v>104</v>
      </c>
      <c r="N477" s="453"/>
      <c r="O477" s="557">
        <f t="shared" si="75"/>
        <v>255</v>
      </c>
      <c r="P477" s="633">
        <v>1</v>
      </c>
      <c r="Q477" s="776">
        <f t="shared" si="76"/>
        <v>0</v>
      </c>
      <c r="R477" s="776">
        <f t="shared" si="77"/>
        <v>0</v>
      </c>
      <c r="S477" s="552">
        <f t="shared" si="78"/>
        <v>0</v>
      </c>
      <c r="T477" s="626">
        <f t="shared" si="71"/>
        <v>0</v>
      </c>
      <c r="U477" s="626">
        <f t="shared" si="72"/>
        <v>0</v>
      </c>
      <c r="V477" s="553">
        <f t="shared" si="73"/>
        <v>0</v>
      </c>
      <c r="W477" s="554" t="str">
        <f t="shared" si="79"/>
        <v>S</v>
      </c>
      <c r="X477" s="555"/>
      <c r="Y477" s="631">
        <f>IF(Q477=0,0,(Q477+R477)*'1.0-Contractblad'!$L$98)</f>
        <v>0</v>
      </c>
      <c r="Z477" s="632">
        <f ca="1">IF(J477=0,0,VLOOKUP(D477,'1.1a-Jaarprijzen'!$B$70:$P$124,14,FALSE)*(K477+J477))</f>
        <v>0</v>
      </c>
    </row>
    <row r="478" spans="1:26" hidden="1">
      <c r="A478" s="558"/>
      <c r="B478" s="548"/>
      <c r="C478" s="659">
        <v>3</v>
      </c>
      <c r="D478" s="549" t="s">
        <v>1478</v>
      </c>
      <c r="E478" s="550" t="s">
        <v>502</v>
      </c>
      <c r="F478" s="551" t="s">
        <v>948</v>
      </c>
      <c r="G478" s="649" t="s">
        <v>1329</v>
      </c>
      <c r="H478" s="647" t="str">
        <f t="shared" si="70"/>
        <v>administratieve -, personeels- en vergaderruimte</v>
      </c>
      <c r="I478" s="719" t="s">
        <v>76</v>
      </c>
      <c r="J478" s="623">
        <v>24</v>
      </c>
      <c r="K478" s="623"/>
      <c r="L478" s="651">
        <v>1153</v>
      </c>
      <c r="M478" s="557">
        <f t="shared" si="74"/>
        <v>101</v>
      </c>
      <c r="N478" s="453"/>
      <c r="O478" s="557">
        <f t="shared" si="75"/>
        <v>153</v>
      </c>
      <c r="P478" s="633">
        <v>1</v>
      </c>
      <c r="Q478" s="776">
        <f t="shared" si="76"/>
        <v>0</v>
      </c>
      <c r="R478" s="776">
        <f t="shared" si="77"/>
        <v>0</v>
      </c>
      <c r="S478" s="552">
        <f t="shared" si="78"/>
        <v>0</v>
      </c>
      <c r="T478" s="626">
        <f t="shared" si="71"/>
        <v>0</v>
      </c>
      <c r="U478" s="626">
        <f t="shared" si="72"/>
        <v>0</v>
      </c>
      <c r="V478" s="553">
        <f t="shared" si="73"/>
        <v>0</v>
      </c>
      <c r="W478" s="554" t="str">
        <f t="shared" si="79"/>
        <v>B</v>
      </c>
      <c r="X478" s="454"/>
      <c r="Y478" s="631">
        <f>IF(Q478=0,0,(Q478+R478)*'1.0-Contractblad'!$L$98)</f>
        <v>0</v>
      </c>
      <c r="Z478" s="632">
        <f ca="1">IF(J478=0,0,VLOOKUP(D478,'1.1a-Jaarprijzen'!$B$70:$P$124,14,FALSE)*(K478+J478))</f>
        <v>0</v>
      </c>
    </row>
    <row r="479" spans="1:26">
      <c r="A479" s="558"/>
      <c r="B479" s="548"/>
      <c r="C479" s="659">
        <v>3</v>
      </c>
      <c r="D479" s="549" t="s">
        <v>1478</v>
      </c>
      <c r="E479" s="550" t="s">
        <v>502</v>
      </c>
      <c r="F479" s="551" t="s">
        <v>949</v>
      </c>
      <c r="G479" s="649" t="s">
        <v>1330</v>
      </c>
      <c r="H479" s="647" t="str">
        <f t="shared" si="70"/>
        <v>aula, gemeenschappelijke ruimte, bibliotheek</v>
      </c>
      <c r="I479" s="719" t="s">
        <v>1405</v>
      </c>
      <c r="J479" s="623">
        <v>112.4</v>
      </c>
      <c r="K479" s="623"/>
      <c r="L479" s="559">
        <v>2153</v>
      </c>
      <c r="M479" s="557">
        <f t="shared" si="74"/>
        <v>102</v>
      </c>
      <c r="N479" s="453"/>
      <c r="O479" s="557">
        <f t="shared" si="75"/>
        <v>153</v>
      </c>
      <c r="P479" s="633">
        <v>1</v>
      </c>
      <c r="Q479" s="776">
        <f t="shared" si="76"/>
        <v>0</v>
      </c>
      <c r="R479" s="776">
        <f t="shared" si="77"/>
        <v>0</v>
      </c>
      <c r="S479" s="552">
        <f t="shared" si="78"/>
        <v>0</v>
      </c>
      <c r="T479" s="626">
        <f t="shared" si="71"/>
        <v>0</v>
      </c>
      <c r="U479" s="626">
        <f t="shared" si="72"/>
        <v>0</v>
      </c>
      <c r="V479" s="553">
        <f t="shared" si="73"/>
        <v>0</v>
      </c>
      <c r="W479" s="554" t="str">
        <f t="shared" si="79"/>
        <v>V</v>
      </c>
      <c r="X479" s="555"/>
      <c r="Y479" s="631">
        <f>IF(Q479=0,0,(Q479+R479)*'1.0-Contractblad'!$L$98)</f>
        <v>0</v>
      </c>
      <c r="Z479" s="632">
        <f ca="1">IF(J479=0,0,VLOOKUP(D479,'1.1a-Jaarprijzen'!$B$70:$P$124,14,FALSE)*(K479+J479))</f>
        <v>0</v>
      </c>
    </row>
    <row r="480" spans="1:26" hidden="1">
      <c r="A480" s="558"/>
      <c r="B480" s="548"/>
      <c r="C480" s="659">
        <v>3</v>
      </c>
      <c r="D480" s="549" t="s">
        <v>1478</v>
      </c>
      <c r="E480" s="550" t="s">
        <v>502</v>
      </c>
      <c r="F480" s="551" t="s">
        <v>950</v>
      </c>
      <c r="G480" s="649" t="s">
        <v>1452</v>
      </c>
      <c r="H480" s="647" t="str">
        <f t="shared" si="70"/>
        <v>Keuken</v>
      </c>
      <c r="I480" s="719" t="s">
        <v>84</v>
      </c>
      <c r="J480" s="623">
        <v>18.3</v>
      </c>
      <c r="K480" s="623"/>
      <c r="L480" s="559">
        <v>18255</v>
      </c>
      <c r="M480" s="557" t="str">
        <f t="shared" si="74"/>
        <v>nvt</v>
      </c>
      <c r="N480" s="453"/>
      <c r="O480" s="557">
        <f t="shared" si="75"/>
        <v>255</v>
      </c>
      <c r="P480" s="633">
        <v>1</v>
      </c>
      <c r="Q480" s="776">
        <f t="shared" si="76"/>
        <v>0</v>
      </c>
      <c r="R480" s="776">
        <f t="shared" si="77"/>
        <v>0</v>
      </c>
      <c r="S480" s="552">
        <f t="shared" si="78"/>
        <v>0</v>
      </c>
      <c r="T480" s="626">
        <f t="shared" si="71"/>
        <v>0</v>
      </c>
      <c r="U480" s="626">
        <f t="shared" si="72"/>
        <v>0</v>
      </c>
      <c r="V480" s="553">
        <f t="shared" si="73"/>
        <v>0</v>
      </c>
      <c r="W480" s="554" t="str">
        <f t="shared" si="79"/>
        <v>V</v>
      </c>
      <c r="X480" s="555"/>
      <c r="Y480" s="631">
        <f>IF(Q480=0,0,(Q480+R480)*'1.0-Contractblad'!$L$98)</f>
        <v>0</v>
      </c>
      <c r="Z480" s="632">
        <f ca="1">IF(J480=0,0,VLOOKUP(D480,'1.1a-Jaarprijzen'!$B$70:$P$124,14,FALSE)*(K480+J480))</f>
        <v>0</v>
      </c>
    </row>
    <row r="481" spans="1:26" hidden="1">
      <c r="A481" s="558"/>
      <c r="B481" s="548"/>
      <c r="C481" s="659">
        <v>3</v>
      </c>
      <c r="D481" s="549" t="s">
        <v>1478</v>
      </c>
      <c r="E481" s="550" t="s">
        <v>502</v>
      </c>
      <c r="F481" s="551" t="s">
        <v>951</v>
      </c>
      <c r="G481" s="649" t="s">
        <v>1332</v>
      </c>
      <c r="H481" s="647" t="str">
        <f t="shared" si="70"/>
        <v>Keuken</v>
      </c>
      <c r="I481" s="719" t="s">
        <v>84</v>
      </c>
      <c r="J481" s="623">
        <v>4.8</v>
      </c>
      <c r="K481" s="623"/>
      <c r="L481" s="559">
        <v>18153</v>
      </c>
      <c r="M481" s="557" t="str">
        <f t="shared" si="74"/>
        <v>nvt</v>
      </c>
      <c r="N481" s="453"/>
      <c r="O481" s="557">
        <f t="shared" si="75"/>
        <v>153</v>
      </c>
      <c r="P481" s="633">
        <v>1</v>
      </c>
      <c r="Q481" s="776">
        <f t="shared" si="76"/>
        <v>0</v>
      </c>
      <c r="R481" s="776">
        <f t="shared" si="77"/>
        <v>0</v>
      </c>
      <c r="S481" s="552">
        <f t="shared" si="78"/>
        <v>0</v>
      </c>
      <c r="T481" s="626">
        <f t="shared" si="71"/>
        <v>0</v>
      </c>
      <c r="U481" s="626">
        <f t="shared" si="72"/>
        <v>0</v>
      </c>
      <c r="V481" s="553">
        <f t="shared" si="73"/>
        <v>0</v>
      </c>
      <c r="W481" s="554" t="str">
        <f t="shared" si="79"/>
        <v>V</v>
      </c>
      <c r="X481" s="556"/>
      <c r="Y481" s="631">
        <f>IF(Q481=0,0,(Q481+R481)*'1.0-Contractblad'!$L$98)</f>
        <v>0</v>
      </c>
      <c r="Z481" s="632">
        <f ca="1">IF(J481=0,0,VLOOKUP(D481,'1.1a-Jaarprijzen'!$B$70:$P$124,14,FALSE)*(K481+J481))</f>
        <v>0</v>
      </c>
    </row>
    <row r="482" spans="1:26" hidden="1">
      <c r="A482" s="558"/>
      <c r="B482" s="548"/>
      <c r="C482" s="659">
        <v>3</v>
      </c>
      <c r="D482" s="549" t="s">
        <v>1478</v>
      </c>
      <c r="E482" s="550" t="s">
        <v>502</v>
      </c>
      <c r="F482" s="551" t="s">
        <v>952</v>
      </c>
      <c r="G482" s="649" t="s">
        <v>488</v>
      </c>
      <c r="H482" s="647" t="str">
        <f t="shared" si="70"/>
        <v>sanitaire ruimte (toilet-/doucheruimte)</v>
      </c>
      <c r="I482" s="719" t="s">
        <v>84</v>
      </c>
      <c r="J482" s="623">
        <v>1.4</v>
      </c>
      <c r="K482" s="623"/>
      <c r="L482" s="559">
        <v>4153</v>
      </c>
      <c r="M482" s="557">
        <f t="shared" si="74"/>
        <v>104</v>
      </c>
      <c r="N482" s="453"/>
      <c r="O482" s="557">
        <f t="shared" si="75"/>
        <v>153</v>
      </c>
      <c r="P482" s="633">
        <v>1</v>
      </c>
      <c r="Q482" s="776">
        <f t="shared" si="76"/>
        <v>0</v>
      </c>
      <c r="R482" s="776">
        <f t="shared" si="77"/>
        <v>0</v>
      </c>
      <c r="S482" s="552">
        <f t="shared" si="78"/>
        <v>0</v>
      </c>
      <c r="T482" s="626">
        <f t="shared" si="71"/>
        <v>0</v>
      </c>
      <c r="U482" s="626">
        <f t="shared" si="72"/>
        <v>0</v>
      </c>
      <c r="V482" s="553">
        <f t="shared" si="73"/>
        <v>0</v>
      </c>
      <c r="W482" s="554" t="str">
        <f t="shared" si="79"/>
        <v>S</v>
      </c>
      <c r="X482" s="555"/>
      <c r="Y482" s="631">
        <f>IF(Q482=0,0,(Q482+R482)*'1.0-Contractblad'!$L$98)</f>
        <v>0</v>
      </c>
      <c r="Z482" s="632">
        <f ca="1">IF(J482=0,0,VLOOKUP(D482,'1.1a-Jaarprijzen'!$B$70:$P$124,14,FALSE)*(K482+J482))</f>
        <v>0</v>
      </c>
    </row>
    <row r="483" spans="1:26" hidden="1">
      <c r="A483" s="558"/>
      <c r="B483" s="548"/>
      <c r="C483" s="659">
        <v>3</v>
      </c>
      <c r="D483" s="549" t="s">
        <v>1478</v>
      </c>
      <c r="E483" s="550" t="s">
        <v>502</v>
      </c>
      <c r="F483" s="551" t="s">
        <v>953</v>
      </c>
      <c r="G483" s="649" t="s">
        <v>488</v>
      </c>
      <c r="H483" s="647" t="str">
        <f t="shared" si="70"/>
        <v>sanitaire ruimte (toilet-/doucheruimte)</v>
      </c>
      <c r="I483" s="719" t="s">
        <v>84</v>
      </c>
      <c r="J483" s="623">
        <v>1.4</v>
      </c>
      <c r="K483" s="623"/>
      <c r="L483" s="559">
        <v>4153</v>
      </c>
      <c r="M483" s="557">
        <f t="shared" si="74"/>
        <v>104</v>
      </c>
      <c r="N483" s="453"/>
      <c r="O483" s="557">
        <f t="shared" si="75"/>
        <v>153</v>
      </c>
      <c r="P483" s="633">
        <v>1</v>
      </c>
      <c r="Q483" s="776">
        <f t="shared" si="76"/>
        <v>0</v>
      </c>
      <c r="R483" s="776">
        <f t="shared" si="77"/>
        <v>0</v>
      </c>
      <c r="S483" s="552">
        <f t="shared" si="78"/>
        <v>0</v>
      </c>
      <c r="T483" s="626">
        <f t="shared" si="71"/>
        <v>0</v>
      </c>
      <c r="U483" s="626">
        <f t="shared" si="72"/>
        <v>0</v>
      </c>
      <c r="V483" s="553">
        <f t="shared" si="73"/>
        <v>0</v>
      </c>
      <c r="W483" s="554" t="str">
        <f t="shared" si="79"/>
        <v>S</v>
      </c>
      <c r="X483" s="555"/>
      <c r="Y483" s="631">
        <f>IF(Q483=0,0,(Q483+R483)*'1.0-Contractblad'!$L$98)</f>
        <v>0</v>
      </c>
      <c r="Z483" s="632">
        <f ca="1">IF(J483=0,0,VLOOKUP(D483,'1.1a-Jaarprijzen'!$B$70:$P$124,14,FALSE)*(K483+J483))</f>
        <v>0</v>
      </c>
    </row>
    <row r="484" spans="1:26" hidden="1">
      <c r="A484" s="558"/>
      <c r="B484" s="548"/>
      <c r="C484" s="659">
        <v>3</v>
      </c>
      <c r="D484" s="549" t="s">
        <v>1478</v>
      </c>
      <c r="E484" s="550" t="s">
        <v>502</v>
      </c>
      <c r="F484" s="551" t="s">
        <v>954</v>
      </c>
      <c r="G484" s="649" t="s">
        <v>1291</v>
      </c>
      <c r="H484" s="647" t="str">
        <f t="shared" si="70"/>
        <v>entree, gang, hal, repro, kopieer, was/droogruimte</v>
      </c>
      <c r="I484" s="719" t="s">
        <v>106</v>
      </c>
      <c r="J484" s="623">
        <v>6.9</v>
      </c>
      <c r="K484" s="623"/>
      <c r="L484" s="651">
        <v>3153</v>
      </c>
      <c r="M484" s="557">
        <f t="shared" si="74"/>
        <v>103</v>
      </c>
      <c r="N484" s="453"/>
      <c r="O484" s="557">
        <f t="shared" si="75"/>
        <v>153</v>
      </c>
      <c r="P484" s="633">
        <v>1</v>
      </c>
      <c r="Q484" s="776">
        <f t="shared" si="76"/>
        <v>0</v>
      </c>
      <c r="R484" s="776">
        <f t="shared" si="77"/>
        <v>0</v>
      </c>
      <c r="S484" s="552">
        <f t="shared" si="78"/>
        <v>0</v>
      </c>
      <c r="T484" s="626">
        <f t="shared" si="71"/>
        <v>0</v>
      </c>
      <c r="U484" s="626">
        <f t="shared" si="72"/>
        <v>0</v>
      </c>
      <c r="V484" s="553">
        <f t="shared" si="73"/>
        <v>0</v>
      </c>
      <c r="W484" s="554" t="str">
        <f t="shared" si="79"/>
        <v>V</v>
      </c>
      <c r="X484" s="555"/>
      <c r="Y484" s="631">
        <f>IF(Q484=0,0,(Q484+R484)*'1.0-Contractblad'!$L$98)</f>
        <v>0</v>
      </c>
      <c r="Z484" s="632">
        <f ca="1">IF(J484=0,0,VLOOKUP(D484,'1.1a-Jaarprijzen'!$B$70:$P$124,14,FALSE)*(K484+J484))</f>
        <v>0</v>
      </c>
    </row>
    <row r="485" spans="1:26" hidden="1">
      <c r="A485" s="558"/>
      <c r="B485" s="548"/>
      <c r="C485" s="659">
        <v>3</v>
      </c>
      <c r="D485" s="549" t="s">
        <v>1478</v>
      </c>
      <c r="E485" s="550" t="s">
        <v>502</v>
      </c>
      <c r="F485" s="551" t="s">
        <v>955</v>
      </c>
      <c r="G485" s="649" t="s">
        <v>1336</v>
      </c>
      <c r="H485" s="647" t="str">
        <f t="shared" si="70"/>
        <v>sanitaire ruimte (toilet-/doucheruimte)</v>
      </c>
      <c r="I485" s="719" t="s">
        <v>84</v>
      </c>
      <c r="J485" s="623">
        <v>4.5999999999999996</v>
      </c>
      <c r="K485" s="623"/>
      <c r="L485" s="559">
        <v>4255</v>
      </c>
      <c r="M485" s="557">
        <f t="shared" si="74"/>
        <v>104</v>
      </c>
      <c r="N485" s="453"/>
      <c r="O485" s="557">
        <f t="shared" si="75"/>
        <v>255</v>
      </c>
      <c r="P485" s="633">
        <v>1</v>
      </c>
      <c r="Q485" s="776">
        <f t="shared" si="76"/>
        <v>0</v>
      </c>
      <c r="R485" s="776">
        <f t="shared" si="77"/>
        <v>0</v>
      </c>
      <c r="S485" s="552">
        <f t="shared" si="78"/>
        <v>0</v>
      </c>
      <c r="T485" s="626">
        <f t="shared" si="71"/>
        <v>0</v>
      </c>
      <c r="U485" s="626">
        <f t="shared" si="72"/>
        <v>0</v>
      </c>
      <c r="V485" s="553">
        <f t="shared" si="73"/>
        <v>0</v>
      </c>
      <c r="W485" s="554" t="str">
        <f t="shared" si="79"/>
        <v>S</v>
      </c>
      <c r="X485" s="555"/>
      <c r="Y485" s="631">
        <f>IF(Q485=0,0,(Q485+R485)*'1.0-Contractblad'!$L$98)</f>
        <v>0</v>
      </c>
      <c r="Z485" s="632">
        <f ca="1">IF(J485=0,0,VLOOKUP(D485,'1.1a-Jaarprijzen'!$B$70:$P$124,14,FALSE)*(K485+J485))</f>
        <v>0</v>
      </c>
    </row>
    <row r="486" spans="1:26" hidden="1">
      <c r="A486" s="558"/>
      <c r="B486" s="701"/>
      <c r="C486" s="659">
        <v>3</v>
      </c>
      <c r="D486" s="549" t="s">
        <v>1478</v>
      </c>
      <c r="E486" s="550" t="s">
        <v>502</v>
      </c>
      <c r="F486" s="551" t="s">
        <v>956</v>
      </c>
      <c r="G486" s="649" t="s">
        <v>1335</v>
      </c>
      <c r="H486" s="647" t="str">
        <f t="shared" si="70"/>
        <v>op afroep</v>
      </c>
      <c r="I486" s="719" t="s">
        <v>106</v>
      </c>
      <c r="J486" s="650">
        <v>10.1</v>
      </c>
      <c r="K486" s="650"/>
      <c r="L486" s="698" t="s">
        <v>1450</v>
      </c>
      <c r="M486" s="557">
        <f t="shared" si="74"/>
        <v>0</v>
      </c>
      <c r="N486" s="453"/>
      <c r="O486" s="557">
        <f t="shared" si="75"/>
        <v>0</v>
      </c>
      <c r="P486" s="633">
        <v>1</v>
      </c>
      <c r="Q486" s="776">
        <f t="shared" si="76"/>
        <v>0</v>
      </c>
      <c r="R486" s="776">
        <f t="shared" si="77"/>
        <v>0</v>
      </c>
      <c r="S486" s="552">
        <f t="shared" si="78"/>
        <v>0</v>
      </c>
      <c r="T486" s="626">
        <f t="shared" si="71"/>
        <v>0</v>
      </c>
      <c r="U486" s="626">
        <f t="shared" si="72"/>
        <v>0</v>
      </c>
      <c r="V486" s="553">
        <f t="shared" si="73"/>
        <v>0</v>
      </c>
      <c r="W486" s="554">
        <f t="shared" si="79"/>
        <v>0</v>
      </c>
      <c r="X486" s="555"/>
      <c r="Y486" s="631">
        <f>IF(Q486=0,0,(Q486+R486)*'1.0-Contractblad'!$L$98)</f>
        <v>0</v>
      </c>
      <c r="Z486" s="632">
        <f ca="1">IF(J486=0,0,VLOOKUP(D486,'1.1a-Jaarprijzen'!$B$70:$P$124,14,FALSE)*(K486+J486))</f>
        <v>0</v>
      </c>
    </row>
    <row r="487" spans="1:26" hidden="1">
      <c r="A487" s="558"/>
      <c r="B487" s="548"/>
      <c r="C487" s="659">
        <v>3</v>
      </c>
      <c r="D487" s="549" t="s">
        <v>1477</v>
      </c>
      <c r="E487" s="660" t="s">
        <v>478</v>
      </c>
      <c r="F487" s="551" t="s">
        <v>957</v>
      </c>
      <c r="G487" s="649" t="s">
        <v>487</v>
      </c>
      <c r="H487" s="647" t="str">
        <f t="shared" si="70"/>
        <v>entree, gang, hal, repro, kopieer, was/droogruimte</v>
      </c>
      <c r="I487" s="719" t="s">
        <v>106</v>
      </c>
      <c r="J487" s="623">
        <v>39.5</v>
      </c>
      <c r="K487" s="623"/>
      <c r="L487" s="651">
        <v>3153</v>
      </c>
      <c r="M487" s="557">
        <f t="shared" si="74"/>
        <v>103</v>
      </c>
      <c r="N487" s="453"/>
      <c r="O487" s="557">
        <f t="shared" si="75"/>
        <v>153</v>
      </c>
      <c r="P487" s="633">
        <v>1</v>
      </c>
      <c r="Q487" s="776">
        <f t="shared" si="76"/>
        <v>0</v>
      </c>
      <c r="R487" s="776">
        <f t="shared" si="77"/>
        <v>0</v>
      </c>
      <c r="S487" s="552">
        <f t="shared" si="78"/>
        <v>0</v>
      </c>
      <c r="T487" s="626">
        <f t="shared" si="71"/>
        <v>0</v>
      </c>
      <c r="U487" s="626">
        <f t="shared" si="72"/>
        <v>0</v>
      </c>
      <c r="V487" s="553">
        <f t="shared" si="73"/>
        <v>0</v>
      </c>
      <c r="W487" s="554" t="str">
        <f t="shared" si="79"/>
        <v>V</v>
      </c>
      <c r="X487" s="555"/>
      <c r="Y487" s="631">
        <f>IF(Q487=0,0,(Q487+R487)*'1.0-Contractblad'!$L$98)</f>
        <v>0</v>
      </c>
      <c r="Z487" s="632">
        <f ca="1">IF(J487=0,0,VLOOKUP(D487,'1.1a-Jaarprijzen'!$B$70:$P$124,14,FALSE)*(K487+J487))</f>
        <v>0</v>
      </c>
    </row>
    <row r="488" spans="1:26" hidden="1">
      <c r="A488" s="558"/>
      <c r="B488" s="548"/>
      <c r="C488" s="659">
        <v>3</v>
      </c>
      <c r="D488" s="549" t="s">
        <v>1477</v>
      </c>
      <c r="E488" s="660" t="s">
        <v>478</v>
      </c>
      <c r="F488" s="551" t="s">
        <v>958</v>
      </c>
      <c r="G488" s="649" t="s">
        <v>1326</v>
      </c>
      <c r="H488" s="647" t="str">
        <f t="shared" si="70"/>
        <v>trappenhuis</v>
      </c>
      <c r="I488" s="719" t="s">
        <v>1402</v>
      </c>
      <c r="J488" s="623">
        <v>10.6</v>
      </c>
      <c r="K488" s="623"/>
      <c r="L488" s="559">
        <v>9153</v>
      </c>
      <c r="M488" s="557">
        <f t="shared" si="74"/>
        <v>109</v>
      </c>
      <c r="N488" s="453"/>
      <c r="O488" s="557">
        <f t="shared" si="75"/>
        <v>153</v>
      </c>
      <c r="P488" s="633">
        <v>1</v>
      </c>
      <c r="Q488" s="776">
        <f t="shared" si="76"/>
        <v>0</v>
      </c>
      <c r="R488" s="776">
        <f t="shared" si="77"/>
        <v>0</v>
      </c>
      <c r="S488" s="552">
        <f t="shared" si="78"/>
        <v>0</v>
      </c>
      <c r="T488" s="626">
        <f t="shared" si="71"/>
        <v>0</v>
      </c>
      <c r="U488" s="626">
        <f t="shared" si="72"/>
        <v>0</v>
      </c>
      <c r="V488" s="553">
        <f t="shared" si="73"/>
        <v>0</v>
      </c>
      <c r="W488" s="554" t="str">
        <f t="shared" si="79"/>
        <v>V</v>
      </c>
      <c r="X488" s="555"/>
      <c r="Y488" s="631">
        <f>IF(Q488=0,0,(Q488+R488)*'1.0-Contractblad'!$L$98)</f>
        <v>0</v>
      </c>
      <c r="Z488" s="632">
        <f ca="1">IF(J488=0,0,VLOOKUP(D488,'1.1a-Jaarprijzen'!$B$70:$P$124,14,FALSE)*(K488+J488))</f>
        <v>0</v>
      </c>
    </row>
    <row r="489" spans="1:26" hidden="1">
      <c r="A489" s="558"/>
      <c r="B489" s="548"/>
      <c r="C489" s="659">
        <v>3</v>
      </c>
      <c r="D489" s="549" t="s">
        <v>1477</v>
      </c>
      <c r="E489" s="660" t="s">
        <v>478</v>
      </c>
      <c r="F489" s="551" t="s">
        <v>959</v>
      </c>
      <c r="G489" s="649" t="s">
        <v>487</v>
      </c>
      <c r="H489" s="647" t="str">
        <f t="shared" si="70"/>
        <v>entree, gang, hal, repro, kopieer, was/droogruimte</v>
      </c>
      <c r="I489" s="719" t="s">
        <v>106</v>
      </c>
      <c r="J489" s="623">
        <v>6</v>
      </c>
      <c r="K489" s="623"/>
      <c r="L489" s="651">
        <v>3153</v>
      </c>
      <c r="M489" s="557">
        <f t="shared" si="74"/>
        <v>103</v>
      </c>
      <c r="N489" s="453"/>
      <c r="O489" s="557">
        <f t="shared" si="75"/>
        <v>153</v>
      </c>
      <c r="P489" s="633">
        <v>1</v>
      </c>
      <c r="Q489" s="776">
        <f t="shared" si="76"/>
        <v>0</v>
      </c>
      <c r="R489" s="776">
        <f t="shared" si="77"/>
        <v>0</v>
      </c>
      <c r="S489" s="552">
        <f t="shared" si="78"/>
        <v>0</v>
      </c>
      <c r="T489" s="626">
        <f t="shared" si="71"/>
        <v>0</v>
      </c>
      <c r="U489" s="626">
        <f t="shared" si="72"/>
        <v>0</v>
      </c>
      <c r="V489" s="553">
        <f t="shared" si="73"/>
        <v>0</v>
      </c>
      <c r="W489" s="554" t="str">
        <f t="shared" si="79"/>
        <v>V</v>
      </c>
      <c r="X489" s="555"/>
      <c r="Y489" s="631">
        <f>IF(Q489=0,0,(Q489+R489)*'1.0-Contractblad'!$L$98)</f>
        <v>0</v>
      </c>
      <c r="Z489" s="632">
        <f ca="1">IF(J489=0,0,VLOOKUP(D489,'1.1a-Jaarprijzen'!$B$70:$P$124,14,FALSE)*(K489+J489))</f>
        <v>0</v>
      </c>
    </row>
    <row r="490" spans="1:26" hidden="1">
      <c r="A490" s="558"/>
      <c r="B490" s="548"/>
      <c r="C490" s="659">
        <v>3</v>
      </c>
      <c r="D490" s="549" t="s">
        <v>1477</v>
      </c>
      <c r="E490" s="660" t="s">
        <v>478</v>
      </c>
      <c r="F490" s="551" t="s">
        <v>960</v>
      </c>
      <c r="G490" s="649" t="s">
        <v>493</v>
      </c>
      <c r="H490" s="647" t="str">
        <f t="shared" si="70"/>
        <v>administratieve -, personeels- en vergaderruimte</v>
      </c>
      <c r="I490" s="719" t="s">
        <v>76</v>
      </c>
      <c r="J490" s="623">
        <v>15.7</v>
      </c>
      <c r="K490" s="623"/>
      <c r="L490" s="651">
        <v>1102</v>
      </c>
      <c r="M490" s="557">
        <f t="shared" si="74"/>
        <v>101</v>
      </c>
      <c r="N490" s="453"/>
      <c r="O490" s="557">
        <f t="shared" si="75"/>
        <v>102</v>
      </c>
      <c r="P490" s="633">
        <v>1</v>
      </c>
      <c r="Q490" s="776">
        <f t="shared" si="76"/>
        <v>0</v>
      </c>
      <c r="R490" s="776">
        <f t="shared" si="77"/>
        <v>0</v>
      </c>
      <c r="S490" s="552">
        <f t="shared" si="78"/>
        <v>0</v>
      </c>
      <c r="T490" s="626">
        <f t="shared" si="71"/>
        <v>0</v>
      </c>
      <c r="U490" s="626">
        <f t="shared" si="72"/>
        <v>0</v>
      </c>
      <c r="V490" s="553">
        <f t="shared" si="73"/>
        <v>0</v>
      </c>
      <c r="W490" s="554" t="str">
        <f t="shared" si="79"/>
        <v>B</v>
      </c>
      <c r="X490" s="555"/>
      <c r="Y490" s="631">
        <f>IF(Q490=0,0,(Q490+R490)*'1.0-Contractblad'!$L$98)</f>
        <v>0</v>
      </c>
      <c r="Z490" s="632">
        <f ca="1">IF(J490=0,0,VLOOKUP(D490,'1.1a-Jaarprijzen'!$B$70:$P$124,14,FALSE)*(K490+J490))</f>
        <v>0</v>
      </c>
    </row>
    <row r="491" spans="1:26" hidden="1">
      <c r="A491" s="558"/>
      <c r="B491" s="548"/>
      <c r="C491" s="659">
        <v>3</v>
      </c>
      <c r="D491" s="549" t="s">
        <v>1477</v>
      </c>
      <c r="E491" s="660" t="s">
        <v>478</v>
      </c>
      <c r="F491" s="551" t="s">
        <v>961</v>
      </c>
      <c r="G491" s="649" t="s">
        <v>498</v>
      </c>
      <c r="H491" s="647" t="str">
        <f t="shared" si="70"/>
        <v>administratieve -, personeels- en vergaderruimte</v>
      </c>
      <c r="I491" s="719" t="s">
        <v>76</v>
      </c>
      <c r="J491" s="623">
        <v>23.3</v>
      </c>
      <c r="K491" s="623"/>
      <c r="L491" s="651">
        <v>1153</v>
      </c>
      <c r="M491" s="557">
        <f t="shared" si="74"/>
        <v>101</v>
      </c>
      <c r="N491" s="453"/>
      <c r="O491" s="557">
        <f t="shared" si="75"/>
        <v>153</v>
      </c>
      <c r="P491" s="633">
        <v>1</v>
      </c>
      <c r="Q491" s="776">
        <f t="shared" si="76"/>
        <v>0</v>
      </c>
      <c r="R491" s="776">
        <f t="shared" si="77"/>
        <v>0</v>
      </c>
      <c r="S491" s="552">
        <f t="shared" si="78"/>
        <v>0</v>
      </c>
      <c r="T491" s="626">
        <f t="shared" si="71"/>
        <v>0</v>
      </c>
      <c r="U491" s="626">
        <f t="shared" si="72"/>
        <v>0</v>
      </c>
      <c r="V491" s="553">
        <f t="shared" si="73"/>
        <v>0</v>
      </c>
      <c r="W491" s="554" t="str">
        <f t="shared" si="79"/>
        <v>B</v>
      </c>
      <c r="X491" s="454"/>
      <c r="Y491" s="631">
        <f>IF(Q491=0,0,(Q491+R491)*'1.0-Contractblad'!$L$98)</f>
        <v>0</v>
      </c>
      <c r="Z491" s="632">
        <f ca="1">IF(J491=0,0,VLOOKUP(D491,'1.1a-Jaarprijzen'!$B$70:$P$124,14,FALSE)*(K491+J491))</f>
        <v>0</v>
      </c>
    </row>
    <row r="492" spans="1:26" hidden="1">
      <c r="A492" s="558"/>
      <c r="B492" s="548"/>
      <c r="C492" s="659">
        <v>3</v>
      </c>
      <c r="D492" s="549" t="s">
        <v>1477</v>
      </c>
      <c r="E492" s="660" t="s">
        <v>478</v>
      </c>
      <c r="F492" s="551" t="s">
        <v>962</v>
      </c>
      <c r="G492" s="649" t="s">
        <v>489</v>
      </c>
      <c r="H492" s="647" t="str">
        <f t="shared" si="70"/>
        <v>sanitaire ruimte (toilet-/doucheruimte)</v>
      </c>
      <c r="I492" s="719" t="s">
        <v>84</v>
      </c>
      <c r="J492" s="623">
        <v>2.1</v>
      </c>
      <c r="K492" s="623"/>
      <c r="L492" s="559">
        <v>4255</v>
      </c>
      <c r="M492" s="557">
        <f t="shared" si="74"/>
        <v>104</v>
      </c>
      <c r="N492" s="453"/>
      <c r="O492" s="557">
        <f t="shared" si="75"/>
        <v>255</v>
      </c>
      <c r="P492" s="633">
        <v>1</v>
      </c>
      <c r="Q492" s="776">
        <f t="shared" si="76"/>
        <v>0</v>
      </c>
      <c r="R492" s="776">
        <f t="shared" si="77"/>
        <v>0</v>
      </c>
      <c r="S492" s="552">
        <f t="shared" si="78"/>
        <v>0</v>
      </c>
      <c r="T492" s="626">
        <f t="shared" si="71"/>
        <v>0</v>
      </c>
      <c r="U492" s="626">
        <f t="shared" si="72"/>
        <v>0</v>
      </c>
      <c r="V492" s="553">
        <f t="shared" si="73"/>
        <v>0</v>
      </c>
      <c r="W492" s="554" t="str">
        <f t="shared" si="79"/>
        <v>S</v>
      </c>
      <c r="X492" s="555"/>
      <c r="Y492" s="631">
        <f>IF(Q492=0,0,(Q492+R492)*'1.0-Contractblad'!$L$98)</f>
        <v>0</v>
      </c>
      <c r="Z492" s="632">
        <f ca="1">IF(J492=0,0,VLOOKUP(D492,'1.1a-Jaarprijzen'!$B$70:$P$124,14,FALSE)*(K492+J492))</f>
        <v>0</v>
      </c>
    </row>
    <row r="493" spans="1:26" hidden="1">
      <c r="A493" s="558"/>
      <c r="B493" s="548"/>
      <c r="C493" s="659">
        <v>3</v>
      </c>
      <c r="D493" s="549" t="s">
        <v>1477</v>
      </c>
      <c r="E493" s="660" t="s">
        <v>478</v>
      </c>
      <c r="F493" s="551" t="s">
        <v>963</v>
      </c>
      <c r="G493" s="649" t="s">
        <v>489</v>
      </c>
      <c r="H493" s="647" t="str">
        <f t="shared" si="70"/>
        <v>sanitaire ruimte (toilet-/doucheruimte)</v>
      </c>
      <c r="I493" s="719" t="s">
        <v>84</v>
      </c>
      <c r="J493" s="623">
        <v>2.1</v>
      </c>
      <c r="K493" s="623"/>
      <c r="L493" s="559">
        <v>4255</v>
      </c>
      <c r="M493" s="557">
        <f t="shared" si="74"/>
        <v>104</v>
      </c>
      <c r="N493" s="453"/>
      <c r="O493" s="557">
        <f t="shared" si="75"/>
        <v>255</v>
      </c>
      <c r="P493" s="633">
        <v>1</v>
      </c>
      <c r="Q493" s="776">
        <f t="shared" si="76"/>
        <v>0</v>
      </c>
      <c r="R493" s="776">
        <f t="shared" si="77"/>
        <v>0</v>
      </c>
      <c r="S493" s="552">
        <f t="shared" si="78"/>
        <v>0</v>
      </c>
      <c r="T493" s="626">
        <f t="shared" si="71"/>
        <v>0</v>
      </c>
      <c r="U493" s="626">
        <f t="shared" si="72"/>
        <v>0</v>
      </c>
      <c r="V493" s="553">
        <f t="shared" si="73"/>
        <v>0</v>
      </c>
      <c r="W493" s="554" t="str">
        <f t="shared" si="79"/>
        <v>S</v>
      </c>
      <c r="X493" s="555"/>
      <c r="Y493" s="631">
        <f>IF(Q493=0,0,(Q493+R493)*'1.0-Contractblad'!$L$98)</f>
        <v>0</v>
      </c>
      <c r="Z493" s="632">
        <f ca="1">IF(J493=0,0,VLOOKUP(D493,'1.1a-Jaarprijzen'!$B$70:$P$124,14,FALSE)*(K493+J493))</f>
        <v>0</v>
      </c>
    </row>
    <row r="494" spans="1:26" hidden="1">
      <c r="A494" s="558"/>
      <c r="B494" s="548"/>
      <c r="C494" s="659">
        <v>3</v>
      </c>
      <c r="D494" s="549" t="s">
        <v>1477</v>
      </c>
      <c r="E494" s="660" t="s">
        <v>478</v>
      </c>
      <c r="F494" s="551" t="s">
        <v>964</v>
      </c>
      <c r="G494" s="649" t="s">
        <v>489</v>
      </c>
      <c r="H494" s="647" t="str">
        <f t="shared" si="70"/>
        <v>sanitaire ruimte (toilet-/doucheruimte)</v>
      </c>
      <c r="I494" s="719" t="s">
        <v>84</v>
      </c>
      <c r="J494" s="623">
        <v>2.1</v>
      </c>
      <c r="K494" s="623"/>
      <c r="L494" s="559">
        <v>4255</v>
      </c>
      <c r="M494" s="557">
        <f t="shared" si="74"/>
        <v>104</v>
      </c>
      <c r="N494" s="453"/>
      <c r="O494" s="557">
        <f t="shared" si="75"/>
        <v>255</v>
      </c>
      <c r="P494" s="633">
        <v>1</v>
      </c>
      <c r="Q494" s="776">
        <f t="shared" si="76"/>
        <v>0</v>
      </c>
      <c r="R494" s="776">
        <f t="shared" si="77"/>
        <v>0</v>
      </c>
      <c r="S494" s="552">
        <f t="shared" si="78"/>
        <v>0</v>
      </c>
      <c r="T494" s="626">
        <f t="shared" si="71"/>
        <v>0</v>
      </c>
      <c r="U494" s="626">
        <f t="shared" si="72"/>
        <v>0</v>
      </c>
      <c r="V494" s="553">
        <f t="shared" si="73"/>
        <v>0</v>
      </c>
      <c r="W494" s="554" t="str">
        <f t="shared" si="79"/>
        <v>S</v>
      </c>
      <c r="X494" s="555"/>
      <c r="Y494" s="631">
        <f>IF(Q494=0,0,(Q494+R494)*'1.0-Contractblad'!$L$98)</f>
        <v>0</v>
      </c>
      <c r="Z494" s="632">
        <f ca="1">IF(J494=0,0,VLOOKUP(D494,'1.1a-Jaarprijzen'!$B$70:$P$124,14,FALSE)*(K494+J494))</f>
        <v>0</v>
      </c>
    </row>
    <row r="495" spans="1:26" hidden="1">
      <c r="A495" s="558"/>
      <c r="B495" s="548"/>
      <c r="C495" s="659">
        <v>3</v>
      </c>
      <c r="D495" s="549" t="s">
        <v>1477</v>
      </c>
      <c r="E495" s="660" t="s">
        <v>478</v>
      </c>
      <c r="F495" s="551" t="s">
        <v>965</v>
      </c>
      <c r="G495" s="649" t="s">
        <v>1337</v>
      </c>
      <c r="H495" s="647" t="str">
        <f t="shared" si="70"/>
        <v>entree, gang, hal, repro, kopieer, was/droogruimte</v>
      </c>
      <c r="I495" s="719" t="s">
        <v>106</v>
      </c>
      <c r="J495" s="623">
        <v>4</v>
      </c>
      <c r="K495" s="623"/>
      <c r="L495" s="651">
        <v>3153</v>
      </c>
      <c r="M495" s="557">
        <f t="shared" si="74"/>
        <v>103</v>
      </c>
      <c r="N495" s="453"/>
      <c r="O495" s="557">
        <f t="shared" si="75"/>
        <v>153</v>
      </c>
      <c r="P495" s="633">
        <v>1</v>
      </c>
      <c r="Q495" s="776">
        <f t="shared" si="76"/>
        <v>0</v>
      </c>
      <c r="R495" s="776">
        <f t="shared" si="77"/>
        <v>0</v>
      </c>
      <c r="S495" s="552">
        <f t="shared" si="78"/>
        <v>0</v>
      </c>
      <c r="T495" s="626">
        <f t="shared" si="71"/>
        <v>0</v>
      </c>
      <c r="U495" s="626">
        <f t="shared" si="72"/>
        <v>0</v>
      </c>
      <c r="V495" s="553">
        <f t="shared" si="73"/>
        <v>0</v>
      </c>
      <c r="W495" s="554" t="str">
        <f t="shared" si="79"/>
        <v>V</v>
      </c>
      <c r="X495" s="555"/>
      <c r="Y495" s="631">
        <f>IF(Q495=0,0,(Q495+R495)*'1.0-Contractblad'!$L$98)</f>
        <v>0</v>
      </c>
      <c r="Z495" s="632">
        <f ca="1">IF(J495=0,0,VLOOKUP(D495,'1.1a-Jaarprijzen'!$B$70:$P$124,14,FALSE)*(K495+J495))</f>
        <v>0</v>
      </c>
    </row>
    <row r="496" spans="1:26" hidden="1">
      <c r="A496" s="558"/>
      <c r="B496" s="548"/>
      <c r="C496" s="659">
        <v>3</v>
      </c>
      <c r="D496" s="549" t="s">
        <v>1478</v>
      </c>
      <c r="E496" s="660" t="s">
        <v>478</v>
      </c>
      <c r="F496" s="551" t="s">
        <v>966</v>
      </c>
      <c r="G496" s="649" t="s">
        <v>1338</v>
      </c>
      <c r="H496" s="647" t="str">
        <f t="shared" si="70"/>
        <v>entree, gang, hal, repro, kopieer, was/droogruimte</v>
      </c>
      <c r="I496" s="719" t="s">
        <v>106</v>
      </c>
      <c r="J496" s="623">
        <v>39.5</v>
      </c>
      <c r="K496" s="623"/>
      <c r="L496" s="651">
        <v>3153</v>
      </c>
      <c r="M496" s="557">
        <f t="shared" si="74"/>
        <v>103</v>
      </c>
      <c r="N496" s="453"/>
      <c r="O496" s="557">
        <f t="shared" si="75"/>
        <v>153</v>
      </c>
      <c r="P496" s="633">
        <v>1</v>
      </c>
      <c r="Q496" s="776">
        <f t="shared" si="76"/>
        <v>0</v>
      </c>
      <c r="R496" s="776">
        <f t="shared" si="77"/>
        <v>0</v>
      </c>
      <c r="S496" s="552">
        <f t="shared" si="78"/>
        <v>0</v>
      </c>
      <c r="T496" s="626">
        <f t="shared" si="71"/>
        <v>0</v>
      </c>
      <c r="U496" s="626">
        <f t="shared" si="72"/>
        <v>0</v>
      </c>
      <c r="V496" s="553">
        <f t="shared" si="73"/>
        <v>0</v>
      </c>
      <c r="W496" s="554" t="str">
        <f t="shared" si="79"/>
        <v>V</v>
      </c>
      <c r="X496" s="555"/>
      <c r="Y496" s="631">
        <f>IF(Q496=0,0,(Q496+R496)*'1.0-Contractblad'!$L$98)</f>
        <v>0</v>
      </c>
      <c r="Z496" s="632">
        <f ca="1">IF(J496=0,0,VLOOKUP(D496,'1.1a-Jaarprijzen'!$B$70:$P$124,14,FALSE)*(K496+J496))</f>
        <v>0</v>
      </c>
    </row>
    <row r="497" spans="1:26" hidden="1">
      <c r="A497" s="558"/>
      <c r="B497" s="548"/>
      <c r="C497" s="659">
        <v>3</v>
      </c>
      <c r="D497" s="549" t="s">
        <v>1478</v>
      </c>
      <c r="E497" s="660" t="s">
        <v>478</v>
      </c>
      <c r="F497" s="551" t="s">
        <v>967</v>
      </c>
      <c r="G497" s="649" t="s">
        <v>1326</v>
      </c>
      <c r="H497" s="647" t="str">
        <f t="shared" si="70"/>
        <v>trappenhuis</v>
      </c>
      <c r="I497" s="719" t="s">
        <v>1402</v>
      </c>
      <c r="J497" s="623">
        <v>10.6</v>
      </c>
      <c r="K497" s="623"/>
      <c r="L497" s="559">
        <v>9153</v>
      </c>
      <c r="M497" s="557">
        <f t="shared" si="74"/>
        <v>109</v>
      </c>
      <c r="N497" s="453"/>
      <c r="O497" s="557">
        <f t="shared" si="75"/>
        <v>153</v>
      </c>
      <c r="P497" s="633">
        <v>1</v>
      </c>
      <c r="Q497" s="776">
        <f t="shared" si="76"/>
        <v>0</v>
      </c>
      <c r="R497" s="776">
        <f t="shared" si="77"/>
        <v>0</v>
      </c>
      <c r="S497" s="552">
        <f t="shared" si="78"/>
        <v>0</v>
      </c>
      <c r="T497" s="626">
        <f t="shared" si="71"/>
        <v>0</v>
      </c>
      <c r="U497" s="626">
        <f t="shared" si="72"/>
        <v>0</v>
      </c>
      <c r="V497" s="553">
        <f t="shared" si="73"/>
        <v>0</v>
      </c>
      <c r="W497" s="554" t="str">
        <f t="shared" si="79"/>
        <v>V</v>
      </c>
      <c r="X497" s="555"/>
      <c r="Y497" s="631">
        <f>IF(Q497=0,0,(Q497+R497)*'1.0-Contractblad'!$L$98)</f>
        <v>0</v>
      </c>
      <c r="Z497" s="632">
        <f ca="1">IF(J497=0,0,VLOOKUP(D497,'1.1a-Jaarprijzen'!$B$70:$P$124,14,FALSE)*(K497+J497))</f>
        <v>0</v>
      </c>
    </row>
    <row r="498" spans="1:26" hidden="1">
      <c r="A498" s="558"/>
      <c r="B498" s="548"/>
      <c r="C498" s="659">
        <v>3</v>
      </c>
      <c r="D498" s="549" t="s">
        <v>1478</v>
      </c>
      <c r="E498" s="660" t="s">
        <v>478</v>
      </c>
      <c r="F498" s="551" t="s">
        <v>968</v>
      </c>
      <c r="G498" s="649" t="s">
        <v>487</v>
      </c>
      <c r="H498" s="647" t="str">
        <f t="shared" si="70"/>
        <v>entree, gang, hal, repro, kopieer, was/droogruimte</v>
      </c>
      <c r="I498" s="719" t="s">
        <v>106</v>
      </c>
      <c r="J498" s="623">
        <v>6</v>
      </c>
      <c r="K498" s="623"/>
      <c r="L498" s="651">
        <v>3153</v>
      </c>
      <c r="M498" s="557">
        <f t="shared" si="74"/>
        <v>103</v>
      </c>
      <c r="N498" s="453"/>
      <c r="O498" s="557">
        <f t="shared" si="75"/>
        <v>153</v>
      </c>
      <c r="P498" s="633">
        <v>1</v>
      </c>
      <c r="Q498" s="776">
        <f t="shared" si="76"/>
        <v>0</v>
      </c>
      <c r="R498" s="776">
        <f t="shared" si="77"/>
        <v>0</v>
      </c>
      <c r="S498" s="552">
        <f t="shared" si="78"/>
        <v>0</v>
      </c>
      <c r="T498" s="626">
        <f t="shared" si="71"/>
        <v>0</v>
      </c>
      <c r="U498" s="626">
        <f t="shared" si="72"/>
        <v>0</v>
      </c>
      <c r="V498" s="553">
        <f t="shared" si="73"/>
        <v>0</v>
      </c>
      <c r="W498" s="554" t="str">
        <f t="shared" si="79"/>
        <v>V</v>
      </c>
      <c r="X498" s="555"/>
      <c r="Y498" s="631">
        <f>IF(Q498=0,0,(Q498+R498)*'1.0-Contractblad'!$L$98)</f>
        <v>0</v>
      </c>
      <c r="Z498" s="632">
        <f ca="1">IF(J498=0,0,VLOOKUP(D498,'1.1a-Jaarprijzen'!$B$70:$P$124,14,FALSE)*(K498+J498))</f>
        <v>0</v>
      </c>
    </row>
    <row r="499" spans="1:26" hidden="1">
      <c r="A499" s="558"/>
      <c r="B499" s="548"/>
      <c r="C499" s="659">
        <v>3</v>
      </c>
      <c r="D499" s="549" t="s">
        <v>1478</v>
      </c>
      <c r="E499" s="660" t="s">
        <v>478</v>
      </c>
      <c r="F499" s="551" t="s">
        <v>967</v>
      </c>
      <c r="G499" s="649" t="s">
        <v>493</v>
      </c>
      <c r="H499" s="647" t="str">
        <f t="shared" si="70"/>
        <v>administratieve -, personeels- en vergaderruimte</v>
      </c>
      <c r="I499" s="719" t="s">
        <v>76</v>
      </c>
      <c r="J499" s="623">
        <v>15.7</v>
      </c>
      <c r="K499" s="623"/>
      <c r="L499" s="651">
        <v>1102</v>
      </c>
      <c r="M499" s="557">
        <f t="shared" si="74"/>
        <v>101</v>
      </c>
      <c r="N499" s="453"/>
      <c r="O499" s="557">
        <f t="shared" si="75"/>
        <v>102</v>
      </c>
      <c r="P499" s="633">
        <v>1</v>
      </c>
      <c r="Q499" s="776">
        <f t="shared" si="76"/>
        <v>0</v>
      </c>
      <c r="R499" s="776">
        <f t="shared" si="77"/>
        <v>0</v>
      </c>
      <c r="S499" s="552">
        <f t="shared" si="78"/>
        <v>0</v>
      </c>
      <c r="T499" s="626">
        <f t="shared" si="71"/>
        <v>0</v>
      </c>
      <c r="U499" s="626">
        <f t="shared" si="72"/>
        <v>0</v>
      </c>
      <c r="V499" s="553">
        <f t="shared" si="73"/>
        <v>0</v>
      </c>
      <c r="W499" s="554" t="str">
        <f t="shared" si="79"/>
        <v>B</v>
      </c>
      <c r="X499" s="555"/>
      <c r="Y499" s="631">
        <f>IF(Q499=0,0,(Q499+R499)*'1.0-Contractblad'!$L$98)</f>
        <v>0</v>
      </c>
      <c r="Z499" s="632">
        <f ca="1">IF(J499=0,0,VLOOKUP(D499,'1.1a-Jaarprijzen'!$B$70:$P$124,14,FALSE)*(K499+J499))</f>
        <v>0</v>
      </c>
    </row>
    <row r="500" spans="1:26" hidden="1">
      <c r="A500" s="558"/>
      <c r="B500" s="548"/>
      <c r="C500" s="659">
        <v>3</v>
      </c>
      <c r="D500" s="549" t="s">
        <v>1478</v>
      </c>
      <c r="E500" s="660" t="s">
        <v>478</v>
      </c>
      <c r="F500" s="551" t="s">
        <v>969</v>
      </c>
      <c r="G500" s="649" t="s">
        <v>1339</v>
      </c>
      <c r="H500" s="647" t="str">
        <f t="shared" si="70"/>
        <v>administratieve -, personeels- en vergaderruimte</v>
      </c>
      <c r="I500" s="719" t="s">
        <v>76</v>
      </c>
      <c r="J500" s="623">
        <v>11.7</v>
      </c>
      <c r="K500" s="623"/>
      <c r="L500" s="651">
        <v>1153</v>
      </c>
      <c r="M500" s="557">
        <f t="shared" si="74"/>
        <v>101</v>
      </c>
      <c r="N500" s="453"/>
      <c r="O500" s="557">
        <f t="shared" si="75"/>
        <v>153</v>
      </c>
      <c r="P500" s="633">
        <v>1</v>
      </c>
      <c r="Q500" s="776">
        <f t="shared" si="76"/>
        <v>0</v>
      </c>
      <c r="R500" s="776">
        <f t="shared" si="77"/>
        <v>0</v>
      </c>
      <c r="S500" s="552">
        <f t="shared" si="78"/>
        <v>0</v>
      </c>
      <c r="T500" s="626">
        <f t="shared" si="71"/>
        <v>0</v>
      </c>
      <c r="U500" s="626">
        <f t="shared" si="72"/>
        <v>0</v>
      </c>
      <c r="V500" s="553">
        <f t="shared" si="73"/>
        <v>0</v>
      </c>
      <c r="W500" s="554" t="str">
        <f t="shared" si="79"/>
        <v>B</v>
      </c>
      <c r="X500" s="454"/>
      <c r="Y500" s="631">
        <f>IF(Q500=0,0,(Q500+R500)*'1.0-Contractblad'!$L$98)</f>
        <v>0</v>
      </c>
      <c r="Z500" s="632">
        <f ca="1">IF(J500=0,0,VLOOKUP(D500,'1.1a-Jaarprijzen'!$B$70:$P$124,14,FALSE)*(K500+J500))</f>
        <v>0</v>
      </c>
    </row>
    <row r="501" spans="1:26" hidden="1">
      <c r="A501" s="558"/>
      <c r="B501" s="548"/>
      <c r="C501" s="659">
        <v>3</v>
      </c>
      <c r="D501" s="549" t="s">
        <v>1478</v>
      </c>
      <c r="E501" s="660" t="s">
        <v>478</v>
      </c>
      <c r="F501" s="551" t="s">
        <v>970</v>
      </c>
      <c r="G501" s="649" t="s">
        <v>489</v>
      </c>
      <c r="H501" s="647" t="str">
        <f t="shared" si="70"/>
        <v>sanitaire ruimte (toilet-/doucheruimte)</v>
      </c>
      <c r="I501" s="719" t="s">
        <v>84</v>
      </c>
      <c r="J501" s="623">
        <v>2.1</v>
      </c>
      <c r="K501" s="623"/>
      <c r="L501" s="559">
        <v>4255</v>
      </c>
      <c r="M501" s="557">
        <f t="shared" si="74"/>
        <v>104</v>
      </c>
      <c r="N501" s="453"/>
      <c r="O501" s="557">
        <f t="shared" si="75"/>
        <v>255</v>
      </c>
      <c r="P501" s="633">
        <v>1</v>
      </c>
      <c r="Q501" s="776">
        <f t="shared" si="76"/>
        <v>0</v>
      </c>
      <c r="R501" s="776">
        <f t="shared" si="77"/>
        <v>0</v>
      </c>
      <c r="S501" s="552">
        <f t="shared" si="78"/>
        <v>0</v>
      </c>
      <c r="T501" s="626">
        <f t="shared" si="71"/>
        <v>0</v>
      </c>
      <c r="U501" s="626">
        <f t="shared" si="72"/>
        <v>0</v>
      </c>
      <c r="V501" s="553">
        <f t="shared" si="73"/>
        <v>0</v>
      </c>
      <c r="W501" s="554" t="str">
        <f t="shared" si="79"/>
        <v>S</v>
      </c>
      <c r="X501" s="555"/>
      <c r="Y501" s="631">
        <f>IF(Q501=0,0,(Q501+R501)*'1.0-Contractblad'!$L$98)</f>
        <v>0</v>
      </c>
      <c r="Z501" s="632">
        <f ca="1">IF(J501=0,0,VLOOKUP(D501,'1.1a-Jaarprijzen'!$B$70:$P$124,14,FALSE)*(K501+J501))</f>
        <v>0</v>
      </c>
    </row>
    <row r="502" spans="1:26" hidden="1">
      <c r="A502" s="558"/>
      <c r="B502" s="548"/>
      <c r="C502" s="659">
        <v>3</v>
      </c>
      <c r="D502" s="549" t="s">
        <v>1478</v>
      </c>
      <c r="E502" s="660" t="s">
        <v>478</v>
      </c>
      <c r="F502" s="551" t="s">
        <v>971</v>
      </c>
      <c r="G502" s="649" t="s">
        <v>489</v>
      </c>
      <c r="H502" s="647" t="str">
        <f t="shared" si="70"/>
        <v>sanitaire ruimte (toilet-/doucheruimte)</v>
      </c>
      <c r="I502" s="719" t="s">
        <v>84</v>
      </c>
      <c r="J502" s="623">
        <v>2.1</v>
      </c>
      <c r="K502" s="623"/>
      <c r="L502" s="559">
        <v>4255</v>
      </c>
      <c r="M502" s="557">
        <f t="shared" si="74"/>
        <v>104</v>
      </c>
      <c r="N502" s="453"/>
      <c r="O502" s="557">
        <f t="shared" si="75"/>
        <v>255</v>
      </c>
      <c r="P502" s="633">
        <v>1</v>
      </c>
      <c r="Q502" s="776">
        <f t="shared" si="76"/>
        <v>0</v>
      </c>
      <c r="R502" s="776">
        <f t="shared" si="77"/>
        <v>0</v>
      </c>
      <c r="S502" s="552">
        <f t="shared" si="78"/>
        <v>0</v>
      </c>
      <c r="T502" s="626">
        <f t="shared" si="71"/>
        <v>0</v>
      </c>
      <c r="U502" s="626">
        <f t="shared" si="72"/>
        <v>0</v>
      </c>
      <c r="V502" s="553">
        <f t="shared" si="73"/>
        <v>0</v>
      </c>
      <c r="W502" s="554" t="str">
        <f t="shared" si="79"/>
        <v>S</v>
      </c>
      <c r="X502" s="555"/>
      <c r="Y502" s="631">
        <f>IF(Q502=0,0,(Q502+R502)*'1.0-Contractblad'!$L$98)</f>
        <v>0</v>
      </c>
      <c r="Z502" s="632">
        <f ca="1">IF(J502=0,0,VLOOKUP(D502,'1.1a-Jaarprijzen'!$B$70:$P$124,14,FALSE)*(K502+J502))</f>
        <v>0</v>
      </c>
    </row>
    <row r="503" spans="1:26" hidden="1">
      <c r="A503" s="558"/>
      <c r="B503" s="548"/>
      <c r="C503" s="659">
        <v>3</v>
      </c>
      <c r="D503" s="549" t="s">
        <v>1478</v>
      </c>
      <c r="E503" s="660" t="s">
        <v>478</v>
      </c>
      <c r="F503" s="551" t="s">
        <v>972</v>
      </c>
      <c r="G503" s="649" t="s">
        <v>489</v>
      </c>
      <c r="H503" s="647" t="str">
        <f t="shared" si="70"/>
        <v>sanitaire ruimte (toilet-/doucheruimte)</v>
      </c>
      <c r="I503" s="719" t="s">
        <v>84</v>
      </c>
      <c r="J503" s="623">
        <v>2.1</v>
      </c>
      <c r="K503" s="623"/>
      <c r="L503" s="559">
        <v>4255</v>
      </c>
      <c r="M503" s="557">
        <f t="shared" si="74"/>
        <v>104</v>
      </c>
      <c r="N503" s="453"/>
      <c r="O503" s="557">
        <f t="shared" si="75"/>
        <v>255</v>
      </c>
      <c r="P503" s="633">
        <v>1</v>
      </c>
      <c r="Q503" s="776">
        <f t="shared" si="76"/>
        <v>0</v>
      </c>
      <c r="R503" s="776">
        <f t="shared" si="77"/>
        <v>0</v>
      </c>
      <c r="S503" s="552">
        <f t="shared" si="78"/>
        <v>0</v>
      </c>
      <c r="T503" s="626">
        <f t="shared" si="71"/>
        <v>0</v>
      </c>
      <c r="U503" s="626">
        <f t="shared" si="72"/>
        <v>0</v>
      </c>
      <c r="V503" s="553">
        <f t="shared" si="73"/>
        <v>0</v>
      </c>
      <c r="W503" s="554" t="str">
        <f t="shared" si="79"/>
        <v>S</v>
      </c>
      <c r="X503" s="555"/>
      <c r="Y503" s="631">
        <f>IF(Q503=0,0,(Q503+R503)*'1.0-Contractblad'!$L$98)</f>
        <v>0</v>
      </c>
      <c r="Z503" s="632">
        <f ca="1">IF(J503=0,0,VLOOKUP(D503,'1.1a-Jaarprijzen'!$B$70:$P$124,14,FALSE)*(K503+J503))</f>
        <v>0</v>
      </c>
    </row>
    <row r="504" spans="1:26" hidden="1">
      <c r="A504" s="558"/>
      <c r="B504" s="548"/>
      <c r="C504" s="659">
        <v>3</v>
      </c>
      <c r="D504" s="549" t="s">
        <v>1477</v>
      </c>
      <c r="E504" s="660" t="s">
        <v>478</v>
      </c>
      <c r="F504" s="551" t="s">
        <v>973</v>
      </c>
      <c r="G504" s="649" t="s">
        <v>1340</v>
      </c>
      <c r="H504" s="647" t="str">
        <f t="shared" si="70"/>
        <v>niet van toepassing</v>
      </c>
      <c r="I504" s="719"/>
      <c r="J504" s="623"/>
      <c r="K504" s="623"/>
      <c r="L504" s="668" t="s">
        <v>27</v>
      </c>
      <c r="M504" s="557">
        <f t="shared" si="74"/>
        <v>0</v>
      </c>
      <c r="N504" s="453"/>
      <c r="O504" s="557">
        <f t="shared" si="75"/>
        <v>0</v>
      </c>
      <c r="P504" s="633">
        <v>1</v>
      </c>
      <c r="Q504" s="776">
        <f t="shared" si="76"/>
        <v>0</v>
      </c>
      <c r="R504" s="776">
        <f t="shared" si="77"/>
        <v>0</v>
      </c>
      <c r="S504" s="552">
        <f t="shared" si="78"/>
        <v>0</v>
      </c>
      <c r="T504" s="626">
        <f t="shared" si="71"/>
        <v>0</v>
      </c>
      <c r="U504" s="626">
        <f t="shared" si="72"/>
        <v>0</v>
      </c>
      <c r="V504" s="553">
        <f t="shared" si="73"/>
        <v>0</v>
      </c>
      <c r="W504" s="554">
        <f t="shared" si="79"/>
        <v>0</v>
      </c>
      <c r="X504" s="454" t="s">
        <v>1454</v>
      </c>
      <c r="Y504" s="631">
        <f>IF(Q504=0,0,(Q504+R504)*'1.0-Contractblad'!$L$98)</f>
        <v>0</v>
      </c>
      <c r="Z504" s="632">
        <f>IF(J504=0,0,VLOOKUP(D504,'1.1a-Jaarprijzen'!$B$70:$P$124,14,FALSE)*(K504+J504))</f>
        <v>0</v>
      </c>
    </row>
    <row r="505" spans="1:26" hidden="1">
      <c r="A505" s="558"/>
      <c r="B505" s="548"/>
      <c r="C505" s="659">
        <v>3</v>
      </c>
      <c r="D505" s="549" t="s">
        <v>1477</v>
      </c>
      <c r="E505" s="660" t="s">
        <v>478</v>
      </c>
      <c r="F505" s="551" t="s">
        <v>974</v>
      </c>
      <c r="G505" s="649" t="s">
        <v>1341</v>
      </c>
      <c r="H505" s="647" t="str">
        <f t="shared" si="70"/>
        <v>niet van toepassing</v>
      </c>
      <c r="I505" s="719"/>
      <c r="J505" s="623"/>
      <c r="K505" s="623"/>
      <c r="L505" s="668" t="s">
        <v>27</v>
      </c>
      <c r="M505" s="557">
        <f t="shared" si="74"/>
        <v>0</v>
      </c>
      <c r="N505" s="453"/>
      <c r="O505" s="557">
        <f t="shared" si="75"/>
        <v>0</v>
      </c>
      <c r="P505" s="633">
        <v>1</v>
      </c>
      <c r="Q505" s="776">
        <f t="shared" si="76"/>
        <v>0</v>
      </c>
      <c r="R505" s="776">
        <f t="shared" si="77"/>
        <v>0</v>
      </c>
      <c r="S505" s="552">
        <f t="shared" si="78"/>
        <v>0</v>
      </c>
      <c r="T505" s="626">
        <f t="shared" si="71"/>
        <v>0</v>
      </c>
      <c r="U505" s="626">
        <f t="shared" si="72"/>
        <v>0</v>
      </c>
      <c r="V505" s="553">
        <f t="shared" si="73"/>
        <v>0</v>
      </c>
      <c r="W505" s="554">
        <f t="shared" si="79"/>
        <v>0</v>
      </c>
      <c r="X505" s="454" t="s">
        <v>1454</v>
      </c>
      <c r="Y505" s="631">
        <f>IF(Q505=0,0,(Q505+R505)*'1.0-Contractblad'!$L$98)</f>
        <v>0</v>
      </c>
      <c r="Z505" s="632">
        <f>IF(J505=0,0,VLOOKUP(D505,'1.1a-Jaarprijzen'!$B$70:$P$124,14,FALSE)*(K505+J505))</f>
        <v>0</v>
      </c>
    </row>
    <row r="506" spans="1:26" hidden="1">
      <c r="A506" s="558"/>
      <c r="B506" s="548"/>
      <c r="C506" s="659">
        <v>3</v>
      </c>
      <c r="D506" s="549" t="s">
        <v>1477</v>
      </c>
      <c r="E506" s="660" t="s">
        <v>478</v>
      </c>
      <c r="F506" s="551" t="s">
        <v>975</v>
      </c>
      <c r="G506" s="649" t="s">
        <v>1341</v>
      </c>
      <c r="H506" s="647" t="str">
        <f t="shared" si="70"/>
        <v>niet van toepassing</v>
      </c>
      <c r="I506" s="719"/>
      <c r="J506" s="623"/>
      <c r="K506" s="623"/>
      <c r="L506" s="668" t="s">
        <v>27</v>
      </c>
      <c r="M506" s="557">
        <f t="shared" si="74"/>
        <v>0</v>
      </c>
      <c r="N506" s="453"/>
      <c r="O506" s="557">
        <f t="shared" si="75"/>
        <v>0</v>
      </c>
      <c r="P506" s="633">
        <v>1</v>
      </c>
      <c r="Q506" s="776">
        <f t="shared" si="76"/>
        <v>0</v>
      </c>
      <c r="R506" s="776">
        <f t="shared" si="77"/>
        <v>0</v>
      </c>
      <c r="S506" s="552">
        <f t="shared" si="78"/>
        <v>0</v>
      </c>
      <c r="T506" s="626">
        <f t="shared" si="71"/>
        <v>0</v>
      </c>
      <c r="U506" s="626">
        <f t="shared" si="72"/>
        <v>0</v>
      </c>
      <c r="V506" s="553">
        <f t="shared" si="73"/>
        <v>0</v>
      </c>
      <c r="W506" s="554">
        <f t="shared" si="79"/>
        <v>0</v>
      </c>
      <c r="X506" s="454" t="s">
        <v>1454</v>
      </c>
      <c r="Y506" s="631">
        <f>IF(Q506=0,0,(Q506+R506)*'1.0-Contractblad'!$L$98)</f>
        <v>0</v>
      </c>
      <c r="Z506" s="632">
        <f>IF(J506=0,0,VLOOKUP(D506,'1.1a-Jaarprijzen'!$B$70:$P$124,14,FALSE)*(K506+J506))</f>
        <v>0</v>
      </c>
    </row>
    <row r="507" spans="1:26" hidden="1">
      <c r="A507" s="558"/>
      <c r="B507" s="548"/>
      <c r="C507" s="659">
        <v>3</v>
      </c>
      <c r="D507" s="549" t="s">
        <v>1477</v>
      </c>
      <c r="E507" s="660" t="s">
        <v>478</v>
      </c>
      <c r="F507" s="551" t="s">
        <v>976</v>
      </c>
      <c r="G507" s="649" t="s">
        <v>1341</v>
      </c>
      <c r="H507" s="647" t="str">
        <f t="shared" si="70"/>
        <v>niet van toepassing</v>
      </c>
      <c r="I507" s="719"/>
      <c r="J507" s="623"/>
      <c r="K507" s="623"/>
      <c r="L507" s="668" t="s">
        <v>27</v>
      </c>
      <c r="M507" s="557">
        <f t="shared" si="74"/>
        <v>0</v>
      </c>
      <c r="N507" s="453"/>
      <c r="O507" s="557">
        <f t="shared" si="75"/>
        <v>0</v>
      </c>
      <c r="P507" s="633">
        <v>1</v>
      </c>
      <c r="Q507" s="776">
        <f t="shared" si="76"/>
        <v>0</v>
      </c>
      <c r="R507" s="776">
        <f t="shared" si="77"/>
        <v>0</v>
      </c>
      <c r="S507" s="552">
        <f t="shared" si="78"/>
        <v>0</v>
      </c>
      <c r="T507" s="626">
        <f t="shared" si="71"/>
        <v>0</v>
      </c>
      <c r="U507" s="626">
        <f t="shared" si="72"/>
        <v>0</v>
      </c>
      <c r="V507" s="553">
        <f t="shared" si="73"/>
        <v>0</v>
      </c>
      <c r="W507" s="554">
        <f t="shared" si="79"/>
        <v>0</v>
      </c>
      <c r="X507" s="454" t="s">
        <v>1454</v>
      </c>
      <c r="Y507" s="631">
        <f>IF(Q507=0,0,(Q507+R507)*'1.0-Contractblad'!$L$98)</f>
        <v>0</v>
      </c>
      <c r="Z507" s="632">
        <f>IF(J507=0,0,VLOOKUP(D507,'1.1a-Jaarprijzen'!$B$70:$P$124,14,FALSE)*(K507+J507))</f>
        <v>0</v>
      </c>
    </row>
    <row r="508" spans="1:26" hidden="1">
      <c r="A508" s="558"/>
      <c r="B508" s="548"/>
      <c r="C508" s="659">
        <v>3</v>
      </c>
      <c r="D508" s="549" t="s">
        <v>1477</v>
      </c>
      <c r="E508" s="660" t="s">
        <v>478</v>
      </c>
      <c r="F508" s="551" t="s">
        <v>977</v>
      </c>
      <c r="G508" s="649" t="s">
        <v>1341</v>
      </c>
      <c r="H508" s="647" t="str">
        <f t="shared" si="70"/>
        <v>niet van toepassing</v>
      </c>
      <c r="I508" s="719"/>
      <c r="J508" s="623"/>
      <c r="K508" s="623"/>
      <c r="L508" s="668" t="s">
        <v>27</v>
      </c>
      <c r="M508" s="557">
        <f t="shared" si="74"/>
        <v>0</v>
      </c>
      <c r="N508" s="453"/>
      <c r="O508" s="557">
        <f t="shared" si="75"/>
        <v>0</v>
      </c>
      <c r="P508" s="633">
        <v>1</v>
      </c>
      <c r="Q508" s="776">
        <f t="shared" si="76"/>
        <v>0</v>
      </c>
      <c r="R508" s="776">
        <f t="shared" si="77"/>
        <v>0</v>
      </c>
      <c r="S508" s="552">
        <f t="shared" si="78"/>
        <v>0</v>
      </c>
      <c r="T508" s="626">
        <f t="shared" si="71"/>
        <v>0</v>
      </c>
      <c r="U508" s="626">
        <f t="shared" si="72"/>
        <v>0</v>
      </c>
      <c r="V508" s="553">
        <f t="shared" si="73"/>
        <v>0</v>
      </c>
      <c r="W508" s="554">
        <f t="shared" si="79"/>
        <v>0</v>
      </c>
      <c r="X508" s="454" t="s">
        <v>1454</v>
      </c>
      <c r="Y508" s="631">
        <f>IF(Q508=0,0,(Q508+R508)*'1.0-Contractblad'!$L$98)</f>
        <v>0</v>
      </c>
      <c r="Z508" s="632">
        <f>IF(J508=0,0,VLOOKUP(D508,'1.1a-Jaarprijzen'!$B$70:$P$124,14,FALSE)*(K508+J508))</f>
        <v>0</v>
      </c>
    </row>
    <row r="509" spans="1:26" hidden="1">
      <c r="A509" s="558"/>
      <c r="B509" s="548"/>
      <c r="C509" s="659">
        <v>3</v>
      </c>
      <c r="D509" s="549" t="s">
        <v>1477</v>
      </c>
      <c r="E509" s="660" t="s">
        <v>478</v>
      </c>
      <c r="F509" s="551" t="s">
        <v>978</v>
      </c>
      <c r="G509" s="649" t="s">
        <v>1341</v>
      </c>
      <c r="H509" s="647" t="str">
        <f t="shared" si="70"/>
        <v>niet van toepassing</v>
      </c>
      <c r="I509" s="719"/>
      <c r="J509" s="623"/>
      <c r="K509" s="623"/>
      <c r="L509" s="668" t="s">
        <v>27</v>
      </c>
      <c r="M509" s="557">
        <f t="shared" si="74"/>
        <v>0</v>
      </c>
      <c r="N509" s="453"/>
      <c r="O509" s="557">
        <f t="shared" si="75"/>
        <v>0</v>
      </c>
      <c r="P509" s="633">
        <v>1</v>
      </c>
      <c r="Q509" s="776">
        <f t="shared" si="76"/>
        <v>0</v>
      </c>
      <c r="R509" s="776">
        <f t="shared" si="77"/>
        <v>0</v>
      </c>
      <c r="S509" s="552">
        <f t="shared" si="78"/>
        <v>0</v>
      </c>
      <c r="T509" s="626">
        <f t="shared" si="71"/>
        <v>0</v>
      </c>
      <c r="U509" s="626">
        <f t="shared" si="72"/>
        <v>0</v>
      </c>
      <c r="V509" s="553">
        <f t="shared" si="73"/>
        <v>0</v>
      </c>
      <c r="W509" s="554">
        <f t="shared" si="79"/>
        <v>0</v>
      </c>
      <c r="X509" s="454" t="s">
        <v>1454</v>
      </c>
      <c r="Y509" s="631">
        <f>IF(Q509=0,0,(Q509+R509)*'1.0-Contractblad'!$L$98)</f>
        <v>0</v>
      </c>
      <c r="Z509" s="632">
        <f>IF(J509=0,0,VLOOKUP(D509,'1.1a-Jaarprijzen'!$B$70:$P$124,14,FALSE)*(K509+J509))</f>
        <v>0</v>
      </c>
    </row>
    <row r="510" spans="1:26" hidden="1">
      <c r="A510" s="558"/>
      <c r="B510" s="548"/>
      <c r="C510" s="659">
        <v>3</v>
      </c>
      <c r="D510" s="549" t="s">
        <v>1477</v>
      </c>
      <c r="E510" s="660" t="s">
        <v>478</v>
      </c>
      <c r="F510" s="551" t="s">
        <v>979</v>
      </c>
      <c r="G510" s="649" t="s">
        <v>1341</v>
      </c>
      <c r="H510" s="647" t="str">
        <f t="shared" si="70"/>
        <v>niet van toepassing</v>
      </c>
      <c r="I510" s="719"/>
      <c r="J510" s="623"/>
      <c r="K510" s="623"/>
      <c r="L510" s="668" t="s">
        <v>27</v>
      </c>
      <c r="M510" s="557">
        <f t="shared" si="74"/>
        <v>0</v>
      </c>
      <c r="N510" s="453"/>
      <c r="O510" s="557">
        <f t="shared" si="75"/>
        <v>0</v>
      </c>
      <c r="P510" s="633">
        <v>1</v>
      </c>
      <c r="Q510" s="776">
        <f t="shared" si="76"/>
        <v>0</v>
      </c>
      <c r="R510" s="776">
        <f t="shared" si="77"/>
        <v>0</v>
      </c>
      <c r="S510" s="552">
        <f t="shared" si="78"/>
        <v>0</v>
      </c>
      <c r="T510" s="626">
        <f t="shared" si="71"/>
        <v>0</v>
      </c>
      <c r="U510" s="626">
        <f t="shared" si="72"/>
        <v>0</v>
      </c>
      <c r="V510" s="553">
        <f t="shared" si="73"/>
        <v>0</v>
      </c>
      <c r="W510" s="554">
        <f t="shared" si="79"/>
        <v>0</v>
      </c>
      <c r="X510" s="454" t="s">
        <v>1454</v>
      </c>
      <c r="Y510" s="631">
        <f>IF(Q510=0,0,(Q510+R510)*'1.0-Contractblad'!$L$98)</f>
        <v>0</v>
      </c>
      <c r="Z510" s="632">
        <f>IF(J510=0,0,VLOOKUP(D510,'1.1a-Jaarprijzen'!$B$70:$P$124,14,FALSE)*(K510+J510))</f>
        <v>0</v>
      </c>
    </row>
    <row r="511" spans="1:26" hidden="1">
      <c r="A511" s="558"/>
      <c r="B511" s="548"/>
      <c r="C511" s="659">
        <v>3</v>
      </c>
      <c r="D511" s="549" t="s">
        <v>1477</v>
      </c>
      <c r="E511" s="660" t="s">
        <v>478</v>
      </c>
      <c r="F511" s="551" t="s">
        <v>980</v>
      </c>
      <c r="G511" s="649" t="s">
        <v>1341</v>
      </c>
      <c r="H511" s="647" t="str">
        <f t="shared" si="70"/>
        <v>niet van toepassing</v>
      </c>
      <c r="I511" s="719"/>
      <c r="J511" s="623"/>
      <c r="K511" s="623"/>
      <c r="L511" s="668" t="s">
        <v>27</v>
      </c>
      <c r="M511" s="557">
        <f t="shared" si="74"/>
        <v>0</v>
      </c>
      <c r="N511" s="453"/>
      <c r="O511" s="557">
        <f t="shared" si="75"/>
        <v>0</v>
      </c>
      <c r="P511" s="633">
        <v>1</v>
      </c>
      <c r="Q511" s="776">
        <f t="shared" si="76"/>
        <v>0</v>
      </c>
      <c r="R511" s="776">
        <f t="shared" si="77"/>
        <v>0</v>
      </c>
      <c r="S511" s="552">
        <f t="shared" si="78"/>
        <v>0</v>
      </c>
      <c r="T511" s="626">
        <f t="shared" si="71"/>
        <v>0</v>
      </c>
      <c r="U511" s="626">
        <f t="shared" si="72"/>
        <v>0</v>
      </c>
      <c r="V511" s="553">
        <f t="shared" si="73"/>
        <v>0</v>
      </c>
      <c r="W511" s="554">
        <f t="shared" si="79"/>
        <v>0</v>
      </c>
      <c r="X511" s="454" t="s">
        <v>1454</v>
      </c>
      <c r="Y511" s="631">
        <f>IF(Q511=0,0,(Q511+R511)*'1.0-Contractblad'!$L$98)</f>
        <v>0</v>
      </c>
      <c r="Z511" s="632">
        <f>IF(J511=0,0,VLOOKUP(D511,'1.1a-Jaarprijzen'!$B$70:$P$124,14,FALSE)*(K511+J511))</f>
        <v>0</v>
      </c>
    </row>
    <row r="512" spans="1:26" hidden="1">
      <c r="A512" s="558"/>
      <c r="B512" s="548"/>
      <c r="C512" s="659">
        <v>3</v>
      </c>
      <c r="D512" s="549" t="s">
        <v>1477</v>
      </c>
      <c r="E512" s="660" t="s">
        <v>478</v>
      </c>
      <c r="F512" s="551" t="s">
        <v>981</v>
      </c>
      <c r="G512" s="649" t="s">
        <v>1341</v>
      </c>
      <c r="H512" s="647" t="str">
        <f t="shared" si="70"/>
        <v>niet van toepassing</v>
      </c>
      <c r="I512" s="719"/>
      <c r="J512" s="623"/>
      <c r="K512" s="623"/>
      <c r="L512" s="668" t="s">
        <v>27</v>
      </c>
      <c r="M512" s="557">
        <f t="shared" si="74"/>
        <v>0</v>
      </c>
      <c r="N512" s="453"/>
      <c r="O512" s="557">
        <f t="shared" si="75"/>
        <v>0</v>
      </c>
      <c r="P512" s="633">
        <v>1</v>
      </c>
      <c r="Q512" s="776">
        <f t="shared" si="76"/>
        <v>0</v>
      </c>
      <c r="R512" s="776">
        <f t="shared" si="77"/>
        <v>0</v>
      </c>
      <c r="S512" s="552">
        <f t="shared" si="78"/>
        <v>0</v>
      </c>
      <c r="T512" s="626">
        <f t="shared" si="71"/>
        <v>0</v>
      </c>
      <c r="U512" s="626">
        <f t="shared" si="72"/>
        <v>0</v>
      </c>
      <c r="V512" s="553">
        <f t="shared" si="73"/>
        <v>0</v>
      </c>
      <c r="W512" s="554">
        <f t="shared" si="79"/>
        <v>0</v>
      </c>
      <c r="X512" s="454" t="s">
        <v>1454</v>
      </c>
      <c r="Y512" s="631">
        <f>IF(Q512=0,0,(Q512+R512)*'1.0-Contractblad'!$L$98)</f>
        <v>0</v>
      </c>
      <c r="Z512" s="632">
        <f>IF(J512=0,0,VLOOKUP(D512,'1.1a-Jaarprijzen'!$B$70:$P$124,14,FALSE)*(K512+J512))</f>
        <v>0</v>
      </c>
    </row>
    <row r="513" spans="1:26" hidden="1">
      <c r="A513" s="558"/>
      <c r="B513" s="548"/>
      <c r="C513" s="659">
        <v>3</v>
      </c>
      <c r="D513" s="549" t="s">
        <v>1477</v>
      </c>
      <c r="E513" s="660" t="s">
        <v>478</v>
      </c>
      <c r="F513" s="551" t="s">
        <v>982</v>
      </c>
      <c r="G513" s="649" t="s">
        <v>1341</v>
      </c>
      <c r="H513" s="647" t="str">
        <f t="shared" si="70"/>
        <v>niet van toepassing</v>
      </c>
      <c r="I513" s="719"/>
      <c r="J513" s="623"/>
      <c r="K513" s="623"/>
      <c r="L513" s="668" t="s">
        <v>27</v>
      </c>
      <c r="M513" s="557">
        <f t="shared" si="74"/>
        <v>0</v>
      </c>
      <c r="N513" s="453"/>
      <c r="O513" s="557">
        <f t="shared" si="75"/>
        <v>0</v>
      </c>
      <c r="P513" s="633">
        <v>1</v>
      </c>
      <c r="Q513" s="776">
        <f t="shared" si="76"/>
        <v>0</v>
      </c>
      <c r="R513" s="776">
        <f t="shared" si="77"/>
        <v>0</v>
      </c>
      <c r="S513" s="552">
        <f t="shared" si="78"/>
        <v>0</v>
      </c>
      <c r="T513" s="626">
        <f t="shared" si="71"/>
        <v>0</v>
      </c>
      <c r="U513" s="626">
        <f t="shared" si="72"/>
        <v>0</v>
      </c>
      <c r="V513" s="553">
        <f t="shared" si="73"/>
        <v>0</v>
      </c>
      <c r="W513" s="554">
        <f t="shared" si="79"/>
        <v>0</v>
      </c>
      <c r="X513" s="454" t="s">
        <v>1454</v>
      </c>
      <c r="Y513" s="631">
        <f>IF(Q513=0,0,(Q513+R513)*'1.0-Contractblad'!$L$98)</f>
        <v>0</v>
      </c>
      <c r="Z513" s="632">
        <f>IF(J513=0,0,VLOOKUP(D513,'1.1a-Jaarprijzen'!$B$70:$P$124,14,FALSE)*(K513+J513))</f>
        <v>0</v>
      </c>
    </row>
    <row r="514" spans="1:26" hidden="1">
      <c r="A514" s="558"/>
      <c r="B514" s="548"/>
      <c r="C514" s="659">
        <v>3</v>
      </c>
      <c r="D514" s="549" t="s">
        <v>1477</v>
      </c>
      <c r="E514" s="660" t="s">
        <v>478</v>
      </c>
      <c r="F514" s="551" t="s">
        <v>983</v>
      </c>
      <c r="G514" s="649" t="s">
        <v>1341</v>
      </c>
      <c r="H514" s="647" t="str">
        <f t="shared" si="70"/>
        <v>niet van toepassing</v>
      </c>
      <c r="I514" s="719"/>
      <c r="J514" s="623"/>
      <c r="K514" s="623"/>
      <c r="L514" s="668" t="s">
        <v>27</v>
      </c>
      <c r="M514" s="557">
        <f t="shared" si="74"/>
        <v>0</v>
      </c>
      <c r="N514" s="453"/>
      <c r="O514" s="557">
        <f t="shared" si="75"/>
        <v>0</v>
      </c>
      <c r="P514" s="633">
        <v>1</v>
      </c>
      <c r="Q514" s="776">
        <f t="shared" si="76"/>
        <v>0</v>
      </c>
      <c r="R514" s="776">
        <f t="shared" si="77"/>
        <v>0</v>
      </c>
      <c r="S514" s="552">
        <f t="shared" si="78"/>
        <v>0</v>
      </c>
      <c r="T514" s="626">
        <f t="shared" si="71"/>
        <v>0</v>
      </c>
      <c r="U514" s="626">
        <f t="shared" si="72"/>
        <v>0</v>
      </c>
      <c r="V514" s="553">
        <f t="shared" si="73"/>
        <v>0</v>
      </c>
      <c r="W514" s="554">
        <f t="shared" si="79"/>
        <v>0</v>
      </c>
      <c r="X514" s="454" t="s">
        <v>1454</v>
      </c>
      <c r="Y514" s="631">
        <f>IF(Q514=0,0,(Q514+R514)*'1.0-Contractblad'!$L$98)</f>
        <v>0</v>
      </c>
      <c r="Z514" s="632">
        <f>IF(J514=0,0,VLOOKUP(D514,'1.1a-Jaarprijzen'!$B$70:$P$124,14,FALSE)*(K514+J514))</f>
        <v>0</v>
      </c>
    </row>
    <row r="515" spans="1:26" hidden="1">
      <c r="A515" s="558"/>
      <c r="B515" s="548"/>
      <c r="C515" s="659">
        <v>3</v>
      </c>
      <c r="D515" s="549" t="s">
        <v>1477</v>
      </c>
      <c r="E515" s="660" t="s">
        <v>478</v>
      </c>
      <c r="F515" s="551" t="s">
        <v>984</v>
      </c>
      <c r="G515" s="649" t="s">
        <v>1342</v>
      </c>
      <c r="H515" s="647" t="str">
        <f t="shared" ref="H515:H578" si="80">IF(L515="","",VLOOKUP(L515,Kengetal,4,FALSE))</f>
        <v>niet van toepassing</v>
      </c>
      <c r="I515" s="719"/>
      <c r="J515" s="623"/>
      <c r="K515" s="623"/>
      <c r="L515" s="668" t="s">
        <v>27</v>
      </c>
      <c r="M515" s="557">
        <f t="shared" si="74"/>
        <v>0</v>
      </c>
      <c r="N515" s="453"/>
      <c r="O515" s="557">
        <f t="shared" si="75"/>
        <v>0</v>
      </c>
      <c r="P515" s="633">
        <v>1</v>
      </c>
      <c r="Q515" s="776">
        <f t="shared" si="76"/>
        <v>0</v>
      </c>
      <c r="R515" s="776">
        <f t="shared" si="77"/>
        <v>0</v>
      </c>
      <c r="S515" s="552">
        <f t="shared" si="78"/>
        <v>0</v>
      </c>
      <c r="T515" s="626">
        <f t="shared" si="71"/>
        <v>0</v>
      </c>
      <c r="U515" s="626">
        <f t="shared" si="72"/>
        <v>0</v>
      </c>
      <c r="V515" s="553">
        <f t="shared" si="73"/>
        <v>0</v>
      </c>
      <c r="W515" s="554">
        <f t="shared" si="79"/>
        <v>0</v>
      </c>
      <c r="X515" s="454" t="s">
        <v>1454</v>
      </c>
      <c r="Y515" s="631">
        <f>IF(Q515=0,0,(Q515+R515)*'1.0-Contractblad'!$L$98)</f>
        <v>0</v>
      </c>
      <c r="Z515" s="632">
        <f>IF(J515=0,0,VLOOKUP(D515,'1.1a-Jaarprijzen'!$B$70:$P$124,14,FALSE)*(K515+J515))</f>
        <v>0</v>
      </c>
    </row>
    <row r="516" spans="1:26" hidden="1">
      <c r="A516" s="558"/>
      <c r="B516" s="548"/>
      <c r="C516" s="659">
        <v>3</v>
      </c>
      <c r="D516" s="549" t="s">
        <v>1477</v>
      </c>
      <c r="E516" s="660" t="s">
        <v>478</v>
      </c>
      <c r="F516" s="551" t="s">
        <v>985</v>
      </c>
      <c r="G516" s="649" t="s">
        <v>1343</v>
      </c>
      <c r="H516" s="647" t="str">
        <f t="shared" si="80"/>
        <v>niet van toepassing</v>
      </c>
      <c r="I516" s="719"/>
      <c r="J516" s="623"/>
      <c r="K516" s="623"/>
      <c r="L516" s="668" t="s">
        <v>27</v>
      </c>
      <c r="M516" s="557">
        <f t="shared" si="74"/>
        <v>0</v>
      </c>
      <c r="N516" s="453"/>
      <c r="O516" s="557">
        <f t="shared" si="75"/>
        <v>0</v>
      </c>
      <c r="P516" s="633">
        <v>1</v>
      </c>
      <c r="Q516" s="776">
        <f t="shared" si="76"/>
        <v>0</v>
      </c>
      <c r="R516" s="776">
        <f t="shared" si="77"/>
        <v>0</v>
      </c>
      <c r="S516" s="552">
        <f t="shared" si="78"/>
        <v>0</v>
      </c>
      <c r="T516" s="626">
        <f t="shared" ref="T516:T579" si="81">VLOOKUP($L516,Kengetal,6,FALSE)</f>
        <v>0</v>
      </c>
      <c r="U516" s="626">
        <f t="shared" ref="U516:U579" si="82">VLOOKUP($L516,Kengetal,7,FALSE)</f>
        <v>0</v>
      </c>
      <c r="V516" s="553">
        <f t="shared" ref="V516:V579" si="83">VLOOKUP($N516,Kengetal,7,FALSE)</f>
        <v>0</v>
      </c>
      <c r="W516" s="554">
        <f t="shared" si="79"/>
        <v>0</v>
      </c>
      <c r="X516" s="454" t="s">
        <v>1454</v>
      </c>
      <c r="Y516" s="631">
        <f>IF(Q516=0,0,(Q516+R516)*'1.0-Contractblad'!$L$98)</f>
        <v>0</v>
      </c>
      <c r="Z516" s="632">
        <f>IF(J516=0,0,VLOOKUP(D516,'1.1a-Jaarprijzen'!$B$70:$P$124,14,FALSE)*(K516+J516))</f>
        <v>0</v>
      </c>
    </row>
    <row r="517" spans="1:26" hidden="1">
      <c r="A517" s="558"/>
      <c r="B517" s="548"/>
      <c r="C517" s="659">
        <v>3</v>
      </c>
      <c r="D517" s="549" t="s">
        <v>1477</v>
      </c>
      <c r="E517" s="550" t="s">
        <v>479</v>
      </c>
      <c r="F517" s="551" t="s">
        <v>965</v>
      </c>
      <c r="G517" s="649" t="s">
        <v>1337</v>
      </c>
      <c r="H517" s="647" t="str">
        <f t="shared" si="80"/>
        <v>entree, gang, hal, repro, kopieer, was/droogruimte</v>
      </c>
      <c r="I517" s="719" t="s">
        <v>106</v>
      </c>
      <c r="J517" s="623">
        <v>4.4000000000000004</v>
      </c>
      <c r="K517" s="623"/>
      <c r="L517" s="651">
        <v>3153</v>
      </c>
      <c r="M517" s="557">
        <f t="shared" ref="M517:M580" si="84">VLOOKUP(L517,Kengetal,2,FALSE)</f>
        <v>103</v>
      </c>
      <c r="N517" s="453"/>
      <c r="O517" s="557">
        <f t="shared" ref="O517:O580" si="85">VLOOKUP(L517,Kengetal,3,FALSE)</f>
        <v>153</v>
      </c>
      <c r="P517" s="633">
        <v>1</v>
      </c>
      <c r="Q517" s="776">
        <f t="shared" ref="Q517:Q580" si="86">T517*J517*P517</f>
        <v>0</v>
      </c>
      <c r="R517" s="776">
        <f t="shared" ref="R517:R580" si="87">U517*J517*P517</f>
        <v>0</v>
      </c>
      <c r="S517" s="552">
        <f t="shared" ref="S517:S580" si="88">V517*J517*P517</f>
        <v>0</v>
      </c>
      <c r="T517" s="626">
        <f t="shared" si="81"/>
        <v>0</v>
      </c>
      <c r="U517" s="626">
        <f t="shared" si="82"/>
        <v>0</v>
      </c>
      <c r="V517" s="553">
        <f t="shared" si="83"/>
        <v>0</v>
      </c>
      <c r="W517" s="554" t="str">
        <f t="shared" ref="W517:W580" si="89">IF(L517="","",VLOOKUP(L517,Kengetal,14,FALSE))</f>
        <v>V</v>
      </c>
      <c r="X517" s="555"/>
      <c r="Y517" s="631">
        <f>IF(Q517=0,0,(Q517+R517)*'1.0-Contractblad'!$L$98)</f>
        <v>0</v>
      </c>
      <c r="Z517" s="632">
        <f ca="1">IF(J517=0,0,VLOOKUP(D517,'1.1a-Jaarprijzen'!$B$70:$P$124,14,FALSE)*(K517+J517))</f>
        <v>0</v>
      </c>
    </row>
    <row r="518" spans="1:26" hidden="1">
      <c r="A518" s="558"/>
      <c r="B518" s="548"/>
      <c r="C518" s="659">
        <v>3</v>
      </c>
      <c r="D518" s="549" t="s">
        <v>1477</v>
      </c>
      <c r="E518" s="660" t="s">
        <v>478</v>
      </c>
      <c r="F518" s="551" t="s">
        <v>986</v>
      </c>
      <c r="G518" s="649" t="s">
        <v>1344</v>
      </c>
      <c r="H518" s="647" t="str">
        <f t="shared" si="80"/>
        <v>niet van toepassing</v>
      </c>
      <c r="I518" s="719"/>
      <c r="J518" s="623"/>
      <c r="K518" s="623"/>
      <c r="L518" s="668" t="s">
        <v>27</v>
      </c>
      <c r="M518" s="557">
        <f t="shared" si="84"/>
        <v>0</v>
      </c>
      <c r="N518" s="453"/>
      <c r="O518" s="557">
        <f t="shared" si="85"/>
        <v>0</v>
      </c>
      <c r="P518" s="633">
        <v>1</v>
      </c>
      <c r="Q518" s="776">
        <f t="shared" si="86"/>
        <v>0</v>
      </c>
      <c r="R518" s="776">
        <f t="shared" si="87"/>
        <v>0</v>
      </c>
      <c r="S518" s="552">
        <f t="shared" si="88"/>
        <v>0</v>
      </c>
      <c r="T518" s="626">
        <f t="shared" si="81"/>
        <v>0</v>
      </c>
      <c r="U518" s="626">
        <f t="shared" si="82"/>
        <v>0</v>
      </c>
      <c r="V518" s="553">
        <f t="shared" si="83"/>
        <v>0</v>
      </c>
      <c r="W518" s="554">
        <f t="shared" si="89"/>
        <v>0</v>
      </c>
      <c r="X518" s="454" t="s">
        <v>1454</v>
      </c>
      <c r="Y518" s="631">
        <f>IF(Q518=0,0,(Q518+R518)*'1.0-Contractblad'!$L$98)</f>
        <v>0</v>
      </c>
      <c r="Z518" s="632">
        <f>IF(J518=0,0,VLOOKUP(D518,'1.1a-Jaarprijzen'!$B$70:$P$124,14,FALSE)*(K518+J518))</f>
        <v>0</v>
      </c>
    </row>
    <row r="519" spans="1:26" hidden="1">
      <c r="A519" s="558"/>
      <c r="B519" s="548"/>
      <c r="C519" s="659">
        <v>3</v>
      </c>
      <c r="D519" s="549" t="s">
        <v>1477</v>
      </c>
      <c r="E519" s="660" t="s">
        <v>478</v>
      </c>
      <c r="F519" s="551" t="s">
        <v>987</v>
      </c>
      <c r="G519" s="649" t="s">
        <v>1341</v>
      </c>
      <c r="H519" s="647" t="str">
        <f t="shared" si="80"/>
        <v>niet van toepassing</v>
      </c>
      <c r="I519" s="719"/>
      <c r="J519" s="623"/>
      <c r="K519" s="623"/>
      <c r="L519" s="668" t="s">
        <v>27</v>
      </c>
      <c r="M519" s="557">
        <f t="shared" si="84"/>
        <v>0</v>
      </c>
      <c r="N519" s="453"/>
      <c r="O519" s="557">
        <f t="shared" si="85"/>
        <v>0</v>
      </c>
      <c r="P519" s="633">
        <v>1</v>
      </c>
      <c r="Q519" s="776">
        <f t="shared" si="86"/>
        <v>0</v>
      </c>
      <c r="R519" s="776">
        <f t="shared" si="87"/>
        <v>0</v>
      </c>
      <c r="S519" s="552">
        <f t="shared" si="88"/>
        <v>0</v>
      </c>
      <c r="T519" s="626">
        <f t="shared" si="81"/>
        <v>0</v>
      </c>
      <c r="U519" s="626">
        <f t="shared" si="82"/>
        <v>0</v>
      </c>
      <c r="V519" s="553">
        <f t="shared" si="83"/>
        <v>0</v>
      </c>
      <c r="W519" s="554">
        <f t="shared" si="89"/>
        <v>0</v>
      </c>
      <c r="X519" s="454" t="s">
        <v>1454</v>
      </c>
      <c r="Y519" s="631">
        <f>IF(Q519=0,0,(Q519+R519)*'1.0-Contractblad'!$L$98)</f>
        <v>0</v>
      </c>
      <c r="Z519" s="632">
        <f>IF(J519=0,0,VLOOKUP(D519,'1.1a-Jaarprijzen'!$B$70:$P$124,14,FALSE)*(K519+J519))</f>
        <v>0</v>
      </c>
    </row>
    <row r="520" spans="1:26" hidden="1">
      <c r="A520" s="558"/>
      <c r="B520" s="548"/>
      <c r="C520" s="659">
        <v>3</v>
      </c>
      <c r="D520" s="549" t="s">
        <v>1477</v>
      </c>
      <c r="E520" s="660" t="s">
        <v>478</v>
      </c>
      <c r="F520" s="551" t="s">
        <v>988</v>
      </c>
      <c r="G520" s="649" t="s">
        <v>1341</v>
      </c>
      <c r="H520" s="647" t="str">
        <f t="shared" si="80"/>
        <v>niet van toepassing</v>
      </c>
      <c r="I520" s="719"/>
      <c r="J520" s="623"/>
      <c r="K520" s="623"/>
      <c r="L520" s="668" t="s">
        <v>27</v>
      </c>
      <c r="M520" s="557">
        <f t="shared" si="84"/>
        <v>0</v>
      </c>
      <c r="N520" s="453"/>
      <c r="O520" s="557">
        <f t="shared" si="85"/>
        <v>0</v>
      </c>
      <c r="P520" s="633">
        <v>1</v>
      </c>
      <c r="Q520" s="776">
        <f t="shared" si="86"/>
        <v>0</v>
      </c>
      <c r="R520" s="776">
        <f t="shared" si="87"/>
        <v>0</v>
      </c>
      <c r="S520" s="552">
        <f t="shared" si="88"/>
        <v>0</v>
      </c>
      <c r="T520" s="626">
        <f t="shared" si="81"/>
        <v>0</v>
      </c>
      <c r="U520" s="626">
        <f t="shared" si="82"/>
        <v>0</v>
      </c>
      <c r="V520" s="553">
        <f t="shared" si="83"/>
        <v>0</v>
      </c>
      <c r="W520" s="554">
        <f t="shared" si="89"/>
        <v>0</v>
      </c>
      <c r="X520" s="454" t="s">
        <v>1454</v>
      </c>
      <c r="Y520" s="631">
        <f>IF(Q520=0,0,(Q520+R520)*'1.0-Contractblad'!$L$98)</f>
        <v>0</v>
      </c>
      <c r="Z520" s="632">
        <f>IF(J520=0,0,VLOOKUP(D520,'1.1a-Jaarprijzen'!$B$70:$P$124,14,FALSE)*(K520+J520))</f>
        <v>0</v>
      </c>
    </row>
    <row r="521" spans="1:26" hidden="1">
      <c r="A521" s="558"/>
      <c r="B521" s="548"/>
      <c r="C521" s="659">
        <v>3</v>
      </c>
      <c r="D521" s="549" t="s">
        <v>1477</v>
      </c>
      <c r="E521" s="660" t="s">
        <v>478</v>
      </c>
      <c r="F521" s="551" t="s">
        <v>989</v>
      </c>
      <c r="G521" s="649" t="s">
        <v>1341</v>
      </c>
      <c r="H521" s="647" t="str">
        <f t="shared" si="80"/>
        <v>niet van toepassing</v>
      </c>
      <c r="I521" s="719"/>
      <c r="J521" s="623"/>
      <c r="K521" s="623"/>
      <c r="L521" s="668" t="s">
        <v>27</v>
      </c>
      <c r="M521" s="557">
        <f t="shared" si="84"/>
        <v>0</v>
      </c>
      <c r="N521" s="453"/>
      <c r="O521" s="557">
        <f t="shared" si="85"/>
        <v>0</v>
      </c>
      <c r="P521" s="633">
        <v>1</v>
      </c>
      <c r="Q521" s="776">
        <f t="shared" si="86"/>
        <v>0</v>
      </c>
      <c r="R521" s="776">
        <f t="shared" si="87"/>
        <v>0</v>
      </c>
      <c r="S521" s="552">
        <f t="shared" si="88"/>
        <v>0</v>
      </c>
      <c r="T521" s="626">
        <f t="shared" si="81"/>
        <v>0</v>
      </c>
      <c r="U521" s="626">
        <f t="shared" si="82"/>
        <v>0</v>
      </c>
      <c r="V521" s="553">
        <f t="shared" si="83"/>
        <v>0</v>
      </c>
      <c r="W521" s="554">
        <f t="shared" si="89"/>
        <v>0</v>
      </c>
      <c r="X521" s="454" t="s">
        <v>1454</v>
      </c>
      <c r="Y521" s="631">
        <f>IF(Q521=0,0,(Q521+R521)*'1.0-Contractblad'!$L$98)</f>
        <v>0</v>
      </c>
      <c r="Z521" s="632">
        <f>IF(J521=0,0,VLOOKUP(D521,'1.1a-Jaarprijzen'!$B$70:$P$124,14,FALSE)*(K521+J521))</f>
        <v>0</v>
      </c>
    </row>
    <row r="522" spans="1:26" hidden="1">
      <c r="A522" s="558"/>
      <c r="B522" s="548"/>
      <c r="C522" s="659">
        <v>3</v>
      </c>
      <c r="D522" s="549" t="s">
        <v>1477</v>
      </c>
      <c r="E522" s="660" t="s">
        <v>478</v>
      </c>
      <c r="F522" s="551" t="s">
        <v>990</v>
      </c>
      <c r="G522" s="649" t="s">
        <v>1341</v>
      </c>
      <c r="H522" s="647" t="str">
        <f t="shared" si="80"/>
        <v>niet van toepassing</v>
      </c>
      <c r="I522" s="719"/>
      <c r="J522" s="623"/>
      <c r="K522" s="623"/>
      <c r="L522" s="668" t="s">
        <v>27</v>
      </c>
      <c r="M522" s="557">
        <f t="shared" si="84"/>
        <v>0</v>
      </c>
      <c r="N522" s="453"/>
      <c r="O522" s="557">
        <f t="shared" si="85"/>
        <v>0</v>
      </c>
      <c r="P522" s="633">
        <v>1</v>
      </c>
      <c r="Q522" s="776">
        <f t="shared" si="86"/>
        <v>0</v>
      </c>
      <c r="R522" s="776">
        <f t="shared" si="87"/>
        <v>0</v>
      </c>
      <c r="S522" s="552">
        <f t="shared" si="88"/>
        <v>0</v>
      </c>
      <c r="T522" s="626">
        <f t="shared" si="81"/>
        <v>0</v>
      </c>
      <c r="U522" s="626">
        <f t="shared" si="82"/>
        <v>0</v>
      </c>
      <c r="V522" s="553">
        <f t="shared" si="83"/>
        <v>0</v>
      </c>
      <c r="W522" s="554">
        <f t="shared" si="89"/>
        <v>0</v>
      </c>
      <c r="X522" s="454" t="s">
        <v>1454</v>
      </c>
      <c r="Y522" s="631">
        <f>IF(Q522=0,0,(Q522+R522)*'1.0-Contractblad'!$L$98)</f>
        <v>0</v>
      </c>
      <c r="Z522" s="632">
        <f>IF(J522=0,0,VLOOKUP(D522,'1.1a-Jaarprijzen'!$B$70:$P$124,14,FALSE)*(K522+J522))</f>
        <v>0</v>
      </c>
    </row>
    <row r="523" spans="1:26" hidden="1">
      <c r="A523" s="558"/>
      <c r="B523" s="548"/>
      <c r="C523" s="659">
        <v>3</v>
      </c>
      <c r="D523" s="549" t="s">
        <v>1477</v>
      </c>
      <c r="E523" s="660" t="s">
        <v>478</v>
      </c>
      <c r="F523" s="551" t="s">
        <v>991</v>
      </c>
      <c r="G523" s="649" t="s">
        <v>1341</v>
      </c>
      <c r="H523" s="647" t="str">
        <f t="shared" si="80"/>
        <v>niet van toepassing</v>
      </c>
      <c r="I523" s="719"/>
      <c r="J523" s="623"/>
      <c r="K523" s="623"/>
      <c r="L523" s="668" t="s">
        <v>27</v>
      </c>
      <c r="M523" s="557">
        <f t="shared" si="84"/>
        <v>0</v>
      </c>
      <c r="N523" s="453"/>
      <c r="O523" s="557">
        <f t="shared" si="85"/>
        <v>0</v>
      </c>
      <c r="P523" s="633">
        <v>1</v>
      </c>
      <c r="Q523" s="776">
        <f t="shared" si="86"/>
        <v>0</v>
      </c>
      <c r="R523" s="776">
        <f t="shared" si="87"/>
        <v>0</v>
      </c>
      <c r="S523" s="552">
        <f t="shared" si="88"/>
        <v>0</v>
      </c>
      <c r="T523" s="626">
        <f t="shared" si="81"/>
        <v>0</v>
      </c>
      <c r="U523" s="626">
        <f t="shared" si="82"/>
        <v>0</v>
      </c>
      <c r="V523" s="553">
        <f t="shared" si="83"/>
        <v>0</v>
      </c>
      <c r="W523" s="554">
        <f t="shared" si="89"/>
        <v>0</v>
      </c>
      <c r="X523" s="454" t="s">
        <v>1454</v>
      </c>
      <c r="Y523" s="631">
        <f>IF(Q523=0,0,(Q523+R523)*'1.0-Contractblad'!$L$98)</f>
        <v>0</v>
      </c>
      <c r="Z523" s="632">
        <f>IF(J523=0,0,VLOOKUP(D523,'1.1a-Jaarprijzen'!$B$70:$P$124,14,FALSE)*(K523+J523))</f>
        <v>0</v>
      </c>
    </row>
    <row r="524" spans="1:26" hidden="1">
      <c r="A524" s="558"/>
      <c r="B524" s="548"/>
      <c r="C524" s="659">
        <v>3</v>
      </c>
      <c r="D524" s="549" t="s">
        <v>1477</v>
      </c>
      <c r="E524" s="660" t="s">
        <v>478</v>
      </c>
      <c r="F524" s="551" t="s">
        <v>992</v>
      </c>
      <c r="G524" s="649" t="s">
        <v>1341</v>
      </c>
      <c r="H524" s="647" t="str">
        <f t="shared" si="80"/>
        <v>niet van toepassing</v>
      </c>
      <c r="I524" s="719"/>
      <c r="J524" s="623"/>
      <c r="K524" s="623"/>
      <c r="L524" s="668" t="s">
        <v>27</v>
      </c>
      <c r="M524" s="557">
        <f t="shared" si="84"/>
        <v>0</v>
      </c>
      <c r="N524" s="453"/>
      <c r="O524" s="557">
        <f t="shared" si="85"/>
        <v>0</v>
      </c>
      <c r="P524" s="633">
        <v>1</v>
      </c>
      <c r="Q524" s="776">
        <f t="shared" si="86"/>
        <v>0</v>
      </c>
      <c r="R524" s="776">
        <f t="shared" si="87"/>
        <v>0</v>
      </c>
      <c r="S524" s="552">
        <f t="shared" si="88"/>
        <v>0</v>
      </c>
      <c r="T524" s="626">
        <f t="shared" si="81"/>
        <v>0</v>
      </c>
      <c r="U524" s="626">
        <f t="shared" si="82"/>
        <v>0</v>
      </c>
      <c r="V524" s="553">
        <f t="shared" si="83"/>
        <v>0</v>
      </c>
      <c r="W524" s="554">
        <f t="shared" si="89"/>
        <v>0</v>
      </c>
      <c r="X524" s="454" t="s">
        <v>1454</v>
      </c>
      <c r="Y524" s="631">
        <f>IF(Q524=0,0,(Q524+R524)*'1.0-Contractblad'!$L$98)</f>
        <v>0</v>
      </c>
      <c r="Z524" s="632">
        <f>IF(J524=0,0,VLOOKUP(D524,'1.1a-Jaarprijzen'!$B$70:$P$124,14,FALSE)*(K524+J524))</f>
        <v>0</v>
      </c>
    </row>
    <row r="525" spans="1:26" hidden="1">
      <c r="A525" s="558"/>
      <c r="B525" s="548"/>
      <c r="C525" s="659">
        <v>3</v>
      </c>
      <c r="D525" s="549" t="s">
        <v>1477</v>
      </c>
      <c r="E525" s="660" t="s">
        <v>478</v>
      </c>
      <c r="F525" s="551" t="s">
        <v>993</v>
      </c>
      <c r="G525" s="649" t="s">
        <v>1341</v>
      </c>
      <c r="H525" s="647" t="str">
        <f t="shared" si="80"/>
        <v>niet van toepassing</v>
      </c>
      <c r="I525" s="719"/>
      <c r="J525" s="623"/>
      <c r="K525" s="623"/>
      <c r="L525" s="668" t="s">
        <v>27</v>
      </c>
      <c r="M525" s="557">
        <f t="shared" si="84"/>
        <v>0</v>
      </c>
      <c r="N525" s="453"/>
      <c r="O525" s="557">
        <f t="shared" si="85"/>
        <v>0</v>
      </c>
      <c r="P525" s="633">
        <v>1</v>
      </c>
      <c r="Q525" s="776">
        <f t="shared" si="86"/>
        <v>0</v>
      </c>
      <c r="R525" s="776">
        <f t="shared" si="87"/>
        <v>0</v>
      </c>
      <c r="S525" s="552">
        <f t="shared" si="88"/>
        <v>0</v>
      </c>
      <c r="T525" s="626">
        <f t="shared" si="81"/>
        <v>0</v>
      </c>
      <c r="U525" s="626">
        <f t="shared" si="82"/>
        <v>0</v>
      </c>
      <c r="V525" s="553">
        <f t="shared" si="83"/>
        <v>0</v>
      </c>
      <c r="W525" s="554">
        <f t="shared" si="89"/>
        <v>0</v>
      </c>
      <c r="X525" s="454" t="s">
        <v>1454</v>
      </c>
      <c r="Y525" s="631">
        <f>IF(Q525=0,0,(Q525+R525)*'1.0-Contractblad'!$L$98)</f>
        <v>0</v>
      </c>
      <c r="Z525" s="632">
        <f>IF(J525=0,0,VLOOKUP(D525,'1.1a-Jaarprijzen'!$B$70:$P$124,14,FALSE)*(K525+J525))</f>
        <v>0</v>
      </c>
    </row>
    <row r="526" spans="1:26" hidden="1">
      <c r="A526" s="558"/>
      <c r="B526" s="548"/>
      <c r="C526" s="659">
        <v>3</v>
      </c>
      <c r="D526" s="549" t="s">
        <v>1477</v>
      </c>
      <c r="E526" s="660" t="s">
        <v>478</v>
      </c>
      <c r="F526" s="551" t="s">
        <v>994</v>
      </c>
      <c r="G526" s="649" t="s">
        <v>1341</v>
      </c>
      <c r="H526" s="647" t="str">
        <f t="shared" si="80"/>
        <v>niet van toepassing</v>
      </c>
      <c r="I526" s="719"/>
      <c r="J526" s="623"/>
      <c r="K526" s="623"/>
      <c r="L526" s="668" t="s">
        <v>27</v>
      </c>
      <c r="M526" s="557">
        <f t="shared" si="84"/>
        <v>0</v>
      </c>
      <c r="N526" s="453"/>
      <c r="O526" s="557">
        <f t="shared" si="85"/>
        <v>0</v>
      </c>
      <c r="P526" s="633">
        <v>1</v>
      </c>
      <c r="Q526" s="776">
        <f t="shared" si="86"/>
        <v>0</v>
      </c>
      <c r="R526" s="776">
        <f t="shared" si="87"/>
        <v>0</v>
      </c>
      <c r="S526" s="552">
        <f t="shared" si="88"/>
        <v>0</v>
      </c>
      <c r="T526" s="626">
        <f t="shared" si="81"/>
        <v>0</v>
      </c>
      <c r="U526" s="626">
        <f t="shared" si="82"/>
        <v>0</v>
      </c>
      <c r="V526" s="553">
        <f t="shared" si="83"/>
        <v>0</v>
      </c>
      <c r="W526" s="554">
        <f t="shared" si="89"/>
        <v>0</v>
      </c>
      <c r="X526" s="454" t="s">
        <v>1454</v>
      </c>
      <c r="Y526" s="631">
        <f>IF(Q526=0,0,(Q526+R526)*'1.0-Contractblad'!$L$98)</f>
        <v>0</v>
      </c>
      <c r="Z526" s="632">
        <f>IF(J526=0,0,VLOOKUP(D526,'1.1a-Jaarprijzen'!$B$70:$P$124,14,FALSE)*(K526+J526))</f>
        <v>0</v>
      </c>
    </row>
    <row r="527" spans="1:26" hidden="1">
      <c r="A527" s="558"/>
      <c r="B527" s="548"/>
      <c r="C527" s="659">
        <v>3</v>
      </c>
      <c r="D527" s="549" t="s">
        <v>1477</v>
      </c>
      <c r="E527" s="660" t="s">
        <v>478</v>
      </c>
      <c r="F527" s="551" t="s">
        <v>995</v>
      </c>
      <c r="G527" s="649" t="s">
        <v>1341</v>
      </c>
      <c r="H527" s="647" t="str">
        <f t="shared" si="80"/>
        <v>niet van toepassing</v>
      </c>
      <c r="I527" s="719"/>
      <c r="J527" s="623"/>
      <c r="K527" s="623"/>
      <c r="L527" s="668" t="s">
        <v>27</v>
      </c>
      <c r="M527" s="557">
        <f t="shared" si="84"/>
        <v>0</v>
      </c>
      <c r="N527" s="453"/>
      <c r="O527" s="557">
        <f t="shared" si="85"/>
        <v>0</v>
      </c>
      <c r="P527" s="633">
        <v>1</v>
      </c>
      <c r="Q527" s="776">
        <f t="shared" si="86"/>
        <v>0</v>
      </c>
      <c r="R527" s="776">
        <f t="shared" si="87"/>
        <v>0</v>
      </c>
      <c r="S527" s="552">
        <f t="shared" si="88"/>
        <v>0</v>
      </c>
      <c r="T527" s="626">
        <f t="shared" si="81"/>
        <v>0</v>
      </c>
      <c r="U527" s="626">
        <f t="shared" si="82"/>
        <v>0</v>
      </c>
      <c r="V527" s="553">
        <f t="shared" si="83"/>
        <v>0</v>
      </c>
      <c r="W527" s="554">
        <f t="shared" si="89"/>
        <v>0</v>
      </c>
      <c r="X527" s="454" t="s">
        <v>1454</v>
      </c>
      <c r="Y527" s="631">
        <f>IF(Q527=0,0,(Q527+R527)*'1.0-Contractblad'!$L$98)</f>
        <v>0</v>
      </c>
      <c r="Z527" s="632">
        <f>IF(J527=0,0,VLOOKUP(D527,'1.1a-Jaarprijzen'!$B$70:$P$124,14,FALSE)*(K527+J527))</f>
        <v>0</v>
      </c>
    </row>
    <row r="528" spans="1:26" hidden="1">
      <c r="A528" s="558"/>
      <c r="B528" s="548"/>
      <c r="C528" s="659">
        <v>3</v>
      </c>
      <c r="D528" s="549" t="s">
        <v>1477</v>
      </c>
      <c r="E528" s="660" t="s">
        <v>478</v>
      </c>
      <c r="F528" s="551" t="s">
        <v>996</v>
      </c>
      <c r="G528" s="649" t="s">
        <v>1342</v>
      </c>
      <c r="H528" s="647" t="str">
        <f t="shared" si="80"/>
        <v>niet van toepassing</v>
      </c>
      <c r="I528" s="719"/>
      <c r="J528" s="623"/>
      <c r="K528" s="623"/>
      <c r="L528" s="668" t="s">
        <v>27</v>
      </c>
      <c r="M528" s="557">
        <f t="shared" si="84"/>
        <v>0</v>
      </c>
      <c r="N528" s="453"/>
      <c r="O528" s="557">
        <f t="shared" si="85"/>
        <v>0</v>
      </c>
      <c r="P528" s="633">
        <v>1</v>
      </c>
      <c r="Q528" s="776">
        <f t="shared" si="86"/>
        <v>0</v>
      </c>
      <c r="R528" s="776">
        <f t="shared" si="87"/>
        <v>0</v>
      </c>
      <c r="S528" s="552">
        <f t="shared" si="88"/>
        <v>0</v>
      </c>
      <c r="T528" s="626">
        <f t="shared" si="81"/>
        <v>0</v>
      </c>
      <c r="U528" s="626">
        <f t="shared" si="82"/>
        <v>0</v>
      </c>
      <c r="V528" s="553">
        <f t="shared" si="83"/>
        <v>0</v>
      </c>
      <c r="W528" s="554">
        <f t="shared" si="89"/>
        <v>0</v>
      </c>
      <c r="X528" s="454" t="s">
        <v>1454</v>
      </c>
      <c r="Y528" s="631">
        <f>IF(Q528=0,0,(Q528+R528)*'1.0-Contractblad'!$L$98)</f>
        <v>0</v>
      </c>
      <c r="Z528" s="632">
        <f>IF(J528=0,0,VLOOKUP(D528,'1.1a-Jaarprijzen'!$B$70:$P$124,14,FALSE)*(K528+J528))</f>
        <v>0</v>
      </c>
    </row>
    <row r="529" spans="1:26" hidden="1">
      <c r="A529" s="558"/>
      <c r="B529" s="548"/>
      <c r="C529" s="659">
        <v>3</v>
      </c>
      <c r="D529" s="549" t="s">
        <v>1479</v>
      </c>
      <c r="E529" s="550" t="s">
        <v>502</v>
      </c>
      <c r="F529" s="551" t="s">
        <v>997</v>
      </c>
      <c r="G529" s="649" t="s">
        <v>1338</v>
      </c>
      <c r="H529" s="647" t="str">
        <f t="shared" si="80"/>
        <v>entree, gang, hal, repro, kopieer, was/droogruimte</v>
      </c>
      <c r="I529" s="719" t="s">
        <v>499</v>
      </c>
      <c r="J529" s="623">
        <v>35.5</v>
      </c>
      <c r="K529" s="623"/>
      <c r="L529" s="651">
        <v>3153</v>
      </c>
      <c r="M529" s="557">
        <f t="shared" si="84"/>
        <v>103</v>
      </c>
      <c r="N529" s="453"/>
      <c r="O529" s="557">
        <f t="shared" si="85"/>
        <v>153</v>
      </c>
      <c r="P529" s="633">
        <v>1</v>
      </c>
      <c r="Q529" s="776">
        <f t="shared" si="86"/>
        <v>0</v>
      </c>
      <c r="R529" s="776">
        <f t="shared" si="87"/>
        <v>0</v>
      </c>
      <c r="S529" s="552">
        <f t="shared" si="88"/>
        <v>0</v>
      </c>
      <c r="T529" s="626">
        <f t="shared" si="81"/>
        <v>0</v>
      </c>
      <c r="U529" s="626">
        <f t="shared" si="82"/>
        <v>0</v>
      </c>
      <c r="V529" s="553">
        <f t="shared" si="83"/>
        <v>0</v>
      </c>
      <c r="W529" s="554" t="str">
        <f t="shared" si="89"/>
        <v>V</v>
      </c>
      <c r="X529" s="555"/>
      <c r="Y529" s="631">
        <f>IF(Q529=0,0,(Q529+R529)*'1.0-Contractblad'!$L$98)</f>
        <v>0</v>
      </c>
      <c r="Z529" s="632">
        <f ca="1">IF(J529=0,0,VLOOKUP(D529,'1.1a-Jaarprijzen'!$B$70:$P$124,14,FALSE)*(K529+J529))</f>
        <v>0</v>
      </c>
    </row>
    <row r="530" spans="1:26" hidden="1">
      <c r="A530" s="558"/>
      <c r="B530" s="548"/>
      <c r="C530" s="659">
        <v>3</v>
      </c>
      <c r="D530" s="549" t="s">
        <v>1479</v>
      </c>
      <c r="E530" s="550" t="s">
        <v>502</v>
      </c>
      <c r="F530" s="551" t="s">
        <v>433</v>
      </c>
      <c r="G530" s="649" t="s">
        <v>493</v>
      </c>
      <c r="H530" s="647" t="str">
        <f t="shared" si="80"/>
        <v>administratieve -, personeels- en vergaderruimte</v>
      </c>
      <c r="I530" s="719" t="s">
        <v>499</v>
      </c>
      <c r="J530" s="623">
        <v>55.1</v>
      </c>
      <c r="K530" s="623"/>
      <c r="L530" s="651">
        <v>1102</v>
      </c>
      <c r="M530" s="557">
        <f t="shared" si="84"/>
        <v>101</v>
      </c>
      <c r="N530" s="453"/>
      <c r="O530" s="557">
        <f t="shared" si="85"/>
        <v>102</v>
      </c>
      <c r="P530" s="633">
        <v>1</v>
      </c>
      <c r="Q530" s="776">
        <f t="shared" si="86"/>
        <v>0</v>
      </c>
      <c r="R530" s="776">
        <f t="shared" si="87"/>
        <v>0</v>
      </c>
      <c r="S530" s="552">
        <f t="shared" si="88"/>
        <v>0</v>
      </c>
      <c r="T530" s="626">
        <f t="shared" si="81"/>
        <v>0</v>
      </c>
      <c r="U530" s="626">
        <f t="shared" si="82"/>
        <v>0</v>
      </c>
      <c r="V530" s="553">
        <f t="shared" si="83"/>
        <v>0</v>
      </c>
      <c r="W530" s="554" t="str">
        <f t="shared" si="89"/>
        <v>B</v>
      </c>
      <c r="X530" s="555"/>
      <c r="Y530" s="631">
        <f>IF(Q530=0,0,(Q530+R530)*'1.0-Contractblad'!$L$98)</f>
        <v>0</v>
      </c>
      <c r="Z530" s="632">
        <f ca="1">IF(J530=0,0,VLOOKUP(D530,'1.1a-Jaarprijzen'!$B$70:$P$124,14,FALSE)*(K530+J530))</f>
        <v>0</v>
      </c>
    </row>
    <row r="531" spans="1:26" hidden="1">
      <c r="A531" s="558"/>
      <c r="B531" s="548"/>
      <c r="C531" s="659">
        <v>3</v>
      </c>
      <c r="D531" s="549" t="s">
        <v>1479</v>
      </c>
      <c r="E531" s="660" t="s">
        <v>478</v>
      </c>
      <c r="F531" s="551" t="s">
        <v>998</v>
      </c>
      <c r="G531" s="649" t="s">
        <v>1326</v>
      </c>
      <c r="H531" s="647" t="str">
        <f t="shared" si="80"/>
        <v>trappenhuis</v>
      </c>
      <c r="I531" s="719" t="s">
        <v>499</v>
      </c>
      <c r="J531" s="623">
        <v>10</v>
      </c>
      <c r="K531" s="623"/>
      <c r="L531" s="559">
        <v>9153</v>
      </c>
      <c r="M531" s="557">
        <f t="shared" si="84"/>
        <v>109</v>
      </c>
      <c r="N531" s="453"/>
      <c r="O531" s="557">
        <f t="shared" si="85"/>
        <v>153</v>
      </c>
      <c r="P531" s="633">
        <v>1</v>
      </c>
      <c r="Q531" s="776">
        <f t="shared" si="86"/>
        <v>0</v>
      </c>
      <c r="R531" s="776">
        <f t="shared" si="87"/>
        <v>0</v>
      </c>
      <c r="S531" s="552">
        <f t="shared" si="88"/>
        <v>0</v>
      </c>
      <c r="T531" s="626">
        <f t="shared" si="81"/>
        <v>0</v>
      </c>
      <c r="U531" s="626">
        <f t="shared" si="82"/>
        <v>0</v>
      </c>
      <c r="V531" s="553">
        <f t="shared" si="83"/>
        <v>0</v>
      </c>
      <c r="W531" s="554" t="str">
        <f t="shared" si="89"/>
        <v>V</v>
      </c>
      <c r="X531" s="555"/>
      <c r="Y531" s="631">
        <f>IF(Q531=0,0,(Q531+R531)*'1.0-Contractblad'!$L$98)</f>
        <v>0</v>
      </c>
      <c r="Z531" s="632">
        <f ca="1">IF(J531=0,0,VLOOKUP(D531,'1.1a-Jaarprijzen'!$B$70:$P$124,14,FALSE)*(K531+J531))</f>
        <v>0</v>
      </c>
    </row>
    <row r="532" spans="1:26" hidden="1">
      <c r="A532" s="558"/>
      <c r="B532" s="548"/>
      <c r="C532" s="659">
        <v>3</v>
      </c>
      <c r="D532" s="549" t="s">
        <v>1479</v>
      </c>
      <c r="E532" s="660" t="s">
        <v>478</v>
      </c>
      <c r="F532" s="551" t="s">
        <v>999</v>
      </c>
      <c r="G532" s="649" t="s">
        <v>493</v>
      </c>
      <c r="H532" s="647" t="str">
        <f t="shared" si="80"/>
        <v>administratieve -, personeels- en vergaderruimte</v>
      </c>
      <c r="I532" s="719" t="s">
        <v>499</v>
      </c>
      <c r="J532" s="623">
        <v>23.06</v>
      </c>
      <c r="K532" s="623"/>
      <c r="L532" s="651">
        <v>1102</v>
      </c>
      <c r="M532" s="557">
        <f t="shared" si="84"/>
        <v>101</v>
      </c>
      <c r="N532" s="453"/>
      <c r="O532" s="557">
        <f t="shared" si="85"/>
        <v>102</v>
      </c>
      <c r="P532" s="633">
        <v>1</v>
      </c>
      <c r="Q532" s="776">
        <f t="shared" si="86"/>
        <v>0</v>
      </c>
      <c r="R532" s="776">
        <f t="shared" si="87"/>
        <v>0</v>
      </c>
      <c r="S532" s="552">
        <f t="shared" si="88"/>
        <v>0</v>
      </c>
      <c r="T532" s="626">
        <f t="shared" si="81"/>
        <v>0</v>
      </c>
      <c r="U532" s="626">
        <f t="shared" si="82"/>
        <v>0</v>
      </c>
      <c r="V532" s="553">
        <f t="shared" si="83"/>
        <v>0</v>
      </c>
      <c r="W532" s="554" t="str">
        <f t="shared" si="89"/>
        <v>B</v>
      </c>
      <c r="X532" s="555"/>
      <c r="Y532" s="631">
        <f>IF(Q532=0,0,(Q532+R532)*'1.0-Contractblad'!$L$98)</f>
        <v>0</v>
      </c>
      <c r="Z532" s="632">
        <f ca="1">IF(J532=0,0,VLOOKUP(D532,'1.1a-Jaarprijzen'!$B$70:$P$124,14,FALSE)*(K532+J532))</f>
        <v>0</v>
      </c>
    </row>
    <row r="533" spans="1:26" hidden="1">
      <c r="A533" s="558"/>
      <c r="B533" s="548"/>
      <c r="C533" s="659">
        <v>3</v>
      </c>
      <c r="D533" s="549" t="s">
        <v>1479</v>
      </c>
      <c r="E533" s="660" t="s">
        <v>478</v>
      </c>
      <c r="F533" s="551" t="s">
        <v>1000</v>
      </c>
      <c r="G533" s="649" t="s">
        <v>493</v>
      </c>
      <c r="H533" s="647" t="str">
        <f t="shared" si="80"/>
        <v>administratieve -, personeels- en vergaderruimte</v>
      </c>
      <c r="I533" s="719" t="s">
        <v>499</v>
      </c>
      <c r="J533" s="623">
        <v>20.100000000000001</v>
      </c>
      <c r="K533" s="623"/>
      <c r="L533" s="651">
        <v>1102</v>
      </c>
      <c r="M533" s="557">
        <f t="shared" si="84"/>
        <v>101</v>
      </c>
      <c r="N533" s="453"/>
      <c r="O533" s="557">
        <f t="shared" si="85"/>
        <v>102</v>
      </c>
      <c r="P533" s="633">
        <v>1</v>
      </c>
      <c r="Q533" s="776">
        <f t="shared" si="86"/>
        <v>0</v>
      </c>
      <c r="R533" s="776">
        <f t="shared" si="87"/>
        <v>0</v>
      </c>
      <c r="S533" s="552">
        <f t="shared" si="88"/>
        <v>0</v>
      </c>
      <c r="T533" s="626">
        <f t="shared" si="81"/>
        <v>0</v>
      </c>
      <c r="U533" s="626">
        <f t="shared" si="82"/>
        <v>0</v>
      </c>
      <c r="V533" s="553">
        <f t="shared" si="83"/>
        <v>0</v>
      </c>
      <c r="W533" s="554" t="str">
        <f t="shared" si="89"/>
        <v>B</v>
      </c>
      <c r="X533" s="555"/>
      <c r="Y533" s="631">
        <f>IF(Q533=0,0,(Q533+R533)*'1.0-Contractblad'!$L$98)</f>
        <v>0</v>
      </c>
      <c r="Z533" s="632">
        <f ca="1">IF(J533=0,0,VLOOKUP(D533,'1.1a-Jaarprijzen'!$B$70:$P$124,14,FALSE)*(K533+J533))</f>
        <v>0</v>
      </c>
    </row>
    <row r="534" spans="1:26" hidden="1">
      <c r="A534" s="558"/>
      <c r="B534" s="548"/>
      <c r="C534" s="659">
        <v>3</v>
      </c>
      <c r="D534" s="549" t="s">
        <v>1479</v>
      </c>
      <c r="E534" s="660" t="s">
        <v>478</v>
      </c>
      <c r="F534" s="551" t="s">
        <v>1001</v>
      </c>
      <c r="G534" s="649" t="s">
        <v>1218</v>
      </c>
      <c r="H534" s="647" t="str">
        <f t="shared" si="80"/>
        <v>administratieve -, personeels- en vergaderruimte</v>
      </c>
      <c r="I534" s="719" t="s">
        <v>499</v>
      </c>
      <c r="J534" s="623">
        <v>31.08</v>
      </c>
      <c r="K534" s="623"/>
      <c r="L534" s="651">
        <v>1153</v>
      </c>
      <c r="M534" s="557">
        <f t="shared" si="84"/>
        <v>101</v>
      </c>
      <c r="N534" s="453"/>
      <c r="O534" s="557">
        <f t="shared" si="85"/>
        <v>153</v>
      </c>
      <c r="P534" s="633">
        <v>1</v>
      </c>
      <c r="Q534" s="776">
        <f t="shared" si="86"/>
        <v>0</v>
      </c>
      <c r="R534" s="776">
        <f t="shared" si="87"/>
        <v>0</v>
      </c>
      <c r="S534" s="552">
        <f t="shared" si="88"/>
        <v>0</v>
      </c>
      <c r="T534" s="626">
        <f t="shared" si="81"/>
        <v>0</v>
      </c>
      <c r="U534" s="626">
        <f t="shared" si="82"/>
        <v>0</v>
      </c>
      <c r="V534" s="553">
        <f t="shared" si="83"/>
        <v>0</v>
      </c>
      <c r="W534" s="554" t="str">
        <f t="shared" si="89"/>
        <v>B</v>
      </c>
      <c r="X534" s="454"/>
      <c r="Y534" s="631">
        <f>IF(Q534=0,0,(Q534+R534)*'1.0-Contractblad'!$L$98)</f>
        <v>0</v>
      </c>
      <c r="Z534" s="632">
        <f ca="1">IF(J534=0,0,VLOOKUP(D534,'1.1a-Jaarprijzen'!$B$70:$P$124,14,FALSE)*(K534+J534))</f>
        <v>0</v>
      </c>
    </row>
    <row r="535" spans="1:26" hidden="1">
      <c r="A535" s="558"/>
      <c r="B535" s="548"/>
      <c r="C535" s="659">
        <v>3</v>
      </c>
      <c r="D535" s="549" t="s">
        <v>1479</v>
      </c>
      <c r="E535" s="550" t="s">
        <v>502</v>
      </c>
      <c r="F535" s="551" t="s">
        <v>1002</v>
      </c>
      <c r="G535" s="649" t="s">
        <v>1264</v>
      </c>
      <c r="H535" s="647" t="str">
        <f t="shared" si="80"/>
        <v>niet van toepassing</v>
      </c>
      <c r="I535" s="719" t="s">
        <v>1406</v>
      </c>
      <c r="J535" s="623"/>
      <c r="K535" s="623">
        <v>7.6</v>
      </c>
      <c r="L535" s="668" t="s">
        <v>27</v>
      </c>
      <c r="M535" s="557">
        <f t="shared" si="84"/>
        <v>0</v>
      </c>
      <c r="N535" s="453"/>
      <c r="O535" s="557">
        <f t="shared" si="85"/>
        <v>0</v>
      </c>
      <c r="P535" s="633">
        <v>1</v>
      </c>
      <c r="Q535" s="776">
        <f t="shared" si="86"/>
        <v>0</v>
      </c>
      <c r="R535" s="776">
        <f t="shared" si="87"/>
        <v>0</v>
      </c>
      <c r="S535" s="552">
        <f t="shared" si="88"/>
        <v>0</v>
      </c>
      <c r="T535" s="626">
        <f t="shared" si="81"/>
        <v>0</v>
      </c>
      <c r="U535" s="626">
        <f t="shared" si="82"/>
        <v>0</v>
      </c>
      <c r="V535" s="553">
        <f t="shared" si="83"/>
        <v>0</v>
      </c>
      <c r="W535" s="554">
        <f t="shared" si="89"/>
        <v>0</v>
      </c>
      <c r="X535" s="454"/>
      <c r="Y535" s="631">
        <f>IF(Q535=0,0,(Q535+R535)*'1.0-Contractblad'!$L$98)</f>
        <v>0</v>
      </c>
      <c r="Z535" s="632">
        <f>IF(J535=0,0,VLOOKUP(D535,'1.1a-Jaarprijzen'!$B$70:$P$124,14,FALSE)*(K535+J535))</f>
        <v>0</v>
      </c>
    </row>
    <row r="536" spans="1:26" hidden="1">
      <c r="A536" s="558"/>
      <c r="B536" s="548"/>
      <c r="C536" s="659">
        <v>3</v>
      </c>
      <c r="D536" s="549" t="s">
        <v>1479</v>
      </c>
      <c r="E536" s="550" t="s">
        <v>502</v>
      </c>
      <c r="F536" s="551" t="s">
        <v>1003</v>
      </c>
      <c r="G536" s="649" t="s">
        <v>1237</v>
      </c>
      <c r="H536" s="647" t="str">
        <f t="shared" si="80"/>
        <v>niet van toepassing</v>
      </c>
      <c r="I536" s="719" t="s">
        <v>1399</v>
      </c>
      <c r="J536" s="623"/>
      <c r="K536" s="623">
        <v>2.2999999999999998</v>
      </c>
      <c r="L536" s="668" t="s">
        <v>27</v>
      </c>
      <c r="M536" s="557">
        <f t="shared" si="84"/>
        <v>0</v>
      </c>
      <c r="N536" s="453"/>
      <c r="O536" s="557">
        <f t="shared" si="85"/>
        <v>0</v>
      </c>
      <c r="P536" s="633">
        <v>1</v>
      </c>
      <c r="Q536" s="776">
        <f t="shared" si="86"/>
        <v>0</v>
      </c>
      <c r="R536" s="776">
        <f t="shared" si="87"/>
        <v>0</v>
      </c>
      <c r="S536" s="552">
        <f t="shared" si="88"/>
        <v>0</v>
      </c>
      <c r="T536" s="626">
        <f t="shared" si="81"/>
        <v>0</v>
      </c>
      <c r="U536" s="626">
        <f t="shared" si="82"/>
        <v>0</v>
      </c>
      <c r="V536" s="553">
        <f t="shared" si="83"/>
        <v>0</v>
      </c>
      <c r="W536" s="554">
        <f t="shared" si="89"/>
        <v>0</v>
      </c>
      <c r="X536" s="454" t="s">
        <v>1454</v>
      </c>
      <c r="Y536" s="631">
        <f>IF(Q536=0,0,(Q536+R536)*'1.0-Contractblad'!$L$98)</f>
        <v>0</v>
      </c>
      <c r="Z536" s="632">
        <f>IF(J536=0,0,VLOOKUP(D536,'1.1a-Jaarprijzen'!$B$70:$P$124,14,FALSE)*(K536+J536))</f>
        <v>0</v>
      </c>
    </row>
    <row r="537" spans="1:26" hidden="1">
      <c r="A537" s="558"/>
      <c r="B537" s="548"/>
      <c r="C537" s="659">
        <v>3</v>
      </c>
      <c r="D537" s="549" t="s">
        <v>1479</v>
      </c>
      <c r="E537" s="550" t="s">
        <v>502</v>
      </c>
      <c r="F537" s="551" t="s">
        <v>997</v>
      </c>
      <c r="G537" s="649" t="s">
        <v>1338</v>
      </c>
      <c r="H537" s="647" t="str">
        <f t="shared" si="80"/>
        <v>niet van toepassing</v>
      </c>
      <c r="I537" s="719" t="s">
        <v>499</v>
      </c>
      <c r="J537" s="623"/>
      <c r="K537" s="623">
        <v>125.1</v>
      </c>
      <c r="L537" s="668" t="s">
        <v>27</v>
      </c>
      <c r="M537" s="557">
        <f t="shared" si="84"/>
        <v>0</v>
      </c>
      <c r="N537" s="453"/>
      <c r="O537" s="557">
        <f t="shared" si="85"/>
        <v>0</v>
      </c>
      <c r="P537" s="633">
        <v>1</v>
      </c>
      <c r="Q537" s="776">
        <f t="shared" si="86"/>
        <v>0</v>
      </c>
      <c r="R537" s="776">
        <f t="shared" si="87"/>
        <v>0</v>
      </c>
      <c r="S537" s="552">
        <f t="shared" si="88"/>
        <v>0</v>
      </c>
      <c r="T537" s="626">
        <f t="shared" si="81"/>
        <v>0</v>
      </c>
      <c r="U537" s="626">
        <f t="shared" si="82"/>
        <v>0</v>
      </c>
      <c r="V537" s="553">
        <f t="shared" si="83"/>
        <v>0</v>
      </c>
      <c r="W537" s="554">
        <f t="shared" si="89"/>
        <v>0</v>
      </c>
      <c r="X537" s="454"/>
      <c r="Y537" s="631">
        <f>IF(Q537=0,0,(Q537+R537)*'1.0-Contractblad'!$L$98)</f>
        <v>0</v>
      </c>
      <c r="Z537" s="632">
        <f>IF(J537=0,0,VLOOKUP(D537,'1.1a-Jaarprijzen'!$B$70:$P$124,14,FALSE)*(K537+J537))</f>
        <v>0</v>
      </c>
    </row>
    <row r="538" spans="1:26" hidden="1">
      <c r="A538" s="558"/>
      <c r="B538" s="548"/>
      <c r="C538" s="659">
        <v>3</v>
      </c>
      <c r="D538" s="549" t="s">
        <v>1479</v>
      </c>
      <c r="E538" s="550" t="s">
        <v>502</v>
      </c>
      <c r="F538" s="551" t="s">
        <v>1004</v>
      </c>
      <c r="G538" s="649" t="s">
        <v>497</v>
      </c>
      <c r="H538" s="647" t="str">
        <f t="shared" si="80"/>
        <v>niet van toepassing</v>
      </c>
      <c r="I538" s="719" t="s">
        <v>499</v>
      </c>
      <c r="J538" s="623"/>
      <c r="K538" s="623">
        <v>18.8</v>
      </c>
      <c r="L538" s="668" t="s">
        <v>27</v>
      </c>
      <c r="M538" s="557">
        <f t="shared" si="84"/>
        <v>0</v>
      </c>
      <c r="N538" s="453"/>
      <c r="O538" s="557">
        <f t="shared" si="85"/>
        <v>0</v>
      </c>
      <c r="P538" s="633">
        <v>1</v>
      </c>
      <c r="Q538" s="776">
        <f t="shared" si="86"/>
        <v>0</v>
      </c>
      <c r="R538" s="776">
        <f t="shared" si="87"/>
        <v>0</v>
      </c>
      <c r="S538" s="552">
        <f t="shared" si="88"/>
        <v>0</v>
      </c>
      <c r="T538" s="626">
        <f t="shared" si="81"/>
        <v>0</v>
      </c>
      <c r="U538" s="626">
        <f t="shared" si="82"/>
        <v>0</v>
      </c>
      <c r="V538" s="553">
        <f t="shared" si="83"/>
        <v>0</v>
      </c>
      <c r="W538" s="554">
        <f t="shared" si="89"/>
        <v>0</v>
      </c>
      <c r="X538" s="454"/>
      <c r="Y538" s="631">
        <f>IF(Q538=0,0,(Q538+R538)*'1.0-Contractblad'!$L$98)</f>
        <v>0</v>
      </c>
      <c r="Z538" s="632">
        <f>IF(J538=0,0,VLOOKUP(D538,'1.1a-Jaarprijzen'!$B$70:$P$124,14,FALSE)*(K538+J538))</f>
        <v>0</v>
      </c>
    </row>
    <row r="539" spans="1:26" hidden="1">
      <c r="A539" s="558"/>
      <c r="B539" s="548"/>
      <c r="C539" s="659">
        <v>3</v>
      </c>
      <c r="D539" s="549" t="s">
        <v>1479</v>
      </c>
      <c r="E539" s="550" t="s">
        <v>502</v>
      </c>
      <c r="F539" s="551" t="s">
        <v>1005</v>
      </c>
      <c r="G539" s="649" t="s">
        <v>493</v>
      </c>
      <c r="H539" s="647" t="str">
        <f t="shared" si="80"/>
        <v>niet van toepassing</v>
      </c>
      <c r="I539" s="719" t="s">
        <v>499</v>
      </c>
      <c r="J539" s="623"/>
      <c r="K539" s="623">
        <v>21.9</v>
      </c>
      <c r="L539" s="668" t="s">
        <v>27</v>
      </c>
      <c r="M539" s="557">
        <f t="shared" si="84"/>
        <v>0</v>
      </c>
      <c r="N539" s="453"/>
      <c r="O539" s="557">
        <f t="shared" si="85"/>
        <v>0</v>
      </c>
      <c r="P539" s="633">
        <v>1</v>
      </c>
      <c r="Q539" s="776">
        <f t="shared" si="86"/>
        <v>0</v>
      </c>
      <c r="R539" s="776">
        <f t="shared" si="87"/>
        <v>0</v>
      </c>
      <c r="S539" s="552">
        <f t="shared" si="88"/>
        <v>0</v>
      </c>
      <c r="T539" s="626">
        <f t="shared" si="81"/>
        <v>0</v>
      </c>
      <c r="U539" s="626">
        <f t="shared" si="82"/>
        <v>0</v>
      </c>
      <c r="V539" s="553">
        <f t="shared" si="83"/>
        <v>0</v>
      </c>
      <c r="W539" s="554">
        <f t="shared" si="89"/>
        <v>0</v>
      </c>
      <c r="X539" s="454"/>
      <c r="Y539" s="631">
        <f>IF(Q539=0,0,(Q539+R539)*'1.0-Contractblad'!$L$98)</f>
        <v>0</v>
      </c>
      <c r="Z539" s="632">
        <f>IF(J539=0,0,VLOOKUP(D539,'1.1a-Jaarprijzen'!$B$70:$P$124,14,FALSE)*(K539+J539))</f>
        <v>0</v>
      </c>
    </row>
    <row r="540" spans="1:26" hidden="1">
      <c r="A540" s="558"/>
      <c r="B540" s="548"/>
      <c r="C540" s="659">
        <v>3</v>
      </c>
      <c r="D540" s="549" t="s">
        <v>1479</v>
      </c>
      <c r="E540" s="550" t="s">
        <v>502</v>
      </c>
      <c r="F540" s="551" t="s">
        <v>433</v>
      </c>
      <c r="G540" s="649" t="s">
        <v>493</v>
      </c>
      <c r="H540" s="647" t="str">
        <f t="shared" si="80"/>
        <v>niet van toepassing</v>
      </c>
      <c r="I540" s="719" t="s">
        <v>499</v>
      </c>
      <c r="J540" s="623"/>
      <c r="K540" s="623">
        <v>55.1</v>
      </c>
      <c r="L540" s="668" t="s">
        <v>27</v>
      </c>
      <c r="M540" s="557">
        <f t="shared" si="84"/>
        <v>0</v>
      </c>
      <c r="N540" s="453"/>
      <c r="O540" s="557">
        <f t="shared" si="85"/>
        <v>0</v>
      </c>
      <c r="P540" s="633">
        <v>1</v>
      </c>
      <c r="Q540" s="776">
        <f t="shared" si="86"/>
        <v>0</v>
      </c>
      <c r="R540" s="776">
        <f t="shared" si="87"/>
        <v>0</v>
      </c>
      <c r="S540" s="552">
        <f t="shared" si="88"/>
        <v>0</v>
      </c>
      <c r="T540" s="626">
        <f t="shared" si="81"/>
        <v>0</v>
      </c>
      <c r="U540" s="626">
        <f t="shared" si="82"/>
        <v>0</v>
      </c>
      <c r="V540" s="553">
        <f t="shared" si="83"/>
        <v>0</v>
      </c>
      <c r="W540" s="554">
        <f t="shared" si="89"/>
        <v>0</v>
      </c>
      <c r="X540" s="454"/>
      <c r="Y540" s="631">
        <f>IF(Q540=0,0,(Q540+R540)*'1.0-Contractblad'!$L$98)</f>
        <v>0</v>
      </c>
      <c r="Z540" s="632">
        <f>IF(J540=0,0,VLOOKUP(D540,'1.1a-Jaarprijzen'!$B$70:$P$124,14,FALSE)*(K540+J540))</f>
        <v>0</v>
      </c>
    </row>
    <row r="541" spans="1:26" hidden="1">
      <c r="A541" s="558"/>
      <c r="B541" s="548"/>
      <c r="C541" s="659">
        <v>3</v>
      </c>
      <c r="D541" s="549" t="s">
        <v>1479</v>
      </c>
      <c r="E541" s="550" t="s">
        <v>502</v>
      </c>
      <c r="F541" s="551" t="s">
        <v>1006</v>
      </c>
      <c r="G541" s="649" t="s">
        <v>1345</v>
      </c>
      <c r="H541" s="647" t="str">
        <f t="shared" si="80"/>
        <v>sanitaire ruimte (toilet-/doucheruimte)</v>
      </c>
      <c r="I541" s="719" t="s">
        <v>1407</v>
      </c>
      <c r="J541" s="623">
        <v>1.2</v>
      </c>
      <c r="K541" s="623"/>
      <c r="L541" s="559">
        <v>4153</v>
      </c>
      <c r="M541" s="557">
        <f t="shared" si="84"/>
        <v>104</v>
      </c>
      <c r="N541" s="453"/>
      <c r="O541" s="557">
        <f t="shared" si="85"/>
        <v>153</v>
      </c>
      <c r="P541" s="633">
        <v>1</v>
      </c>
      <c r="Q541" s="776">
        <f t="shared" si="86"/>
        <v>0</v>
      </c>
      <c r="R541" s="776">
        <f t="shared" si="87"/>
        <v>0</v>
      </c>
      <c r="S541" s="552">
        <f t="shared" si="88"/>
        <v>0</v>
      </c>
      <c r="T541" s="626">
        <f t="shared" si="81"/>
        <v>0</v>
      </c>
      <c r="U541" s="626">
        <f t="shared" si="82"/>
        <v>0</v>
      </c>
      <c r="V541" s="553">
        <f t="shared" si="83"/>
        <v>0</v>
      </c>
      <c r="W541" s="554" t="str">
        <f t="shared" si="89"/>
        <v>S</v>
      </c>
      <c r="X541" s="555"/>
      <c r="Y541" s="631">
        <f>IF(Q541=0,0,(Q541+R541)*'1.0-Contractblad'!$L$98)</f>
        <v>0</v>
      </c>
      <c r="Z541" s="632">
        <f ca="1">IF(J541=0,0,VLOOKUP(D541,'1.1a-Jaarprijzen'!$B$70:$P$124,14,FALSE)*(K541+J541))</f>
        <v>0</v>
      </c>
    </row>
    <row r="542" spans="1:26" hidden="1">
      <c r="A542" s="558"/>
      <c r="B542" s="548"/>
      <c r="C542" s="659">
        <v>3</v>
      </c>
      <c r="D542" s="549" t="s">
        <v>1479</v>
      </c>
      <c r="E542" s="550" t="s">
        <v>502</v>
      </c>
      <c r="F542" s="551" t="s">
        <v>434</v>
      </c>
      <c r="G542" s="649" t="s">
        <v>1346</v>
      </c>
      <c r="H542" s="647" t="str">
        <f t="shared" si="80"/>
        <v>sanitaire ruimte (toilet-/doucheruimte)</v>
      </c>
      <c r="I542" s="719" t="s">
        <v>492</v>
      </c>
      <c r="J542" s="623">
        <v>3.6</v>
      </c>
      <c r="K542" s="623"/>
      <c r="L542" s="559">
        <v>4153</v>
      </c>
      <c r="M542" s="557">
        <f t="shared" si="84"/>
        <v>104</v>
      </c>
      <c r="N542" s="453"/>
      <c r="O542" s="557">
        <f t="shared" si="85"/>
        <v>153</v>
      </c>
      <c r="P542" s="633">
        <v>1</v>
      </c>
      <c r="Q542" s="776">
        <f t="shared" si="86"/>
        <v>0</v>
      </c>
      <c r="R542" s="776">
        <f t="shared" si="87"/>
        <v>0</v>
      </c>
      <c r="S542" s="552">
        <f t="shared" si="88"/>
        <v>0</v>
      </c>
      <c r="T542" s="626">
        <f t="shared" si="81"/>
        <v>0</v>
      </c>
      <c r="U542" s="626">
        <f t="shared" si="82"/>
        <v>0</v>
      </c>
      <c r="V542" s="553">
        <f t="shared" si="83"/>
        <v>0</v>
      </c>
      <c r="W542" s="554" t="str">
        <f t="shared" si="89"/>
        <v>S</v>
      </c>
      <c r="X542" s="555"/>
      <c r="Y542" s="631">
        <f>IF(Q542=0,0,(Q542+R542)*'1.0-Contractblad'!$L$98)</f>
        <v>0</v>
      </c>
      <c r="Z542" s="632">
        <f ca="1">IF(J542=0,0,VLOOKUP(D542,'1.1a-Jaarprijzen'!$B$70:$P$124,14,FALSE)*(K542+J542))</f>
        <v>0</v>
      </c>
    </row>
    <row r="543" spans="1:26" hidden="1">
      <c r="A543" s="558"/>
      <c r="B543" s="548"/>
      <c r="C543" s="659">
        <v>3</v>
      </c>
      <c r="D543" s="549" t="s">
        <v>1479</v>
      </c>
      <c r="E543" s="550" t="s">
        <v>502</v>
      </c>
      <c r="F543" s="551" t="s">
        <v>435</v>
      </c>
      <c r="G543" s="649" t="s">
        <v>1345</v>
      </c>
      <c r="H543" s="647" t="str">
        <f t="shared" si="80"/>
        <v>sanitaire ruimte (toilet-/doucheruimte)</v>
      </c>
      <c r="I543" s="719" t="s">
        <v>492</v>
      </c>
      <c r="J543" s="623">
        <v>1.2</v>
      </c>
      <c r="K543" s="623"/>
      <c r="L543" s="559">
        <v>4153</v>
      </c>
      <c r="M543" s="557">
        <f t="shared" si="84"/>
        <v>104</v>
      </c>
      <c r="N543" s="453"/>
      <c r="O543" s="557">
        <f t="shared" si="85"/>
        <v>153</v>
      </c>
      <c r="P543" s="633">
        <v>1</v>
      </c>
      <c r="Q543" s="776">
        <f t="shared" si="86"/>
        <v>0</v>
      </c>
      <c r="R543" s="776">
        <f t="shared" si="87"/>
        <v>0</v>
      </c>
      <c r="S543" s="552">
        <f t="shared" si="88"/>
        <v>0</v>
      </c>
      <c r="T543" s="626">
        <f t="shared" si="81"/>
        <v>0</v>
      </c>
      <c r="U543" s="626">
        <f t="shared" si="82"/>
        <v>0</v>
      </c>
      <c r="V543" s="553">
        <f t="shared" si="83"/>
        <v>0</v>
      </c>
      <c r="W543" s="554" t="str">
        <f t="shared" si="89"/>
        <v>S</v>
      </c>
      <c r="X543" s="555"/>
      <c r="Y543" s="631">
        <f>IF(Q543=0,0,(Q543+R543)*'1.0-Contractblad'!$L$98)</f>
        <v>0</v>
      </c>
      <c r="Z543" s="632">
        <f ca="1">IF(J543=0,0,VLOOKUP(D543,'1.1a-Jaarprijzen'!$B$70:$P$124,14,FALSE)*(K543+J543))</f>
        <v>0</v>
      </c>
    </row>
    <row r="544" spans="1:26" hidden="1">
      <c r="A544" s="558"/>
      <c r="B544" s="548"/>
      <c r="C544" s="659">
        <v>3</v>
      </c>
      <c r="D544" s="549" t="s">
        <v>1479</v>
      </c>
      <c r="E544" s="550" t="s">
        <v>502</v>
      </c>
      <c r="F544" s="551" t="s">
        <v>436</v>
      </c>
      <c r="G544" s="649" t="s">
        <v>1347</v>
      </c>
      <c r="H544" s="647" t="str">
        <f t="shared" si="80"/>
        <v>niet van toepassing</v>
      </c>
      <c r="I544" s="719" t="s">
        <v>499</v>
      </c>
      <c r="J544" s="623"/>
      <c r="K544" s="623">
        <v>20.6</v>
      </c>
      <c r="L544" s="698" t="s">
        <v>27</v>
      </c>
      <c r="M544" s="557">
        <f t="shared" si="84"/>
        <v>0</v>
      </c>
      <c r="N544" s="453"/>
      <c r="O544" s="557">
        <f t="shared" si="85"/>
        <v>0</v>
      </c>
      <c r="P544" s="633">
        <v>1</v>
      </c>
      <c r="Q544" s="776">
        <f t="shared" si="86"/>
        <v>0</v>
      </c>
      <c r="R544" s="776">
        <f t="shared" si="87"/>
        <v>0</v>
      </c>
      <c r="S544" s="552">
        <f t="shared" si="88"/>
        <v>0</v>
      </c>
      <c r="T544" s="626">
        <f t="shared" si="81"/>
        <v>0</v>
      </c>
      <c r="U544" s="626">
        <f t="shared" si="82"/>
        <v>0</v>
      </c>
      <c r="V544" s="553">
        <f t="shared" si="83"/>
        <v>0</v>
      </c>
      <c r="W544" s="554">
        <f t="shared" si="89"/>
        <v>0</v>
      </c>
      <c r="X544" s="454"/>
      <c r="Y544" s="631">
        <f>IF(Q544=0,0,(Q544+R544)*'1.0-Contractblad'!$L$98)</f>
        <v>0</v>
      </c>
      <c r="Z544" s="632">
        <f>IF(J544=0,0,VLOOKUP(D544,'1.1a-Jaarprijzen'!$B$70:$P$124,14,FALSE)*(K544+J544))</f>
        <v>0</v>
      </c>
    </row>
    <row r="545" spans="1:26" hidden="1">
      <c r="A545" s="558"/>
      <c r="B545" s="548"/>
      <c r="C545" s="659">
        <v>3</v>
      </c>
      <c r="D545" s="549" t="s">
        <v>1479</v>
      </c>
      <c r="E545" s="550" t="s">
        <v>502</v>
      </c>
      <c r="F545" s="551" t="s">
        <v>437</v>
      </c>
      <c r="G545" s="649" t="s">
        <v>1348</v>
      </c>
      <c r="H545" s="647" t="str">
        <f t="shared" si="80"/>
        <v>niet van toepassing</v>
      </c>
      <c r="I545" s="719" t="s">
        <v>499</v>
      </c>
      <c r="J545" s="623"/>
      <c r="K545" s="623">
        <v>48.4</v>
      </c>
      <c r="L545" s="698" t="s">
        <v>27</v>
      </c>
      <c r="M545" s="557">
        <f t="shared" si="84"/>
        <v>0</v>
      </c>
      <c r="N545" s="453"/>
      <c r="O545" s="557">
        <f t="shared" si="85"/>
        <v>0</v>
      </c>
      <c r="P545" s="633">
        <v>1</v>
      </c>
      <c r="Q545" s="776">
        <f t="shared" si="86"/>
        <v>0</v>
      </c>
      <c r="R545" s="776">
        <f t="shared" si="87"/>
        <v>0</v>
      </c>
      <c r="S545" s="552">
        <f t="shared" si="88"/>
        <v>0</v>
      </c>
      <c r="T545" s="626">
        <f t="shared" si="81"/>
        <v>0</v>
      </c>
      <c r="U545" s="626">
        <f t="shared" si="82"/>
        <v>0</v>
      </c>
      <c r="V545" s="553">
        <f t="shared" si="83"/>
        <v>0</v>
      </c>
      <c r="W545" s="554">
        <f t="shared" si="89"/>
        <v>0</v>
      </c>
      <c r="X545" s="454"/>
      <c r="Y545" s="631">
        <f>IF(Q545=0,0,(Q545+R545)*'1.0-Contractblad'!$L$98)</f>
        <v>0</v>
      </c>
      <c r="Z545" s="632">
        <f>IF(J545=0,0,VLOOKUP(D545,'1.1a-Jaarprijzen'!$B$70:$P$124,14,FALSE)*(K545+J545))</f>
        <v>0</v>
      </c>
    </row>
    <row r="546" spans="1:26" hidden="1">
      <c r="A546" s="558"/>
      <c r="B546" s="548"/>
      <c r="C546" s="659">
        <v>3</v>
      </c>
      <c r="D546" s="549" t="s">
        <v>1479</v>
      </c>
      <c r="E546" s="550" t="s">
        <v>502</v>
      </c>
      <c r="F546" s="551" t="s">
        <v>438</v>
      </c>
      <c r="G546" s="649" t="s">
        <v>1349</v>
      </c>
      <c r="H546" s="647" t="str">
        <f t="shared" si="80"/>
        <v>niet van toepassing</v>
      </c>
      <c r="I546" s="719"/>
      <c r="J546" s="623"/>
      <c r="K546" s="623"/>
      <c r="L546" s="668" t="s">
        <v>27</v>
      </c>
      <c r="M546" s="557">
        <f t="shared" si="84"/>
        <v>0</v>
      </c>
      <c r="N546" s="453"/>
      <c r="O546" s="557">
        <f t="shared" si="85"/>
        <v>0</v>
      </c>
      <c r="P546" s="633">
        <v>1</v>
      </c>
      <c r="Q546" s="776">
        <f t="shared" si="86"/>
        <v>0</v>
      </c>
      <c r="R546" s="776">
        <f t="shared" si="87"/>
        <v>0</v>
      </c>
      <c r="S546" s="552">
        <f t="shared" si="88"/>
        <v>0</v>
      </c>
      <c r="T546" s="626">
        <f t="shared" si="81"/>
        <v>0</v>
      </c>
      <c r="U546" s="626">
        <f t="shared" si="82"/>
        <v>0</v>
      </c>
      <c r="V546" s="553">
        <f t="shared" si="83"/>
        <v>0</v>
      </c>
      <c r="W546" s="554">
        <f t="shared" si="89"/>
        <v>0</v>
      </c>
      <c r="X546" s="454" t="s">
        <v>1454</v>
      </c>
      <c r="Y546" s="631">
        <f>IF(Q546=0,0,(Q546+R546)*'1.0-Contractblad'!$L$98)</f>
        <v>0</v>
      </c>
      <c r="Z546" s="632">
        <f>IF(J546=0,0,VLOOKUP(D546,'1.1a-Jaarprijzen'!$B$70:$P$124,14,FALSE)*(K546+J546))</f>
        <v>0</v>
      </c>
    </row>
    <row r="547" spans="1:26" hidden="1">
      <c r="A547" s="558"/>
      <c r="B547" s="548"/>
      <c r="C547" s="659">
        <v>3</v>
      </c>
      <c r="D547" s="549" t="s">
        <v>1479</v>
      </c>
      <c r="E547" s="550" t="s">
        <v>502</v>
      </c>
      <c r="F547" s="551" t="s">
        <v>439</v>
      </c>
      <c r="G547" s="649" t="s">
        <v>1235</v>
      </c>
      <c r="H547" s="647" t="str">
        <f t="shared" si="80"/>
        <v>niet van toepassing</v>
      </c>
      <c r="I547" s="719"/>
      <c r="J547" s="623"/>
      <c r="K547" s="623"/>
      <c r="L547" s="668" t="s">
        <v>27</v>
      </c>
      <c r="M547" s="557">
        <f t="shared" si="84"/>
        <v>0</v>
      </c>
      <c r="N547" s="453"/>
      <c r="O547" s="557">
        <f t="shared" si="85"/>
        <v>0</v>
      </c>
      <c r="P547" s="633">
        <v>1</v>
      </c>
      <c r="Q547" s="776">
        <f t="shared" si="86"/>
        <v>0</v>
      </c>
      <c r="R547" s="776">
        <f t="shared" si="87"/>
        <v>0</v>
      </c>
      <c r="S547" s="552">
        <f t="shared" si="88"/>
        <v>0</v>
      </c>
      <c r="T547" s="626">
        <f t="shared" si="81"/>
        <v>0</v>
      </c>
      <c r="U547" s="626">
        <f t="shared" si="82"/>
        <v>0</v>
      </c>
      <c r="V547" s="553">
        <f t="shared" si="83"/>
        <v>0</v>
      </c>
      <c r="W547" s="554">
        <f t="shared" si="89"/>
        <v>0</v>
      </c>
      <c r="X547" s="454" t="s">
        <v>1454</v>
      </c>
      <c r="Y547" s="631">
        <f>IF(Q547=0,0,(Q547+R547)*'1.0-Contractblad'!$L$98)</f>
        <v>0</v>
      </c>
      <c r="Z547" s="632">
        <f>IF(J547=0,0,VLOOKUP(D547,'1.1a-Jaarprijzen'!$B$70:$P$124,14,FALSE)*(K547+J547))</f>
        <v>0</v>
      </c>
    </row>
    <row r="548" spans="1:26" hidden="1">
      <c r="A548" s="558"/>
      <c r="B548" s="548"/>
      <c r="C548" s="659">
        <v>3</v>
      </c>
      <c r="D548" s="549" t="s">
        <v>1479</v>
      </c>
      <c r="E548" s="550" t="s">
        <v>502</v>
      </c>
      <c r="F548" s="551" t="s">
        <v>440</v>
      </c>
      <c r="G548" s="649" t="s">
        <v>1217</v>
      </c>
      <c r="H548" s="647" t="str">
        <f t="shared" si="80"/>
        <v>niet van toepassing</v>
      </c>
      <c r="I548" s="719" t="s">
        <v>499</v>
      </c>
      <c r="J548" s="623"/>
      <c r="K548" s="623">
        <v>1.7</v>
      </c>
      <c r="L548" s="668" t="s">
        <v>27</v>
      </c>
      <c r="M548" s="557">
        <f t="shared" si="84"/>
        <v>0</v>
      </c>
      <c r="N548" s="453"/>
      <c r="O548" s="557">
        <f t="shared" si="85"/>
        <v>0</v>
      </c>
      <c r="P548" s="633">
        <v>1</v>
      </c>
      <c r="Q548" s="776">
        <f t="shared" si="86"/>
        <v>0</v>
      </c>
      <c r="R548" s="776">
        <f t="shared" si="87"/>
        <v>0</v>
      </c>
      <c r="S548" s="552">
        <f t="shared" si="88"/>
        <v>0</v>
      </c>
      <c r="T548" s="626">
        <f t="shared" si="81"/>
        <v>0</v>
      </c>
      <c r="U548" s="626">
        <f t="shared" si="82"/>
        <v>0</v>
      </c>
      <c r="V548" s="553">
        <f t="shared" si="83"/>
        <v>0</v>
      </c>
      <c r="W548" s="554">
        <f t="shared" si="89"/>
        <v>0</v>
      </c>
      <c r="X548" s="454"/>
      <c r="Y548" s="631">
        <f>IF(Q548=0,0,(Q548+R548)*'1.0-Contractblad'!$L$98)</f>
        <v>0</v>
      </c>
      <c r="Z548" s="632">
        <f>IF(J548=0,0,VLOOKUP(D548,'1.1a-Jaarprijzen'!$B$70:$P$124,14,FALSE)*(K548+J548))</f>
        <v>0</v>
      </c>
    </row>
    <row r="549" spans="1:26" hidden="1">
      <c r="A549" s="558"/>
      <c r="B549" s="548"/>
      <c r="C549" s="659">
        <v>3</v>
      </c>
      <c r="D549" s="549" t="s">
        <v>1479</v>
      </c>
      <c r="E549" s="550" t="s">
        <v>502</v>
      </c>
      <c r="F549" s="551" t="s">
        <v>441</v>
      </c>
      <c r="G549" s="649" t="s">
        <v>493</v>
      </c>
      <c r="H549" s="647" t="str">
        <f t="shared" si="80"/>
        <v>niet van toepassing</v>
      </c>
      <c r="I549" s="719" t="s">
        <v>499</v>
      </c>
      <c r="J549" s="623"/>
      <c r="K549" s="623">
        <v>19.600000000000001</v>
      </c>
      <c r="L549" s="668" t="s">
        <v>27</v>
      </c>
      <c r="M549" s="557">
        <f t="shared" si="84"/>
        <v>0</v>
      </c>
      <c r="N549" s="453"/>
      <c r="O549" s="557">
        <f t="shared" si="85"/>
        <v>0</v>
      </c>
      <c r="P549" s="633">
        <v>1</v>
      </c>
      <c r="Q549" s="776">
        <f t="shared" si="86"/>
        <v>0</v>
      </c>
      <c r="R549" s="776">
        <f t="shared" si="87"/>
        <v>0</v>
      </c>
      <c r="S549" s="552">
        <f t="shared" si="88"/>
        <v>0</v>
      </c>
      <c r="T549" s="626">
        <f t="shared" si="81"/>
        <v>0</v>
      </c>
      <c r="U549" s="626">
        <f t="shared" si="82"/>
        <v>0</v>
      </c>
      <c r="V549" s="553">
        <f t="shared" si="83"/>
        <v>0</v>
      </c>
      <c r="W549" s="554">
        <f t="shared" si="89"/>
        <v>0</v>
      </c>
      <c r="X549" s="454"/>
      <c r="Y549" s="631">
        <f>IF(Q549=0,0,(Q549+R549)*'1.0-Contractblad'!$L$98)</f>
        <v>0</v>
      </c>
      <c r="Z549" s="632">
        <f>IF(J549=0,0,VLOOKUP(D549,'1.1a-Jaarprijzen'!$B$70:$P$124,14,FALSE)*(K549+J549))</f>
        <v>0</v>
      </c>
    </row>
    <row r="550" spans="1:26" hidden="1">
      <c r="A550" s="558"/>
      <c r="B550" s="548"/>
      <c r="C550" s="659">
        <v>3</v>
      </c>
      <c r="D550" s="549" t="s">
        <v>1479</v>
      </c>
      <c r="E550" s="550" t="s">
        <v>502</v>
      </c>
      <c r="F550" s="551" t="s">
        <v>442</v>
      </c>
      <c r="G550" s="649" t="s">
        <v>493</v>
      </c>
      <c r="H550" s="647" t="str">
        <f t="shared" si="80"/>
        <v>niet van toepassing</v>
      </c>
      <c r="I550" s="719" t="s">
        <v>499</v>
      </c>
      <c r="J550" s="623"/>
      <c r="K550" s="623">
        <v>22.2</v>
      </c>
      <c r="L550" s="668" t="s">
        <v>27</v>
      </c>
      <c r="M550" s="557">
        <f t="shared" si="84"/>
        <v>0</v>
      </c>
      <c r="N550" s="453"/>
      <c r="O550" s="557">
        <f t="shared" si="85"/>
        <v>0</v>
      </c>
      <c r="P550" s="633">
        <v>1</v>
      </c>
      <c r="Q550" s="776">
        <f t="shared" si="86"/>
        <v>0</v>
      </c>
      <c r="R550" s="776">
        <f t="shared" si="87"/>
        <v>0</v>
      </c>
      <c r="S550" s="552">
        <f t="shared" si="88"/>
        <v>0</v>
      </c>
      <c r="T550" s="626">
        <f t="shared" si="81"/>
        <v>0</v>
      </c>
      <c r="U550" s="626">
        <f t="shared" si="82"/>
        <v>0</v>
      </c>
      <c r="V550" s="553">
        <f t="shared" si="83"/>
        <v>0</v>
      </c>
      <c r="W550" s="554">
        <f t="shared" si="89"/>
        <v>0</v>
      </c>
      <c r="X550" s="454"/>
      <c r="Y550" s="631">
        <f>IF(Q550=0,0,(Q550+R550)*'1.0-Contractblad'!$L$98)</f>
        <v>0</v>
      </c>
      <c r="Z550" s="632">
        <f>IF(J550=0,0,VLOOKUP(D550,'1.1a-Jaarprijzen'!$B$70:$P$124,14,FALSE)*(K550+J550))</f>
        <v>0</v>
      </c>
    </row>
    <row r="551" spans="1:26" hidden="1">
      <c r="A551" s="558"/>
      <c r="B551" s="548"/>
      <c r="C551" s="659">
        <v>3</v>
      </c>
      <c r="D551" s="549" t="s">
        <v>1479</v>
      </c>
      <c r="E551" s="550" t="s">
        <v>502</v>
      </c>
      <c r="F551" s="551" t="s">
        <v>443</v>
      </c>
      <c r="G551" s="649" t="s">
        <v>1350</v>
      </c>
      <c r="H551" s="647" t="str">
        <f t="shared" si="80"/>
        <v>niet van toepassing</v>
      </c>
      <c r="I551" s="719"/>
      <c r="J551" s="623"/>
      <c r="K551" s="623"/>
      <c r="L551" s="668" t="s">
        <v>27</v>
      </c>
      <c r="M551" s="557">
        <f t="shared" si="84"/>
        <v>0</v>
      </c>
      <c r="N551" s="453"/>
      <c r="O551" s="557">
        <f t="shared" si="85"/>
        <v>0</v>
      </c>
      <c r="P551" s="633">
        <v>1</v>
      </c>
      <c r="Q551" s="776">
        <f t="shared" si="86"/>
        <v>0</v>
      </c>
      <c r="R551" s="776">
        <f t="shared" si="87"/>
        <v>0</v>
      </c>
      <c r="S551" s="552">
        <f t="shared" si="88"/>
        <v>0</v>
      </c>
      <c r="T551" s="626">
        <f t="shared" si="81"/>
        <v>0</v>
      </c>
      <c r="U551" s="626">
        <f t="shared" si="82"/>
        <v>0</v>
      </c>
      <c r="V551" s="553">
        <f t="shared" si="83"/>
        <v>0</v>
      </c>
      <c r="W551" s="554">
        <f t="shared" si="89"/>
        <v>0</v>
      </c>
      <c r="X551" s="454" t="s">
        <v>1454</v>
      </c>
      <c r="Y551" s="631">
        <f>IF(Q551=0,0,(Q551+R551)*'1.0-Contractblad'!$L$98)</f>
        <v>0</v>
      </c>
      <c r="Z551" s="632">
        <f>IF(J551=0,0,VLOOKUP(D551,'1.1a-Jaarprijzen'!$B$70:$P$124,14,FALSE)*(K551+J551))</f>
        <v>0</v>
      </c>
    </row>
    <row r="552" spans="1:26" hidden="1">
      <c r="A552" s="558"/>
      <c r="B552" s="548"/>
      <c r="C552" s="659">
        <v>3</v>
      </c>
      <c r="D552" s="549" t="s">
        <v>1479</v>
      </c>
      <c r="E552" s="550" t="s">
        <v>502</v>
      </c>
      <c r="F552" s="551" t="s">
        <v>444</v>
      </c>
      <c r="G552" s="649" t="s">
        <v>1316</v>
      </c>
      <c r="H552" s="647" t="str">
        <f t="shared" si="80"/>
        <v>niet van toepassing</v>
      </c>
      <c r="I552" s="719"/>
      <c r="J552" s="623"/>
      <c r="K552" s="623"/>
      <c r="L552" s="668" t="s">
        <v>27</v>
      </c>
      <c r="M552" s="557">
        <f t="shared" si="84"/>
        <v>0</v>
      </c>
      <c r="N552" s="453"/>
      <c r="O552" s="557">
        <f t="shared" si="85"/>
        <v>0</v>
      </c>
      <c r="P552" s="633">
        <v>1</v>
      </c>
      <c r="Q552" s="776">
        <f t="shared" si="86"/>
        <v>0</v>
      </c>
      <c r="R552" s="776">
        <f t="shared" si="87"/>
        <v>0</v>
      </c>
      <c r="S552" s="552">
        <f t="shared" si="88"/>
        <v>0</v>
      </c>
      <c r="T552" s="626">
        <f t="shared" si="81"/>
        <v>0</v>
      </c>
      <c r="U552" s="626">
        <f t="shared" si="82"/>
        <v>0</v>
      </c>
      <c r="V552" s="553">
        <f t="shared" si="83"/>
        <v>0</v>
      </c>
      <c r="W552" s="554">
        <f t="shared" si="89"/>
        <v>0</v>
      </c>
      <c r="X552" s="454" t="s">
        <v>1454</v>
      </c>
      <c r="Y552" s="631">
        <f>IF(Q552=0,0,(Q552+R552)*'1.0-Contractblad'!$L$98)</f>
        <v>0</v>
      </c>
      <c r="Z552" s="632">
        <f>IF(J552=0,0,VLOOKUP(D552,'1.1a-Jaarprijzen'!$B$70:$P$124,14,FALSE)*(K552+J552))</f>
        <v>0</v>
      </c>
    </row>
    <row r="553" spans="1:26" hidden="1">
      <c r="A553" s="558"/>
      <c r="B553" s="548"/>
      <c r="C553" s="659">
        <v>3</v>
      </c>
      <c r="D553" s="549" t="s">
        <v>1479</v>
      </c>
      <c r="E553" s="550" t="s">
        <v>502</v>
      </c>
      <c r="F553" s="551" t="s">
        <v>445</v>
      </c>
      <c r="G553" s="649" t="s">
        <v>1351</v>
      </c>
      <c r="H553" s="647" t="str">
        <f t="shared" si="80"/>
        <v>niet van toepassing</v>
      </c>
      <c r="I553" s="719"/>
      <c r="J553" s="623"/>
      <c r="K553" s="623"/>
      <c r="L553" s="668" t="s">
        <v>27</v>
      </c>
      <c r="M553" s="557">
        <f t="shared" si="84"/>
        <v>0</v>
      </c>
      <c r="N553" s="453"/>
      <c r="O553" s="557">
        <f t="shared" si="85"/>
        <v>0</v>
      </c>
      <c r="P553" s="633">
        <v>1</v>
      </c>
      <c r="Q553" s="776">
        <f t="shared" si="86"/>
        <v>0</v>
      </c>
      <c r="R553" s="776">
        <f t="shared" si="87"/>
        <v>0</v>
      </c>
      <c r="S553" s="552">
        <f t="shared" si="88"/>
        <v>0</v>
      </c>
      <c r="T553" s="626">
        <f t="shared" si="81"/>
        <v>0</v>
      </c>
      <c r="U553" s="626">
        <f t="shared" si="82"/>
        <v>0</v>
      </c>
      <c r="V553" s="553">
        <f t="shared" si="83"/>
        <v>0</v>
      </c>
      <c r="W553" s="554">
        <f t="shared" si="89"/>
        <v>0</v>
      </c>
      <c r="X553" s="454" t="s">
        <v>1454</v>
      </c>
      <c r="Y553" s="631">
        <f>IF(Q553=0,0,(Q553+R553)*'1.0-Contractblad'!$L$98)</f>
        <v>0</v>
      </c>
      <c r="Z553" s="632">
        <f>IF(J553=0,0,VLOOKUP(D553,'1.1a-Jaarprijzen'!$B$70:$P$124,14,FALSE)*(K553+J553))</f>
        <v>0</v>
      </c>
    </row>
    <row r="554" spans="1:26" hidden="1">
      <c r="A554" s="558"/>
      <c r="B554" s="548"/>
      <c r="C554" s="659">
        <v>3</v>
      </c>
      <c r="D554" s="549" t="s">
        <v>1479</v>
      </c>
      <c r="E554" s="550" t="s">
        <v>502</v>
      </c>
      <c r="F554" s="551" t="s">
        <v>446</v>
      </c>
      <c r="G554" s="649" t="s">
        <v>493</v>
      </c>
      <c r="H554" s="647" t="str">
        <f t="shared" si="80"/>
        <v>niet van toepassing</v>
      </c>
      <c r="I554" s="719" t="s">
        <v>499</v>
      </c>
      <c r="J554" s="623"/>
      <c r="K554" s="623">
        <v>12.3</v>
      </c>
      <c r="L554" s="668" t="s">
        <v>27</v>
      </c>
      <c r="M554" s="557">
        <f t="shared" si="84"/>
        <v>0</v>
      </c>
      <c r="N554" s="453"/>
      <c r="O554" s="557">
        <f t="shared" si="85"/>
        <v>0</v>
      </c>
      <c r="P554" s="633">
        <v>1</v>
      </c>
      <c r="Q554" s="776">
        <f t="shared" si="86"/>
        <v>0</v>
      </c>
      <c r="R554" s="776">
        <f t="shared" si="87"/>
        <v>0</v>
      </c>
      <c r="S554" s="552">
        <f t="shared" si="88"/>
        <v>0</v>
      </c>
      <c r="T554" s="626">
        <f t="shared" si="81"/>
        <v>0</v>
      </c>
      <c r="U554" s="626">
        <f t="shared" si="82"/>
        <v>0</v>
      </c>
      <c r="V554" s="553">
        <f t="shared" si="83"/>
        <v>0</v>
      </c>
      <c r="W554" s="554">
        <f t="shared" si="89"/>
        <v>0</v>
      </c>
      <c r="X554" s="454"/>
      <c r="Y554" s="631">
        <f>IF(Q554=0,0,(Q554+R554)*'1.0-Contractblad'!$L$98)</f>
        <v>0</v>
      </c>
      <c r="Z554" s="632">
        <f>IF(J554=0,0,VLOOKUP(D554,'1.1a-Jaarprijzen'!$B$70:$P$124,14,FALSE)*(K554+J554))</f>
        <v>0</v>
      </c>
    </row>
    <row r="555" spans="1:26" hidden="1">
      <c r="A555" s="558"/>
      <c r="B555" s="548"/>
      <c r="C555" s="659">
        <v>3</v>
      </c>
      <c r="D555" s="549" t="s">
        <v>1479</v>
      </c>
      <c r="E555" s="550" t="s">
        <v>502</v>
      </c>
      <c r="F555" s="551" t="s">
        <v>1007</v>
      </c>
      <c r="G555" s="649" t="s">
        <v>493</v>
      </c>
      <c r="H555" s="647" t="str">
        <f t="shared" si="80"/>
        <v>niet van toepassing</v>
      </c>
      <c r="I555" s="719" t="s">
        <v>499</v>
      </c>
      <c r="J555" s="623"/>
      <c r="K555" s="623">
        <v>33.299999999999997</v>
      </c>
      <c r="L555" s="668" t="s">
        <v>27</v>
      </c>
      <c r="M555" s="557">
        <f t="shared" si="84"/>
        <v>0</v>
      </c>
      <c r="N555" s="453"/>
      <c r="O555" s="557">
        <f t="shared" si="85"/>
        <v>0</v>
      </c>
      <c r="P555" s="633">
        <v>1</v>
      </c>
      <c r="Q555" s="776">
        <f t="shared" si="86"/>
        <v>0</v>
      </c>
      <c r="R555" s="776">
        <f t="shared" si="87"/>
        <v>0</v>
      </c>
      <c r="S555" s="552">
        <f t="shared" si="88"/>
        <v>0</v>
      </c>
      <c r="T555" s="626">
        <f t="shared" si="81"/>
        <v>0</v>
      </c>
      <c r="U555" s="626">
        <f t="shared" si="82"/>
        <v>0</v>
      </c>
      <c r="V555" s="553">
        <f t="shared" si="83"/>
        <v>0</v>
      </c>
      <c r="W555" s="554">
        <f t="shared" si="89"/>
        <v>0</v>
      </c>
      <c r="X555" s="454"/>
      <c r="Y555" s="631">
        <f>IF(Q555=0,0,(Q555+R555)*'1.0-Contractblad'!$L$98)</f>
        <v>0</v>
      </c>
      <c r="Z555" s="632">
        <f>IF(J555=0,0,VLOOKUP(D555,'1.1a-Jaarprijzen'!$B$70:$P$124,14,FALSE)*(K555+J555))</f>
        <v>0</v>
      </c>
    </row>
    <row r="556" spans="1:26" hidden="1">
      <c r="A556" s="558"/>
      <c r="B556" s="548"/>
      <c r="C556" s="659">
        <v>3</v>
      </c>
      <c r="D556" s="549" t="s">
        <v>1479</v>
      </c>
      <c r="E556" s="550" t="s">
        <v>502</v>
      </c>
      <c r="F556" s="551" t="s">
        <v>1008</v>
      </c>
      <c r="G556" s="649" t="s">
        <v>1352</v>
      </c>
      <c r="H556" s="647" t="str">
        <f t="shared" si="80"/>
        <v>niet van toepassing</v>
      </c>
      <c r="I556" s="719"/>
      <c r="J556" s="623"/>
      <c r="K556" s="623"/>
      <c r="L556" s="668" t="s">
        <v>27</v>
      </c>
      <c r="M556" s="557">
        <f t="shared" si="84"/>
        <v>0</v>
      </c>
      <c r="N556" s="453"/>
      <c r="O556" s="557">
        <f t="shared" si="85"/>
        <v>0</v>
      </c>
      <c r="P556" s="633">
        <v>1</v>
      </c>
      <c r="Q556" s="776">
        <f t="shared" si="86"/>
        <v>0</v>
      </c>
      <c r="R556" s="776">
        <f t="shared" si="87"/>
        <v>0</v>
      </c>
      <c r="S556" s="552">
        <f t="shared" si="88"/>
        <v>0</v>
      </c>
      <c r="T556" s="626">
        <f t="shared" si="81"/>
        <v>0</v>
      </c>
      <c r="U556" s="626">
        <f t="shared" si="82"/>
        <v>0</v>
      </c>
      <c r="V556" s="553">
        <f t="shared" si="83"/>
        <v>0</v>
      </c>
      <c r="W556" s="554">
        <f t="shared" si="89"/>
        <v>0</v>
      </c>
      <c r="X556" s="454" t="s">
        <v>1454</v>
      </c>
      <c r="Y556" s="631">
        <f>IF(Q556=0,0,(Q556+R556)*'1.0-Contractblad'!$L$98)</f>
        <v>0</v>
      </c>
      <c r="Z556" s="632">
        <f>IF(J556=0,0,VLOOKUP(D556,'1.1a-Jaarprijzen'!$B$70:$P$124,14,FALSE)*(K556+J556))</f>
        <v>0</v>
      </c>
    </row>
    <row r="557" spans="1:26" hidden="1">
      <c r="A557" s="558"/>
      <c r="B557" s="548"/>
      <c r="C557" s="659">
        <v>3</v>
      </c>
      <c r="D557" s="549" t="s">
        <v>1479</v>
      </c>
      <c r="E557" s="550" t="s">
        <v>502</v>
      </c>
      <c r="F557" s="551" t="s">
        <v>1009</v>
      </c>
      <c r="G557" s="649" t="s">
        <v>493</v>
      </c>
      <c r="H557" s="647" t="str">
        <f t="shared" si="80"/>
        <v>niet van toepassing</v>
      </c>
      <c r="I557" s="719" t="s">
        <v>499</v>
      </c>
      <c r="J557" s="623"/>
      <c r="K557" s="623">
        <v>41.7</v>
      </c>
      <c r="L557" s="668" t="s">
        <v>27</v>
      </c>
      <c r="M557" s="557">
        <f t="shared" si="84"/>
        <v>0</v>
      </c>
      <c r="N557" s="453"/>
      <c r="O557" s="557">
        <f t="shared" si="85"/>
        <v>0</v>
      </c>
      <c r="P557" s="633">
        <v>1</v>
      </c>
      <c r="Q557" s="776">
        <f t="shared" si="86"/>
        <v>0</v>
      </c>
      <c r="R557" s="776">
        <f t="shared" si="87"/>
        <v>0</v>
      </c>
      <c r="S557" s="552">
        <f t="shared" si="88"/>
        <v>0</v>
      </c>
      <c r="T557" s="626">
        <f t="shared" si="81"/>
        <v>0</v>
      </c>
      <c r="U557" s="626">
        <f t="shared" si="82"/>
        <v>0</v>
      </c>
      <c r="V557" s="553">
        <f t="shared" si="83"/>
        <v>0</v>
      </c>
      <c r="W557" s="554">
        <f t="shared" si="89"/>
        <v>0</v>
      </c>
      <c r="X557" s="454"/>
      <c r="Y557" s="631">
        <f>IF(Q557=0,0,(Q557+R557)*'1.0-Contractblad'!$L$98)</f>
        <v>0</v>
      </c>
      <c r="Z557" s="632">
        <f>IF(J557=0,0,VLOOKUP(D557,'1.1a-Jaarprijzen'!$B$70:$P$124,14,FALSE)*(K557+J557))</f>
        <v>0</v>
      </c>
    </row>
    <row r="558" spans="1:26" hidden="1">
      <c r="A558" s="558"/>
      <c r="B558" s="548"/>
      <c r="C558" s="659">
        <v>3</v>
      </c>
      <c r="D558" s="549" t="s">
        <v>1479</v>
      </c>
      <c r="E558" s="550" t="s">
        <v>502</v>
      </c>
      <c r="F558" s="551" t="s">
        <v>1010</v>
      </c>
      <c r="G558" s="649" t="s">
        <v>1352</v>
      </c>
      <c r="H558" s="647" t="str">
        <f t="shared" si="80"/>
        <v>niet van toepassing</v>
      </c>
      <c r="I558" s="719"/>
      <c r="J558" s="623"/>
      <c r="K558" s="623"/>
      <c r="L558" s="668" t="s">
        <v>27</v>
      </c>
      <c r="M558" s="557">
        <f t="shared" si="84"/>
        <v>0</v>
      </c>
      <c r="N558" s="453"/>
      <c r="O558" s="557">
        <f t="shared" si="85"/>
        <v>0</v>
      </c>
      <c r="P558" s="633">
        <v>1</v>
      </c>
      <c r="Q558" s="776">
        <f t="shared" si="86"/>
        <v>0</v>
      </c>
      <c r="R558" s="776">
        <f t="shared" si="87"/>
        <v>0</v>
      </c>
      <c r="S558" s="552">
        <f t="shared" si="88"/>
        <v>0</v>
      </c>
      <c r="T558" s="626">
        <f t="shared" si="81"/>
        <v>0</v>
      </c>
      <c r="U558" s="626">
        <f t="shared" si="82"/>
        <v>0</v>
      </c>
      <c r="V558" s="553">
        <f t="shared" si="83"/>
        <v>0</v>
      </c>
      <c r="W558" s="554">
        <f t="shared" si="89"/>
        <v>0</v>
      </c>
      <c r="X558" s="454" t="s">
        <v>1454</v>
      </c>
      <c r="Y558" s="631">
        <f>IF(Q558=0,0,(Q558+R558)*'1.0-Contractblad'!$L$98)</f>
        <v>0</v>
      </c>
      <c r="Z558" s="632">
        <f>IF(J558=0,0,VLOOKUP(D558,'1.1a-Jaarprijzen'!$B$70:$P$124,14,FALSE)*(K558+J558))</f>
        <v>0</v>
      </c>
    </row>
    <row r="559" spans="1:26" hidden="1">
      <c r="A559" s="558"/>
      <c r="B559" s="548"/>
      <c r="C559" s="659">
        <v>3</v>
      </c>
      <c r="D559" s="549" t="s">
        <v>1479</v>
      </c>
      <c r="E559" s="550" t="s">
        <v>502</v>
      </c>
      <c r="F559" s="551" t="s">
        <v>1011</v>
      </c>
      <c r="G559" s="649" t="s">
        <v>1338</v>
      </c>
      <c r="H559" s="647" t="str">
        <f t="shared" si="80"/>
        <v>niet van toepassing</v>
      </c>
      <c r="I559" s="719" t="s">
        <v>499</v>
      </c>
      <c r="J559" s="623"/>
      <c r="K559" s="623">
        <v>55.1</v>
      </c>
      <c r="L559" s="668" t="s">
        <v>27</v>
      </c>
      <c r="M559" s="557">
        <f t="shared" si="84"/>
        <v>0</v>
      </c>
      <c r="N559" s="453"/>
      <c r="O559" s="557">
        <f t="shared" si="85"/>
        <v>0</v>
      </c>
      <c r="P559" s="633">
        <v>1</v>
      </c>
      <c r="Q559" s="776">
        <f t="shared" si="86"/>
        <v>0</v>
      </c>
      <c r="R559" s="776">
        <f t="shared" si="87"/>
        <v>0</v>
      </c>
      <c r="S559" s="552">
        <f t="shared" si="88"/>
        <v>0</v>
      </c>
      <c r="T559" s="626">
        <f t="shared" si="81"/>
        <v>0</v>
      </c>
      <c r="U559" s="626">
        <f t="shared" si="82"/>
        <v>0</v>
      </c>
      <c r="V559" s="553">
        <f t="shared" si="83"/>
        <v>0</v>
      </c>
      <c r="W559" s="554">
        <f t="shared" si="89"/>
        <v>0</v>
      </c>
      <c r="X559" s="454"/>
      <c r="Y559" s="631">
        <f>IF(Q559=0,0,(Q559+R559)*'1.0-Contractblad'!$L$98)</f>
        <v>0</v>
      </c>
      <c r="Z559" s="632">
        <f>IF(J559=0,0,VLOOKUP(D559,'1.1a-Jaarprijzen'!$B$70:$P$124,14,FALSE)*(K559+J559))</f>
        <v>0</v>
      </c>
    </row>
    <row r="560" spans="1:26" hidden="1">
      <c r="A560" s="558"/>
      <c r="B560" s="548"/>
      <c r="C560" s="659">
        <v>3</v>
      </c>
      <c r="D560" s="549" t="s">
        <v>1479</v>
      </c>
      <c r="E560" s="550" t="s">
        <v>502</v>
      </c>
      <c r="F560" s="551" t="s">
        <v>1012</v>
      </c>
      <c r="G560" s="649" t="s">
        <v>1235</v>
      </c>
      <c r="H560" s="647" t="str">
        <f t="shared" si="80"/>
        <v>niet van toepassing</v>
      </c>
      <c r="I560" s="719"/>
      <c r="J560" s="623"/>
      <c r="K560" s="623"/>
      <c r="L560" s="668" t="s">
        <v>27</v>
      </c>
      <c r="M560" s="557">
        <f t="shared" si="84"/>
        <v>0</v>
      </c>
      <c r="N560" s="453"/>
      <c r="O560" s="557">
        <f t="shared" si="85"/>
        <v>0</v>
      </c>
      <c r="P560" s="633">
        <v>1</v>
      </c>
      <c r="Q560" s="776">
        <f t="shared" si="86"/>
        <v>0</v>
      </c>
      <c r="R560" s="776">
        <f t="shared" si="87"/>
        <v>0</v>
      </c>
      <c r="S560" s="552">
        <f t="shared" si="88"/>
        <v>0</v>
      </c>
      <c r="T560" s="626">
        <f t="shared" si="81"/>
        <v>0</v>
      </c>
      <c r="U560" s="626">
        <f t="shared" si="82"/>
        <v>0</v>
      </c>
      <c r="V560" s="553">
        <f t="shared" si="83"/>
        <v>0</v>
      </c>
      <c r="W560" s="554">
        <f t="shared" si="89"/>
        <v>0</v>
      </c>
      <c r="X560" s="454" t="s">
        <v>1454</v>
      </c>
      <c r="Y560" s="631">
        <f>IF(Q560=0,0,(Q560+R560)*'1.0-Contractblad'!$L$98)</f>
        <v>0</v>
      </c>
      <c r="Z560" s="632">
        <f>IF(J560=0,0,VLOOKUP(D560,'1.1a-Jaarprijzen'!$B$70:$P$124,14,FALSE)*(K560+J560))</f>
        <v>0</v>
      </c>
    </row>
    <row r="561" spans="1:26" hidden="1">
      <c r="A561" s="558"/>
      <c r="B561" s="548"/>
      <c r="C561" s="659">
        <v>3</v>
      </c>
      <c r="D561" s="549" t="s">
        <v>1479</v>
      </c>
      <c r="E561" s="550" t="s">
        <v>502</v>
      </c>
      <c r="F561" s="551" t="s">
        <v>1013</v>
      </c>
      <c r="G561" s="649" t="s">
        <v>493</v>
      </c>
      <c r="H561" s="647" t="str">
        <f t="shared" si="80"/>
        <v>niet van toepassing</v>
      </c>
      <c r="I561" s="719" t="s">
        <v>499</v>
      </c>
      <c r="J561" s="623"/>
      <c r="K561" s="623">
        <v>12.8</v>
      </c>
      <c r="L561" s="668" t="s">
        <v>27</v>
      </c>
      <c r="M561" s="557">
        <f t="shared" si="84"/>
        <v>0</v>
      </c>
      <c r="N561" s="453"/>
      <c r="O561" s="557">
        <f t="shared" si="85"/>
        <v>0</v>
      </c>
      <c r="P561" s="633">
        <v>1</v>
      </c>
      <c r="Q561" s="776">
        <f t="shared" si="86"/>
        <v>0</v>
      </c>
      <c r="R561" s="776">
        <f t="shared" si="87"/>
        <v>0</v>
      </c>
      <c r="S561" s="552">
        <f t="shared" si="88"/>
        <v>0</v>
      </c>
      <c r="T561" s="626">
        <f t="shared" si="81"/>
        <v>0</v>
      </c>
      <c r="U561" s="626">
        <f t="shared" si="82"/>
        <v>0</v>
      </c>
      <c r="V561" s="553">
        <f t="shared" si="83"/>
        <v>0</v>
      </c>
      <c r="W561" s="554">
        <f t="shared" si="89"/>
        <v>0</v>
      </c>
      <c r="X561" s="454"/>
      <c r="Y561" s="631">
        <f>IF(Q561=0,0,(Q561+R561)*'1.0-Contractblad'!$L$98)</f>
        <v>0</v>
      </c>
      <c r="Z561" s="632">
        <f>IF(J561=0,0,VLOOKUP(D561,'1.1a-Jaarprijzen'!$B$70:$P$124,14,FALSE)*(K561+J561))</f>
        <v>0</v>
      </c>
    </row>
    <row r="562" spans="1:26" hidden="1">
      <c r="A562" s="558"/>
      <c r="B562" s="548"/>
      <c r="C562" s="659">
        <v>3</v>
      </c>
      <c r="D562" s="549" t="s">
        <v>1479</v>
      </c>
      <c r="E562" s="550" t="s">
        <v>502</v>
      </c>
      <c r="F562" s="551" t="s">
        <v>1014</v>
      </c>
      <c r="G562" s="649" t="s">
        <v>488</v>
      </c>
      <c r="H562" s="647" t="str">
        <f t="shared" si="80"/>
        <v>sanitaire ruimte (toilet-/doucheruimte)</v>
      </c>
      <c r="I562" s="719" t="s">
        <v>1407</v>
      </c>
      <c r="J562" s="623">
        <v>1.8</v>
      </c>
      <c r="K562" s="623"/>
      <c r="L562" s="559">
        <v>4153</v>
      </c>
      <c r="M562" s="557">
        <f t="shared" si="84"/>
        <v>104</v>
      </c>
      <c r="N562" s="453"/>
      <c r="O562" s="557">
        <f t="shared" si="85"/>
        <v>153</v>
      </c>
      <c r="P562" s="633">
        <v>1</v>
      </c>
      <c r="Q562" s="776">
        <f t="shared" si="86"/>
        <v>0</v>
      </c>
      <c r="R562" s="776">
        <f t="shared" si="87"/>
        <v>0</v>
      </c>
      <c r="S562" s="552">
        <f t="shared" si="88"/>
        <v>0</v>
      </c>
      <c r="T562" s="626">
        <f t="shared" si="81"/>
        <v>0</v>
      </c>
      <c r="U562" s="626">
        <f t="shared" si="82"/>
        <v>0</v>
      </c>
      <c r="V562" s="553">
        <f t="shared" si="83"/>
        <v>0</v>
      </c>
      <c r="W562" s="554" t="str">
        <f t="shared" si="89"/>
        <v>S</v>
      </c>
      <c r="X562" s="555"/>
      <c r="Y562" s="631">
        <f>IF(Q562=0,0,(Q562+R562)*'1.0-Contractblad'!$L$98)</f>
        <v>0</v>
      </c>
      <c r="Z562" s="632">
        <f ca="1">IF(J562=0,0,VLOOKUP(D562,'1.1a-Jaarprijzen'!$B$70:$P$124,14,FALSE)*(K562+J562))</f>
        <v>0</v>
      </c>
    </row>
    <row r="563" spans="1:26" hidden="1">
      <c r="A563" s="558"/>
      <c r="B563" s="548"/>
      <c r="C563" s="659">
        <v>3</v>
      </c>
      <c r="D563" s="549" t="s">
        <v>1479</v>
      </c>
      <c r="E563" s="550" t="s">
        <v>502</v>
      </c>
      <c r="F563" s="551" t="s">
        <v>1015</v>
      </c>
      <c r="G563" s="649" t="s">
        <v>488</v>
      </c>
      <c r="H563" s="647" t="str">
        <f t="shared" si="80"/>
        <v>sanitaire ruimte (toilet-/doucheruimte)</v>
      </c>
      <c r="I563" s="719" t="s">
        <v>1407</v>
      </c>
      <c r="J563" s="623">
        <v>1.8</v>
      </c>
      <c r="K563" s="623"/>
      <c r="L563" s="559">
        <v>4153</v>
      </c>
      <c r="M563" s="557">
        <f t="shared" si="84"/>
        <v>104</v>
      </c>
      <c r="N563" s="453"/>
      <c r="O563" s="557">
        <f t="shared" si="85"/>
        <v>153</v>
      </c>
      <c r="P563" s="633">
        <v>1</v>
      </c>
      <c r="Q563" s="776">
        <f t="shared" si="86"/>
        <v>0</v>
      </c>
      <c r="R563" s="776">
        <f t="shared" si="87"/>
        <v>0</v>
      </c>
      <c r="S563" s="552">
        <f t="shared" si="88"/>
        <v>0</v>
      </c>
      <c r="T563" s="626">
        <f t="shared" si="81"/>
        <v>0</v>
      </c>
      <c r="U563" s="626">
        <f t="shared" si="82"/>
        <v>0</v>
      </c>
      <c r="V563" s="553">
        <f t="shared" si="83"/>
        <v>0</v>
      </c>
      <c r="W563" s="554" t="str">
        <f t="shared" si="89"/>
        <v>S</v>
      </c>
      <c r="X563" s="555"/>
      <c r="Y563" s="631">
        <f>IF(Q563=0,0,(Q563+R563)*'1.0-Contractblad'!$L$98)</f>
        <v>0</v>
      </c>
      <c r="Z563" s="632">
        <f ca="1">IF(J563=0,0,VLOOKUP(D563,'1.1a-Jaarprijzen'!$B$70:$P$124,14,FALSE)*(K563+J563))</f>
        <v>0</v>
      </c>
    </row>
    <row r="564" spans="1:26" hidden="1">
      <c r="A564" s="558"/>
      <c r="B564" s="548"/>
      <c r="C564" s="659">
        <v>3</v>
      </c>
      <c r="D564" s="549" t="s">
        <v>1479</v>
      </c>
      <c r="E564" s="550" t="s">
        <v>502</v>
      </c>
      <c r="F564" s="551" t="s">
        <v>1016</v>
      </c>
      <c r="G564" s="649" t="s">
        <v>493</v>
      </c>
      <c r="H564" s="647" t="str">
        <f t="shared" si="80"/>
        <v>niet van toepassing</v>
      </c>
      <c r="I564" s="719" t="s">
        <v>499</v>
      </c>
      <c r="J564" s="623"/>
      <c r="K564" s="623">
        <v>18.7</v>
      </c>
      <c r="L564" s="668" t="s">
        <v>27</v>
      </c>
      <c r="M564" s="557">
        <f t="shared" si="84"/>
        <v>0</v>
      </c>
      <c r="N564" s="453"/>
      <c r="O564" s="557">
        <f t="shared" si="85"/>
        <v>0</v>
      </c>
      <c r="P564" s="633">
        <v>1</v>
      </c>
      <c r="Q564" s="776">
        <f t="shared" si="86"/>
        <v>0</v>
      </c>
      <c r="R564" s="776">
        <f t="shared" si="87"/>
        <v>0</v>
      </c>
      <c r="S564" s="552">
        <f t="shared" si="88"/>
        <v>0</v>
      </c>
      <c r="T564" s="626">
        <f t="shared" si="81"/>
        <v>0</v>
      </c>
      <c r="U564" s="626">
        <f t="shared" si="82"/>
        <v>0</v>
      </c>
      <c r="V564" s="553">
        <f t="shared" si="83"/>
        <v>0</v>
      </c>
      <c r="W564" s="554">
        <f t="shared" si="89"/>
        <v>0</v>
      </c>
      <c r="X564" s="454"/>
      <c r="Y564" s="631">
        <f>IF(Q564=0,0,(Q564+R564)*'1.0-Contractblad'!$L$98)</f>
        <v>0</v>
      </c>
      <c r="Z564" s="632">
        <f>IF(J564=0,0,VLOOKUP(D564,'1.1a-Jaarprijzen'!$B$70:$P$124,14,FALSE)*(K564+J564))</f>
        <v>0</v>
      </c>
    </row>
    <row r="565" spans="1:26" hidden="1">
      <c r="A565" s="558"/>
      <c r="B565" s="548"/>
      <c r="C565" s="659">
        <v>3</v>
      </c>
      <c r="D565" s="549" t="s">
        <v>1479</v>
      </c>
      <c r="E565" s="550" t="s">
        <v>502</v>
      </c>
      <c r="F565" s="551" t="s">
        <v>1017</v>
      </c>
      <c r="G565" s="649" t="s">
        <v>1235</v>
      </c>
      <c r="H565" s="647" t="str">
        <f t="shared" si="80"/>
        <v>niet van toepassing</v>
      </c>
      <c r="I565" s="719"/>
      <c r="J565" s="623"/>
      <c r="K565" s="623"/>
      <c r="L565" s="668" t="s">
        <v>27</v>
      </c>
      <c r="M565" s="557">
        <f t="shared" si="84"/>
        <v>0</v>
      </c>
      <c r="N565" s="453"/>
      <c r="O565" s="557">
        <f t="shared" si="85"/>
        <v>0</v>
      </c>
      <c r="P565" s="633">
        <v>1</v>
      </c>
      <c r="Q565" s="776">
        <f t="shared" si="86"/>
        <v>0</v>
      </c>
      <c r="R565" s="776">
        <f t="shared" si="87"/>
        <v>0</v>
      </c>
      <c r="S565" s="552">
        <f t="shared" si="88"/>
        <v>0</v>
      </c>
      <c r="T565" s="626">
        <f t="shared" si="81"/>
        <v>0</v>
      </c>
      <c r="U565" s="626">
        <f t="shared" si="82"/>
        <v>0</v>
      </c>
      <c r="V565" s="553">
        <f t="shared" si="83"/>
        <v>0</v>
      </c>
      <c r="W565" s="554">
        <f t="shared" si="89"/>
        <v>0</v>
      </c>
      <c r="X565" s="454" t="s">
        <v>1454</v>
      </c>
      <c r="Y565" s="631">
        <f>IF(Q565=0,0,(Q565+R565)*'1.0-Contractblad'!$L$98)</f>
        <v>0</v>
      </c>
      <c r="Z565" s="632">
        <f>IF(J565=0,0,VLOOKUP(D565,'1.1a-Jaarprijzen'!$B$70:$P$124,14,FALSE)*(K565+J565))</f>
        <v>0</v>
      </c>
    </row>
    <row r="566" spans="1:26" hidden="1">
      <c r="A566" s="558"/>
      <c r="B566" s="548"/>
      <c r="C566" s="659">
        <v>3</v>
      </c>
      <c r="D566" s="549" t="s">
        <v>1479</v>
      </c>
      <c r="E566" s="550" t="s">
        <v>502</v>
      </c>
      <c r="F566" s="551" t="s">
        <v>1018</v>
      </c>
      <c r="G566" s="649" t="s">
        <v>493</v>
      </c>
      <c r="H566" s="647" t="str">
        <f t="shared" si="80"/>
        <v>niet van toepassing</v>
      </c>
      <c r="I566" s="719" t="s">
        <v>499</v>
      </c>
      <c r="J566" s="623"/>
      <c r="K566" s="623">
        <v>12.9</v>
      </c>
      <c r="L566" s="668" t="s">
        <v>27</v>
      </c>
      <c r="M566" s="557">
        <f t="shared" si="84"/>
        <v>0</v>
      </c>
      <c r="N566" s="453"/>
      <c r="O566" s="557">
        <f t="shared" si="85"/>
        <v>0</v>
      </c>
      <c r="P566" s="633">
        <v>1</v>
      </c>
      <c r="Q566" s="776">
        <f t="shared" si="86"/>
        <v>0</v>
      </c>
      <c r="R566" s="776">
        <f t="shared" si="87"/>
        <v>0</v>
      </c>
      <c r="S566" s="552">
        <f t="shared" si="88"/>
        <v>0</v>
      </c>
      <c r="T566" s="626">
        <f t="shared" si="81"/>
        <v>0</v>
      </c>
      <c r="U566" s="626">
        <f t="shared" si="82"/>
        <v>0</v>
      </c>
      <c r="V566" s="553">
        <f t="shared" si="83"/>
        <v>0</v>
      </c>
      <c r="W566" s="554">
        <f t="shared" si="89"/>
        <v>0</v>
      </c>
      <c r="X566" s="454"/>
      <c r="Y566" s="631">
        <f>IF(Q566=0,0,(Q566+R566)*'1.0-Contractblad'!$L$98)</f>
        <v>0</v>
      </c>
      <c r="Z566" s="632">
        <f>IF(J566=0,0,VLOOKUP(D566,'1.1a-Jaarprijzen'!$B$70:$P$124,14,FALSE)*(K566+J566))</f>
        <v>0</v>
      </c>
    </row>
    <row r="567" spans="1:26" hidden="1">
      <c r="A567" s="558"/>
      <c r="B567" s="548"/>
      <c r="C567" s="659">
        <v>3</v>
      </c>
      <c r="D567" s="549" t="s">
        <v>1479</v>
      </c>
      <c r="E567" s="550" t="s">
        <v>502</v>
      </c>
      <c r="F567" s="551" t="s">
        <v>1019</v>
      </c>
      <c r="G567" s="649" t="s">
        <v>1353</v>
      </c>
      <c r="H567" s="647" t="str">
        <f t="shared" si="80"/>
        <v>niet van toepassing</v>
      </c>
      <c r="I567" s="719"/>
      <c r="J567" s="623"/>
      <c r="K567" s="623"/>
      <c r="L567" s="668" t="s">
        <v>27</v>
      </c>
      <c r="M567" s="557">
        <f t="shared" si="84"/>
        <v>0</v>
      </c>
      <c r="N567" s="453"/>
      <c r="O567" s="557">
        <f t="shared" si="85"/>
        <v>0</v>
      </c>
      <c r="P567" s="633">
        <v>1</v>
      </c>
      <c r="Q567" s="776">
        <f t="shared" si="86"/>
        <v>0</v>
      </c>
      <c r="R567" s="776">
        <f t="shared" si="87"/>
        <v>0</v>
      </c>
      <c r="S567" s="552">
        <f t="shared" si="88"/>
        <v>0</v>
      </c>
      <c r="T567" s="626">
        <f t="shared" si="81"/>
        <v>0</v>
      </c>
      <c r="U567" s="626">
        <f t="shared" si="82"/>
        <v>0</v>
      </c>
      <c r="V567" s="553">
        <f t="shared" si="83"/>
        <v>0</v>
      </c>
      <c r="W567" s="554">
        <f t="shared" si="89"/>
        <v>0</v>
      </c>
      <c r="X567" s="454" t="s">
        <v>1454</v>
      </c>
      <c r="Y567" s="631">
        <f>IF(Q567=0,0,(Q567+R567)*'1.0-Contractblad'!$L$98)</f>
        <v>0</v>
      </c>
      <c r="Z567" s="632">
        <f>IF(J567=0,0,VLOOKUP(D567,'1.1a-Jaarprijzen'!$B$70:$P$124,14,FALSE)*(K567+J567))</f>
        <v>0</v>
      </c>
    </row>
    <row r="568" spans="1:26" hidden="1">
      <c r="A568" s="558"/>
      <c r="B568" s="548"/>
      <c r="C568" s="659">
        <v>3</v>
      </c>
      <c r="D568" s="549" t="s">
        <v>1479</v>
      </c>
      <c r="E568" s="550" t="s">
        <v>502</v>
      </c>
      <c r="F568" s="551" t="s">
        <v>1020</v>
      </c>
      <c r="G568" s="649" t="s">
        <v>1354</v>
      </c>
      <c r="H568" s="647" t="str">
        <f t="shared" si="80"/>
        <v>sanitaire ruimte (toilet-/doucheruimte)</v>
      </c>
      <c r="I568" s="719" t="s">
        <v>1407</v>
      </c>
      <c r="J568" s="623">
        <v>1.2</v>
      </c>
      <c r="K568" s="623"/>
      <c r="L568" s="559">
        <v>4153</v>
      </c>
      <c r="M568" s="557">
        <f t="shared" si="84"/>
        <v>104</v>
      </c>
      <c r="N568" s="453"/>
      <c r="O568" s="557">
        <f t="shared" si="85"/>
        <v>153</v>
      </c>
      <c r="P568" s="633">
        <v>1</v>
      </c>
      <c r="Q568" s="776">
        <f t="shared" si="86"/>
        <v>0</v>
      </c>
      <c r="R568" s="776">
        <f t="shared" si="87"/>
        <v>0</v>
      </c>
      <c r="S568" s="552">
        <f t="shared" si="88"/>
        <v>0</v>
      </c>
      <c r="T568" s="626">
        <f t="shared" si="81"/>
        <v>0</v>
      </c>
      <c r="U568" s="626">
        <f t="shared" si="82"/>
        <v>0</v>
      </c>
      <c r="V568" s="553">
        <f t="shared" si="83"/>
        <v>0</v>
      </c>
      <c r="W568" s="554" t="str">
        <f t="shared" si="89"/>
        <v>S</v>
      </c>
      <c r="X568" s="555"/>
      <c r="Y568" s="631">
        <f>IF(Q568=0,0,(Q568+R568)*'1.0-Contractblad'!$L$98)</f>
        <v>0</v>
      </c>
      <c r="Z568" s="632">
        <f ca="1">IF(J568=0,0,VLOOKUP(D568,'1.1a-Jaarprijzen'!$B$70:$P$124,14,FALSE)*(K568+J568))</f>
        <v>0</v>
      </c>
    </row>
    <row r="569" spans="1:26" hidden="1">
      <c r="A569" s="558"/>
      <c r="B569" s="548"/>
      <c r="C569" s="659">
        <v>3</v>
      </c>
      <c r="D569" s="549" t="s">
        <v>1479</v>
      </c>
      <c r="E569" s="550" t="s">
        <v>502</v>
      </c>
      <c r="F569" s="551" t="s">
        <v>1021</v>
      </c>
      <c r="G569" s="649" t="s">
        <v>1355</v>
      </c>
      <c r="H569" s="647" t="str">
        <f t="shared" si="80"/>
        <v>sanitaire ruimte (toilet-/doucheruimte)</v>
      </c>
      <c r="I569" s="719" t="s">
        <v>492</v>
      </c>
      <c r="J569" s="623">
        <v>3.6</v>
      </c>
      <c r="K569" s="623"/>
      <c r="L569" s="559">
        <v>4153</v>
      </c>
      <c r="M569" s="557">
        <f t="shared" si="84"/>
        <v>104</v>
      </c>
      <c r="N569" s="453"/>
      <c r="O569" s="557">
        <f t="shared" si="85"/>
        <v>153</v>
      </c>
      <c r="P569" s="633">
        <v>1</v>
      </c>
      <c r="Q569" s="776">
        <f t="shared" si="86"/>
        <v>0</v>
      </c>
      <c r="R569" s="776">
        <f t="shared" si="87"/>
        <v>0</v>
      </c>
      <c r="S569" s="552">
        <f t="shared" si="88"/>
        <v>0</v>
      </c>
      <c r="T569" s="626">
        <f t="shared" si="81"/>
        <v>0</v>
      </c>
      <c r="U569" s="626">
        <f t="shared" si="82"/>
        <v>0</v>
      </c>
      <c r="V569" s="553">
        <f t="shared" si="83"/>
        <v>0</v>
      </c>
      <c r="W569" s="554" t="str">
        <f t="shared" si="89"/>
        <v>S</v>
      </c>
      <c r="X569" s="555"/>
      <c r="Y569" s="631">
        <f>IF(Q569=0,0,(Q569+R569)*'1.0-Contractblad'!$L$98)</f>
        <v>0</v>
      </c>
      <c r="Z569" s="632">
        <f ca="1">IF(J569=0,0,VLOOKUP(D569,'1.1a-Jaarprijzen'!$B$70:$P$124,14,FALSE)*(K569+J569))</f>
        <v>0</v>
      </c>
    </row>
    <row r="570" spans="1:26" hidden="1">
      <c r="A570" s="558"/>
      <c r="B570" s="548"/>
      <c r="C570" s="659">
        <v>3</v>
      </c>
      <c r="D570" s="549" t="s">
        <v>1479</v>
      </c>
      <c r="E570" s="550" t="s">
        <v>502</v>
      </c>
      <c r="F570" s="551" t="s">
        <v>1022</v>
      </c>
      <c r="G570" s="649" t="s">
        <v>1354</v>
      </c>
      <c r="H570" s="647" t="str">
        <f t="shared" si="80"/>
        <v>sanitaire ruimte (toilet-/doucheruimte)</v>
      </c>
      <c r="I570" s="719" t="s">
        <v>492</v>
      </c>
      <c r="J570" s="623">
        <v>1.2</v>
      </c>
      <c r="K570" s="623"/>
      <c r="L570" s="559">
        <v>4153</v>
      </c>
      <c r="M570" s="557">
        <f t="shared" si="84"/>
        <v>104</v>
      </c>
      <c r="N570" s="453"/>
      <c r="O570" s="557">
        <f t="shared" si="85"/>
        <v>153</v>
      </c>
      <c r="P570" s="633">
        <v>1</v>
      </c>
      <c r="Q570" s="776">
        <f t="shared" si="86"/>
        <v>0</v>
      </c>
      <c r="R570" s="776">
        <f t="shared" si="87"/>
        <v>0</v>
      </c>
      <c r="S570" s="552">
        <f t="shared" si="88"/>
        <v>0</v>
      </c>
      <c r="T570" s="626">
        <f t="shared" si="81"/>
        <v>0</v>
      </c>
      <c r="U570" s="626">
        <f t="shared" si="82"/>
        <v>0</v>
      </c>
      <c r="V570" s="553">
        <f t="shared" si="83"/>
        <v>0</v>
      </c>
      <c r="W570" s="554" t="str">
        <f t="shared" si="89"/>
        <v>S</v>
      </c>
      <c r="X570" s="555"/>
      <c r="Y570" s="631">
        <f>IF(Q570=0,0,(Q570+R570)*'1.0-Contractblad'!$L$98)</f>
        <v>0</v>
      </c>
      <c r="Z570" s="632">
        <f ca="1">IF(J570=0,0,VLOOKUP(D570,'1.1a-Jaarprijzen'!$B$70:$P$124,14,FALSE)*(K570+J570))</f>
        <v>0</v>
      </c>
    </row>
    <row r="571" spans="1:26" hidden="1">
      <c r="A571" s="558"/>
      <c r="B571" s="548"/>
      <c r="C571" s="659">
        <v>3</v>
      </c>
      <c r="D571" s="549" t="s">
        <v>1479</v>
      </c>
      <c r="E571" s="550" t="s">
        <v>502</v>
      </c>
      <c r="F571" s="551" t="s">
        <v>1023</v>
      </c>
      <c r="G571" s="649" t="s">
        <v>493</v>
      </c>
      <c r="H571" s="647" t="str">
        <f t="shared" si="80"/>
        <v>niet van toepassing</v>
      </c>
      <c r="I571" s="719" t="s">
        <v>499</v>
      </c>
      <c r="J571" s="623"/>
      <c r="K571" s="623">
        <v>20.100000000000001</v>
      </c>
      <c r="L571" s="668" t="s">
        <v>27</v>
      </c>
      <c r="M571" s="557">
        <f t="shared" si="84"/>
        <v>0</v>
      </c>
      <c r="N571" s="453"/>
      <c r="O571" s="557">
        <f t="shared" si="85"/>
        <v>0</v>
      </c>
      <c r="P571" s="633">
        <v>1</v>
      </c>
      <c r="Q571" s="776">
        <f t="shared" si="86"/>
        <v>0</v>
      </c>
      <c r="R571" s="776">
        <f t="shared" si="87"/>
        <v>0</v>
      </c>
      <c r="S571" s="552">
        <f t="shared" si="88"/>
        <v>0</v>
      </c>
      <c r="T571" s="626">
        <f t="shared" si="81"/>
        <v>0</v>
      </c>
      <c r="U571" s="626">
        <f t="shared" si="82"/>
        <v>0</v>
      </c>
      <c r="V571" s="553">
        <f t="shared" si="83"/>
        <v>0</v>
      </c>
      <c r="W571" s="554">
        <f t="shared" si="89"/>
        <v>0</v>
      </c>
      <c r="X571" s="454"/>
      <c r="Y571" s="631">
        <f>IF(Q571=0,0,(Q571+R571)*'1.0-Contractblad'!$L$98)</f>
        <v>0</v>
      </c>
      <c r="Z571" s="632">
        <f>IF(J571=0,0,VLOOKUP(D571,'1.1a-Jaarprijzen'!$B$70:$P$124,14,FALSE)*(K571+J571))</f>
        <v>0</v>
      </c>
    </row>
    <row r="572" spans="1:26" hidden="1">
      <c r="A572" s="558"/>
      <c r="B572" s="548"/>
      <c r="C572" s="659">
        <v>3</v>
      </c>
      <c r="D572" s="549" t="s">
        <v>1479</v>
      </c>
      <c r="E572" s="550" t="s">
        <v>502</v>
      </c>
      <c r="F572" s="551" t="s">
        <v>1024</v>
      </c>
      <c r="G572" s="649" t="s">
        <v>493</v>
      </c>
      <c r="H572" s="647" t="str">
        <f t="shared" si="80"/>
        <v>niet van toepassing</v>
      </c>
      <c r="I572" s="719" t="s">
        <v>499</v>
      </c>
      <c r="J572" s="623"/>
      <c r="K572" s="623">
        <v>20.100000000000001</v>
      </c>
      <c r="L572" s="668" t="s">
        <v>27</v>
      </c>
      <c r="M572" s="557">
        <f t="shared" si="84"/>
        <v>0</v>
      </c>
      <c r="N572" s="453"/>
      <c r="O572" s="557">
        <f t="shared" si="85"/>
        <v>0</v>
      </c>
      <c r="P572" s="633">
        <v>1</v>
      </c>
      <c r="Q572" s="776">
        <f t="shared" si="86"/>
        <v>0</v>
      </c>
      <c r="R572" s="776">
        <f t="shared" si="87"/>
        <v>0</v>
      </c>
      <c r="S572" s="552">
        <f t="shared" si="88"/>
        <v>0</v>
      </c>
      <c r="T572" s="626">
        <f t="shared" si="81"/>
        <v>0</v>
      </c>
      <c r="U572" s="626">
        <f t="shared" si="82"/>
        <v>0</v>
      </c>
      <c r="V572" s="553">
        <f t="shared" si="83"/>
        <v>0</v>
      </c>
      <c r="W572" s="554">
        <f t="shared" si="89"/>
        <v>0</v>
      </c>
      <c r="X572" s="454"/>
      <c r="Y572" s="631">
        <f>IF(Q572=0,0,(Q572+R572)*'1.0-Contractblad'!$L$98)</f>
        <v>0</v>
      </c>
      <c r="Z572" s="632">
        <f>IF(J572=0,0,VLOOKUP(D572,'1.1a-Jaarprijzen'!$B$70:$P$124,14,FALSE)*(K572+J572))</f>
        <v>0</v>
      </c>
    </row>
    <row r="573" spans="1:26" hidden="1">
      <c r="A573" s="558"/>
      <c r="B573" s="548"/>
      <c r="C573" s="659">
        <v>3</v>
      </c>
      <c r="D573" s="549" t="s">
        <v>1479</v>
      </c>
      <c r="E573" s="550" t="s">
        <v>502</v>
      </c>
      <c r="F573" s="551" t="s">
        <v>1025</v>
      </c>
      <c r="G573" s="649" t="s">
        <v>493</v>
      </c>
      <c r="H573" s="647" t="str">
        <f t="shared" si="80"/>
        <v>niet van toepassing</v>
      </c>
      <c r="I573" s="719" t="s">
        <v>499</v>
      </c>
      <c r="J573" s="623"/>
      <c r="K573" s="623">
        <v>20.100000000000001</v>
      </c>
      <c r="L573" s="668" t="s">
        <v>27</v>
      </c>
      <c r="M573" s="557">
        <f t="shared" si="84"/>
        <v>0</v>
      </c>
      <c r="N573" s="453"/>
      <c r="O573" s="557">
        <f t="shared" si="85"/>
        <v>0</v>
      </c>
      <c r="P573" s="633">
        <v>1</v>
      </c>
      <c r="Q573" s="776">
        <f t="shared" si="86"/>
        <v>0</v>
      </c>
      <c r="R573" s="776">
        <f t="shared" si="87"/>
        <v>0</v>
      </c>
      <c r="S573" s="552">
        <f t="shared" si="88"/>
        <v>0</v>
      </c>
      <c r="T573" s="626">
        <f t="shared" si="81"/>
        <v>0</v>
      </c>
      <c r="U573" s="626">
        <f t="shared" si="82"/>
        <v>0</v>
      </c>
      <c r="V573" s="553">
        <f t="shared" si="83"/>
        <v>0</v>
      </c>
      <c r="W573" s="554">
        <f t="shared" si="89"/>
        <v>0</v>
      </c>
      <c r="X573" s="454"/>
      <c r="Y573" s="631">
        <f>IF(Q573=0,0,(Q573+R573)*'1.0-Contractblad'!$L$98)</f>
        <v>0</v>
      </c>
      <c r="Z573" s="632">
        <f>IF(J573=0,0,VLOOKUP(D573,'1.1a-Jaarprijzen'!$B$70:$P$124,14,FALSE)*(K573+J573))</f>
        <v>0</v>
      </c>
    </row>
    <row r="574" spans="1:26" hidden="1">
      <c r="A574" s="558"/>
      <c r="B574" s="548"/>
      <c r="C574" s="659">
        <v>3</v>
      </c>
      <c r="D574" s="549" t="s">
        <v>1479</v>
      </c>
      <c r="E574" s="550" t="s">
        <v>502</v>
      </c>
      <c r="F574" s="551" t="s">
        <v>1026</v>
      </c>
      <c r="G574" s="649" t="s">
        <v>493</v>
      </c>
      <c r="H574" s="647" t="str">
        <f t="shared" si="80"/>
        <v>niet van toepassing</v>
      </c>
      <c r="I574" s="719" t="s">
        <v>499</v>
      </c>
      <c r="J574" s="623"/>
      <c r="K574" s="623">
        <v>25.2</v>
      </c>
      <c r="L574" s="668" t="s">
        <v>27</v>
      </c>
      <c r="M574" s="557">
        <f t="shared" si="84"/>
        <v>0</v>
      </c>
      <c r="N574" s="453"/>
      <c r="O574" s="557">
        <f t="shared" si="85"/>
        <v>0</v>
      </c>
      <c r="P574" s="633">
        <v>1</v>
      </c>
      <c r="Q574" s="776">
        <f t="shared" si="86"/>
        <v>0</v>
      </c>
      <c r="R574" s="776">
        <f t="shared" si="87"/>
        <v>0</v>
      </c>
      <c r="S574" s="552">
        <f t="shared" si="88"/>
        <v>0</v>
      </c>
      <c r="T574" s="626">
        <f t="shared" si="81"/>
        <v>0</v>
      </c>
      <c r="U574" s="626">
        <f t="shared" si="82"/>
        <v>0</v>
      </c>
      <c r="V574" s="553">
        <f t="shared" si="83"/>
        <v>0</v>
      </c>
      <c r="W574" s="554">
        <f t="shared" si="89"/>
        <v>0</v>
      </c>
      <c r="X574" s="454"/>
      <c r="Y574" s="631">
        <f>IF(Q574=0,0,(Q574+R574)*'1.0-Contractblad'!$L$98)</f>
        <v>0</v>
      </c>
      <c r="Z574" s="632">
        <f>IF(J574=0,0,VLOOKUP(D574,'1.1a-Jaarprijzen'!$B$70:$P$124,14,FALSE)*(K574+J574))</f>
        <v>0</v>
      </c>
    </row>
    <row r="575" spans="1:26" hidden="1">
      <c r="A575" s="558"/>
      <c r="B575" s="548"/>
      <c r="C575" s="659">
        <v>3</v>
      </c>
      <c r="D575" s="549" t="s">
        <v>1479</v>
      </c>
      <c r="E575" s="550" t="s">
        <v>502</v>
      </c>
      <c r="F575" s="551" t="s">
        <v>1027</v>
      </c>
      <c r="G575" s="649" t="s">
        <v>496</v>
      </c>
      <c r="H575" s="647" t="str">
        <f t="shared" si="80"/>
        <v>niet van toepassing</v>
      </c>
      <c r="I575" s="719" t="s">
        <v>499</v>
      </c>
      <c r="J575" s="623"/>
      <c r="K575" s="623">
        <v>9</v>
      </c>
      <c r="L575" s="668" t="s">
        <v>27</v>
      </c>
      <c r="M575" s="557">
        <f t="shared" si="84"/>
        <v>0</v>
      </c>
      <c r="N575" s="453"/>
      <c r="O575" s="557">
        <f t="shared" si="85"/>
        <v>0</v>
      </c>
      <c r="P575" s="633">
        <v>1</v>
      </c>
      <c r="Q575" s="776">
        <f t="shared" si="86"/>
        <v>0</v>
      </c>
      <c r="R575" s="776">
        <f t="shared" si="87"/>
        <v>0</v>
      </c>
      <c r="S575" s="552">
        <f t="shared" si="88"/>
        <v>0</v>
      </c>
      <c r="T575" s="626">
        <f t="shared" si="81"/>
        <v>0</v>
      </c>
      <c r="U575" s="626">
        <f t="shared" si="82"/>
        <v>0</v>
      </c>
      <c r="V575" s="553">
        <f t="shared" si="83"/>
        <v>0</v>
      </c>
      <c r="W575" s="554">
        <f t="shared" si="89"/>
        <v>0</v>
      </c>
      <c r="X575" s="454" t="s">
        <v>1454</v>
      </c>
      <c r="Y575" s="631">
        <f>IF(Q575=0,0,(Q575+R575)*'1.0-Contractblad'!$L$98)</f>
        <v>0</v>
      </c>
      <c r="Z575" s="632">
        <f>IF(J575=0,0,VLOOKUP(D575,'1.1a-Jaarprijzen'!$B$70:$P$124,14,FALSE)*(K575+J575))</f>
        <v>0</v>
      </c>
    </row>
    <row r="576" spans="1:26" hidden="1">
      <c r="A576" s="558"/>
      <c r="B576" s="548"/>
      <c r="C576" s="659">
        <v>3</v>
      </c>
      <c r="D576" s="549" t="s">
        <v>1479</v>
      </c>
      <c r="E576" s="660" t="s">
        <v>478</v>
      </c>
      <c r="F576" s="551" t="s">
        <v>1028</v>
      </c>
      <c r="G576" s="649" t="s">
        <v>1338</v>
      </c>
      <c r="H576" s="647" t="str">
        <f t="shared" si="80"/>
        <v>niet van toepassing</v>
      </c>
      <c r="I576" s="719" t="s">
        <v>499</v>
      </c>
      <c r="J576" s="623"/>
      <c r="K576" s="623">
        <v>57.1</v>
      </c>
      <c r="L576" s="668" t="s">
        <v>27</v>
      </c>
      <c r="M576" s="557">
        <f t="shared" si="84"/>
        <v>0</v>
      </c>
      <c r="N576" s="453"/>
      <c r="O576" s="557">
        <f t="shared" si="85"/>
        <v>0</v>
      </c>
      <c r="P576" s="633">
        <v>1</v>
      </c>
      <c r="Q576" s="776">
        <f t="shared" si="86"/>
        <v>0</v>
      </c>
      <c r="R576" s="776">
        <f t="shared" si="87"/>
        <v>0</v>
      </c>
      <c r="S576" s="552">
        <f t="shared" si="88"/>
        <v>0</v>
      </c>
      <c r="T576" s="626">
        <f t="shared" si="81"/>
        <v>0</v>
      </c>
      <c r="U576" s="626">
        <f t="shared" si="82"/>
        <v>0</v>
      </c>
      <c r="V576" s="553">
        <f t="shared" si="83"/>
        <v>0</v>
      </c>
      <c r="W576" s="554">
        <f t="shared" si="89"/>
        <v>0</v>
      </c>
      <c r="X576" s="454"/>
      <c r="Y576" s="631">
        <f>IF(Q576=0,0,(Q576+R576)*'1.0-Contractblad'!$L$98)</f>
        <v>0</v>
      </c>
      <c r="Z576" s="632">
        <f>IF(J576=0,0,VLOOKUP(D576,'1.1a-Jaarprijzen'!$B$70:$P$124,14,FALSE)*(K576+J576))</f>
        <v>0</v>
      </c>
    </row>
    <row r="577" spans="1:26" hidden="1">
      <c r="A577" s="558"/>
      <c r="B577" s="548"/>
      <c r="C577" s="659">
        <v>3</v>
      </c>
      <c r="D577" s="549" t="s">
        <v>1479</v>
      </c>
      <c r="E577" s="660" t="s">
        <v>478</v>
      </c>
      <c r="F577" s="551" t="s">
        <v>998</v>
      </c>
      <c r="G577" s="649" t="s">
        <v>1326</v>
      </c>
      <c r="H577" s="647" t="str">
        <f t="shared" si="80"/>
        <v>niet van toepassing</v>
      </c>
      <c r="I577" s="719" t="s">
        <v>499</v>
      </c>
      <c r="J577" s="623"/>
      <c r="K577" s="623">
        <v>6.2</v>
      </c>
      <c r="L577" s="668" t="s">
        <v>27</v>
      </c>
      <c r="M577" s="557">
        <f t="shared" si="84"/>
        <v>0</v>
      </c>
      <c r="N577" s="453"/>
      <c r="O577" s="557">
        <f t="shared" si="85"/>
        <v>0</v>
      </c>
      <c r="P577" s="633">
        <v>1</v>
      </c>
      <c r="Q577" s="776">
        <f t="shared" si="86"/>
        <v>0</v>
      </c>
      <c r="R577" s="776">
        <f t="shared" si="87"/>
        <v>0</v>
      </c>
      <c r="S577" s="552">
        <f t="shared" si="88"/>
        <v>0</v>
      </c>
      <c r="T577" s="626">
        <f t="shared" si="81"/>
        <v>0</v>
      </c>
      <c r="U577" s="626">
        <f t="shared" si="82"/>
        <v>0</v>
      </c>
      <c r="V577" s="553">
        <f t="shared" si="83"/>
        <v>0</v>
      </c>
      <c r="W577" s="554">
        <f t="shared" si="89"/>
        <v>0</v>
      </c>
      <c r="X577" s="454" t="s">
        <v>1454</v>
      </c>
      <c r="Y577" s="631">
        <f>IF(Q577=0,0,(Q577+R577)*'1.0-Contractblad'!$L$98)</f>
        <v>0</v>
      </c>
      <c r="Z577" s="632">
        <f>IF(J577=0,0,VLOOKUP(D577,'1.1a-Jaarprijzen'!$B$70:$P$124,14,FALSE)*(K577+J577))</f>
        <v>0</v>
      </c>
    </row>
    <row r="578" spans="1:26" hidden="1">
      <c r="A578" s="558"/>
      <c r="B578" s="548"/>
      <c r="C578" s="659">
        <v>3</v>
      </c>
      <c r="D578" s="549" t="s">
        <v>1479</v>
      </c>
      <c r="E578" s="660" t="s">
        <v>478</v>
      </c>
      <c r="F578" s="551" t="s">
        <v>1029</v>
      </c>
      <c r="G578" s="649" t="s">
        <v>493</v>
      </c>
      <c r="H578" s="647" t="str">
        <f t="shared" si="80"/>
        <v>niet van toepassing</v>
      </c>
      <c r="I578" s="719" t="s">
        <v>499</v>
      </c>
      <c r="J578" s="623"/>
      <c r="K578" s="623">
        <v>20.8</v>
      </c>
      <c r="L578" s="668" t="s">
        <v>27</v>
      </c>
      <c r="M578" s="557">
        <f t="shared" si="84"/>
        <v>0</v>
      </c>
      <c r="N578" s="453"/>
      <c r="O578" s="557">
        <f t="shared" si="85"/>
        <v>0</v>
      </c>
      <c r="P578" s="633">
        <v>1</v>
      </c>
      <c r="Q578" s="776">
        <f t="shared" si="86"/>
        <v>0</v>
      </c>
      <c r="R578" s="776">
        <f t="shared" si="87"/>
        <v>0</v>
      </c>
      <c r="S578" s="552">
        <f t="shared" si="88"/>
        <v>0</v>
      </c>
      <c r="T578" s="626">
        <f t="shared" si="81"/>
        <v>0</v>
      </c>
      <c r="U578" s="626">
        <f t="shared" si="82"/>
        <v>0</v>
      </c>
      <c r="V578" s="553">
        <f t="shared" si="83"/>
        <v>0</v>
      </c>
      <c r="W578" s="554">
        <f t="shared" si="89"/>
        <v>0</v>
      </c>
      <c r="X578" s="454"/>
      <c r="Y578" s="631">
        <f>IF(Q578=0,0,(Q578+R578)*'1.0-Contractblad'!$L$98)</f>
        <v>0</v>
      </c>
      <c r="Z578" s="632">
        <f>IF(J578=0,0,VLOOKUP(D578,'1.1a-Jaarprijzen'!$B$70:$P$124,14,FALSE)*(K578+J578))</f>
        <v>0</v>
      </c>
    </row>
    <row r="579" spans="1:26" hidden="1">
      <c r="A579" s="558"/>
      <c r="B579" s="548"/>
      <c r="C579" s="659">
        <v>3</v>
      </c>
      <c r="D579" s="549" t="s">
        <v>1479</v>
      </c>
      <c r="E579" s="660" t="s">
        <v>478</v>
      </c>
      <c r="F579" s="551" t="s">
        <v>999</v>
      </c>
      <c r="G579" s="649" t="s">
        <v>493</v>
      </c>
      <c r="H579" s="647" t="str">
        <f t="shared" ref="H579:H642" si="90">IF(L579="","",VLOOKUP(L579,Kengetal,4,FALSE))</f>
        <v>niet van toepassing</v>
      </c>
      <c r="I579" s="719" t="s">
        <v>499</v>
      </c>
      <c r="J579" s="623"/>
      <c r="K579" s="623">
        <v>43.5</v>
      </c>
      <c r="L579" s="668" t="s">
        <v>27</v>
      </c>
      <c r="M579" s="557">
        <f t="shared" si="84"/>
        <v>0</v>
      </c>
      <c r="N579" s="453"/>
      <c r="O579" s="557">
        <f t="shared" si="85"/>
        <v>0</v>
      </c>
      <c r="P579" s="633">
        <v>1</v>
      </c>
      <c r="Q579" s="776">
        <f t="shared" si="86"/>
        <v>0</v>
      </c>
      <c r="R579" s="776">
        <f t="shared" si="87"/>
        <v>0</v>
      </c>
      <c r="S579" s="552">
        <f t="shared" si="88"/>
        <v>0</v>
      </c>
      <c r="T579" s="626">
        <f t="shared" si="81"/>
        <v>0</v>
      </c>
      <c r="U579" s="626">
        <f t="shared" si="82"/>
        <v>0</v>
      </c>
      <c r="V579" s="553">
        <f t="shared" si="83"/>
        <v>0</v>
      </c>
      <c r="W579" s="554">
        <f t="shared" si="89"/>
        <v>0</v>
      </c>
      <c r="X579" s="454"/>
      <c r="Y579" s="631">
        <f>IF(Q579=0,0,(Q579+R579)*'1.0-Contractblad'!$L$98)</f>
        <v>0</v>
      </c>
      <c r="Z579" s="632">
        <f>IF(J579=0,0,VLOOKUP(D579,'1.1a-Jaarprijzen'!$B$70:$P$124,14,FALSE)*(K579+J579))</f>
        <v>0</v>
      </c>
    </row>
    <row r="580" spans="1:26" hidden="1">
      <c r="A580" s="558"/>
      <c r="B580" s="548"/>
      <c r="C580" s="659">
        <v>3</v>
      </c>
      <c r="D580" s="549" t="s">
        <v>1479</v>
      </c>
      <c r="E580" s="660" t="s">
        <v>478</v>
      </c>
      <c r="F580" s="551" t="s">
        <v>1000</v>
      </c>
      <c r="G580" s="649" t="s">
        <v>493</v>
      </c>
      <c r="H580" s="647" t="str">
        <f t="shared" si="90"/>
        <v>niet van toepassing</v>
      </c>
      <c r="I580" s="719" t="s">
        <v>499</v>
      </c>
      <c r="J580" s="623"/>
      <c r="K580" s="623">
        <v>20.100000000000001</v>
      </c>
      <c r="L580" s="668" t="s">
        <v>27</v>
      </c>
      <c r="M580" s="557">
        <f t="shared" si="84"/>
        <v>0</v>
      </c>
      <c r="N580" s="453"/>
      <c r="O580" s="557">
        <f t="shared" si="85"/>
        <v>0</v>
      </c>
      <c r="P580" s="633">
        <v>1</v>
      </c>
      <c r="Q580" s="776">
        <f t="shared" si="86"/>
        <v>0</v>
      </c>
      <c r="R580" s="776">
        <f t="shared" si="87"/>
        <v>0</v>
      </c>
      <c r="S580" s="552">
        <f t="shared" si="88"/>
        <v>0</v>
      </c>
      <c r="T580" s="626">
        <f t="shared" ref="T580:T643" si="91">VLOOKUP($L580,Kengetal,6,FALSE)</f>
        <v>0</v>
      </c>
      <c r="U580" s="626">
        <f t="shared" ref="U580:U643" si="92">VLOOKUP($L580,Kengetal,7,FALSE)</f>
        <v>0</v>
      </c>
      <c r="V580" s="553">
        <f t="shared" ref="V580:V643" si="93">VLOOKUP($N580,Kengetal,7,FALSE)</f>
        <v>0</v>
      </c>
      <c r="W580" s="554">
        <f t="shared" si="89"/>
        <v>0</v>
      </c>
      <c r="X580" s="454"/>
      <c r="Y580" s="631">
        <f>IF(Q580=0,0,(Q580+R580)*'1.0-Contractblad'!$L$98)</f>
        <v>0</v>
      </c>
      <c r="Z580" s="632">
        <f>IF(J580=0,0,VLOOKUP(D580,'1.1a-Jaarprijzen'!$B$70:$P$124,14,FALSE)*(K580+J580))</f>
        <v>0</v>
      </c>
    </row>
    <row r="581" spans="1:26" hidden="1">
      <c r="A581" s="558"/>
      <c r="B581" s="548"/>
      <c r="C581" s="659">
        <v>3</v>
      </c>
      <c r="D581" s="549" t="s">
        <v>1479</v>
      </c>
      <c r="E581" s="660" t="s">
        <v>478</v>
      </c>
      <c r="F581" s="551" t="s">
        <v>1001</v>
      </c>
      <c r="G581" s="649" t="s">
        <v>1218</v>
      </c>
      <c r="H581" s="647" t="str">
        <f t="shared" si="90"/>
        <v>niet van toepassing</v>
      </c>
      <c r="I581" s="719" t="s">
        <v>499</v>
      </c>
      <c r="J581" s="623"/>
      <c r="K581" s="623">
        <v>41.3</v>
      </c>
      <c r="L581" s="668" t="s">
        <v>27</v>
      </c>
      <c r="M581" s="557">
        <f t="shared" ref="M581:M644" si="94">VLOOKUP(L581,Kengetal,2,FALSE)</f>
        <v>0</v>
      </c>
      <c r="N581" s="453"/>
      <c r="O581" s="557">
        <f t="shared" ref="O581:O644" si="95">VLOOKUP(L581,Kengetal,3,FALSE)</f>
        <v>0</v>
      </c>
      <c r="P581" s="633">
        <v>1</v>
      </c>
      <c r="Q581" s="776">
        <f t="shared" ref="Q581:Q644" si="96">T581*J581*P581</f>
        <v>0</v>
      </c>
      <c r="R581" s="776">
        <f t="shared" ref="R581:R644" si="97">U581*J581*P581</f>
        <v>0</v>
      </c>
      <c r="S581" s="552">
        <f t="shared" ref="S581:S644" si="98">V581*J581*P581</f>
        <v>0</v>
      </c>
      <c r="T581" s="626">
        <f t="shared" si="91"/>
        <v>0</v>
      </c>
      <c r="U581" s="626">
        <f t="shared" si="92"/>
        <v>0</v>
      </c>
      <c r="V581" s="553">
        <f t="shared" si="93"/>
        <v>0</v>
      </c>
      <c r="W581" s="554">
        <f t="shared" ref="W581:W644" si="99">IF(L581="","",VLOOKUP(L581,Kengetal,14,FALSE))</f>
        <v>0</v>
      </c>
      <c r="X581" s="454" t="s">
        <v>1454</v>
      </c>
      <c r="Y581" s="631">
        <f>IF(Q581=0,0,(Q581+R581)*'1.0-Contractblad'!$L$98)</f>
        <v>0</v>
      </c>
      <c r="Z581" s="632">
        <f>IF(J581=0,0,VLOOKUP(D581,'1.1a-Jaarprijzen'!$B$70:$P$124,14,FALSE)*(K581+J581))</f>
        <v>0</v>
      </c>
    </row>
    <row r="582" spans="1:26" hidden="1">
      <c r="A582" s="558"/>
      <c r="B582" s="548"/>
      <c r="C582" s="659">
        <v>3</v>
      </c>
      <c r="D582" s="549" t="s">
        <v>1479</v>
      </c>
      <c r="E582" s="660" t="s">
        <v>478</v>
      </c>
      <c r="F582" s="551" t="s">
        <v>1030</v>
      </c>
      <c r="G582" s="649" t="s">
        <v>1338</v>
      </c>
      <c r="H582" s="647" t="str">
        <f t="shared" si="90"/>
        <v>niet van toepassing</v>
      </c>
      <c r="I582" s="719" t="s">
        <v>499</v>
      </c>
      <c r="J582" s="623"/>
      <c r="K582" s="623">
        <v>39.1</v>
      </c>
      <c r="L582" s="668" t="s">
        <v>27</v>
      </c>
      <c r="M582" s="557">
        <f t="shared" si="94"/>
        <v>0</v>
      </c>
      <c r="N582" s="453"/>
      <c r="O582" s="557">
        <f t="shared" si="95"/>
        <v>0</v>
      </c>
      <c r="P582" s="633">
        <v>1</v>
      </c>
      <c r="Q582" s="776">
        <f t="shared" si="96"/>
        <v>0</v>
      </c>
      <c r="R582" s="776">
        <f t="shared" si="97"/>
        <v>0</v>
      </c>
      <c r="S582" s="552">
        <f t="shared" si="98"/>
        <v>0</v>
      </c>
      <c r="T582" s="626">
        <f t="shared" si="91"/>
        <v>0</v>
      </c>
      <c r="U582" s="626">
        <f t="shared" si="92"/>
        <v>0</v>
      </c>
      <c r="V582" s="553">
        <f t="shared" si="93"/>
        <v>0</v>
      </c>
      <c r="W582" s="554">
        <f t="shared" si="99"/>
        <v>0</v>
      </c>
      <c r="X582" s="454"/>
      <c r="Y582" s="631">
        <f>IF(Q582=0,0,(Q582+R582)*'1.0-Contractblad'!$L$98)</f>
        <v>0</v>
      </c>
      <c r="Z582" s="632">
        <f>IF(J582=0,0,VLOOKUP(D582,'1.1a-Jaarprijzen'!$B$70:$P$124,14,FALSE)*(K582+J582))</f>
        <v>0</v>
      </c>
    </row>
    <row r="583" spans="1:26" hidden="1">
      <c r="A583" s="558"/>
      <c r="B583" s="548"/>
      <c r="C583" s="659">
        <v>3</v>
      </c>
      <c r="D583" s="549" t="s">
        <v>1479</v>
      </c>
      <c r="E583" s="660" t="s">
        <v>478</v>
      </c>
      <c r="F583" s="551" t="s">
        <v>1031</v>
      </c>
      <c r="G583" s="649" t="s">
        <v>493</v>
      </c>
      <c r="H583" s="647" t="str">
        <f t="shared" si="90"/>
        <v>niet van toepassing</v>
      </c>
      <c r="I583" s="719" t="s">
        <v>499</v>
      </c>
      <c r="J583" s="623"/>
      <c r="K583" s="623">
        <v>74.5</v>
      </c>
      <c r="L583" s="668" t="s">
        <v>27</v>
      </c>
      <c r="M583" s="557">
        <f t="shared" si="94"/>
        <v>0</v>
      </c>
      <c r="N583" s="453"/>
      <c r="O583" s="557">
        <f t="shared" si="95"/>
        <v>0</v>
      </c>
      <c r="P583" s="633">
        <v>1</v>
      </c>
      <c r="Q583" s="776">
        <f t="shared" si="96"/>
        <v>0</v>
      </c>
      <c r="R583" s="776">
        <f t="shared" si="97"/>
        <v>0</v>
      </c>
      <c r="S583" s="552">
        <f t="shared" si="98"/>
        <v>0</v>
      </c>
      <c r="T583" s="626">
        <f t="shared" si="91"/>
        <v>0</v>
      </c>
      <c r="U583" s="626">
        <f t="shared" si="92"/>
        <v>0</v>
      </c>
      <c r="V583" s="553">
        <f t="shared" si="93"/>
        <v>0</v>
      </c>
      <c r="W583" s="554">
        <f t="shared" si="99"/>
        <v>0</v>
      </c>
      <c r="X583" s="454"/>
      <c r="Y583" s="631">
        <f>IF(Q583=0,0,(Q583+R583)*'1.0-Contractblad'!$L$98)</f>
        <v>0</v>
      </c>
      <c r="Z583" s="632">
        <f>IF(J583=0,0,VLOOKUP(D583,'1.1a-Jaarprijzen'!$B$70:$P$124,14,FALSE)*(K583+J583))</f>
        <v>0</v>
      </c>
    </row>
    <row r="584" spans="1:26" hidden="1">
      <c r="A584" s="558"/>
      <c r="B584" s="548"/>
      <c r="C584" s="659">
        <v>3</v>
      </c>
      <c r="D584" s="549" t="s">
        <v>1479</v>
      </c>
      <c r="E584" s="660" t="s">
        <v>478</v>
      </c>
      <c r="F584" s="551" t="s">
        <v>1032</v>
      </c>
      <c r="G584" s="649" t="s">
        <v>1352</v>
      </c>
      <c r="H584" s="647" t="str">
        <f t="shared" si="90"/>
        <v>niet van toepassing</v>
      </c>
      <c r="I584" s="719"/>
      <c r="J584" s="623"/>
      <c r="K584" s="623"/>
      <c r="L584" s="668" t="s">
        <v>27</v>
      </c>
      <c r="M584" s="557">
        <f t="shared" si="94"/>
        <v>0</v>
      </c>
      <c r="N584" s="453"/>
      <c r="O584" s="557">
        <f t="shared" si="95"/>
        <v>0</v>
      </c>
      <c r="P584" s="633">
        <v>1</v>
      </c>
      <c r="Q584" s="776">
        <f t="shared" si="96"/>
        <v>0</v>
      </c>
      <c r="R584" s="776">
        <f t="shared" si="97"/>
        <v>0</v>
      </c>
      <c r="S584" s="552">
        <f t="shared" si="98"/>
        <v>0</v>
      </c>
      <c r="T584" s="626">
        <f t="shared" si="91"/>
        <v>0</v>
      </c>
      <c r="U584" s="626">
        <f t="shared" si="92"/>
        <v>0</v>
      </c>
      <c r="V584" s="553">
        <f t="shared" si="93"/>
        <v>0</v>
      </c>
      <c r="W584" s="554">
        <f t="shared" si="99"/>
        <v>0</v>
      </c>
      <c r="X584" s="454" t="s">
        <v>1454</v>
      </c>
      <c r="Y584" s="631">
        <f>IF(Q584=0,0,(Q584+R584)*'1.0-Contractblad'!$L$98)</f>
        <v>0</v>
      </c>
      <c r="Z584" s="632">
        <f>IF(J584=0,0,VLOOKUP(D584,'1.1a-Jaarprijzen'!$B$70:$P$124,14,FALSE)*(K584+J584))</f>
        <v>0</v>
      </c>
    </row>
    <row r="585" spans="1:26" hidden="1">
      <c r="A585" s="558"/>
      <c r="B585" s="548"/>
      <c r="C585" s="659">
        <v>3</v>
      </c>
      <c r="D585" s="549" t="s">
        <v>1479</v>
      </c>
      <c r="E585" s="660" t="s">
        <v>478</v>
      </c>
      <c r="F585" s="551" t="s">
        <v>447</v>
      </c>
      <c r="G585" s="649" t="s">
        <v>1223</v>
      </c>
      <c r="H585" s="647" t="str">
        <f t="shared" si="90"/>
        <v>niet van toepassing</v>
      </c>
      <c r="I585" s="719" t="s">
        <v>499</v>
      </c>
      <c r="J585" s="623"/>
      <c r="K585" s="623">
        <v>14.9</v>
      </c>
      <c r="L585" s="668" t="s">
        <v>27</v>
      </c>
      <c r="M585" s="557">
        <f t="shared" si="94"/>
        <v>0</v>
      </c>
      <c r="N585" s="453"/>
      <c r="O585" s="557">
        <f t="shared" si="95"/>
        <v>0</v>
      </c>
      <c r="P585" s="633">
        <v>1</v>
      </c>
      <c r="Q585" s="776">
        <f t="shared" si="96"/>
        <v>0</v>
      </c>
      <c r="R585" s="776">
        <f t="shared" si="97"/>
        <v>0</v>
      </c>
      <c r="S585" s="552">
        <f t="shared" si="98"/>
        <v>0</v>
      </c>
      <c r="T585" s="626">
        <f t="shared" si="91"/>
        <v>0</v>
      </c>
      <c r="U585" s="626">
        <f t="shared" si="92"/>
        <v>0</v>
      </c>
      <c r="V585" s="553">
        <f t="shared" si="93"/>
        <v>0</v>
      </c>
      <c r="W585" s="554">
        <f t="shared" si="99"/>
        <v>0</v>
      </c>
      <c r="X585" s="454"/>
      <c r="Y585" s="631">
        <f>IF(Q585=0,0,(Q585+R585)*'1.0-Contractblad'!$L$98)</f>
        <v>0</v>
      </c>
      <c r="Z585" s="632">
        <f>IF(J585=0,0,VLOOKUP(D585,'1.1a-Jaarprijzen'!$B$70:$P$124,14,FALSE)*(K585+J585))</f>
        <v>0</v>
      </c>
    </row>
    <row r="586" spans="1:26" hidden="1">
      <c r="A586" s="558"/>
      <c r="B586" s="548"/>
      <c r="C586" s="659">
        <v>3</v>
      </c>
      <c r="D586" s="549" t="s">
        <v>1479</v>
      </c>
      <c r="E586" s="660" t="s">
        <v>478</v>
      </c>
      <c r="F586" s="551" t="s">
        <v>448</v>
      </c>
      <c r="G586" s="649" t="s">
        <v>1356</v>
      </c>
      <c r="H586" s="647" t="str">
        <f t="shared" si="90"/>
        <v>niet van toepassing</v>
      </c>
      <c r="I586" s="719" t="s">
        <v>499</v>
      </c>
      <c r="J586" s="623"/>
      <c r="K586" s="623">
        <v>13.5</v>
      </c>
      <c r="L586" s="668" t="s">
        <v>27</v>
      </c>
      <c r="M586" s="557">
        <f t="shared" si="94"/>
        <v>0</v>
      </c>
      <c r="N586" s="453"/>
      <c r="O586" s="557">
        <f t="shared" si="95"/>
        <v>0</v>
      </c>
      <c r="P586" s="633">
        <v>1</v>
      </c>
      <c r="Q586" s="776">
        <f t="shared" si="96"/>
        <v>0</v>
      </c>
      <c r="R586" s="776">
        <f t="shared" si="97"/>
        <v>0</v>
      </c>
      <c r="S586" s="552">
        <f t="shared" si="98"/>
        <v>0</v>
      </c>
      <c r="T586" s="626">
        <f t="shared" si="91"/>
        <v>0</v>
      </c>
      <c r="U586" s="626">
        <f t="shared" si="92"/>
        <v>0</v>
      </c>
      <c r="V586" s="553">
        <f t="shared" si="93"/>
        <v>0</v>
      </c>
      <c r="W586" s="554">
        <f t="shared" si="99"/>
        <v>0</v>
      </c>
      <c r="X586" s="454"/>
      <c r="Y586" s="631">
        <f>IF(Q586=0,0,(Q586+R586)*'1.0-Contractblad'!$L$98)</f>
        <v>0</v>
      </c>
      <c r="Z586" s="632">
        <f>IF(J586=0,0,VLOOKUP(D586,'1.1a-Jaarprijzen'!$B$70:$P$124,14,FALSE)*(K586+J586))</f>
        <v>0</v>
      </c>
    </row>
    <row r="587" spans="1:26" hidden="1">
      <c r="A587" s="558"/>
      <c r="B587" s="548"/>
      <c r="C587" s="659">
        <v>3</v>
      </c>
      <c r="D587" s="549" t="s">
        <v>1479</v>
      </c>
      <c r="E587" s="660" t="s">
        <v>478</v>
      </c>
      <c r="F587" s="551" t="s">
        <v>449</v>
      </c>
      <c r="G587" s="649" t="s">
        <v>1357</v>
      </c>
      <c r="H587" s="647" t="str">
        <f t="shared" si="90"/>
        <v>niet van toepassing</v>
      </c>
      <c r="I587" s="719" t="s">
        <v>499</v>
      </c>
      <c r="J587" s="623"/>
      <c r="K587" s="623">
        <v>49.03</v>
      </c>
      <c r="L587" s="668" t="s">
        <v>27</v>
      </c>
      <c r="M587" s="557">
        <f t="shared" si="94"/>
        <v>0</v>
      </c>
      <c r="N587" s="453"/>
      <c r="O587" s="557">
        <f t="shared" si="95"/>
        <v>0</v>
      </c>
      <c r="P587" s="633">
        <v>1</v>
      </c>
      <c r="Q587" s="776">
        <f t="shared" si="96"/>
        <v>0</v>
      </c>
      <c r="R587" s="776">
        <f t="shared" si="97"/>
        <v>0</v>
      </c>
      <c r="S587" s="552">
        <f t="shared" si="98"/>
        <v>0</v>
      </c>
      <c r="T587" s="626">
        <f t="shared" si="91"/>
        <v>0</v>
      </c>
      <c r="U587" s="626">
        <f t="shared" si="92"/>
        <v>0</v>
      </c>
      <c r="V587" s="553">
        <f t="shared" si="93"/>
        <v>0</v>
      </c>
      <c r="W587" s="554">
        <f t="shared" si="99"/>
        <v>0</v>
      </c>
      <c r="X587" s="454"/>
      <c r="Y587" s="631">
        <f>IF(Q587=0,0,(Q587+R587)*'1.0-Contractblad'!$L$98)</f>
        <v>0</v>
      </c>
      <c r="Z587" s="632">
        <f>IF(J587=0,0,VLOOKUP(D587,'1.1a-Jaarprijzen'!$B$70:$P$124,14,FALSE)*(K587+J587))</f>
        <v>0</v>
      </c>
    </row>
    <row r="588" spans="1:26" hidden="1">
      <c r="A588" s="558"/>
      <c r="B588" s="548"/>
      <c r="C588" s="659">
        <v>3</v>
      </c>
      <c r="D588" s="549" t="s">
        <v>1479</v>
      </c>
      <c r="E588" s="660" t="s">
        <v>478</v>
      </c>
      <c r="F588" s="551" t="s">
        <v>450</v>
      </c>
      <c r="G588" s="649" t="s">
        <v>1242</v>
      </c>
      <c r="H588" s="647" t="str">
        <f t="shared" si="90"/>
        <v>niet van toepassing</v>
      </c>
      <c r="I588" s="719"/>
      <c r="J588" s="623"/>
      <c r="K588" s="623"/>
      <c r="L588" s="668" t="s">
        <v>27</v>
      </c>
      <c r="M588" s="557">
        <f t="shared" si="94"/>
        <v>0</v>
      </c>
      <c r="N588" s="453"/>
      <c r="O588" s="557">
        <f t="shared" si="95"/>
        <v>0</v>
      </c>
      <c r="P588" s="633">
        <v>1</v>
      </c>
      <c r="Q588" s="776">
        <f t="shared" si="96"/>
        <v>0</v>
      </c>
      <c r="R588" s="776">
        <f t="shared" si="97"/>
        <v>0</v>
      </c>
      <c r="S588" s="552">
        <f t="shared" si="98"/>
        <v>0</v>
      </c>
      <c r="T588" s="626">
        <f t="shared" si="91"/>
        <v>0</v>
      </c>
      <c r="U588" s="626">
        <f t="shared" si="92"/>
        <v>0</v>
      </c>
      <c r="V588" s="553">
        <f t="shared" si="93"/>
        <v>0</v>
      </c>
      <c r="W588" s="554">
        <f t="shared" si="99"/>
        <v>0</v>
      </c>
      <c r="X588" s="454" t="s">
        <v>1454</v>
      </c>
      <c r="Y588" s="631">
        <f>IF(Q588=0,0,(Q588+R588)*'1.0-Contractblad'!$L$98)</f>
        <v>0</v>
      </c>
      <c r="Z588" s="632">
        <f>IF(J588=0,0,VLOOKUP(D588,'1.1a-Jaarprijzen'!$B$70:$P$124,14,FALSE)*(K588+J588))</f>
        <v>0</v>
      </c>
    </row>
    <row r="589" spans="1:26" hidden="1">
      <c r="A589" s="558"/>
      <c r="B589" s="548"/>
      <c r="C589" s="659">
        <v>3</v>
      </c>
      <c r="D589" s="549" t="s">
        <v>1479</v>
      </c>
      <c r="E589" s="660" t="s">
        <v>478</v>
      </c>
      <c r="F589" s="551" t="s">
        <v>451</v>
      </c>
      <c r="G589" s="649" t="s">
        <v>1218</v>
      </c>
      <c r="H589" s="647" t="str">
        <f t="shared" si="90"/>
        <v>niet van toepassing</v>
      </c>
      <c r="I589" s="719" t="s">
        <v>499</v>
      </c>
      <c r="J589" s="623"/>
      <c r="K589" s="623">
        <v>58.2</v>
      </c>
      <c r="L589" s="668" t="s">
        <v>27</v>
      </c>
      <c r="M589" s="557">
        <f t="shared" si="94"/>
        <v>0</v>
      </c>
      <c r="N589" s="453"/>
      <c r="O589" s="557">
        <f t="shared" si="95"/>
        <v>0</v>
      </c>
      <c r="P589" s="633">
        <v>1</v>
      </c>
      <c r="Q589" s="776">
        <f t="shared" si="96"/>
        <v>0</v>
      </c>
      <c r="R589" s="776">
        <f t="shared" si="97"/>
        <v>0</v>
      </c>
      <c r="S589" s="552">
        <f t="shared" si="98"/>
        <v>0</v>
      </c>
      <c r="T589" s="626">
        <f t="shared" si="91"/>
        <v>0</v>
      </c>
      <c r="U589" s="626">
        <f t="shared" si="92"/>
        <v>0</v>
      </c>
      <c r="V589" s="553">
        <f t="shared" si="93"/>
        <v>0</v>
      </c>
      <c r="W589" s="554">
        <f t="shared" si="99"/>
        <v>0</v>
      </c>
      <c r="X589" s="454" t="s">
        <v>1454</v>
      </c>
      <c r="Y589" s="631">
        <f>IF(Q589=0,0,(Q589+R589)*'1.0-Contractblad'!$L$98)</f>
        <v>0</v>
      </c>
      <c r="Z589" s="632">
        <f>IF(J589=0,0,VLOOKUP(D589,'1.1a-Jaarprijzen'!$B$70:$P$124,14,FALSE)*(K589+J589))</f>
        <v>0</v>
      </c>
    </row>
    <row r="590" spans="1:26" hidden="1">
      <c r="A590" s="558"/>
      <c r="B590" s="548"/>
      <c r="C590" s="659">
        <v>3</v>
      </c>
      <c r="D590" s="549" t="s">
        <v>1479</v>
      </c>
      <c r="E590" s="660" t="s">
        <v>478</v>
      </c>
      <c r="F590" s="551" t="s">
        <v>452</v>
      </c>
      <c r="G590" s="649" t="s">
        <v>1248</v>
      </c>
      <c r="H590" s="647" t="str">
        <f t="shared" si="90"/>
        <v>niet van toepassing</v>
      </c>
      <c r="I590" s="719" t="s">
        <v>499</v>
      </c>
      <c r="J590" s="623"/>
      <c r="K590" s="623"/>
      <c r="L590" s="668" t="s">
        <v>27</v>
      </c>
      <c r="M590" s="557">
        <f t="shared" si="94"/>
        <v>0</v>
      </c>
      <c r="N590" s="453"/>
      <c r="O590" s="557">
        <f t="shared" si="95"/>
        <v>0</v>
      </c>
      <c r="P590" s="633">
        <v>1</v>
      </c>
      <c r="Q590" s="776">
        <f t="shared" si="96"/>
        <v>0</v>
      </c>
      <c r="R590" s="776">
        <f t="shared" si="97"/>
        <v>0</v>
      </c>
      <c r="S590" s="552">
        <f t="shared" si="98"/>
        <v>0</v>
      </c>
      <c r="T590" s="626">
        <f t="shared" si="91"/>
        <v>0</v>
      </c>
      <c r="U590" s="626">
        <f t="shared" si="92"/>
        <v>0</v>
      </c>
      <c r="V590" s="553">
        <f t="shared" si="93"/>
        <v>0</v>
      </c>
      <c r="W590" s="554">
        <f t="shared" si="99"/>
        <v>0</v>
      </c>
      <c r="X590" s="454" t="s">
        <v>1454</v>
      </c>
      <c r="Y590" s="631">
        <f>IF(Q590=0,0,(Q590+R590)*'1.0-Contractblad'!$L$98)</f>
        <v>0</v>
      </c>
      <c r="Z590" s="632">
        <f>IF(J590=0,0,VLOOKUP(D590,'1.1a-Jaarprijzen'!$B$70:$P$124,14,FALSE)*(K590+J590))</f>
        <v>0</v>
      </c>
    </row>
    <row r="591" spans="1:26" hidden="1">
      <c r="A591" s="558"/>
      <c r="B591" s="548"/>
      <c r="C591" s="659">
        <v>3</v>
      </c>
      <c r="D591" s="549" t="s">
        <v>1479</v>
      </c>
      <c r="E591" s="660" t="s">
        <v>478</v>
      </c>
      <c r="F591" s="551" t="s">
        <v>453</v>
      </c>
      <c r="G591" s="649" t="s">
        <v>1354</v>
      </c>
      <c r="H591" s="647" t="str">
        <f t="shared" si="90"/>
        <v>sanitaire ruimte (toilet-/doucheruimte)</v>
      </c>
      <c r="I591" s="719" t="s">
        <v>492</v>
      </c>
      <c r="J591" s="623">
        <v>1.3</v>
      </c>
      <c r="K591" s="623"/>
      <c r="L591" s="559">
        <v>4153</v>
      </c>
      <c r="M591" s="557">
        <f t="shared" si="94"/>
        <v>104</v>
      </c>
      <c r="N591" s="453"/>
      <c r="O591" s="557">
        <f t="shared" si="95"/>
        <v>153</v>
      </c>
      <c r="P591" s="633">
        <v>1</v>
      </c>
      <c r="Q591" s="776">
        <f t="shared" si="96"/>
        <v>0</v>
      </c>
      <c r="R591" s="776">
        <f t="shared" si="97"/>
        <v>0</v>
      </c>
      <c r="S591" s="552">
        <f t="shared" si="98"/>
        <v>0</v>
      </c>
      <c r="T591" s="626">
        <f t="shared" si="91"/>
        <v>0</v>
      </c>
      <c r="U591" s="626">
        <f t="shared" si="92"/>
        <v>0</v>
      </c>
      <c r="V591" s="553">
        <f t="shared" si="93"/>
        <v>0</v>
      </c>
      <c r="W591" s="554" t="str">
        <f t="shared" si="99"/>
        <v>S</v>
      </c>
      <c r="X591" s="555"/>
      <c r="Y591" s="631">
        <f>IF(Q591=0,0,(Q591+R591)*'1.0-Contractblad'!$L$98)</f>
        <v>0</v>
      </c>
      <c r="Z591" s="632">
        <f ca="1">IF(J591=0,0,VLOOKUP(D591,'1.1a-Jaarprijzen'!$B$70:$P$124,14,FALSE)*(K591+J591))</f>
        <v>0</v>
      </c>
    </row>
    <row r="592" spans="1:26" hidden="1">
      <c r="A592" s="558"/>
      <c r="B592" s="548"/>
      <c r="C592" s="659">
        <v>3</v>
      </c>
      <c r="D592" s="549" t="s">
        <v>1479</v>
      </c>
      <c r="E592" s="660" t="s">
        <v>478</v>
      </c>
      <c r="F592" s="551" t="s">
        <v>1033</v>
      </c>
      <c r="G592" s="649" t="s">
        <v>1355</v>
      </c>
      <c r="H592" s="647" t="str">
        <f t="shared" si="90"/>
        <v>sanitaire ruimte (toilet-/doucheruimte)</v>
      </c>
      <c r="I592" s="719" t="s">
        <v>492</v>
      </c>
      <c r="J592" s="623">
        <v>1.6</v>
      </c>
      <c r="K592" s="623"/>
      <c r="L592" s="559">
        <v>4153</v>
      </c>
      <c r="M592" s="557">
        <f t="shared" si="94"/>
        <v>104</v>
      </c>
      <c r="N592" s="453"/>
      <c r="O592" s="557">
        <f t="shared" si="95"/>
        <v>153</v>
      </c>
      <c r="P592" s="633">
        <v>1</v>
      </c>
      <c r="Q592" s="776">
        <f t="shared" si="96"/>
        <v>0</v>
      </c>
      <c r="R592" s="776">
        <f t="shared" si="97"/>
        <v>0</v>
      </c>
      <c r="S592" s="552">
        <f t="shared" si="98"/>
        <v>0</v>
      </c>
      <c r="T592" s="626">
        <f t="shared" si="91"/>
        <v>0</v>
      </c>
      <c r="U592" s="626">
        <f t="shared" si="92"/>
        <v>0</v>
      </c>
      <c r="V592" s="553">
        <f t="shared" si="93"/>
        <v>0</v>
      </c>
      <c r="W592" s="554" t="str">
        <f t="shared" si="99"/>
        <v>S</v>
      </c>
      <c r="X592" s="555"/>
      <c r="Y592" s="631">
        <f>IF(Q592=0,0,(Q592+R592)*'1.0-Contractblad'!$L$98)</f>
        <v>0</v>
      </c>
      <c r="Z592" s="632">
        <f ca="1">IF(J592=0,0,VLOOKUP(D592,'1.1a-Jaarprijzen'!$B$70:$P$124,14,FALSE)*(K592+J592))</f>
        <v>0</v>
      </c>
    </row>
    <row r="593" spans="1:26" hidden="1">
      <c r="A593" s="558"/>
      <c r="B593" s="548"/>
      <c r="C593" s="659">
        <v>3</v>
      </c>
      <c r="D593" s="549" t="s">
        <v>1479</v>
      </c>
      <c r="E593" s="660" t="s">
        <v>478</v>
      </c>
      <c r="F593" s="551" t="s">
        <v>1034</v>
      </c>
      <c r="G593" s="649" t="s">
        <v>1345</v>
      </c>
      <c r="H593" s="647" t="str">
        <f t="shared" si="90"/>
        <v>sanitaire ruimte (toilet-/doucheruimte)</v>
      </c>
      <c r="I593" s="719" t="s">
        <v>492</v>
      </c>
      <c r="J593" s="623">
        <v>1.3</v>
      </c>
      <c r="K593" s="623"/>
      <c r="L593" s="559">
        <v>4153</v>
      </c>
      <c r="M593" s="557">
        <f t="shared" si="94"/>
        <v>104</v>
      </c>
      <c r="N593" s="453"/>
      <c r="O593" s="557">
        <f t="shared" si="95"/>
        <v>153</v>
      </c>
      <c r="P593" s="633">
        <v>1</v>
      </c>
      <c r="Q593" s="776">
        <f t="shared" si="96"/>
        <v>0</v>
      </c>
      <c r="R593" s="776">
        <f t="shared" si="97"/>
        <v>0</v>
      </c>
      <c r="S593" s="552">
        <f t="shared" si="98"/>
        <v>0</v>
      </c>
      <c r="T593" s="626">
        <f t="shared" si="91"/>
        <v>0</v>
      </c>
      <c r="U593" s="626">
        <f t="shared" si="92"/>
        <v>0</v>
      </c>
      <c r="V593" s="553">
        <f t="shared" si="93"/>
        <v>0</v>
      </c>
      <c r="W593" s="554" t="str">
        <f t="shared" si="99"/>
        <v>S</v>
      </c>
      <c r="X593" s="555"/>
      <c r="Y593" s="631">
        <f>IF(Q593=0,0,(Q593+R593)*'1.0-Contractblad'!$L$98)</f>
        <v>0</v>
      </c>
      <c r="Z593" s="632">
        <f ca="1">IF(J593=0,0,VLOOKUP(D593,'1.1a-Jaarprijzen'!$B$70:$P$124,14,FALSE)*(K593+J593))</f>
        <v>0</v>
      </c>
    </row>
    <row r="594" spans="1:26" hidden="1">
      <c r="A594" s="558"/>
      <c r="B594" s="548"/>
      <c r="C594" s="659">
        <v>3</v>
      </c>
      <c r="D594" s="549" t="s">
        <v>1479</v>
      </c>
      <c r="E594" s="660" t="s">
        <v>478</v>
      </c>
      <c r="F594" s="551" t="s">
        <v>1035</v>
      </c>
      <c r="G594" s="649" t="s">
        <v>1346</v>
      </c>
      <c r="H594" s="647" t="str">
        <f t="shared" si="90"/>
        <v>sanitaire ruimte (toilet-/doucheruimte)</v>
      </c>
      <c r="I594" s="719" t="s">
        <v>492</v>
      </c>
      <c r="J594" s="623">
        <v>1.6</v>
      </c>
      <c r="K594" s="623"/>
      <c r="L594" s="559">
        <v>4153</v>
      </c>
      <c r="M594" s="557">
        <f t="shared" si="94"/>
        <v>104</v>
      </c>
      <c r="N594" s="453"/>
      <c r="O594" s="557">
        <f t="shared" si="95"/>
        <v>153</v>
      </c>
      <c r="P594" s="633">
        <v>1</v>
      </c>
      <c r="Q594" s="776">
        <f t="shared" si="96"/>
        <v>0</v>
      </c>
      <c r="R594" s="776">
        <f t="shared" si="97"/>
        <v>0</v>
      </c>
      <c r="S594" s="552">
        <f t="shared" si="98"/>
        <v>0</v>
      </c>
      <c r="T594" s="626">
        <f t="shared" si="91"/>
        <v>0</v>
      </c>
      <c r="U594" s="626">
        <f t="shared" si="92"/>
        <v>0</v>
      </c>
      <c r="V594" s="553">
        <f t="shared" si="93"/>
        <v>0</v>
      </c>
      <c r="W594" s="554" t="str">
        <f t="shared" si="99"/>
        <v>S</v>
      </c>
      <c r="X594" s="555"/>
      <c r="Y594" s="631">
        <f>IF(Q594=0,0,(Q594+R594)*'1.0-Contractblad'!$L$98)</f>
        <v>0</v>
      </c>
      <c r="Z594" s="632">
        <f ca="1">IF(J594=0,0,VLOOKUP(D594,'1.1a-Jaarprijzen'!$B$70:$P$124,14,FALSE)*(K594+J594))</f>
        <v>0</v>
      </c>
    </row>
    <row r="595" spans="1:26" hidden="1">
      <c r="A595" s="558"/>
      <c r="B595" s="548"/>
      <c r="C595" s="659">
        <v>3</v>
      </c>
      <c r="D595" s="549" t="s">
        <v>1479</v>
      </c>
      <c r="E595" s="660" t="s">
        <v>478</v>
      </c>
      <c r="F595" s="551" t="s">
        <v>1036</v>
      </c>
      <c r="G595" s="649" t="s">
        <v>493</v>
      </c>
      <c r="H595" s="647" t="str">
        <f t="shared" si="90"/>
        <v>niet van toepassing</v>
      </c>
      <c r="I595" s="719" t="s">
        <v>499</v>
      </c>
      <c r="J595" s="623"/>
      <c r="K595" s="623">
        <v>27.3</v>
      </c>
      <c r="L595" s="668" t="s">
        <v>27</v>
      </c>
      <c r="M595" s="557">
        <f t="shared" si="94"/>
        <v>0</v>
      </c>
      <c r="N595" s="453"/>
      <c r="O595" s="557">
        <f t="shared" si="95"/>
        <v>0</v>
      </c>
      <c r="P595" s="633">
        <v>1</v>
      </c>
      <c r="Q595" s="776">
        <f t="shared" si="96"/>
        <v>0</v>
      </c>
      <c r="R595" s="776">
        <f t="shared" si="97"/>
        <v>0</v>
      </c>
      <c r="S595" s="552">
        <f t="shared" si="98"/>
        <v>0</v>
      </c>
      <c r="T595" s="626">
        <f t="shared" si="91"/>
        <v>0</v>
      </c>
      <c r="U595" s="626">
        <f t="shared" si="92"/>
        <v>0</v>
      </c>
      <c r="V595" s="553">
        <f t="shared" si="93"/>
        <v>0</v>
      </c>
      <c r="W595" s="554">
        <f t="shared" si="99"/>
        <v>0</v>
      </c>
      <c r="X595" s="454"/>
      <c r="Y595" s="631">
        <f>IF(Q595=0,0,(Q595+R595)*'1.0-Contractblad'!$L$98)</f>
        <v>0</v>
      </c>
      <c r="Z595" s="632">
        <f>IF(J595=0,0,VLOOKUP(D595,'1.1a-Jaarprijzen'!$B$70:$P$124,14,FALSE)*(K595+J595))</f>
        <v>0</v>
      </c>
    </row>
    <row r="596" spans="1:26" hidden="1">
      <c r="A596" s="558"/>
      <c r="B596" s="548"/>
      <c r="C596" s="659">
        <v>3</v>
      </c>
      <c r="D596" s="549" t="s">
        <v>1479</v>
      </c>
      <c r="E596" s="660" t="s">
        <v>478</v>
      </c>
      <c r="F596" s="551" t="s">
        <v>1037</v>
      </c>
      <c r="G596" s="649" t="s">
        <v>493</v>
      </c>
      <c r="H596" s="647" t="str">
        <f t="shared" si="90"/>
        <v>niet van toepassing</v>
      </c>
      <c r="I596" s="719" t="s">
        <v>499</v>
      </c>
      <c r="J596" s="623"/>
      <c r="K596" s="623">
        <v>20.100000000000001</v>
      </c>
      <c r="L596" s="668" t="s">
        <v>27</v>
      </c>
      <c r="M596" s="557">
        <f t="shared" si="94"/>
        <v>0</v>
      </c>
      <c r="N596" s="453"/>
      <c r="O596" s="557">
        <f t="shared" si="95"/>
        <v>0</v>
      </c>
      <c r="P596" s="633">
        <v>1</v>
      </c>
      <c r="Q596" s="776">
        <f t="shared" si="96"/>
        <v>0</v>
      </c>
      <c r="R596" s="776">
        <f t="shared" si="97"/>
        <v>0</v>
      </c>
      <c r="S596" s="552">
        <f t="shared" si="98"/>
        <v>0</v>
      </c>
      <c r="T596" s="626">
        <f t="shared" si="91"/>
        <v>0</v>
      </c>
      <c r="U596" s="626">
        <f t="shared" si="92"/>
        <v>0</v>
      </c>
      <c r="V596" s="553">
        <f t="shared" si="93"/>
        <v>0</v>
      </c>
      <c r="W596" s="554">
        <f t="shared" si="99"/>
        <v>0</v>
      </c>
      <c r="X596" s="454"/>
      <c r="Y596" s="631">
        <f>IF(Q596=0,0,(Q596+R596)*'1.0-Contractblad'!$L$98)</f>
        <v>0</v>
      </c>
      <c r="Z596" s="632">
        <f>IF(J596=0,0,VLOOKUP(D596,'1.1a-Jaarprijzen'!$B$70:$P$124,14,FALSE)*(K596+J596))</f>
        <v>0</v>
      </c>
    </row>
    <row r="597" spans="1:26" hidden="1">
      <c r="A597" s="558"/>
      <c r="B597" s="548"/>
      <c r="C597" s="659">
        <v>3</v>
      </c>
      <c r="D597" s="549" t="s">
        <v>1479</v>
      </c>
      <c r="E597" s="660" t="s">
        <v>478</v>
      </c>
      <c r="F597" s="551" t="s">
        <v>1038</v>
      </c>
      <c r="G597" s="649" t="s">
        <v>493</v>
      </c>
      <c r="H597" s="647" t="str">
        <f t="shared" si="90"/>
        <v>niet van toepassing</v>
      </c>
      <c r="I597" s="719" t="s">
        <v>499</v>
      </c>
      <c r="J597" s="623"/>
      <c r="K597" s="623">
        <v>41.2</v>
      </c>
      <c r="L597" s="668" t="s">
        <v>27</v>
      </c>
      <c r="M597" s="557">
        <f t="shared" si="94"/>
        <v>0</v>
      </c>
      <c r="N597" s="453"/>
      <c r="O597" s="557">
        <f t="shared" si="95"/>
        <v>0</v>
      </c>
      <c r="P597" s="633">
        <v>1</v>
      </c>
      <c r="Q597" s="776">
        <f t="shared" si="96"/>
        <v>0</v>
      </c>
      <c r="R597" s="776">
        <f t="shared" si="97"/>
        <v>0</v>
      </c>
      <c r="S597" s="552">
        <f t="shared" si="98"/>
        <v>0</v>
      </c>
      <c r="T597" s="626">
        <f t="shared" si="91"/>
        <v>0</v>
      </c>
      <c r="U597" s="626">
        <f t="shared" si="92"/>
        <v>0</v>
      </c>
      <c r="V597" s="553">
        <f t="shared" si="93"/>
        <v>0</v>
      </c>
      <c r="W597" s="554">
        <f t="shared" si="99"/>
        <v>0</v>
      </c>
      <c r="X597" s="454"/>
      <c r="Y597" s="631">
        <f>IF(Q597=0,0,(Q597+R597)*'1.0-Contractblad'!$L$98)</f>
        <v>0</v>
      </c>
      <c r="Z597" s="632">
        <f>IF(J597=0,0,VLOOKUP(D597,'1.1a-Jaarprijzen'!$B$70:$P$124,14,FALSE)*(K597+J597))</f>
        <v>0</v>
      </c>
    </row>
    <row r="598" spans="1:26" hidden="1">
      <c r="A598" s="558"/>
      <c r="B598" s="548"/>
      <c r="C598" s="659">
        <v>3</v>
      </c>
      <c r="D598" s="549" t="s">
        <v>1479</v>
      </c>
      <c r="E598" s="660" t="s">
        <v>478</v>
      </c>
      <c r="F598" s="551" t="s">
        <v>1039</v>
      </c>
      <c r="G598" s="649" t="s">
        <v>493</v>
      </c>
      <c r="H598" s="647" t="str">
        <f t="shared" si="90"/>
        <v>niet van toepassing</v>
      </c>
      <c r="I598" s="719" t="s">
        <v>499</v>
      </c>
      <c r="J598" s="623"/>
      <c r="K598" s="623">
        <v>25.7</v>
      </c>
      <c r="L598" s="668" t="s">
        <v>27</v>
      </c>
      <c r="M598" s="557">
        <f t="shared" si="94"/>
        <v>0</v>
      </c>
      <c r="N598" s="453"/>
      <c r="O598" s="557">
        <f t="shared" si="95"/>
        <v>0</v>
      </c>
      <c r="P598" s="633">
        <v>1</v>
      </c>
      <c r="Q598" s="776">
        <f t="shared" si="96"/>
        <v>0</v>
      </c>
      <c r="R598" s="776">
        <f t="shared" si="97"/>
        <v>0</v>
      </c>
      <c r="S598" s="552">
        <f t="shared" si="98"/>
        <v>0</v>
      </c>
      <c r="T598" s="626">
        <f t="shared" si="91"/>
        <v>0</v>
      </c>
      <c r="U598" s="626">
        <f t="shared" si="92"/>
        <v>0</v>
      </c>
      <c r="V598" s="553">
        <f t="shared" si="93"/>
        <v>0</v>
      </c>
      <c r="W598" s="554">
        <f t="shared" si="99"/>
        <v>0</v>
      </c>
      <c r="X598" s="454"/>
      <c r="Y598" s="631">
        <f>IF(Q598=0,0,(Q598+R598)*'1.0-Contractblad'!$L$98)</f>
        <v>0</v>
      </c>
      <c r="Z598" s="632">
        <f>IF(J598=0,0,VLOOKUP(D598,'1.1a-Jaarprijzen'!$B$70:$P$124,14,FALSE)*(K598+J598))</f>
        <v>0</v>
      </c>
    </row>
    <row r="599" spans="1:26" hidden="1">
      <c r="A599" s="558"/>
      <c r="B599" s="548"/>
      <c r="C599" s="659">
        <v>3</v>
      </c>
      <c r="D599" s="549" t="s">
        <v>1479</v>
      </c>
      <c r="E599" s="660" t="s">
        <v>478</v>
      </c>
      <c r="F599" s="551" t="s">
        <v>1040</v>
      </c>
      <c r="G599" s="649" t="s">
        <v>483</v>
      </c>
      <c r="H599" s="647" t="str">
        <f t="shared" si="90"/>
        <v>niet van toepassing</v>
      </c>
      <c r="I599" s="719" t="s">
        <v>491</v>
      </c>
      <c r="J599" s="623"/>
      <c r="K599" s="623"/>
      <c r="L599" s="668" t="s">
        <v>27</v>
      </c>
      <c r="M599" s="557">
        <f t="shared" si="94"/>
        <v>0</v>
      </c>
      <c r="N599" s="453"/>
      <c r="O599" s="557">
        <f t="shared" si="95"/>
        <v>0</v>
      </c>
      <c r="P599" s="633">
        <v>1</v>
      </c>
      <c r="Q599" s="776">
        <f t="shared" si="96"/>
        <v>0</v>
      </c>
      <c r="R599" s="776">
        <f t="shared" si="97"/>
        <v>0</v>
      </c>
      <c r="S599" s="552">
        <f t="shared" si="98"/>
        <v>0</v>
      </c>
      <c r="T599" s="626">
        <f t="shared" si="91"/>
        <v>0</v>
      </c>
      <c r="U599" s="626">
        <f t="shared" si="92"/>
        <v>0</v>
      </c>
      <c r="V599" s="553">
        <f t="shared" si="93"/>
        <v>0</v>
      </c>
      <c r="W599" s="554">
        <f t="shared" si="99"/>
        <v>0</v>
      </c>
      <c r="X599" s="454" t="s">
        <v>1454</v>
      </c>
      <c r="Y599" s="631">
        <f>IF(Q599=0,0,(Q599+R599)*'1.0-Contractblad'!$L$98)</f>
        <v>0</v>
      </c>
      <c r="Z599" s="632">
        <f>IF(J599=0,0,VLOOKUP(D599,'1.1a-Jaarprijzen'!$B$70:$P$124,14,FALSE)*(K599+J599))</f>
        <v>0</v>
      </c>
    </row>
    <row r="600" spans="1:26" hidden="1">
      <c r="A600" s="558"/>
      <c r="B600" s="548"/>
      <c r="C600" s="659">
        <v>3</v>
      </c>
      <c r="D600" s="549" t="s">
        <v>1480</v>
      </c>
      <c r="E600" s="550" t="s">
        <v>502</v>
      </c>
      <c r="F600" s="551" t="s">
        <v>1041</v>
      </c>
      <c r="G600" s="649" t="s">
        <v>494</v>
      </c>
      <c r="H600" s="647" t="str">
        <f t="shared" si="90"/>
        <v>entree, gang, hal, repro, kopieer, was/droogruimte</v>
      </c>
      <c r="I600" s="719" t="s">
        <v>1408</v>
      </c>
      <c r="J600" s="623">
        <v>6</v>
      </c>
      <c r="K600" s="623"/>
      <c r="L600" s="651">
        <v>3153</v>
      </c>
      <c r="M600" s="557">
        <f t="shared" si="94"/>
        <v>103</v>
      </c>
      <c r="N600" s="453"/>
      <c r="O600" s="557">
        <f t="shared" si="95"/>
        <v>153</v>
      </c>
      <c r="P600" s="633">
        <v>1</v>
      </c>
      <c r="Q600" s="776">
        <f t="shared" si="96"/>
        <v>0</v>
      </c>
      <c r="R600" s="776">
        <f t="shared" si="97"/>
        <v>0</v>
      </c>
      <c r="S600" s="552">
        <f t="shared" si="98"/>
        <v>0</v>
      </c>
      <c r="T600" s="626">
        <f t="shared" si="91"/>
        <v>0</v>
      </c>
      <c r="U600" s="626">
        <f t="shared" si="92"/>
        <v>0</v>
      </c>
      <c r="V600" s="553">
        <f t="shared" si="93"/>
        <v>0</v>
      </c>
      <c r="W600" s="554" t="str">
        <f t="shared" si="99"/>
        <v>V</v>
      </c>
      <c r="X600" s="555"/>
      <c r="Y600" s="631">
        <f>IF(Q600=0,0,(Q600+R600)*'1.0-Contractblad'!$L$98)</f>
        <v>0</v>
      </c>
      <c r="Z600" s="632">
        <f ca="1">IF(J600=0,0,VLOOKUP(D600,'1.1a-Jaarprijzen'!$B$70:$P$124,14,FALSE)*(K600+J600))</f>
        <v>0</v>
      </c>
    </row>
    <row r="601" spans="1:26" hidden="1">
      <c r="A601" s="558"/>
      <c r="B601" s="548"/>
      <c r="C601" s="659">
        <v>3</v>
      </c>
      <c r="D601" s="549" t="s">
        <v>1480</v>
      </c>
      <c r="E601" s="550" t="s">
        <v>502</v>
      </c>
      <c r="F601" s="551" t="s">
        <v>1042</v>
      </c>
      <c r="G601" s="649" t="s">
        <v>1451</v>
      </c>
      <c r="H601" s="647" t="str">
        <f t="shared" si="90"/>
        <v>Keuken</v>
      </c>
      <c r="I601" s="719" t="s">
        <v>1409</v>
      </c>
      <c r="J601" s="623">
        <v>9.1</v>
      </c>
      <c r="K601" s="623"/>
      <c r="L601" s="559">
        <v>18255</v>
      </c>
      <c r="M601" s="557" t="str">
        <f t="shared" si="94"/>
        <v>nvt</v>
      </c>
      <c r="N601" s="453"/>
      <c r="O601" s="557">
        <f t="shared" si="95"/>
        <v>255</v>
      </c>
      <c r="P601" s="633">
        <v>1</v>
      </c>
      <c r="Q601" s="776">
        <f t="shared" si="96"/>
        <v>0</v>
      </c>
      <c r="R601" s="776">
        <f t="shared" si="97"/>
        <v>0</v>
      </c>
      <c r="S601" s="552">
        <f t="shared" si="98"/>
        <v>0</v>
      </c>
      <c r="T601" s="626">
        <f t="shared" si="91"/>
        <v>0</v>
      </c>
      <c r="U601" s="626">
        <f t="shared" si="92"/>
        <v>0</v>
      </c>
      <c r="V601" s="553">
        <f t="shared" si="93"/>
        <v>0</v>
      </c>
      <c r="W601" s="554" t="str">
        <f t="shared" si="99"/>
        <v>V</v>
      </c>
      <c r="X601" s="555"/>
      <c r="Y601" s="631">
        <f>IF(Q601=0,0,(Q601+R601)*'1.0-Contractblad'!$L$98)</f>
        <v>0</v>
      </c>
      <c r="Z601" s="632">
        <f ca="1">IF(J601=0,0,VLOOKUP(D601,'1.1a-Jaarprijzen'!$B$70:$P$124,14,FALSE)*(K601+J601))</f>
        <v>0</v>
      </c>
    </row>
    <row r="602" spans="1:26" hidden="1">
      <c r="A602" s="558"/>
      <c r="B602" s="548"/>
      <c r="C602" s="659">
        <v>3</v>
      </c>
      <c r="D602" s="549" t="s">
        <v>1480</v>
      </c>
      <c r="E602" s="550" t="s">
        <v>502</v>
      </c>
      <c r="F602" s="551" t="s">
        <v>1043</v>
      </c>
      <c r="G602" s="649" t="s">
        <v>486</v>
      </c>
      <c r="H602" s="647" t="str">
        <f t="shared" si="90"/>
        <v>niet van toepassing</v>
      </c>
      <c r="I602" s="719"/>
      <c r="J602" s="623"/>
      <c r="K602" s="623"/>
      <c r="L602" s="668" t="s">
        <v>27</v>
      </c>
      <c r="M602" s="557">
        <f t="shared" si="94"/>
        <v>0</v>
      </c>
      <c r="N602" s="453"/>
      <c r="O602" s="557">
        <f t="shared" si="95"/>
        <v>0</v>
      </c>
      <c r="P602" s="633">
        <v>1</v>
      </c>
      <c r="Q602" s="776">
        <f t="shared" si="96"/>
        <v>0</v>
      </c>
      <c r="R602" s="776">
        <f t="shared" si="97"/>
        <v>0</v>
      </c>
      <c r="S602" s="552">
        <f t="shared" si="98"/>
        <v>0</v>
      </c>
      <c r="T602" s="626">
        <f t="shared" si="91"/>
        <v>0</v>
      </c>
      <c r="U602" s="626">
        <f t="shared" si="92"/>
        <v>0</v>
      </c>
      <c r="V602" s="553">
        <f t="shared" si="93"/>
        <v>0</v>
      </c>
      <c r="W602" s="554">
        <f t="shared" si="99"/>
        <v>0</v>
      </c>
      <c r="X602" s="454" t="s">
        <v>1454</v>
      </c>
      <c r="Y602" s="631">
        <f>IF(Q602=0,0,(Q602+R602)*'1.0-Contractblad'!$L$98)</f>
        <v>0</v>
      </c>
      <c r="Z602" s="632">
        <f>IF(J602=0,0,VLOOKUP(D602,'1.1a-Jaarprijzen'!$B$70:$P$124,14,FALSE)*(K602+J602))</f>
        <v>0</v>
      </c>
    </row>
    <row r="603" spans="1:26" hidden="1">
      <c r="A603" s="558"/>
      <c r="B603" s="701"/>
      <c r="C603" s="659">
        <v>3</v>
      </c>
      <c r="D603" s="549" t="s">
        <v>1480</v>
      </c>
      <c r="E603" s="550" t="s">
        <v>502</v>
      </c>
      <c r="F603" s="551" t="s">
        <v>1044</v>
      </c>
      <c r="G603" s="649" t="s">
        <v>1358</v>
      </c>
      <c r="H603" s="647" t="str">
        <f t="shared" si="90"/>
        <v>entree, gang, hal, repro, kopieer, was/droogruimte</v>
      </c>
      <c r="I603" s="719" t="s">
        <v>1409</v>
      </c>
      <c r="J603" s="650">
        <v>69.400000000000006</v>
      </c>
      <c r="K603" s="650"/>
      <c r="L603" s="698">
        <v>3153</v>
      </c>
      <c r="M603" s="557">
        <f t="shared" si="94"/>
        <v>103</v>
      </c>
      <c r="N603" s="453"/>
      <c r="O603" s="557">
        <f t="shared" si="95"/>
        <v>153</v>
      </c>
      <c r="P603" s="633">
        <v>1</v>
      </c>
      <c r="Q603" s="776">
        <f t="shared" si="96"/>
        <v>0</v>
      </c>
      <c r="R603" s="776">
        <f t="shared" si="97"/>
        <v>0</v>
      </c>
      <c r="S603" s="552">
        <f t="shared" si="98"/>
        <v>0</v>
      </c>
      <c r="T603" s="626">
        <f t="shared" si="91"/>
        <v>0</v>
      </c>
      <c r="U603" s="626">
        <f t="shared" si="92"/>
        <v>0</v>
      </c>
      <c r="V603" s="553">
        <f t="shared" si="93"/>
        <v>0</v>
      </c>
      <c r="W603" s="554" t="str">
        <f t="shared" si="99"/>
        <v>V</v>
      </c>
      <c r="X603" s="555"/>
      <c r="Y603" s="631">
        <f>IF(Q603=0,0,(Q603+R603)*'1.0-Contractblad'!$L$98)</f>
        <v>0</v>
      </c>
      <c r="Z603" s="632">
        <f ca="1">IF(J603=0,0,VLOOKUP(D603,'1.1a-Jaarprijzen'!$B$70:$P$124,14,FALSE)*(K603+J603))</f>
        <v>0</v>
      </c>
    </row>
    <row r="604" spans="1:26" hidden="1">
      <c r="A604" s="558"/>
      <c r="B604" s="548"/>
      <c r="C604" s="659">
        <v>3</v>
      </c>
      <c r="D604" s="549" t="s">
        <v>1480</v>
      </c>
      <c r="E604" s="550" t="s">
        <v>502</v>
      </c>
      <c r="F604" s="551" t="s">
        <v>1045</v>
      </c>
      <c r="G604" s="649" t="s">
        <v>486</v>
      </c>
      <c r="H604" s="647" t="str">
        <f t="shared" si="90"/>
        <v>niet van toepassing</v>
      </c>
      <c r="I604" s="719"/>
      <c r="J604" s="623"/>
      <c r="K604" s="623"/>
      <c r="L604" s="668" t="s">
        <v>27</v>
      </c>
      <c r="M604" s="557">
        <f t="shared" si="94"/>
        <v>0</v>
      </c>
      <c r="N604" s="453"/>
      <c r="O604" s="557">
        <f t="shared" si="95"/>
        <v>0</v>
      </c>
      <c r="P604" s="633">
        <v>1</v>
      </c>
      <c r="Q604" s="776">
        <f t="shared" si="96"/>
        <v>0</v>
      </c>
      <c r="R604" s="776">
        <f t="shared" si="97"/>
        <v>0</v>
      </c>
      <c r="S604" s="552">
        <f t="shared" si="98"/>
        <v>0</v>
      </c>
      <c r="T604" s="626">
        <f t="shared" si="91"/>
        <v>0</v>
      </c>
      <c r="U604" s="626">
        <f t="shared" si="92"/>
        <v>0</v>
      </c>
      <c r="V604" s="553">
        <f t="shared" si="93"/>
        <v>0</v>
      </c>
      <c r="W604" s="554">
        <f t="shared" si="99"/>
        <v>0</v>
      </c>
      <c r="X604" s="454" t="s">
        <v>1454</v>
      </c>
      <c r="Y604" s="631">
        <f>IF(Q604=0,0,(Q604+R604)*'1.0-Contractblad'!$L$98)</f>
        <v>0</v>
      </c>
      <c r="Z604" s="632">
        <f>IF(J604=0,0,VLOOKUP(D604,'1.1a-Jaarprijzen'!$B$70:$P$124,14,FALSE)*(K604+J604))</f>
        <v>0</v>
      </c>
    </row>
    <row r="605" spans="1:26" hidden="1">
      <c r="A605" s="558"/>
      <c r="B605" s="548"/>
      <c r="C605" s="659">
        <v>3</v>
      </c>
      <c r="D605" s="549" t="s">
        <v>1480</v>
      </c>
      <c r="E605" s="550" t="s">
        <v>502</v>
      </c>
      <c r="F605" s="551" t="s">
        <v>1046</v>
      </c>
      <c r="G605" s="649" t="s">
        <v>1282</v>
      </c>
      <c r="H605" s="647" t="str">
        <f t="shared" si="90"/>
        <v>niet van toepassing</v>
      </c>
      <c r="I605" s="719"/>
      <c r="J605" s="623"/>
      <c r="K605" s="623"/>
      <c r="L605" s="668" t="s">
        <v>27</v>
      </c>
      <c r="M605" s="557">
        <f t="shared" si="94"/>
        <v>0</v>
      </c>
      <c r="N605" s="453"/>
      <c r="O605" s="557">
        <f t="shared" si="95"/>
        <v>0</v>
      </c>
      <c r="P605" s="633">
        <v>1</v>
      </c>
      <c r="Q605" s="776">
        <f t="shared" si="96"/>
        <v>0</v>
      </c>
      <c r="R605" s="776">
        <f t="shared" si="97"/>
        <v>0</v>
      </c>
      <c r="S605" s="552">
        <f t="shared" si="98"/>
        <v>0</v>
      </c>
      <c r="T605" s="626">
        <f t="shared" si="91"/>
        <v>0</v>
      </c>
      <c r="U605" s="626">
        <f t="shared" si="92"/>
        <v>0</v>
      </c>
      <c r="V605" s="553">
        <f t="shared" si="93"/>
        <v>0</v>
      </c>
      <c r="W605" s="554">
        <f t="shared" si="99"/>
        <v>0</v>
      </c>
      <c r="X605" s="454" t="s">
        <v>1454</v>
      </c>
      <c r="Y605" s="631">
        <f>IF(Q605=0,0,(Q605+R605)*'1.0-Contractblad'!$L$98)</f>
        <v>0</v>
      </c>
      <c r="Z605" s="632">
        <f>IF(J605=0,0,VLOOKUP(D605,'1.1a-Jaarprijzen'!$B$70:$P$124,14,FALSE)*(K605+J605))</f>
        <v>0</v>
      </c>
    </row>
    <row r="606" spans="1:26">
      <c r="A606" s="558"/>
      <c r="B606" s="548"/>
      <c r="C606" s="659">
        <v>3</v>
      </c>
      <c r="D606" s="549" t="s">
        <v>1480</v>
      </c>
      <c r="E606" s="550" t="s">
        <v>502</v>
      </c>
      <c r="F606" s="551" t="s">
        <v>1047</v>
      </c>
      <c r="G606" s="649" t="s">
        <v>1359</v>
      </c>
      <c r="H606" s="647" t="str">
        <f t="shared" si="90"/>
        <v>aula, gemeenschappelijke ruimte, bibliotheek</v>
      </c>
      <c r="I606" s="719" t="s">
        <v>1409</v>
      </c>
      <c r="J606" s="623">
        <v>55.5</v>
      </c>
      <c r="K606" s="623"/>
      <c r="L606" s="559">
        <v>2153</v>
      </c>
      <c r="M606" s="557">
        <f t="shared" si="94"/>
        <v>102</v>
      </c>
      <c r="N606" s="453"/>
      <c r="O606" s="557">
        <f t="shared" si="95"/>
        <v>153</v>
      </c>
      <c r="P606" s="633">
        <v>1</v>
      </c>
      <c r="Q606" s="776">
        <f t="shared" si="96"/>
        <v>0</v>
      </c>
      <c r="R606" s="776">
        <f t="shared" si="97"/>
        <v>0</v>
      </c>
      <c r="S606" s="552">
        <f t="shared" si="98"/>
        <v>0</v>
      </c>
      <c r="T606" s="626">
        <f t="shared" si="91"/>
        <v>0</v>
      </c>
      <c r="U606" s="626">
        <f t="shared" si="92"/>
        <v>0</v>
      </c>
      <c r="V606" s="553">
        <f t="shared" si="93"/>
        <v>0</v>
      </c>
      <c r="W606" s="554" t="str">
        <f t="shared" si="99"/>
        <v>V</v>
      </c>
      <c r="X606" s="555"/>
      <c r="Y606" s="631">
        <f>IF(Q606=0,0,(Q606+R606)*'1.0-Contractblad'!$L$98)</f>
        <v>0</v>
      </c>
      <c r="Z606" s="632">
        <f ca="1">IF(J606=0,0,VLOOKUP(D606,'1.1a-Jaarprijzen'!$B$70:$P$124,14,FALSE)*(K606+J606))</f>
        <v>0</v>
      </c>
    </row>
    <row r="607" spans="1:26" hidden="1">
      <c r="A607" s="558"/>
      <c r="B607" s="701"/>
      <c r="C607" s="659">
        <v>3</v>
      </c>
      <c r="D607" s="549" t="s">
        <v>1480</v>
      </c>
      <c r="E607" s="550" t="s">
        <v>502</v>
      </c>
      <c r="F607" s="551" t="s">
        <v>1048</v>
      </c>
      <c r="G607" s="649" t="s">
        <v>1358</v>
      </c>
      <c r="H607" s="647" t="str">
        <f t="shared" si="90"/>
        <v>entree, gang, hal, repro, kopieer, was/droogruimte</v>
      </c>
      <c r="I607" s="719" t="s">
        <v>1409</v>
      </c>
      <c r="J607" s="650">
        <v>15.7</v>
      </c>
      <c r="K607" s="650"/>
      <c r="L607" s="698">
        <v>3153</v>
      </c>
      <c r="M607" s="557">
        <f t="shared" si="94"/>
        <v>103</v>
      </c>
      <c r="N607" s="453"/>
      <c r="O607" s="557">
        <f t="shared" si="95"/>
        <v>153</v>
      </c>
      <c r="P607" s="633">
        <v>1</v>
      </c>
      <c r="Q607" s="776">
        <f t="shared" si="96"/>
        <v>0</v>
      </c>
      <c r="R607" s="776">
        <f t="shared" si="97"/>
        <v>0</v>
      </c>
      <c r="S607" s="552">
        <f t="shared" si="98"/>
        <v>0</v>
      </c>
      <c r="T607" s="626">
        <f t="shared" si="91"/>
        <v>0</v>
      </c>
      <c r="U607" s="626">
        <f t="shared" si="92"/>
        <v>0</v>
      </c>
      <c r="V607" s="553">
        <f t="shared" si="93"/>
        <v>0</v>
      </c>
      <c r="W607" s="554" t="str">
        <f t="shared" si="99"/>
        <v>V</v>
      </c>
      <c r="X607" s="555"/>
      <c r="Y607" s="631">
        <f>IF(Q607=0,0,(Q607+R607)*'1.0-Contractblad'!$L$98)</f>
        <v>0</v>
      </c>
      <c r="Z607" s="632">
        <f ca="1">IF(J607=0,0,VLOOKUP(D607,'1.1a-Jaarprijzen'!$B$70:$P$124,14,FALSE)*(K607+J607))</f>
        <v>0</v>
      </c>
    </row>
    <row r="608" spans="1:26" hidden="1">
      <c r="A608" s="558"/>
      <c r="B608" s="548"/>
      <c r="C608" s="659">
        <v>3</v>
      </c>
      <c r="D608" s="549" t="s">
        <v>1480</v>
      </c>
      <c r="E608" s="660" t="s">
        <v>502</v>
      </c>
      <c r="F608" s="551" t="s">
        <v>1049</v>
      </c>
      <c r="G608" s="649" t="s">
        <v>1360</v>
      </c>
      <c r="H608" s="647" t="str">
        <f t="shared" si="90"/>
        <v>niet van toepassing</v>
      </c>
      <c r="I608" s="719" t="s">
        <v>1409</v>
      </c>
      <c r="J608" s="623"/>
      <c r="K608" s="623">
        <v>8.9</v>
      </c>
      <c r="L608" s="668" t="s">
        <v>27</v>
      </c>
      <c r="M608" s="557">
        <f t="shared" si="94"/>
        <v>0</v>
      </c>
      <c r="N608" s="453"/>
      <c r="O608" s="557">
        <f t="shared" si="95"/>
        <v>0</v>
      </c>
      <c r="P608" s="633">
        <v>1</v>
      </c>
      <c r="Q608" s="776">
        <f t="shared" si="96"/>
        <v>0</v>
      </c>
      <c r="R608" s="776">
        <f t="shared" si="97"/>
        <v>0</v>
      </c>
      <c r="S608" s="552">
        <f t="shared" si="98"/>
        <v>0</v>
      </c>
      <c r="T608" s="626">
        <f t="shared" si="91"/>
        <v>0</v>
      </c>
      <c r="U608" s="626">
        <f t="shared" si="92"/>
        <v>0</v>
      </c>
      <c r="V608" s="553">
        <f t="shared" si="93"/>
        <v>0</v>
      </c>
      <c r="W608" s="554">
        <f t="shared" si="99"/>
        <v>0</v>
      </c>
      <c r="X608" s="454"/>
      <c r="Y608" s="631">
        <f>IF(Q608=0,0,(Q608+R608)*'1.0-Contractblad'!$L$98)</f>
        <v>0</v>
      </c>
      <c r="Z608" s="632">
        <f>IF(J608=0,0,VLOOKUP(D608,'1.1a-Jaarprijzen'!$B$70:$P$124,14,FALSE)*(K608+J608))</f>
        <v>0</v>
      </c>
    </row>
    <row r="609" spans="1:26" hidden="1">
      <c r="A609" s="558"/>
      <c r="B609" s="548"/>
      <c r="C609" s="659">
        <v>3</v>
      </c>
      <c r="D609" s="549" t="s">
        <v>1480</v>
      </c>
      <c r="E609" s="660" t="s">
        <v>502</v>
      </c>
      <c r="F609" s="551" t="s">
        <v>1050</v>
      </c>
      <c r="G609" s="649" t="s">
        <v>1223</v>
      </c>
      <c r="H609" s="647" t="str">
        <f t="shared" si="90"/>
        <v>administratieve -, personeels- en vergaderruimte</v>
      </c>
      <c r="I609" s="719" t="s">
        <v>1409</v>
      </c>
      <c r="J609" s="623">
        <v>8.6999999999999993</v>
      </c>
      <c r="K609" s="623"/>
      <c r="L609" s="699">
        <v>1102</v>
      </c>
      <c r="M609" s="557">
        <f t="shared" si="94"/>
        <v>101</v>
      </c>
      <c r="N609" s="453"/>
      <c r="O609" s="557">
        <f t="shared" si="95"/>
        <v>102</v>
      </c>
      <c r="P609" s="633">
        <v>1</v>
      </c>
      <c r="Q609" s="776">
        <f t="shared" si="96"/>
        <v>0</v>
      </c>
      <c r="R609" s="776">
        <f t="shared" si="97"/>
        <v>0</v>
      </c>
      <c r="S609" s="552">
        <f t="shared" si="98"/>
        <v>0</v>
      </c>
      <c r="T609" s="626">
        <f t="shared" si="91"/>
        <v>0</v>
      </c>
      <c r="U609" s="626">
        <f t="shared" si="92"/>
        <v>0</v>
      </c>
      <c r="V609" s="553">
        <f t="shared" si="93"/>
        <v>0</v>
      </c>
      <c r="W609" s="554" t="str">
        <f t="shared" si="99"/>
        <v>B</v>
      </c>
      <c r="X609" s="555"/>
      <c r="Y609" s="631">
        <f>IF(Q609=0,0,(Q609+R609)*'1.0-Contractblad'!$L$98)</f>
        <v>0</v>
      </c>
      <c r="Z609" s="632">
        <f ca="1">IF(J609=0,0,VLOOKUP(D609,'1.1a-Jaarprijzen'!$B$70:$P$124,14,FALSE)*(K609+J609))</f>
        <v>0</v>
      </c>
    </row>
    <row r="610" spans="1:26" hidden="1">
      <c r="A610" s="558"/>
      <c r="B610" s="548"/>
      <c r="C610" s="659">
        <v>3</v>
      </c>
      <c r="D610" s="549" t="s">
        <v>1480</v>
      </c>
      <c r="E610" s="660" t="s">
        <v>502</v>
      </c>
      <c r="F610" s="551" t="s">
        <v>1051</v>
      </c>
      <c r="G610" s="649" t="s">
        <v>1361</v>
      </c>
      <c r="H610" s="647" t="str">
        <f t="shared" si="90"/>
        <v>sanitaire ruimte (toilet-/doucheruimte)</v>
      </c>
      <c r="I610" s="719" t="s">
        <v>492</v>
      </c>
      <c r="J610" s="623">
        <v>7.1</v>
      </c>
      <c r="K610" s="623"/>
      <c r="L610" s="559">
        <v>4153</v>
      </c>
      <c r="M610" s="557">
        <f t="shared" si="94"/>
        <v>104</v>
      </c>
      <c r="N610" s="453"/>
      <c r="O610" s="557">
        <f t="shared" si="95"/>
        <v>153</v>
      </c>
      <c r="P610" s="633">
        <v>1</v>
      </c>
      <c r="Q610" s="776">
        <f t="shared" si="96"/>
        <v>0</v>
      </c>
      <c r="R610" s="776">
        <f t="shared" si="97"/>
        <v>0</v>
      </c>
      <c r="S610" s="552">
        <f t="shared" si="98"/>
        <v>0</v>
      </c>
      <c r="T610" s="626">
        <f t="shared" si="91"/>
        <v>0</v>
      </c>
      <c r="U610" s="626">
        <f t="shared" si="92"/>
        <v>0</v>
      </c>
      <c r="V610" s="553">
        <f t="shared" si="93"/>
        <v>0</v>
      </c>
      <c r="W610" s="554" t="str">
        <f t="shared" si="99"/>
        <v>S</v>
      </c>
      <c r="X610" s="555"/>
      <c r="Y610" s="631">
        <f>IF(Q610=0,0,(Q610+R610)*'1.0-Contractblad'!$L$98)</f>
        <v>0</v>
      </c>
      <c r="Z610" s="632">
        <f ca="1">IF(J610=0,0,VLOOKUP(D610,'1.1a-Jaarprijzen'!$B$70:$P$124,14,FALSE)*(K610+J610))</f>
        <v>0</v>
      </c>
    </row>
    <row r="611" spans="1:26" hidden="1">
      <c r="A611" s="558"/>
      <c r="B611" s="548"/>
      <c r="C611" s="659">
        <v>3</v>
      </c>
      <c r="D611" s="549" t="s">
        <v>1480</v>
      </c>
      <c r="E611" s="550" t="s">
        <v>502</v>
      </c>
      <c r="F611" s="551" t="s">
        <v>1052</v>
      </c>
      <c r="G611" s="649" t="s">
        <v>489</v>
      </c>
      <c r="H611" s="647" t="str">
        <f t="shared" si="90"/>
        <v>sanitaire ruimte (toilet-/doucheruimte)</v>
      </c>
      <c r="I611" s="719" t="s">
        <v>492</v>
      </c>
      <c r="J611" s="623">
        <v>1.1000000000000001</v>
      </c>
      <c r="K611" s="623"/>
      <c r="L611" s="559">
        <v>4255</v>
      </c>
      <c r="M611" s="557">
        <f t="shared" si="94"/>
        <v>104</v>
      </c>
      <c r="N611" s="453"/>
      <c r="O611" s="557">
        <f t="shared" si="95"/>
        <v>255</v>
      </c>
      <c r="P611" s="633">
        <v>1</v>
      </c>
      <c r="Q611" s="776">
        <f t="shared" si="96"/>
        <v>0</v>
      </c>
      <c r="R611" s="776">
        <f t="shared" si="97"/>
        <v>0</v>
      </c>
      <c r="S611" s="552">
        <f t="shared" si="98"/>
        <v>0</v>
      </c>
      <c r="T611" s="626">
        <f t="shared" si="91"/>
        <v>0</v>
      </c>
      <c r="U611" s="626">
        <f t="shared" si="92"/>
        <v>0</v>
      </c>
      <c r="V611" s="553">
        <f t="shared" si="93"/>
        <v>0</v>
      </c>
      <c r="W611" s="554" t="str">
        <f t="shared" si="99"/>
        <v>S</v>
      </c>
      <c r="X611" s="555"/>
      <c r="Y611" s="631">
        <f>IF(Q611=0,0,(Q611+R611)*'1.0-Contractblad'!$L$98)</f>
        <v>0</v>
      </c>
      <c r="Z611" s="632">
        <f ca="1">IF(J611=0,0,VLOOKUP(D611,'1.1a-Jaarprijzen'!$B$70:$P$124,14,FALSE)*(K611+J611))</f>
        <v>0</v>
      </c>
    </row>
    <row r="612" spans="1:26" hidden="1">
      <c r="A612" s="558"/>
      <c r="B612" s="548"/>
      <c r="C612" s="659">
        <v>3</v>
      </c>
      <c r="D612" s="549" t="s">
        <v>1480</v>
      </c>
      <c r="E612" s="550" t="s">
        <v>502</v>
      </c>
      <c r="F612" s="551" t="s">
        <v>1053</v>
      </c>
      <c r="G612" s="649" t="s">
        <v>489</v>
      </c>
      <c r="H612" s="647" t="str">
        <f t="shared" si="90"/>
        <v>sanitaire ruimte (toilet-/doucheruimte)</v>
      </c>
      <c r="I612" s="719" t="s">
        <v>492</v>
      </c>
      <c r="J612" s="623">
        <v>1.1000000000000001</v>
      </c>
      <c r="K612" s="623"/>
      <c r="L612" s="559">
        <v>4255</v>
      </c>
      <c r="M612" s="557">
        <f t="shared" si="94"/>
        <v>104</v>
      </c>
      <c r="N612" s="453"/>
      <c r="O612" s="557">
        <f t="shared" si="95"/>
        <v>255</v>
      </c>
      <c r="P612" s="633">
        <v>1</v>
      </c>
      <c r="Q612" s="776">
        <f t="shared" si="96"/>
        <v>0</v>
      </c>
      <c r="R612" s="776">
        <f t="shared" si="97"/>
        <v>0</v>
      </c>
      <c r="S612" s="552">
        <f t="shared" si="98"/>
        <v>0</v>
      </c>
      <c r="T612" s="626">
        <f t="shared" si="91"/>
        <v>0</v>
      </c>
      <c r="U612" s="626">
        <f t="shared" si="92"/>
        <v>0</v>
      </c>
      <c r="V612" s="553">
        <f t="shared" si="93"/>
        <v>0</v>
      </c>
      <c r="W612" s="554" t="str">
        <f t="shared" si="99"/>
        <v>S</v>
      </c>
      <c r="X612" s="555"/>
      <c r="Y612" s="631">
        <f>IF(Q612=0,0,(Q612+R612)*'1.0-Contractblad'!$L$98)</f>
        <v>0</v>
      </c>
      <c r="Z612" s="632">
        <f ca="1">IF(J612=0,0,VLOOKUP(D612,'1.1a-Jaarprijzen'!$B$70:$P$124,14,FALSE)*(K612+J612))</f>
        <v>0</v>
      </c>
    </row>
    <row r="613" spans="1:26" hidden="1">
      <c r="A613" s="558"/>
      <c r="B613" s="548"/>
      <c r="C613" s="659">
        <v>3</v>
      </c>
      <c r="D613" s="549" t="s">
        <v>1480</v>
      </c>
      <c r="E613" s="550" t="s">
        <v>502</v>
      </c>
      <c r="F613" s="551" t="s">
        <v>1054</v>
      </c>
      <c r="G613" s="649" t="s">
        <v>489</v>
      </c>
      <c r="H613" s="647" t="str">
        <f t="shared" si="90"/>
        <v>sanitaire ruimte (toilet-/doucheruimte)</v>
      </c>
      <c r="I613" s="719" t="s">
        <v>492</v>
      </c>
      <c r="J613" s="623">
        <v>1.1000000000000001</v>
      </c>
      <c r="K613" s="623"/>
      <c r="L613" s="559">
        <v>4255</v>
      </c>
      <c r="M613" s="557">
        <f t="shared" si="94"/>
        <v>104</v>
      </c>
      <c r="N613" s="453"/>
      <c r="O613" s="557">
        <f t="shared" si="95"/>
        <v>255</v>
      </c>
      <c r="P613" s="633">
        <v>1</v>
      </c>
      <c r="Q613" s="776">
        <f t="shared" si="96"/>
        <v>0</v>
      </c>
      <c r="R613" s="776">
        <f t="shared" si="97"/>
        <v>0</v>
      </c>
      <c r="S613" s="552">
        <f t="shared" si="98"/>
        <v>0</v>
      </c>
      <c r="T613" s="626">
        <f t="shared" si="91"/>
        <v>0</v>
      </c>
      <c r="U613" s="626">
        <f t="shared" si="92"/>
        <v>0</v>
      </c>
      <c r="V613" s="553">
        <f t="shared" si="93"/>
        <v>0</v>
      </c>
      <c r="W613" s="554" t="str">
        <f t="shared" si="99"/>
        <v>S</v>
      </c>
      <c r="X613" s="555"/>
      <c r="Y613" s="631">
        <f>IF(Q613=0,0,(Q613+R613)*'1.0-Contractblad'!$L$98)</f>
        <v>0</v>
      </c>
      <c r="Z613" s="632">
        <f ca="1">IF(J613=0,0,VLOOKUP(D613,'1.1a-Jaarprijzen'!$B$70:$P$124,14,FALSE)*(K613+J613))</f>
        <v>0</v>
      </c>
    </row>
    <row r="614" spans="1:26" hidden="1">
      <c r="A614" s="558"/>
      <c r="B614" s="548"/>
      <c r="C614" s="659">
        <v>3</v>
      </c>
      <c r="D614" s="549" t="s">
        <v>1480</v>
      </c>
      <c r="E614" s="550" t="s">
        <v>502</v>
      </c>
      <c r="F614" s="551" t="s">
        <v>1055</v>
      </c>
      <c r="G614" s="649" t="s">
        <v>488</v>
      </c>
      <c r="H614" s="647" t="str">
        <f t="shared" si="90"/>
        <v>sanitaire ruimte (toilet-/doucheruimte)</v>
      </c>
      <c r="I614" s="719" t="s">
        <v>492</v>
      </c>
      <c r="J614" s="623">
        <v>1</v>
      </c>
      <c r="K614" s="623"/>
      <c r="L614" s="559">
        <v>4153</v>
      </c>
      <c r="M614" s="557">
        <f t="shared" si="94"/>
        <v>104</v>
      </c>
      <c r="N614" s="453"/>
      <c r="O614" s="557">
        <f t="shared" si="95"/>
        <v>153</v>
      </c>
      <c r="P614" s="633">
        <v>1</v>
      </c>
      <c r="Q614" s="776">
        <f t="shared" si="96"/>
        <v>0</v>
      </c>
      <c r="R614" s="776">
        <f t="shared" si="97"/>
        <v>0</v>
      </c>
      <c r="S614" s="552">
        <f t="shared" si="98"/>
        <v>0</v>
      </c>
      <c r="T614" s="626">
        <f t="shared" si="91"/>
        <v>0</v>
      </c>
      <c r="U614" s="626">
        <f t="shared" si="92"/>
        <v>0</v>
      </c>
      <c r="V614" s="553">
        <f t="shared" si="93"/>
        <v>0</v>
      </c>
      <c r="W614" s="554" t="str">
        <f t="shared" si="99"/>
        <v>S</v>
      </c>
      <c r="X614" s="555"/>
      <c r="Y614" s="631">
        <f>IF(Q614=0,0,(Q614+R614)*'1.0-Contractblad'!$L$98)</f>
        <v>0</v>
      </c>
      <c r="Z614" s="632">
        <f ca="1">IF(J614=0,0,VLOOKUP(D614,'1.1a-Jaarprijzen'!$B$70:$P$124,14,FALSE)*(K614+J614))</f>
        <v>0</v>
      </c>
    </row>
    <row r="615" spans="1:26" hidden="1">
      <c r="A615" s="558"/>
      <c r="B615" s="548"/>
      <c r="C615" s="659">
        <v>3</v>
      </c>
      <c r="D615" s="549" t="s">
        <v>1480</v>
      </c>
      <c r="E615" s="550" t="s">
        <v>502</v>
      </c>
      <c r="F615" s="551" t="s">
        <v>1056</v>
      </c>
      <c r="G615" s="649" t="s">
        <v>488</v>
      </c>
      <c r="H615" s="647" t="str">
        <f t="shared" si="90"/>
        <v>sanitaire ruimte (toilet-/doucheruimte)</v>
      </c>
      <c r="I615" s="719" t="s">
        <v>492</v>
      </c>
      <c r="J615" s="650">
        <v>1</v>
      </c>
      <c r="K615" s="623"/>
      <c r="L615" s="559">
        <v>4153</v>
      </c>
      <c r="M615" s="557">
        <f t="shared" si="94"/>
        <v>104</v>
      </c>
      <c r="N615" s="453"/>
      <c r="O615" s="557">
        <f t="shared" si="95"/>
        <v>153</v>
      </c>
      <c r="P615" s="633">
        <v>1</v>
      </c>
      <c r="Q615" s="776">
        <f t="shared" si="96"/>
        <v>0</v>
      </c>
      <c r="R615" s="776">
        <f t="shared" si="97"/>
        <v>0</v>
      </c>
      <c r="S615" s="552">
        <f t="shared" si="98"/>
        <v>0</v>
      </c>
      <c r="T615" s="626">
        <f t="shared" si="91"/>
        <v>0</v>
      </c>
      <c r="U615" s="626">
        <f t="shared" si="92"/>
        <v>0</v>
      </c>
      <c r="V615" s="553">
        <f t="shared" si="93"/>
        <v>0</v>
      </c>
      <c r="W615" s="554" t="str">
        <f t="shared" si="99"/>
        <v>S</v>
      </c>
      <c r="X615" s="555"/>
      <c r="Y615" s="631">
        <f>IF(Q615=0,0,(Q615+R615)*'1.0-Contractblad'!$L$98)</f>
        <v>0</v>
      </c>
      <c r="Z615" s="632">
        <f ca="1">IF(J615=0,0,VLOOKUP(D615,'1.1a-Jaarprijzen'!$B$70:$P$124,14,FALSE)*(K615+J615))</f>
        <v>0</v>
      </c>
    </row>
    <row r="616" spans="1:26" hidden="1">
      <c r="A616" s="558"/>
      <c r="B616" s="548"/>
      <c r="C616" s="659">
        <v>3</v>
      </c>
      <c r="D616" s="549" t="s">
        <v>1480</v>
      </c>
      <c r="E616" s="550" t="s">
        <v>502</v>
      </c>
      <c r="F616" s="551" t="s">
        <v>1057</v>
      </c>
      <c r="G616" s="649" t="s">
        <v>1271</v>
      </c>
      <c r="H616" s="647" t="str">
        <f t="shared" si="90"/>
        <v>niet van toepassing</v>
      </c>
      <c r="I616" s="719" t="s">
        <v>106</v>
      </c>
      <c r="J616" s="623"/>
      <c r="K616" s="623"/>
      <c r="L616" s="668" t="s">
        <v>27</v>
      </c>
      <c r="M616" s="557">
        <f t="shared" si="94"/>
        <v>0</v>
      </c>
      <c r="N616" s="453"/>
      <c r="O616" s="557">
        <f t="shared" si="95"/>
        <v>0</v>
      </c>
      <c r="P616" s="633">
        <v>1</v>
      </c>
      <c r="Q616" s="776">
        <f t="shared" si="96"/>
        <v>0</v>
      </c>
      <c r="R616" s="776">
        <f t="shared" si="97"/>
        <v>0</v>
      </c>
      <c r="S616" s="552">
        <f t="shared" si="98"/>
        <v>0</v>
      </c>
      <c r="T616" s="626">
        <f t="shared" si="91"/>
        <v>0</v>
      </c>
      <c r="U616" s="626">
        <f t="shared" si="92"/>
        <v>0</v>
      </c>
      <c r="V616" s="553">
        <f t="shared" si="93"/>
        <v>0</v>
      </c>
      <c r="W616" s="554">
        <f t="shared" si="99"/>
        <v>0</v>
      </c>
      <c r="X616" s="454" t="s">
        <v>1454</v>
      </c>
      <c r="Y616" s="631">
        <f>IF(Q616=0,0,(Q616+R616)*'1.0-Contractblad'!$L$98)</f>
        <v>0</v>
      </c>
      <c r="Z616" s="632">
        <f>IF(J616=0,0,VLOOKUP(D616,'1.1a-Jaarprijzen'!$B$70:$P$124,14,FALSE)*(K616+J616))</f>
        <v>0</v>
      </c>
    </row>
    <row r="617" spans="1:26" hidden="1">
      <c r="A617" s="558"/>
      <c r="B617" s="548"/>
      <c r="C617" s="659">
        <v>3</v>
      </c>
      <c r="D617" s="549" t="s">
        <v>1480</v>
      </c>
      <c r="E617" s="550" t="s">
        <v>502</v>
      </c>
      <c r="F617" s="551" t="s">
        <v>1058</v>
      </c>
      <c r="G617" s="649" t="s">
        <v>1271</v>
      </c>
      <c r="H617" s="647" t="str">
        <f t="shared" si="90"/>
        <v>niet van toepassing</v>
      </c>
      <c r="I617" s="719" t="s">
        <v>106</v>
      </c>
      <c r="J617" s="623"/>
      <c r="K617" s="623"/>
      <c r="L617" s="668" t="s">
        <v>27</v>
      </c>
      <c r="M617" s="557">
        <f t="shared" si="94"/>
        <v>0</v>
      </c>
      <c r="N617" s="453"/>
      <c r="O617" s="557">
        <f t="shared" si="95"/>
        <v>0</v>
      </c>
      <c r="P617" s="633">
        <v>1</v>
      </c>
      <c r="Q617" s="776">
        <f t="shared" si="96"/>
        <v>0</v>
      </c>
      <c r="R617" s="776">
        <f t="shared" si="97"/>
        <v>0</v>
      </c>
      <c r="S617" s="552">
        <f t="shared" si="98"/>
        <v>0</v>
      </c>
      <c r="T617" s="626">
        <f t="shared" si="91"/>
        <v>0</v>
      </c>
      <c r="U617" s="626">
        <f t="shared" si="92"/>
        <v>0</v>
      </c>
      <c r="V617" s="553">
        <f t="shared" si="93"/>
        <v>0</v>
      </c>
      <c r="W617" s="554">
        <f t="shared" si="99"/>
        <v>0</v>
      </c>
      <c r="X617" s="454" t="s">
        <v>1454</v>
      </c>
      <c r="Y617" s="631">
        <f>IF(Q617=0,0,(Q617+R617)*'1.0-Contractblad'!$L$98)</f>
        <v>0</v>
      </c>
      <c r="Z617" s="632">
        <f>IF(J617=0,0,VLOOKUP(D617,'1.1a-Jaarprijzen'!$B$70:$P$124,14,FALSE)*(K617+J617))</f>
        <v>0</v>
      </c>
    </row>
    <row r="618" spans="1:26" hidden="1">
      <c r="A618" s="558"/>
      <c r="B618" s="548"/>
      <c r="C618" s="659">
        <v>3</v>
      </c>
      <c r="D618" s="549" t="s">
        <v>1480</v>
      </c>
      <c r="E618" s="550" t="s">
        <v>502</v>
      </c>
      <c r="F618" s="551" t="s">
        <v>1059</v>
      </c>
      <c r="G618" s="649" t="s">
        <v>1271</v>
      </c>
      <c r="H618" s="647" t="str">
        <f t="shared" si="90"/>
        <v>niet van toepassing</v>
      </c>
      <c r="I618" s="719" t="s">
        <v>106</v>
      </c>
      <c r="J618" s="623"/>
      <c r="K618" s="623"/>
      <c r="L618" s="668" t="s">
        <v>27</v>
      </c>
      <c r="M618" s="557">
        <f t="shared" si="94"/>
        <v>0</v>
      </c>
      <c r="N618" s="453"/>
      <c r="O618" s="557">
        <f t="shared" si="95"/>
        <v>0</v>
      </c>
      <c r="P618" s="633">
        <v>1</v>
      </c>
      <c r="Q618" s="776">
        <f t="shared" si="96"/>
        <v>0</v>
      </c>
      <c r="R618" s="776">
        <f t="shared" si="97"/>
        <v>0</v>
      </c>
      <c r="S618" s="552">
        <f t="shared" si="98"/>
        <v>0</v>
      </c>
      <c r="T618" s="626">
        <f t="shared" si="91"/>
        <v>0</v>
      </c>
      <c r="U618" s="626">
        <f t="shared" si="92"/>
        <v>0</v>
      </c>
      <c r="V618" s="553">
        <f t="shared" si="93"/>
        <v>0</v>
      </c>
      <c r="W618" s="554">
        <f t="shared" si="99"/>
        <v>0</v>
      </c>
      <c r="X618" s="454" t="s">
        <v>1454</v>
      </c>
      <c r="Y618" s="631">
        <f>IF(Q618=0,0,(Q618+R618)*'1.0-Contractblad'!$L$98)</f>
        <v>0</v>
      </c>
      <c r="Z618" s="632">
        <f>IF(J618=0,0,VLOOKUP(D618,'1.1a-Jaarprijzen'!$B$70:$P$124,14,FALSE)*(K618+J618))</f>
        <v>0</v>
      </c>
    </row>
    <row r="619" spans="1:26" hidden="1">
      <c r="A619" s="558"/>
      <c r="B619" s="548"/>
      <c r="C619" s="659">
        <v>3</v>
      </c>
      <c r="D619" s="549" t="s">
        <v>1480</v>
      </c>
      <c r="E619" s="550" t="s">
        <v>502</v>
      </c>
      <c r="F619" s="551" t="s">
        <v>1060</v>
      </c>
      <c r="G619" s="649" t="s">
        <v>1271</v>
      </c>
      <c r="H619" s="647" t="str">
        <f t="shared" si="90"/>
        <v>niet van toepassing</v>
      </c>
      <c r="I619" s="719" t="s">
        <v>106</v>
      </c>
      <c r="J619" s="623"/>
      <c r="K619" s="623"/>
      <c r="L619" s="668" t="s">
        <v>27</v>
      </c>
      <c r="M619" s="557">
        <f t="shared" si="94"/>
        <v>0</v>
      </c>
      <c r="N619" s="453"/>
      <c r="O619" s="557">
        <f t="shared" si="95"/>
        <v>0</v>
      </c>
      <c r="P619" s="633">
        <v>1</v>
      </c>
      <c r="Q619" s="776">
        <f t="shared" si="96"/>
        <v>0</v>
      </c>
      <c r="R619" s="776">
        <f t="shared" si="97"/>
        <v>0</v>
      </c>
      <c r="S619" s="552">
        <f t="shared" si="98"/>
        <v>0</v>
      </c>
      <c r="T619" s="626">
        <f t="shared" si="91"/>
        <v>0</v>
      </c>
      <c r="U619" s="626">
        <f t="shared" si="92"/>
        <v>0</v>
      </c>
      <c r="V619" s="553">
        <f t="shared" si="93"/>
        <v>0</v>
      </c>
      <c r="W619" s="554">
        <f t="shared" si="99"/>
        <v>0</v>
      </c>
      <c r="X619" s="454" t="s">
        <v>1454</v>
      </c>
      <c r="Y619" s="631">
        <f>IF(Q619=0,0,(Q619+R619)*'1.0-Contractblad'!$L$98)</f>
        <v>0</v>
      </c>
      <c r="Z619" s="632">
        <f>IF(J619=0,0,VLOOKUP(D619,'1.1a-Jaarprijzen'!$B$70:$P$124,14,FALSE)*(K619+J619))</f>
        <v>0</v>
      </c>
    </row>
    <row r="620" spans="1:26" hidden="1">
      <c r="A620" s="558"/>
      <c r="B620" s="548"/>
      <c r="C620" s="659">
        <v>3</v>
      </c>
      <c r="D620" s="549" t="s">
        <v>1480</v>
      </c>
      <c r="E620" s="550" t="s">
        <v>502</v>
      </c>
      <c r="F620" s="551" t="s">
        <v>1061</v>
      </c>
      <c r="G620" s="649" t="s">
        <v>1271</v>
      </c>
      <c r="H620" s="647" t="str">
        <f t="shared" si="90"/>
        <v>niet van toepassing</v>
      </c>
      <c r="I620" s="719" t="s">
        <v>106</v>
      </c>
      <c r="J620" s="623"/>
      <c r="K620" s="623"/>
      <c r="L620" s="668" t="s">
        <v>27</v>
      </c>
      <c r="M620" s="557">
        <f t="shared" si="94"/>
        <v>0</v>
      </c>
      <c r="N620" s="453"/>
      <c r="O620" s="557">
        <f t="shared" si="95"/>
        <v>0</v>
      </c>
      <c r="P620" s="633">
        <v>1</v>
      </c>
      <c r="Q620" s="776">
        <f t="shared" si="96"/>
        <v>0</v>
      </c>
      <c r="R620" s="776">
        <f t="shared" si="97"/>
        <v>0</v>
      </c>
      <c r="S620" s="552">
        <f t="shared" si="98"/>
        <v>0</v>
      </c>
      <c r="T620" s="626">
        <f t="shared" si="91"/>
        <v>0</v>
      </c>
      <c r="U620" s="626">
        <f t="shared" si="92"/>
        <v>0</v>
      </c>
      <c r="V620" s="553">
        <f t="shared" si="93"/>
        <v>0</v>
      </c>
      <c r="W620" s="554">
        <f t="shared" si="99"/>
        <v>0</v>
      </c>
      <c r="X620" s="454" t="s">
        <v>1454</v>
      </c>
      <c r="Y620" s="631">
        <f>IF(Q620=0,0,(Q620+R620)*'1.0-Contractblad'!$L$98)</f>
        <v>0</v>
      </c>
      <c r="Z620" s="632">
        <f>IF(J620=0,0,VLOOKUP(D620,'1.1a-Jaarprijzen'!$B$70:$P$124,14,FALSE)*(K620+J620))</f>
        <v>0</v>
      </c>
    </row>
    <row r="621" spans="1:26" hidden="1">
      <c r="A621" s="558"/>
      <c r="B621" s="548"/>
      <c r="C621" s="659">
        <v>3</v>
      </c>
      <c r="D621" s="549" t="s">
        <v>1480</v>
      </c>
      <c r="E621" s="550" t="s">
        <v>502</v>
      </c>
      <c r="F621" s="551" t="s">
        <v>1062</v>
      </c>
      <c r="G621" s="649" t="s">
        <v>482</v>
      </c>
      <c r="H621" s="647" t="str">
        <f t="shared" si="90"/>
        <v>administratieve -, personeels- en vergaderruimte</v>
      </c>
      <c r="I621" s="719" t="s">
        <v>1409</v>
      </c>
      <c r="J621" s="623">
        <v>8.4</v>
      </c>
      <c r="K621" s="623"/>
      <c r="L621" s="651">
        <v>1102</v>
      </c>
      <c r="M621" s="557">
        <f t="shared" si="94"/>
        <v>101</v>
      </c>
      <c r="N621" s="453"/>
      <c r="O621" s="557">
        <f t="shared" si="95"/>
        <v>102</v>
      </c>
      <c r="P621" s="633">
        <v>1</v>
      </c>
      <c r="Q621" s="776">
        <f t="shared" si="96"/>
        <v>0</v>
      </c>
      <c r="R621" s="776">
        <f t="shared" si="97"/>
        <v>0</v>
      </c>
      <c r="S621" s="552">
        <f t="shared" si="98"/>
        <v>0</v>
      </c>
      <c r="T621" s="626">
        <f t="shared" si="91"/>
        <v>0</v>
      </c>
      <c r="U621" s="626">
        <f t="shared" si="92"/>
        <v>0</v>
      </c>
      <c r="V621" s="553">
        <f t="shared" si="93"/>
        <v>0</v>
      </c>
      <c r="W621" s="554" t="str">
        <f t="shared" si="99"/>
        <v>B</v>
      </c>
      <c r="X621" s="555"/>
      <c r="Y621" s="631">
        <f>IF(Q621=0,0,(Q621+R621)*'1.0-Contractblad'!$L$98)</f>
        <v>0</v>
      </c>
      <c r="Z621" s="632">
        <f ca="1">IF(J621=0,0,VLOOKUP(D621,'1.1a-Jaarprijzen'!$B$70:$P$124,14,FALSE)*(K621+J621))</f>
        <v>0</v>
      </c>
    </row>
    <row r="622" spans="1:26" hidden="1">
      <c r="A622" s="558"/>
      <c r="B622" s="701"/>
      <c r="C622" s="659">
        <v>3</v>
      </c>
      <c r="D622" s="549" t="s">
        <v>1480</v>
      </c>
      <c r="E622" s="550" t="s">
        <v>502</v>
      </c>
      <c r="F622" s="551" t="s">
        <v>1063</v>
      </c>
      <c r="G622" s="649" t="s">
        <v>1362</v>
      </c>
      <c r="H622" s="647" t="str">
        <f t="shared" si="90"/>
        <v>op afroep</v>
      </c>
      <c r="I622" s="719" t="s">
        <v>106</v>
      </c>
      <c r="J622" s="650">
        <v>8.4</v>
      </c>
      <c r="K622" s="650"/>
      <c r="L622" s="698" t="s">
        <v>1450</v>
      </c>
      <c r="M622" s="557">
        <f t="shared" si="94"/>
        <v>0</v>
      </c>
      <c r="N622" s="453"/>
      <c r="O622" s="557">
        <f t="shared" si="95"/>
        <v>0</v>
      </c>
      <c r="P622" s="633">
        <v>1</v>
      </c>
      <c r="Q622" s="776">
        <f t="shared" si="96"/>
        <v>0</v>
      </c>
      <c r="R622" s="776">
        <f t="shared" si="97"/>
        <v>0</v>
      </c>
      <c r="S622" s="552">
        <f t="shared" si="98"/>
        <v>0</v>
      </c>
      <c r="T622" s="626">
        <f t="shared" si="91"/>
        <v>0</v>
      </c>
      <c r="U622" s="626">
        <f t="shared" si="92"/>
        <v>0</v>
      </c>
      <c r="V622" s="553">
        <f t="shared" si="93"/>
        <v>0</v>
      </c>
      <c r="W622" s="554">
        <f t="shared" si="99"/>
        <v>0</v>
      </c>
      <c r="X622" s="454" t="s">
        <v>1454</v>
      </c>
      <c r="Y622" s="631">
        <f>IF(Q622=0,0,(Q622+R622)*'1.0-Contractblad'!$L$98)</f>
        <v>0</v>
      </c>
      <c r="Z622" s="632">
        <f ca="1">IF(J622=0,0,VLOOKUP(D622,'1.1a-Jaarprijzen'!$B$70:$P$124,14,FALSE)*(K622+J622))</f>
        <v>0</v>
      </c>
    </row>
    <row r="623" spans="1:26" hidden="1">
      <c r="A623" s="558"/>
      <c r="B623" s="548"/>
      <c r="C623" s="659">
        <v>3</v>
      </c>
      <c r="D623" s="549" t="s">
        <v>1480</v>
      </c>
      <c r="E623" s="550" t="s">
        <v>502</v>
      </c>
      <c r="F623" s="551" t="s">
        <v>1064</v>
      </c>
      <c r="G623" s="649" t="s">
        <v>1271</v>
      </c>
      <c r="H623" s="647" t="str">
        <f t="shared" si="90"/>
        <v>niet van toepassing</v>
      </c>
      <c r="I623" s="719" t="s">
        <v>106</v>
      </c>
      <c r="J623" s="623"/>
      <c r="K623" s="623"/>
      <c r="L623" s="668" t="s">
        <v>27</v>
      </c>
      <c r="M623" s="557">
        <f t="shared" si="94"/>
        <v>0</v>
      </c>
      <c r="N623" s="453"/>
      <c r="O623" s="557">
        <f t="shared" si="95"/>
        <v>0</v>
      </c>
      <c r="P623" s="633">
        <v>1</v>
      </c>
      <c r="Q623" s="776">
        <f t="shared" si="96"/>
        <v>0</v>
      </c>
      <c r="R623" s="776">
        <f t="shared" si="97"/>
        <v>0</v>
      </c>
      <c r="S623" s="552">
        <f t="shared" si="98"/>
        <v>0</v>
      </c>
      <c r="T623" s="626">
        <f t="shared" si="91"/>
        <v>0</v>
      </c>
      <c r="U623" s="626">
        <f t="shared" si="92"/>
        <v>0</v>
      </c>
      <c r="V623" s="553">
        <f t="shared" si="93"/>
        <v>0</v>
      </c>
      <c r="W623" s="554">
        <f t="shared" si="99"/>
        <v>0</v>
      </c>
      <c r="X623" s="454" t="s">
        <v>1454</v>
      </c>
      <c r="Y623" s="631">
        <f>IF(Q623=0,0,(Q623+R623)*'1.0-Contractblad'!$L$98)</f>
        <v>0</v>
      </c>
      <c r="Z623" s="632">
        <f>IF(J623=0,0,VLOOKUP(D623,'1.1a-Jaarprijzen'!$B$70:$P$124,14,FALSE)*(K623+J623))</f>
        <v>0</v>
      </c>
    </row>
    <row r="624" spans="1:26" hidden="1">
      <c r="A624" s="558"/>
      <c r="B624" s="548"/>
      <c r="C624" s="659">
        <v>3</v>
      </c>
      <c r="D624" s="549" t="s">
        <v>1480</v>
      </c>
      <c r="E624" s="550" t="s">
        <v>502</v>
      </c>
      <c r="F624" s="551" t="s">
        <v>1065</v>
      </c>
      <c r="G624" s="649" t="s">
        <v>487</v>
      </c>
      <c r="H624" s="647" t="str">
        <f t="shared" si="90"/>
        <v>niet van toepassing</v>
      </c>
      <c r="I624" s="719" t="s">
        <v>499</v>
      </c>
      <c r="J624" s="623"/>
      <c r="K624" s="623"/>
      <c r="L624" s="668" t="s">
        <v>27</v>
      </c>
      <c r="M624" s="557">
        <f t="shared" si="94"/>
        <v>0</v>
      </c>
      <c r="N624" s="453"/>
      <c r="O624" s="557">
        <f t="shared" si="95"/>
        <v>0</v>
      </c>
      <c r="P624" s="633">
        <v>1</v>
      </c>
      <c r="Q624" s="776">
        <f t="shared" si="96"/>
        <v>0</v>
      </c>
      <c r="R624" s="776">
        <f t="shared" si="97"/>
        <v>0</v>
      </c>
      <c r="S624" s="552">
        <f t="shared" si="98"/>
        <v>0</v>
      </c>
      <c r="T624" s="626">
        <f t="shared" si="91"/>
        <v>0</v>
      </c>
      <c r="U624" s="626">
        <f t="shared" si="92"/>
        <v>0</v>
      </c>
      <c r="V624" s="553">
        <f t="shared" si="93"/>
        <v>0</v>
      </c>
      <c r="W624" s="554">
        <f t="shared" si="99"/>
        <v>0</v>
      </c>
      <c r="X624" s="454"/>
      <c r="Y624" s="631">
        <f>IF(Q624=0,0,(Q624+R624)*'1.0-Contractblad'!$L$98)</f>
        <v>0</v>
      </c>
      <c r="Z624" s="632">
        <f>IF(J624=0,0,VLOOKUP(D624,'1.1a-Jaarprijzen'!$B$70:$P$124,14,FALSE)*(K624+J624))</f>
        <v>0</v>
      </c>
    </row>
    <row r="625" spans="1:26" hidden="1">
      <c r="A625" s="558"/>
      <c r="B625" s="548"/>
      <c r="C625" s="659">
        <v>3</v>
      </c>
      <c r="D625" s="549" t="s">
        <v>1480</v>
      </c>
      <c r="E625" s="550" t="s">
        <v>502</v>
      </c>
      <c r="F625" s="551" t="s">
        <v>1066</v>
      </c>
      <c r="G625" s="649" t="s">
        <v>1271</v>
      </c>
      <c r="H625" s="647" t="str">
        <f t="shared" si="90"/>
        <v>niet van toepassing</v>
      </c>
      <c r="I625" s="719" t="s">
        <v>106</v>
      </c>
      <c r="J625" s="623"/>
      <c r="K625" s="623"/>
      <c r="L625" s="668" t="s">
        <v>27</v>
      </c>
      <c r="M625" s="557">
        <f t="shared" si="94"/>
        <v>0</v>
      </c>
      <c r="N625" s="453"/>
      <c r="O625" s="557">
        <f t="shared" si="95"/>
        <v>0</v>
      </c>
      <c r="P625" s="633">
        <v>1</v>
      </c>
      <c r="Q625" s="776">
        <f t="shared" si="96"/>
        <v>0</v>
      </c>
      <c r="R625" s="776">
        <f t="shared" si="97"/>
        <v>0</v>
      </c>
      <c r="S625" s="552">
        <f t="shared" si="98"/>
        <v>0</v>
      </c>
      <c r="T625" s="626">
        <f t="shared" si="91"/>
        <v>0</v>
      </c>
      <c r="U625" s="626">
        <f t="shared" si="92"/>
        <v>0</v>
      </c>
      <c r="V625" s="553">
        <f t="shared" si="93"/>
        <v>0</v>
      </c>
      <c r="W625" s="554">
        <f t="shared" si="99"/>
        <v>0</v>
      </c>
      <c r="X625" s="454" t="s">
        <v>1454</v>
      </c>
      <c r="Y625" s="631">
        <f>IF(Q625=0,0,(Q625+R625)*'1.0-Contractblad'!$L$98)</f>
        <v>0</v>
      </c>
      <c r="Z625" s="632">
        <f>IF(J625=0,0,VLOOKUP(D625,'1.1a-Jaarprijzen'!$B$70:$P$124,14,FALSE)*(K625+J625))</f>
        <v>0</v>
      </c>
    </row>
    <row r="626" spans="1:26" hidden="1">
      <c r="A626" s="558"/>
      <c r="B626" s="548"/>
      <c r="C626" s="659">
        <v>3</v>
      </c>
      <c r="D626" s="549" t="s">
        <v>1480</v>
      </c>
      <c r="E626" s="550" t="s">
        <v>502</v>
      </c>
      <c r="F626" s="551" t="s">
        <v>1067</v>
      </c>
      <c r="G626" s="649" t="s">
        <v>1271</v>
      </c>
      <c r="H626" s="647" t="str">
        <f t="shared" si="90"/>
        <v>niet van toepassing</v>
      </c>
      <c r="I626" s="719" t="s">
        <v>106</v>
      </c>
      <c r="J626" s="623"/>
      <c r="K626" s="623"/>
      <c r="L626" s="668" t="s">
        <v>27</v>
      </c>
      <c r="M626" s="557">
        <f t="shared" si="94"/>
        <v>0</v>
      </c>
      <c r="N626" s="453"/>
      <c r="O626" s="557">
        <f t="shared" si="95"/>
        <v>0</v>
      </c>
      <c r="P626" s="633">
        <v>1</v>
      </c>
      <c r="Q626" s="776">
        <f t="shared" si="96"/>
        <v>0</v>
      </c>
      <c r="R626" s="776">
        <f t="shared" si="97"/>
        <v>0</v>
      </c>
      <c r="S626" s="552">
        <f t="shared" si="98"/>
        <v>0</v>
      </c>
      <c r="T626" s="626">
        <f t="shared" si="91"/>
        <v>0</v>
      </c>
      <c r="U626" s="626">
        <f t="shared" si="92"/>
        <v>0</v>
      </c>
      <c r="V626" s="553">
        <f t="shared" si="93"/>
        <v>0</v>
      </c>
      <c r="W626" s="554">
        <f t="shared" si="99"/>
        <v>0</v>
      </c>
      <c r="X626" s="454" t="s">
        <v>1454</v>
      </c>
      <c r="Y626" s="631">
        <f>IF(Q626=0,0,(Q626+R626)*'1.0-Contractblad'!$L$98)</f>
        <v>0</v>
      </c>
      <c r="Z626" s="632">
        <f>IF(J626=0,0,VLOOKUP(D626,'1.1a-Jaarprijzen'!$B$70:$P$124,14,FALSE)*(K626+J626))</f>
        <v>0</v>
      </c>
    </row>
    <row r="627" spans="1:26" hidden="1">
      <c r="A627" s="558"/>
      <c r="B627" s="548"/>
      <c r="C627" s="659">
        <v>3</v>
      </c>
      <c r="D627" s="549" t="s">
        <v>1480</v>
      </c>
      <c r="E627" s="550" t="s">
        <v>502</v>
      </c>
      <c r="F627" s="551" t="s">
        <v>1068</v>
      </c>
      <c r="G627" s="649" t="s">
        <v>1271</v>
      </c>
      <c r="H627" s="647" t="str">
        <f t="shared" si="90"/>
        <v>niet van toepassing</v>
      </c>
      <c r="I627" s="719" t="s">
        <v>106</v>
      </c>
      <c r="J627" s="623"/>
      <c r="K627" s="623"/>
      <c r="L627" s="668" t="s">
        <v>27</v>
      </c>
      <c r="M627" s="557">
        <f t="shared" si="94"/>
        <v>0</v>
      </c>
      <c r="N627" s="453"/>
      <c r="O627" s="557">
        <f t="shared" si="95"/>
        <v>0</v>
      </c>
      <c r="P627" s="633">
        <v>1</v>
      </c>
      <c r="Q627" s="776">
        <f t="shared" si="96"/>
        <v>0</v>
      </c>
      <c r="R627" s="776">
        <f t="shared" si="97"/>
        <v>0</v>
      </c>
      <c r="S627" s="552">
        <f t="shared" si="98"/>
        <v>0</v>
      </c>
      <c r="T627" s="626">
        <f t="shared" si="91"/>
        <v>0</v>
      </c>
      <c r="U627" s="626">
        <f t="shared" si="92"/>
        <v>0</v>
      </c>
      <c r="V627" s="553">
        <f t="shared" si="93"/>
        <v>0</v>
      </c>
      <c r="W627" s="554">
        <f t="shared" si="99"/>
        <v>0</v>
      </c>
      <c r="X627" s="454" t="s">
        <v>1454</v>
      </c>
      <c r="Y627" s="631">
        <f>IF(Q627=0,0,(Q627+R627)*'1.0-Contractblad'!$L$98)</f>
        <v>0</v>
      </c>
      <c r="Z627" s="632">
        <f>IF(J627=0,0,VLOOKUP(D627,'1.1a-Jaarprijzen'!$B$70:$P$124,14,FALSE)*(K627+J627))</f>
        <v>0</v>
      </c>
    </row>
    <row r="628" spans="1:26" hidden="1">
      <c r="A628" s="558"/>
      <c r="B628" s="548"/>
      <c r="C628" s="659">
        <v>3</v>
      </c>
      <c r="D628" s="549" t="s">
        <v>1480</v>
      </c>
      <c r="E628" s="550" t="s">
        <v>502</v>
      </c>
      <c r="F628" s="551" t="s">
        <v>1069</v>
      </c>
      <c r="G628" s="649" t="s">
        <v>1271</v>
      </c>
      <c r="H628" s="647" t="str">
        <f t="shared" si="90"/>
        <v>niet van toepassing</v>
      </c>
      <c r="I628" s="719" t="s">
        <v>106</v>
      </c>
      <c r="J628" s="623"/>
      <c r="K628" s="623"/>
      <c r="L628" s="668" t="s">
        <v>27</v>
      </c>
      <c r="M628" s="557">
        <f t="shared" si="94"/>
        <v>0</v>
      </c>
      <c r="N628" s="453"/>
      <c r="O628" s="557">
        <f t="shared" si="95"/>
        <v>0</v>
      </c>
      <c r="P628" s="633">
        <v>1</v>
      </c>
      <c r="Q628" s="776">
        <f t="shared" si="96"/>
        <v>0</v>
      </c>
      <c r="R628" s="776">
        <f t="shared" si="97"/>
        <v>0</v>
      </c>
      <c r="S628" s="552">
        <f t="shared" si="98"/>
        <v>0</v>
      </c>
      <c r="T628" s="626">
        <f t="shared" si="91"/>
        <v>0</v>
      </c>
      <c r="U628" s="626">
        <f t="shared" si="92"/>
        <v>0</v>
      </c>
      <c r="V628" s="553">
        <f t="shared" si="93"/>
        <v>0</v>
      </c>
      <c r="W628" s="554">
        <f t="shared" si="99"/>
        <v>0</v>
      </c>
      <c r="X628" s="454" t="s">
        <v>1454</v>
      </c>
      <c r="Y628" s="631">
        <f>IF(Q628=0,0,(Q628+R628)*'1.0-Contractblad'!$L$98)</f>
        <v>0</v>
      </c>
      <c r="Z628" s="632">
        <f>IF(J628=0,0,VLOOKUP(D628,'1.1a-Jaarprijzen'!$B$70:$P$124,14,FALSE)*(K628+J628))</f>
        <v>0</v>
      </c>
    </row>
    <row r="629" spans="1:26" hidden="1">
      <c r="A629" s="558"/>
      <c r="B629" s="548"/>
      <c r="C629" s="659">
        <v>3</v>
      </c>
      <c r="D629" s="549" t="s">
        <v>1480</v>
      </c>
      <c r="E629" s="550" t="s">
        <v>502</v>
      </c>
      <c r="F629" s="551" t="s">
        <v>1070</v>
      </c>
      <c r="G629" s="649" t="s">
        <v>1271</v>
      </c>
      <c r="H629" s="647" t="str">
        <f t="shared" si="90"/>
        <v>niet van toepassing</v>
      </c>
      <c r="I629" s="719" t="s">
        <v>106</v>
      </c>
      <c r="J629" s="623"/>
      <c r="K629" s="623"/>
      <c r="L629" s="668" t="s">
        <v>27</v>
      </c>
      <c r="M629" s="557">
        <f t="shared" si="94"/>
        <v>0</v>
      </c>
      <c r="N629" s="453"/>
      <c r="O629" s="557">
        <f t="shared" si="95"/>
        <v>0</v>
      </c>
      <c r="P629" s="633">
        <v>1</v>
      </c>
      <c r="Q629" s="776">
        <f t="shared" si="96"/>
        <v>0</v>
      </c>
      <c r="R629" s="776">
        <f t="shared" si="97"/>
        <v>0</v>
      </c>
      <c r="S629" s="552">
        <f t="shared" si="98"/>
        <v>0</v>
      </c>
      <c r="T629" s="626">
        <f t="shared" si="91"/>
        <v>0</v>
      </c>
      <c r="U629" s="626">
        <f t="shared" si="92"/>
        <v>0</v>
      </c>
      <c r="V629" s="553">
        <f t="shared" si="93"/>
        <v>0</v>
      </c>
      <c r="W629" s="554">
        <f t="shared" si="99"/>
        <v>0</v>
      </c>
      <c r="X629" s="454" t="s">
        <v>1454</v>
      </c>
      <c r="Y629" s="631">
        <f>IF(Q629=0,0,(Q629+R629)*'1.0-Contractblad'!$L$98)</f>
        <v>0</v>
      </c>
      <c r="Z629" s="632">
        <f>IF(J629=0,0,VLOOKUP(D629,'1.1a-Jaarprijzen'!$B$70:$P$124,14,FALSE)*(K629+J629))</f>
        <v>0</v>
      </c>
    </row>
    <row r="630" spans="1:26" hidden="1">
      <c r="A630" s="558"/>
      <c r="B630" s="548"/>
      <c r="C630" s="659">
        <v>3</v>
      </c>
      <c r="D630" s="549" t="s">
        <v>1480</v>
      </c>
      <c r="E630" s="550" t="s">
        <v>502</v>
      </c>
      <c r="F630" s="551" t="s">
        <v>1071</v>
      </c>
      <c r="G630" s="649" t="s">
        <v>1271</v>
      </c>
      <c r="H630" s="647" t="str">
        <f t="shared" si="90"/>
        <v>niet van toepassing</v>
      </c>
      <c r="I630" s="719" t="s">
        <v>106</v>
      </c>
      <c r="J630" s="623"/>
      <c r="K630" s="623"/>
      <c r="L630" s="668" t="s">
        <v>27</v>
      </c>
      <c r="M630" s="557">
        <f t="shared" si="94"/>
        <v>0</v>
      </c>
      <c r="N630" s="453"/>
      <c r="O630" s="557">
        <f t="shared" si="95"/>
        <v>0</v>
      </c>
      <c r="P630" s="633">
        <v>1</v>
      </c>
      <c r="Q630" s="776">
        <f t="shared" si="96"/>
        <v>0</v>
      </c>
      <c r="R630" s="776">
        <f t="shared" si="97"/>
        <v>0</v>
      </c>
      <c r="S630" s="552">
        <f t="shared" si="98"/>
        <v>0</v>
      </c>
      <c r="T630" s="626">
        <f t="shared" si="91"/>
        <v>0</v>
      </c>
      <c r="U630" s="626">
        <f t="shared" si="92"/>
        <v>0</v>
      </c>
      <c r="V630" s="553">
        <f t="shared" si="93"/>
        <v>0</v>
      </c>
      <c r="W630" s="554">
        <f t="shared" si="99"/>
        <v>0</v>
      </c>
      <c r="X630" s="454" t="s">
        <v>1454</v>
      </c>
      <c r="Y630" s="631">
        <f>IF(Q630=0,0,(Q630+R630)*'1.0-Contractblad'!$L$98)</f>
        <v>0</v>
      </c>
      <c r="Z630" s="632">
        <f>IF(J630=0,0,VLOOKUP(D630,'1.1a-Jaarprijzen'!$B$70:$P$124,14,FALSE)*(K630+J630))</f>
        <v>0</v>
      </c>
    </row>
    <row r="631" spans="1:26" hidden="1">
      <c r="A631" s="558"/>
      <c r="B631" s="548"/>
      <c r="C631" s="659">
        <v>3</v>
      </c>
      <c r="D631" s="549" t="s">
        <v>1480</v>
      </c>
      <c r="E631" s="550" t="s">
        <v>502</v>
      </c>
      <c r="F631" s="551" t="s">
        <v>1072</v>
      </c>
      <c r="G631" s="649" t="s">
        <v>1271</v>
      </c>
      <c r="H631" s="647" t="str">
        <f t="shared" si="90"/>
        <v>niet van toepassing</v>
      </c>
      <c r="I631" s="719" t="s">
        <v>106</v>
      </c>
      <c r="J631" s="623"/>
      <c r="K631" s="623"/>
      <c r="L631" s="668" t="s">
        <v>27</v>
      </c>
      <c r="M631" s="557">
        <f t="shared" si="94"/>
        <v>0</v>
      </c>
      <c r="N631" s="453"/>
      <c r="O631" s="557">
        <f t="shared" si="95"/>
        <v>0</v>
      </c>
      <c r="P631" s="633">
        <v>1</v>
      </c>
      <c r="Q631" s="776">
        <f t="shared" si="96"/>
        <v>0</v>
      </c>
      <c r="R631" s="776">
        <f t="shared" si="97"/>
        <v>0</v>
      </c>
      <c r="S631" s="552">
        <f t="shared" si="98"/>
        <v>0</v>
      </c>
      <c r="T631" s="626">
        <f t="shared" si="91"/>
        <v>0</v>
      </c>
      <c r="U631" s="626">
        <f t="shared" si="92"/>
        <v>0</v>
      </c>
      <c r="V631" s="553">
        <f t="shared" si="93"/>
        <v>0</v>
      </c>
      <c r="W631" s="554">
        <f t="shared" si="99"/>
        <v>0</v>
      </c>
      <c r="X631" s="454" t="s">
        <v>1454</v>
      </c>
      <c r="Y631" s="631">
        <f>IF(Q631=0,0,(Q631+R631)*'1.0-Contractblad'!$L$98)</f>
        <v>0</v>
      </c>
      <c r="Z631" s="632">
        <f>IF(J631=0,0,VLOOKUP(D631,'1.1a-Jaarprijzen'!$B$70:$P$124,14,FALSE)*(K631+J631))</f>
        <v>0</v>
      </c>
    </row>
    <row r="632" spans="1:26" hidden="1">
      <c r="A632" s="558"/>
      <c r="B632" s="548"/>
      <c r="C632" s="659">
        <v>3</v>
      </c>
      <c r="D632" s="549" t="s">
        <v>1480</v>
      </c>
      <c r="E632" s="550" t="s">
        <v>502</v>
      </c>
      <c r="F632" s="551" t="s">
        <v>1073</v>
      </c>
      <c r="G632" s="649" t="s">
        <v>1269</v>
      </c>
      <c r="H632" s="647" t="str">
        <f t="shared" si="90"/>
        <v>niet van toepassing</v>
      </c>
      <c r="I632" s="719" t="s">
        <v>106</v>
      </c>
      <c r="J632" s="623"/>
      <c r="K632" s="623"/>
      <c r="L632" s="668" t="s">
        <v>27</v>
      </c>
      <c r="M632" s="557">
        <f t="shared" si="94"/>
        <v>0</v>
      </c>
      <c r="N632" s="453"/>
      <c r="O632" s="557">
        <f t="shared" si="95"/>
        <v>0</v>
      </c>
      <c r="P632" s="633">
        <v>1</v>
      </c>
      <c r="Q632" s="776">
        <f t="shared" si="96"/>
        <v>0</v>
      </c>
      <c r="R632" s="776">
        <f t="shared" si="97"/>
        <v>0</v>
      </c>
      <c r="S632" s="552">
        <f t="shared" si="98"/>
        <v>0</v>
      </c>
      <c r="T632" s="626">
        <f t="shared" si="91"/>
        <v>0</v>
      </c>
      <c r="U632" s="626">
        <f t="shared" si="92"/>
        <v>0</v>
      </c>
      <c r="V632" s="553">
        <f t="shared" si="93"/>
        <v>0</v>
      </c>
      <c r="W632" s="554">
        <f t="shared" si="99"/>
        <v>0</v>
      </c>
      <c r="X632" s="454" t="s">
        <v>1454</v>
      </c>
      <c r="Y632" s="631">
        <f>IF(Q632=0,0,(Q632+R632)*'1.0-Contractblad'!$L$98)</f>
        <v>0</v>
      </c>
      <c r="Z632" s="632">
        <f>IF(J632=0,0,VLOOKUP(D632,'1.1a-Jaarprijzen'!$B$70:$P$124,14,FALSE)*(K632+J632))</f>
        <v>0</v>
      </c>
    </row>
    <row r="633" spans="1:26" hidden="1">
      <c r="A633" s="558"/>
      <c r="B633" s="548"/>
      <c r="C633" s="659">
        <v>3</v>
      </c>
      <c r="D633" s="549" t="s">
        <v>1480</v>
      </c>
      <c r="E633" s="550" t="s">
        <v>502</v>
      </c>
      <c r="F633" s="551" t="s">
        <v>1074</v>
      </c>
      <c r="G633" s="649" t="s">
        <v>484</v>
      </c>
      <c r="H633" s="647" t="str">
        <f t="shared" si="90"/>
        <v>niet van toepassing</v>
      </c>
      <c r="I633" s="719" t="s">
        <v>1409</v>
      </c>
      <c r="J633" s="623"/>
      <c r="K633" s="623"/>
      <c r="L633" s="668" t="s">
        <v>27</v>
      </c>
      <c r="M633" s="557">
        <f t="shared" si="94"/>
        <v>0</v>
      </c>
      <c r="N633" s="453"/>
      <c r="O633" s="557">
        <f t="shared" si="95"/>
        <v>0</v>
      </c>
      <c r="P633" s="633">
        <v>1</v>
      </c>
      <c r="Q633" s="776">
        <f t="shared" si="96"/>
        <v>0</v>
      </c>
      <c r="R633" s="776">
        <f t="shared" si="97"/>
        <v>0</v>
      </c>
      <c r="S633" s="552">
        <f t="shared" si="98"/>
        <v>0</v>
      </c>
      <c r="T633" s="626">
        <f t="shared" si="91"/>
        <v>0</v>
      </c>
      <c r="U633" s="626">
        <f t="shared" si="92"/>
        <v>0</v>
      </c>
      <c r="V633" s="553">
        <f t="shared" si="93"/>
        <v>0</v>
      </c>
      <c r="W633" s="554">
        <f t="shared" si="99"/>
        <v>0</v>
      </c>
      <c r="X633" s="454" t="s">
        <v>1454</v>
      </c>
      <c r="Y633" s="631">
        <f>IF(Q633=0,0,(Q633+R633)*'1.0-Contractblad'!$L$98)</f>
        <v>0</v>
      </c>
      <c r="Z633" s="632">
        <f>IF(J633=0,0,VLOOKUP(D633,'1.1a-Jaarprijzen'!$B$70:$P$124,14,FALSE)*(K633+J633))</f>
        <v>0</v>
      </c>
    </row>
    <row r="634" spans="1:26" hidden="1">
      <c r="A634" s="558"/>
      <c r="B634" s="548"/>
      <c r="C634" s="659">
        <v>3</v>
      </c>
      <c r="D634" s="549" t="s">
        <v>1480</v>
      </c>
      <c r="E634" s="550" t="s">
        <v>502</v>
      </c>
      <c r="F634" s="551" t="s">
        <v>1075</v>
      </c>
      <c r="G634" s="649" t="s">
        <v>1235</v>
      </c>
      <c r="H634" s="647" t="str">
        <f t="shared" si="90"/>
        <v>niet van toepassing</v>
      </c>
      <c r="I634" s="719"/>
      <c r="J634" s="623"/>
      <c r="K634" s="623"/>
      <c r="L634" s="668" t="s">
        <v>27</v>
      </c>
      <c r="M634" s="557">
        <f t="shared" si="94"/>
        <v>0</v>
      </c>
      <c r="N634" s="453"/>
      <c r="O634" s="557">
        <f t="shared" si="95"/>
        <v>0</v>
      </c>
      <c r="P634" s="633">
        <v>1</v>
      </c>
      <c r="Q634" s="776">
        <f t="shared" si="96"/>
        <v>0</v>
      </c>
      <c r="R634" s="776">
        <f t="shared" si="97"/>
        <v>0</v>
      </c>
      <c r="S634" s="552">
        <f t="shared" si="98"/>
        <v>0</v>
      </c>
      <c r="T634" s="626">
        <f t="shared" si="91"/>
        <v>0</v>
      </c>
      <c r="U634" s="626">
        <f t="shared" si="92"/>
        <v>0</v>
      </c>
      <c r="V634" s="553">
        <f t="shared" si="93"/>
        <v>0</v>
      </c>
      <c r="W634" s="554">
        <f t="shared" si="99"/>
        <v>0</v>
      </c>
      <c r="X634" s="454" t="s">
        <v>1454</v>
      </c>
      <c r="Y634" s="631">
        <f>IF(Q634=0,0,(Q634+R634)*'1.0-Contractblad'!$L$98)</f>
        <v>0</v>
      </c>
      <c r="Z634" s="632">
        <f>IF(J634=0,0,VLOOKUP(D634,'1.1a-Jaarprijzen'!$B$70:$P$124,14,FALSE)*(K634+J634))</f>
        <v>0</v>
      </c>
    </row>
    <row r="635" spans="1:26" hidden="1">
      <c r="A635" s="558"/>
      <c r="B635" s="548"/>
      <c r="C635" s="659">
        <v>3</v>
      </c>
      <c r="D635" s="549" t="s">
        <v>1480</v>
      </c>
      <c r="E635" s="550" t="s">
        <v>502</v>
      </c>
      <c r="F635" s="551" t="s">
        <v>1076</v>
      </c>
      <c r="G635" s="649" t="s">
        <v>1216</v>
      </c>
      <c r="H635" s="647" t="str">
        <f t="shared" si="90"/>
        <v>niet van toepassing</v>
      </c>
      <c r="I635" s="719" t="s">
        <v>492</v>
      </c>
      <c r="J635" s="623"/>
      <c r="K635" s="623">
        <v>1</v>
      </c>
      <c r="L635" s="668" t="s">
        <v>27</v>
      </c>
      <c r="M635" s="557">
        <f t="shared" si="94"/>
        <v>0</v>
      </c>
      <c r="N635" s="453"/>
      <c r="O635" s="557">
        <f t="shared" si="95"/>
        <v>0</v>
      </c>
      <c r="P635" s="633">
        <v>1</v>
      </c>
      <c r="Q635" s="776">
        <f t="shared" si="96"/>
        <v>0</v>
      </c>
      <c r="R635" s="776">
        <f t="shared" si="97"/>
        <v>0</v>
      </c>
      <c r="S635" s="552">
        <f t="shared" si="98"/>
        <v>0</v>
      </c>
      <c r="T635" s="626">
        <f t="shared" si="91"/>
        <v>0</v>
      </c>
      <c r="U635" s="626">
        <f t="shared" si="92"/>
        <v>0</v>
      </c>
      <c r="V635" s="553">
        <f t="shared" si="93"/>
        <v>0</v>
      </c>
      <c r="W635" s="554">
        <f t="shared" si="99"/>
        <v>0</v>
      </c>
      <c r="X635" s="454" t="s">
        <v>1454</v>
      </c>
      <c r="Y635" s="631">
        <f>IF(Q635=0,0,(Q635+R635)*'1.0-Contractblad'!$L$98)</f>
        <v>0</v>
      </c>
      <c r="Z635" s="632">
        <f>IF(J635=0,0,VLOOKUP(D635,'1.1a-Jaarprijzen'!$B$70:$P$124,14,FALSE)*(K635+J635))</f>
        <v>0</v>
      </c>
    </row>
    <row r="636" spans="1:26" hidden="1">
      <c r="A636" s="558"/>
      <c r="B636" s="548"/>
      <c r="C636" s="659">
        <v>3</v>
      </c>
      <c r="D636" s="549" t="s">
        <v>1480</v>
      </c>
      <c r="E636" s="550" t="s">
        <v>502</v>
      </c>
      <c r="F636" s="551" t="s">
        <v>1077</v>
      </c>
      <c r="G636" s="649" t="s">
        <v>1363</v>
      </c>
      <c r="H636" s="647" t="str">
        <f t="shared" si="90"/>
        <v>niet van toepassing</v>
      </c>
      <c r="I636" s="719" t="s">
        <v>492</v>
      </c>
      <c r="J636" s="623"/>
      <c r="K636" s="623">
        <v>3</v>
      </c>
      <c r="L636" s="668" t="s">
        <v>27</v>
      </c>
      <c r="M636" s="557">
        <f t="shared" si="94"/>
        <v>0</v>
      </c>
      <c r="N636" s="453"/>
      <c r="O636" s="557">
        <f t="shared" si="95"/>
        <v>0</v>
      </c>
      <c r="P636" s="633">
        <v>1</v>
      </c>
      <c r="Q636" s="776">
        <f t="shared" si="96"/>
        <v>0</v>
      </c>
      <c r="R636" s="776">
        <f t="shared" si="97"/>
        <v>0</v>
      </c>
      <c r="S636" s="552">
        <f t="shared" si="98"/>
        <v>0</v>
      </c>
      <c r="T636" s="626">
        <f t="shared" si="91"/>
        <v>0</v>
      </c>
      <c r="U636" s="626">
        <f t="shared" si="92"/>
        <v>0</v>
      </c>
      <c r="V636" s="553">
        <f t="shared" si="93"/>
        <v>0</v>
      </c>
      <c r="W636" s="554">
        <f t="shared" si="99"/>
        <v>0</v>
      </c>
      <c r="X636" s="454" t="s">
        <v>1454</v>
      </c>
      <c r="Y636" s="631">
        <f>IF(Q636=0,0,(Q636+R636)*'1.0-Contractblad'!$L$98)</f>
        <v>0</v>
      </c>
      <c r="Z636" s="632">
        <f>IF(J636=0,0,VLOOKUP(D636,'1.1a-Jaarprijzen'!$B$70:$P$124,14,FALSE)*(K636+J636))</f>
        <v>0</v>
      </c>
    </row>
    <row r="637" spans="1:26" hidden="1">
      <c r="A637" s="558"/>
      <c r="B637" s="548"/>
      <c r="C637" s="659">
        <v>3</v>
      </c>
      <c r="D637" s="549" t="s">
        <v>1480</v>
      </c>
      <c r="E637" s="550" t="s">
        <v>502</v>
      </c>
      <c r="F637" s="551" t="s">
        <v>1077</v>
      </c>
      <c r="G637" s="649" t="s">
        <v>1216</v>
      </c>
      <c r="H637" s="647" t="str">
        <f t="shared" si="90"/>
        <v>niet van toepassing</v>
      </c>
      <c r="I637" s="719" t="s">
        <v>492</v>
      </c>
      <c r="J637" s="623"/>
      <c r="K637" s="623">
        <v>1</v>
      </c>
      <c r="L637" s="668" t="s">
        <v>27</v>
      </c>
      <c r="M637" s="557">
        <f t="shared" si="94"/>
        <v>0</v>
      </c>
      <c r="N637" s="453"/>
      <c r="O637" s="557">
        <f t="shared" si="95"/>
        <v>0</v>
      </c>
      <c r="P637" s="633">
        <v>1</v>
      </c>
      <c r="Q637" s="776">
        <f t="shared" si="96"/>
        <v>0</v>
      </c>
      <c r="R637" s="776">
        <f t="shared" si="97"/>
        <v>0</v>
      </c>
      <c r="S637" s="552">
        <f t="shared" si="98"/>
        <v>0</v>
      </c>
      <c r="T637" s="626">
        <f t="shared" si="91"/>
        <v>0</v>
      </c>
      <c r="U637" s="626">
        <f t="shared" si="92"/>
        <v>0</v>
      </c>
      <c r="V637" s="553">
        <f t="shared" si="93"/>
        <v>0</v>
      </c>
      <c r="W637" s="554">
        <f t="shared" si="99"/>
        <v>0</v>
      </c>
      <c r="X637" s="454" t="s">
        <v>1454</v>
      </c>
      <c r="Y637" s="631">
        <f>IF(Q637=0,0,(Q637+R637)*'1.0-Contractblad'!$L$98)</f>
        <v>0</v>
      </c>
      <c r="Z637" s="632">
        <f>IF(J637=0,0,VLOOKUP(D637,'1.1a-Jaarprijzen'!$B$70:$P$124,14,FALSE)*(K637+J637))</f>
        <v>0</v>
      </c>
    </row>
    <row r="638" spans="1:26" hidden="1">
      <c r="A638" s="558"/>
      <c r="B638" s="548"/>
      <c r="C638" s="659">
        <v>3</v>
      </c>
      <c r="D638" s="549" t="s">
        <v>1480</v>
      </c>
      <c r="E638" s="550" t="s">
        <v>502</v>
      </c>
      <c r="F638" s="551" t="s">
        <v>1078</v>
      </c>
      <c r="G638" s="649" t="s">
        <v>1364</v>
      </c>
      <c r="H638" s="647" t="str">
        <f t="shared" si="90"/>
        <v>niet van toepassing</v>
      </c>
      <c r="I638" s="719" t="s">
        <v>1409</v>
      </c>
      <c r="J638" s="623"/>
      <c r="K638" s="623"/>
      <c r="L638" s="668" t="s">
        <v>27</v>
      </c>
      <c r="M638" s="557">
        <f t="shared" si="94"/>
        <v>0</v>
      </c>
      <c r="N638" s="453"/>
      <c r="O638" s="557">
        <f t="shared" si="95"/>
        <v>0</v>
      </c>
      <c r="P638" s="633">
        <v>1</v>
      </c>
      <c r="Q638" s="776">
        <f t="shared" si="96"/>
        <v>0</v>
      </c>
      <c r="R638" s="776">
        <f t="shared" si="97"/>
        <v>0</v>
      </c>
      <c r="S638" s="552">
        <f t="shared" si="98"/>
        <v>0</v>
      </c>
      <c r="T638" s="626">
        <f t="shared" si="91"/>
        <v>0</v>
      </c>
      <c r="U638" s="626">
        <f t="shared" si="92"/>
        <v>0</v>
      </c>
      <c r="V638" s="553">
        <f t="shared" si="93"/>
        <v>0</v>
      </c>
      <c r="W638" s="554">
        <f t="shared" si="99"/>
        <v>0</v>
      </c>
      <c r="X638" s="454" t="s">
        <v>1454</v>
      </c>
      <c r="Y638" s="631">
        <f>IF(Q638=0,0,(Q638+R638)*'1.0-Contractblad'!$L$98)</f>
        <v>0</v>
      </c>
      <c r="Z638" s="632">
        <f>IF(J638=0,0,VLOOKUP(D638,'1.1a-Jaarprijzen'!$B$70:$P$124,14,FALSE)*(K638+J638))</f>
        <v>0</v>
      </c>
    </row>
    <row r="639" spans="1:26" hidden="1">
      <c r="A639" s="558"/>
      <c r="B639" s="548"/>
      <c r="C639" s="659">
        <v>3</v>
      </c>
      <c r="D639" s="549" t="s">
        <v>1480</v>
      </c>
      <c r="E639" s="550" t="s">
        <v>502</v>
      </c>
      <c r="F639" s="551" t="s">
        <v>1079</v>
      </c>
      <c r="G639" s="649" t="s">
        <v>486</v>
      </c>
      <c r="H639" s="647" t="str">
        <f t="shared" si="90"/>
        <v>niet van toepassing</v>
      </c>
      <c r="I639" s="719"/>
      <c r="J639" s="623"/>
      <c r="K639" s="623"/>
      <c r="L639" s="668" t="s">
        <v>27</v>
      </c>
      <c r="M639" s="557">
        <f t="shared" si="94"/>
        <v>0</v>
      </c>
      <c r="N639" s="453"/>
      <c r="O639" s="557">
        <f t="shared" si="95"/>
        <v>0</v>
      </c>
      <c r="P639" s="633">
        <v>1</v>
      </c>
      <c r="Q639" s="776">
        <f t="shared" si="96"/>
        <v>0</v>
      </c>
      <c r="R639" s="776">
        <f t="shared" si="97"/>
        <v>0</v>
      </c>
      <c r="S639" s="552">
        <f t="shared" si="98"/>
        <v>0</v>
      </c>
      <c r="T639" s="626">
        <f t="shared" si="91"/>
        <v>0</v>
      </c>
      <c r="U639" s="626">
        <f t="shared" si="92"/>
        <v>0</v>
      </c>
      <c r="V639" s="553">
        <f t="shared" si="93"/>
        <v>0</v>
      </c>
      <c r="W639" s="554">
        <f t="shared" si="99"/>
        <v>0</v>
      </c>
      <c r="X639" s="454" t="s">
        <v>1454</v>
      </c>
      <c r="Y639" s="631">
        <f>IF(Q639=0,0,(Q639+R639)*'1.0-Contractblad'!$L$98)</f>
        <v>0</v>
      </c>
      <c r="Z639" s="632">
        <f>IF(J639=0,0,VLOOKUP(D639,'1.1a-Jaarprijzen'!$B$70:$P$124,14,FALSE)*(K639+J639))</f>
        <v>0</v>
      </c>
    </row>
    <row r="640" spans="1:26" hidden="1">
      <c r="A640" s="558"/>
      <c r="B640" s="548"/>
      <c r="C640" s="659">
        <v>3</v>
      </c>
      <c r="D640" s="549" t="s">
        <v>1480</v>
      </c>
      <c r="E640" s="550" t="s">
        <v>502</v>
      </c>
      <c r="F640" s="551" t="s">
        <v>1080</v>
      </c>
      <c r="G640" s="649" t="s">
        <v>1344</v>
      </c>
      <c r="H640" s="647" t="str">
        <f t="shared" si="90"/>
        <v>niet van toepassing</v>
      </c>
      <c r="I640" s="719" t="s">
        <v>1409</v>
      </c>
      <c r="J640" s="623"/>
      <c r="K640" s="623">
        <v>9</v>
      </c>
      <c r="L640" s="668" t="s">
        <v>27</v>
      </c>
      <c r="M640" s="557">
        <f t="shared" si="94"/>
        <v>0</v>
      </c>
      <c r="N640" s="453"/>
      <c r="O640" s="557">
        <f t="shared" si="95"/>
        <v>0</v>
      </c>
      <c r="P640" s="633">
        <v>1</v>
      </c>
      <c r="Q640" s="776">
        <f t="shared" si="96"/>
        <v>0</v>
      </c>
      <c r="R640" s="776">
        <f t="shared" si="97"/>
        <v>0</v>
      </c>
      <c r="S640" s="552">
        <f t="shared" si="98"/>
        <v>0</v>
      </c>
      <c r="T640" s="626">
        <f t="shared" si="91"/>
        <v>0</v>
      </c>
      <c r="U640" s="626">
        <f t="shared" si="92"/>
        <v>0</v>
      </c>
      <c r="V640" s="553">
        <f t="shared" si="93"/>
        <v>0</v>
      </c>
      <c r="W640" s="554">
        <f t="shared" si="99"/>
        <v>0</v>
      </c>
      <c r="X640" s="454" t="s">
        <v>1454</v>
      </c>
      <c r="Y640" s="631">
        <f>IF(Q640=0,0,(Q640+R640)*'1.0-Contractblad'!$L$98)</f>
        <v>0</v>
      </c>
      <c r="Z640" s="632">
        <f>IF(J640=0,0,VLOOKUP(D640,'1.1a-Jaarprijzen'!$B$70:$P$124,14,FALSE)*(K640+J640))</f>
        <v>0</v>
      </c>
    </row>
    <row r="641" spans="1:26" hidden="1">
      <c r="A641" s="558"/>
      <c r="B641" s="548"/>
      <c r="C641" s="659">
        <v>3</v>
      </c>
      <c r="D641" s="549" t="s">
        <v>1480</v>
      </c>
      <c r="E641" s="550" t="s">
        <v>502</v>
      </c>
      <c r="F641" s="551" t="s">
        <v>1081</v>
      </c>
      <c r="G641" s="649" t="s">
        <v>1452</v>
      </c>
      <c r="H641" s="647" t="str">
        <f t="shared" si="90"/>
        <v>niet van toepassing</v>
      </c>
      <c r="I641" s="719" t="s">
        <v>1409</v>
      </c>
      <c r="J641" s="623"/>
      <c r="K641" s="623">
        <v>9.6999999999999993</v>
      </c>
      <c r="L641" s="668" t="s">
        <v>27</v>
      </c>
      <c r="M641" s="557">
        <f t="shared" si="94"/>
        <v>0</v>
      </c>
      <c r="N641" s="453"/>
      <c r="O641" s="557">
        <f t="shared" si="95"/>
        <v>0</v>
      </c>
      <c r="P641" s="633">
        <v>1</v>
      </c>
      <c r="Q641" s="776">
        <f t="shared" si="96"/>
        <v>0</v>
      </c>
      <c r="R641" s="776">
        <f t="shared" si="97"/>
        <v>0</v>
      </c>
      <c r="S641" s="552">
        <f t="shared" si="98"/>
        <v>0</v>
      </c>
      <c r="T641" s="626">
        <f t="shared" si="91"/>
        <v>0</v>
      </c>
      <c r="U641" s="626">
        <f t="shared" si="92"/>
        <v>0</v>
      </c>
      <c r="V641" s="553">
        <f t="shared" si="93"/>
        <v>0</v>
      </c>
      <c r="W641" s="554">
        <f t="shared" si="99"/>
        <v>0</v>
      </c>
      <c r="X641" s="454" t="s">
        <v>1454</v>
      </c>
      <c r="Y641" s="631">
        <f>IF(Q641=0,0,(Q641+R641)*'1.0-Contractblad'!$L$98)</f>
        <v>0</v>
      </c>
      <c r="Z641" s="632">
        <f>IF(J641=0,0,VLOOKUP(D641,'1.1a-Jaarprijzen'!$B$70:$P$124,14,FALSE)*(K641+J641))</f>
        <v>0</v>
      </c>
    </row>
    <row r="642" spans="1:26" hidden="1">
      <c r="A642" s="558"/>
      <c r="B642" s="548"/>
      <c r="C642" s="659">
        <v>3</v>
      </c>
      <c r="D642" s="549" t="s">
        <v>1480</v>
      </c>
      <c r="E642" s="550" t="s">
        <v>502</v>
      </c>
      <c r="F642" s="551" t="s">
        <v>1082</v>
      </c>
      <c r="G642" s="649" t="s">
        <v>494</v>
      </c>
      <c r="H642" s="647" t="str">
        <f t="shared" si="90"/>
        <v>niet van toepassing</v>
      </c>
      <c r="I642" s="719" t="s">
        <v>1409</v>
      </c>
      <c r="J642" s="623"/>
      <c r="K642" s="623">
        <v>5.5</v>
      </c>
      <c r="L642" s="668" t="s">
        <v>27</v>
      </c>
      <c r="M642" s="557">
        <f t="shared" si="94"/>
        <v>0</v>
      </c>
      <c r="N642" s="453"/>
      <c r="O642" s="557">
        <f t="shared" si="95"/>
        <v>0</v>
      </c>
      <c r="P642" s="633">
        <v>1</v>
      </c>
      <c r="Q642" s="776">
        <f t="shared" si="96"/>
        <v>0</v>
      </c>
      <c r="R642" s="776">
        <f t="shared" si="97"/>
        <v>0</v>
      </c>
      <c r="S642" s="552">
        <f t="shared" si="98"/>
        <v>0</v>
      </c>
      <c r="T642" s="626">
        <f t="shared" si="91"/>
        <v>0</v>
      </c>
      <c r="U642" s="626">
        <f t="shared" si="92"/>
        <v>0</v>
      </c>
      <c r="V642" s="553">
        <f t="shared" si="93"/>
        <v>0</v>
      </c>
      <c r="W642" s="554">
        <f t="shared" si="99"/>
        <v>0</v>
      </c>
      <c r="X642" s="454"/>
      <c r="Y642" s="631">
        <f>IF(Q642=0,0,(Q642+R642)*'1.0-Contractblad'!$L$98)</f>
        <v>0</v>
      </c>
      <c r="Z642" s="632">
        <f>IF(J642=0,0,VLOOKUP(D642,'1.1a-Jaarprijzen'!$B$70:$P$124,14,FALSE)*(K642+J642))</f>
        <v>0</v>
      </c>
    </row>
    <row r="643" spans="1:26" hidden="1">
      <c r="A643" s="558"/>
      <c r="B643" s="548"/>
      <c r="C643" s="659">
        <v>3</v>
      </c>
      <c r="D643" s="549" t="s">
        <v>1480</v>
      </c>
      <c r="E643" s="550" t="s">
        <v>502</v>
      </c>
      <c r="F643" s="551" t="s">
        <v>1083</v>
      </c>
      <c r="G643" s="649" t="s">
        <v>1291</v>
      </c>
      <c r="H643" s="647" t="str">
        <f t="shared" ref="H643:H706" si="100">IF(L643="","",VLOOKUP(L643,Kengetal,4,FALSE))</f>
        <v>niet van toepassing</v>
      </c>
      <c r="I643" s="719" t="s">
        <v>1409</v>
      </c>
      <c r="J643" s="623"/>
      <c r="K643" s="623">
        <v>22.4</v>
      </c>
      <c r="L643" s="668" t="s">
        <v>27</v>
      </c>
      <c r="M643" s="557">
        <f t="shared" si="94"/>
        <v>0</v>
      </c>
      <c r="N643" s="453"/>
      <c r="O643" s="557">
        <f t="shared" si="95"/>
        <v>0</v>
      </c>
      <c r="P643" s="633">
        <v>1</v>
      </c>
      <c r="Q643" s="776">
        <f t="shared" si="96"/>
        <v>0</v>
      </c>
      <c r="R643" s="776">
        <f t="shared" si="97"/>
        <v>0</v>
      </c>
      <c r="S643" s="552">
        <f t="shared" si="98"/>
        <v>0</v>
      </c>
      <c r="T643" s="626">
        <f t="shared" si="91"/>
        <v>0</v>
      </c>
      <c r="U643" s="626">
        <f t="shared" si="92"/>
        <v>0</v>
      </c>
      <c r="V643" s="553">
        <f t="shared" si="93"/>
        <v>0</v>
      </c>
      <c r="W643" s="554">
        <f t="shared" si="99"/>
        <v>0</v>
      </c>
      <c r="X643" s="454"/>
      <c r="Y643" s="631">
        <f>IF(Q643=0,0,(Q643+R643)*'1.0-Contractblad'!$L$98)</f>
        <v>0</v>
      </c>
      <c r="Z643" s="632">
        <f>IF(J643=0,0,VLOOKUP(D643,'1.1a-Jaarprijzen'!$B$70:$P$124,14,FALSE)*(K643+J643))</f>
        <v>0</v>
      </c>
    </row>
    <row r="644" spans="1:26" hidden="1">
      <c r="A644" s="558"/>
      <c r="B644" s="548"/>
      <c r="C644" s="659">
        <v>3</v>
      </c>
      <c r="D644" s="549" t="s">
        <v>1480</v>
      </c>
      <c r="E644" s="550" t="s">
        <v>502</v>
      </c>
      <c r="F644" s="551" t="s">
        <v>1084</v>
      </c>
      <c r="G644" s="649" t="s">
        <v>498</v>
      </c>
      <c r="H644" s="647" t="str">
        <f t="shared" si="100"/>
        <v>niet van toepassing</v>
      </c>
      <c r="I644" s="719" t="s">
        <v>1409</v>
      </c>
      <c r="J644" s="623"/>
      <c r="K644" s="623">
        <v>21.7</v>
      </c>
      <c r="L644" s="668" t="s">
        <v>27</v>
      </c>
      <c r="M644" s="557">
        <f t="shared" si="94"/>
        <v>0</v>
      </c>
      <c r="N644" s="453"/>
      <c r="O644" s="557">
        <f t="shared" si="95"/>
        <v>0</v>
      </c>
      <c r="P644" s="633">
        <v>1</v>
      </c>
      <c r="Q644" s="776">
        <f t="shared" si="96"/>
        <v>0</v>
      </c>
      <c r="R644" s="776">
        <f t="shared" si="97"/>
        <v>0</v>
      </c>
      <c r="S644" s="552">
        <f t="shared" si="98"/>
        <v>0</v>
      </c>
      <c r="T644" s="626">
        <f t="shared" ref="T644:T707" si="101">VLOOKUP($L644,Kengetal,6,FALSE)</f>
        <v>0</v>
      </c>
      <c r="U644" s="626">
        <f t="shared" ref="U644:U707" si="102">VLOOKUP($L644,Kengetal,7,FALSE)</f>
        <v>0</v>
      </c>
      <c r="V644" s="553">
        <f t="shared" ref="V644:V707" si="103">VLOOKUP($N644,Kengetal,7,FALSE)</f>
        <v>0</v>
      </c>
      <c r="W644" s="554">
        <f t="shared" si="99"/>
        <v>0</v>
      </c>
      <c r="X644" s="454" t="s">
        <v>1454</v>
      </c>
      <c r="Y644" s="631">
        <f>IF(Q644=0,0,(Q644+R644)*'1.0-Contractblad'!$L$98)</f>
        <v>0</v>
      </c>
      <c r="Z644" s="632">
        <f>IF(J644=0,0,VLOOKUP(D644,'1.1a-Jaarprijzen'!$B$70:$P$124,14,FALSE)*(K644+J644))</f>
        <v>0</v>
      </c>
    </row>
    <row r="645" spans="1:26" hidden="1">
      <c r="A645" s="558"/>
      <c r="B645" s="548"/>
      <c r="C645" s="659">
        <v>3</v>
      </c>
      <c r="D645" s="549" t="s">
        <v>1480</v>
      </c>
      <c r="E645" s="550" t="s">
        <v>502</v>
      </c>
      <c r="F645" s="551" t="s">
        <v>1085</v>
      </c>
      <c r="G645" s="649" t="s">
        <v>498</v>
      </c>
      <c r="H645" s="647" t="str">
        <f t="shared" si="100"/>
        <v>niet van toepassing</v>
      </c>
      <c r="I645" s="719" t="s">
        <v>1409</v>
      </c>
      <c r="J645" s="623"/>
      <c r="K645" s="623">
        <v>24.8</v>
      </c>
      <c r="L645" s="668" t="s">
        <v>27</v>
      </c>
      <c r="M645" s="557">
        <f t="shared" ref="M645:M708" si="104">VLOOKUP(L645,Kengetal,2,FALSE)</f>
        <v>0</v>
      </c>
      <c r="N645" s="453"/>
      <c r="O645" s="557">
        <f t="shared" ref="O645:O708" si="105">VLOOKUP(L645,Kengetal,3,FALSE)</f>
        <v>0</v>
      </c>
      <c r="P645" s="633">
        <v>1</v>
      </c>
      <c r="Q645" s="776">
        <f t="shared" ref="Q645:Q708" si="106">T645*J645*P645</f>
        <v>0</v>
      </c>
      <c r="R645" s="776">
        <f t="shared" ref="R645:R708" si="107">U645*J645*P645</f>
        <v>0</v>
      </c>
      <c r="S645" s="552">
        <f t="shared" ref="S645:S708" si="108">V645*J645*P645</f>
        <v>0</v>
      </c>
      <c r="T645" s="626">
        <f t="shared" si="101"/>
        <v>0</v>
      </c>
      <c r="U645" s="626">
        <f t="shared" si="102"/>
        <v>0</v>
      </c>
      <c r="V645" s="553">
        <f t="shared" si="103"/>
        <v>0</v>
      </c>
      <c r="W645" s="554">
        <f t="shared" ref="W645:W708" si="109">IF(L645="","",VLOOKUP(L645,Kengetal,14,FALSE))</f>
        <v>0</v>
      </c>
      <c r="X645" s="454" t="s">
        <v>1454</v>
      </c>
      <c r="Y645" s="631">
        <f>IF(Q645=0,0,(Q645+R645)*'1.0-Contractblad'!$L$98)</f>
        <v>0</v>
      </c>
      <c r="Z645" s="632">
        <f>IF(J645=0,0,VLOOKUP(D645,'1.1a-Jaarprijzen'!$B$70:$P$124,14,FALSE)*(K645+J645))</f>
        <v>0</v>
      </c>
    </row>
    <row r="646" spans="1:26" hidden="1">
      <c r="A646" s="558"/>
      <c r="B646" s="548"/>
      <c r="C646" s="659">
        <v>3</v>
      </c>
      <c r="D646" s="549" t="s">
        <v>1481</v>
      </c>
      <c r="E646" s="550" t="s">
        <v>502</v>
      </c>
      <c r="F646" s="551" t="s">
        <v>1086</v>
      </c>
      <c r="G646" s="649" t="s">
        <v>1365</v>
      </c>
      <c r="H646" s="647" t="str">
        <f t="shared" si="100"/>
        <v>entree, gang, hal, repro, kopieer, was/droogruimte</v>
      </c>
      <c r="I646" s="719" t="s">
        <v>1406</v>
      </c>
      <c r="J646" s="623">
        <v>12.3</v>
      </c>
      <c r="K646" s="623"/>
      <c r="L646" s="651">
        <v>3153</v>
      </c>
      <c r="M646" s="557">
        <f t="shared" si="104"/>
        <v>103</v>
      </c>
      <c r="N646" s="453"/>
      <c r="O646" s="557">
        <f t="shared" si="105"/>
        <v>153</v>
      </c>
      <c r="P646" s="633">
        <v>1</v>
      </c>
      <c r="Q646" s="776">
        <f t="shared" si="106"/>
        <v>0</v>
      </c>
      <c r="R646" s="776">
        <f t="shared" si="107"/>
        <v>0</v>
      </c>
      <c r="S646" s="552">
        <f t="shared" si="108"/>
        <v>0</v>
      </c>
      <c r="T646" s="626">
        <f t="shared" si="101"/>
        <v>0</v>
      </c>
      <c r="U646" s="626">
        <f t="shared" si="102"/>
        <v>0</v>
      </c>
      <c r="V646" s="553">
        <f t="shared" si="103"/>
        <v>0</v>
      </c>
      <c r="W646" s="554" t="str">
        <f t="shared" si="109"/>
        <v>V</v>
      </c>
      <c r="X646" s="555"/>
      <c r="Y646" s="631">
        <f>IF(Q646=0,0,(Q646+R646)*'1.0-Contractblad'!$L$98)</f>
        <v>0</v>
      </c>
      <c r="Z646" s="632">
        <f ca="1">IF(J646=0,0,VLOOKUP(D646,'1.1a-Jaarprijzen'!$B$70:$P$124,14,FALSE)*(K646+J646))</f>
        <v>0</v>
      </c>
    </row>
    <row r="647" spans="1:26" hidden="1">
      <c r="A647" s="558"/>
      <c r="B647" s="701"/>
      <c r="C647" s="659">
        <v>3</v>
      </c>
      <c r="D647" s="549" t="s">
        <v>1481</v>
      </c>
      <c r="E647" s="550" t="s">
        <v>502</v>
      </c>
      <c r="F647" s="551" t="s">
        <v>1087</v>
      </c>
      <c r="G647" s="649" t="s">
        <v>1365</v>
      </c>
      <c r="H647" s="647" t="str">
        <f t="shared" si="100"/>
        <v>entree, gang, hal, repro, kopieer, was/droogruimte</v>
      </c>
      <c r="I647" s="719" t="s">
        <v>491</v>
      </c>
      <c r="J647" s="650">
        <v>12</v>
      </c>
      <c r="K647" s="650"/>
      <c r="L647" s="651">
        <v>3153</v>
      </c>
      <c r="M647" s="557">
        <f t="shared" si="104"/>
        <v>103</v>
      </c>
      <c r="N647" s="453"/>
      <c r="O647" s="557">
        <f t="shared" si="105"/>
        <v>153</v>
      </c>
      <c r="P647" s="633">
        <v>1</v>
      </c>
      <c r="Q647" s="776">
        <f t="shared" si="106"/>
        <v>0</v>
      </c>
      <c r="R647" s="776">
        <f t="shared" si="107"/>
        <v>0</v>
      </c>
      <c r="S647" s="552">
        <f t="shared" si="108"/>
        <v>0</v>
      </c>
      <c r="T647" s="626">
        <f t="shared" si="101"/>
        <v>0</v>
      </c>
      <c r="U647" s="626">
        <f t="shared" si="102"/>
        <v>0</v>
      </c>
      <c r="V647" s="553">
        <f t="shared" si="103"/>
        <v>0</v>
      </c>
      <c r="W647" s="554" t="str">
        <f t="shared" si="109"/>
        <v>V</v>
      </c>
      <c r="X647" s="555"/>
      <c r="Y647" s="631">
        <f>IF(Q647=0,0,(Q647+R647)*'1.0-Contractblad'!$L$98)</f>
        <v>0</v>
      </c>
      <c r="Z647" s="632">
        <f ca="1">IF(J647=0,0,VLOOKUP(D647,'1.1a-Jaarprijzen'!$B$70:$P$124,14,FALSE)*(K647+J647))</f>
        <v>0</v>
      </c>
    </row>
    <row r="648" spans="1:26" hidden="1">
      <c r="A648" s="558"/>
      <c r="B648" s="548"/>
      <c r="C648" s="659">
        <v>3</v>
      </c>
      <c r="D648" s="549" t="s">
        <v>1481</v>
      </c>
      <c r="E648" s="550" t="s">
        <v>502</v>
      </c>
      <c r="F648" s="551" t="s">
        <v>1088</v>
      </c>
      <c r="G648" s="649" t="s">
        <v>487</v>
      </c>
      <c r="H648" s="647" t="str">
        <f t="shared" si="100"/>
        <v>entree, gang, hal, repro, kopieer, was/droogruimte</v>
      </c>
      <c r="I648" s="719" t="s">
        <v>491</v>
      </c>
      <c r="J648" s="623">
        <v>7.7</v>
      </c>
      <c r="K648" s="623"/>
      <c r="L648" s="651">
        <v>3153</v>
      </c>
      <c r="M648" s="557">
        <f t="shared" si="104"/>
        <v>103</v>
      </c>
      <c r="N648" s="453"/>
      <c r="O648" s="557">
        <f t="shared" si="105"/>
        <v>153</v>
      </c>
      <c r="P648" s="633">
        <v>1</v>
      </c>
      <c r="Q648" s="776">
        <f t="shared" si="106"/>
        <v>0</v>
      </c>
      <c r="R648" s="776">
        <f t="shared" si="107"/>
        <v>0</v>
      </c>
      <c r="S648" s="552">
        <f t="shared" si="108"/>
        <v>0</v>
      </c>
      <c r="T648" s="626">
        <f t="shared" si="101"/>
        <v>0</v>
      </c>
      <c r="U648" s="626">
        <f t="shared" si="102"/>
        <v>0</v>
      </c>
      <c r="V648" s="553">
        <f t="shared" si="103"/>
        <v>0</v>
      </c>
      <c r="W648" s="554" t="str">
        <f t="shared" si="109"/>
        <v>V</v>
      </c>
      <c r="X648" s="555"/>
      <c r="Y648" s="631">
        <f>IF(Q648=0,0,(Q648+R648)*'1.0-Contractblad'!$L$98)</f>
        <v>0</v>
      </c>
      <c r="Z648" s="632">
        <f ca="1">IF(J648=0,0,VLOOKUP(D648,'1.1a-Jaarprijzen'!$B$70:$P$124,14,FALSE)*(K648+J648))</f>
        <v>0</v>
      </c>
    </row>
    <row r="649" spans="1:26" hidden="1">
      <c r="A649" s="558"/>
      <c r="B649" s="701"/>
      <c r="C649" s="659">
        <v>3</v>
      </c>
      <c r="D649" s="549" t="s">
        <v>1481</v>
      </c>
      <c r="E649" s="550" t="s">
        <v>502</v>
      </c>
      <c r="F649" s="551" t="s">
        <v>1089</v>
      </c>
      <c r="G649" s="649" t="s">
        <v>487</v>
      </c>
      <c r="H649" s="647" t="str">
        <f t="shared" si="100"/>
        <v>entree, gang, hal, repro, kopieer, was/droogruimte</v>
      </c>
      <c r="I649" s="719" t="s">
        <v>491</v>
      </c>
      <c r="J649" s="650">
        <v>60.4</v>
      </c>
      <c r="K649" s="650"/>
      <c r="L649" s="651">
        <v>3153</v>
      </c>
      <c r="M649" s="557">
        <f t="shared" si="104"/>
        <v>103</v>
      </c>
      <c r="N649" s="453"/>
      <c r="O649" s="557">
        <f t="shared" si="105"/>
        <v>153</v>
      </c>
      <c r="P649" s="633">
        <v>1</v>
      </c>
      <c r="Q649" s="776">
        <f t="shared" si="106"/>
        <v>0</v>
      </c>
      <c r="R649" s="776">
        <f t="shared" si="107"/>
        <v>0</v>
      </c>
      <c r="S649" s="552">
        <f t="shared" si="108"/>
        <v>0</v>
      </c>
      <c r="T649" s="626">
        <f t="shared" si="101"/>
        <v>0</v>
      </c>
      <c r="U649" s="626">
        <f t="shared" si="102"/>
        <v>0</v>
      </c>
      <c r="V649" s="553">
        <f t="shared" si="103"/>
        <v>0</v>
      </c>
      <c r="W649" s="554" t="str">
        <f t="shared" si="109"/>
        <v>V</v>
      </c>
      <c r="X649" s="555"/>
      <c r="Y649" s="631">
        <f>IF(Q649=0,0,(Q649+R649)*'1.0-Contractblad'!$L$98)</f>
        <v>0</v>
      </c>
      <c r="Z649" s="632">
        <f ca="1">IF(J649=0,0,VLOOKUP(D649,'1.1a-Jaarprijzen'!$B$70:$P$124,14,FALSE)*(K649+J649))</f>
        <v>0</v>
      </c>
    </row>
    <row r="650" spans="1:26" hidden="1">
      <c r="A650" s="558"/>
      <c r="B650" s="701"/>
      <c r="C650" s="659">
        <v>3</v>
      </c>
      <c r="D650" s="549" t="s">
        <v>1481</v>
      </c>
      <c r="E650" s="550" t="s">
        <v>502</v>
      </c>
      <c r="F650" s="551" t="s">
        <v>1090</v>
      </c>
      <c r="G650" s="649" t="s">
        <v>1366</v>
      </c>
      <c r="H650" s="647" t="str">
        <f t="shared" si="100"/>
        <v>leslokaal</v>
      </c>
      <c r="I650" s="719" t="s">
        <v>106</v>
      </c>
      <c r="J650" s="650">
        <v>44</v>
      </c>
      <c r="K650" s="650"/>
      <c r="L650" s="713">
        <v>7153</v>
      </c>
      <c r="M650" s="557">
        <f t="shared" si="104"/>
        <v>107</v>
      </c>
      <c r="N650" s="453"/>
      <c r="O650" s="557">
        <f t="shared" si="105"/>
        <v>153</v>
      </c>
      <c r="P650" s="633">
        <v>1</v>
      </c>
      <c r="Q650" s="776">
        <f t="shared" si="106"/>
        <v>0</v>
      </c>
      <c r="R650" s="776">
        <f t="shared" si="107"/>
        <v>0</v>
      </c>
      <c r="S650" s="552">
        <f t="shared" si="108"/>
        <v>0</v>
      </c>
      <c r="T650" s="626">
        <f t="shared" si="101"/>
        <v>0</v>
      </c>
      <c r="U650" s="626">
        <f t="shared" si="102"/>
        <v>0</v>
      </c>
      <c r="V650" s="553">
        <f t="shared" si="103"/>
        <v>0</v>
      </c>
      <c r="W650" s="554" t="str">
        <f t="shared" si="109"/>
        <v>L</v>
      </c>
      <c r="X650" s="555"/>
      <c r="Y650" s="631">
        <f>IF(Q650=0,0,(Q650+R650)*'1.0-Contractblad'!$L$98)</f>
        <v>0</v>
      </c>
      <c r="Z650" s="632">
        <f ca="1">IF(J650=0,0,VLOOKUP(D650,'1.1a-Jaarprijzen'!$B$70:$P$124,14,FALSE)*(K650+J650))</f>
        <v>0</v>
      </c>
    </row>
    <row r="651" spans="1:26" hidden="1">
      <c r="A651" s="558"/>
      <c r="B651" s="548"/>
      <c r="C651" s="659">
        <v>3</v>
      </c>
      <c r="D651" s="549" t="s">
        <v>1481</v>
      </c>
      <c r="E651" s="550" t="s">
        <v>502</v>
      </c>
      <c r="F651" s="551" t="s">
        <v>1091</v>
      </c>
      <c r="G651" s="649" t="s">
        <v>1344</v>
      </c>
      <c r="H651" s="647" t="str">
        <f t="shared" si="100"/>
        <v>niet van toepassing</v>
      </c>
      <c r="I651" s="719" t="s">
        <v>491</v>
      </c>
      <c r="J651" s="623"/>
      <c r="K651" s="623">
        <v>7.7</v>
      </c>
      <c r="L651" s="668" t="s">
        <v>27</v>
      </c>
      <c r="M651" s="557">
        <f t="shared" si="104"/>
        <v>0</v>
      </c>
      <c r="N651" s="453"/>
      <c r="O651" s="557">
        <f t="shared" si="105"/>
        <v>0</v>
      </c>
      <c r="P651" s="633">
        <v>1</v>
      </c>
      <c r="Q651" s="776">
        <f t="shared" si="106"/>
        <v>0</v>
      </c>
      <c r="R651" s="776">
        <f t="shared" si="107"/>
        <v>0</v>
      </c>
      <c r="S651" s="552">
        <f t="shared" si="108"/>
        <v>0</v>
      </c>
      <c r="T651" s="626">
        <f t="shared" si="101"/>
        <v>0</v>
      </c>
      <c r="U651" s="626">
        <f t="shared" si="102"/>
        <v>0</v>
      </c>
      <c r="V651" s="553">
        <f t="shared" si="103"/>
        <v>0</v>
      </c>
      <c r="W651" s="554">
        <f t="shared" si="109"/>
        <v>0</v>
      </c>
      <c r="X651" s="454" t="s">
        <v>1454</v>
      </c>
      <c r="Y651" s="631">
        <f>IF(Q651=0,0,(Q651+R651)*'1.0-Contractblad'!$L$98)</f>
        <v>0</v>
      </c>
      <c r="Z651" s="632">
        <f>IF(J651=0,0,VLOOKUP(D651,'1.1a-Jaarprijzen'!$B$70:$P$124,14,FALSE)*(K651+J651))</f>
        <v>0</v>
      </c>
    </row>
    <row r="652" spans="1:26" hidden="1">
      <c r="A652" s="558"/>
      <c r="B652" s="701"/>
      <c r="C652" s="659">
        <v>3</v>
      </c>
      <c r="D652" s="549" t="s">
        <v>1481</v>
      </c>
      <c r="E652" s="550" t="s">
        <v>502</v>
      </c>
      <c r="F652" s="551" t="s">
        <v>1092</v>
      </c>
      <c r="G652" s="649" t="s">
        <v>1452</v>
      </c>
      <c r="H652" s="647" t="str">
        <f t="shared" si="100"/>
        <v>Keuken</v>
      </c>
      <c r="I652" s="719" t="s">
        <v>491</v>
      </c>
      <c r="J652" s="650">
        <v>10.4</v>
      </c>
      <c r="K652" s="650"/>
      <c r="L652" s="559">
        <v>18255</v>
      </c>
      <c r="M652" s="557" t="str">
        <f t="shared" si="104"/>
        <v>nvt</v>
      </c>
      <c r="N652" s="453"/>
      <c r="O652" s="557">
        <f t="shared" si="105"/>
        <v>255</v>
      </c>
      <c r="P652" s="633">
        <v>1</v>
      </c>
      <c r="Q652" s="776">
        <f t="shared" si="106"/>
        <v>0</v>
      </c>
      <c r="R652" s="776">
        <f t="shared" si="107"/>
        <v>0</v>
      </c>
      <c r="S652" s="552">
        <f t="shared" si="108"/>
        <v>0</v>
      </c>
      <c r="T652" s="626">
        <f t="shared" si="101"/>
        <v>0</v>
      </c>
      <c r="U652" s="626">
        <f t="shared" si="102"/>
        <v>0</v>
      </c>
      <c r="V652" s="553">
        <f t="shared" si="103"/>
        <v>0</v>
      </c>
      <c r="W652" s="554" t="str">
        <f t="shared" si="109"/>
        <v>V</v>
      </c>
      <c r="X652" s="555"/>
      <c r="Y652" s="631">
        <f>IF(Q652=0,0,(Q652+R652)*'1.0-Contractblad'!$L$98)</f>
        <v>0</v>
      </c>
      <c r="Z652" s="632">
        <f ca="1">IF(J652=0,0,VLOOKUP(D652,'1.1a-Jaarprijzen'!$B$70:$P$124,14,FALSE)*(K652+J652))</f>
        <v>0</v>
      </c>
    </row>
    <row r="653" spans="1:26" hidden="1">
      <c r="A653" s="558"/>
      <c r="B653" s="701"/>
      <c r="C653" s="659">
        <v>3</v>
      </c>
      <c r="D653" s="549" t="s">
        <v>1481</v>
      </c>
      <c r="E653" s="550" t="s">
        <v>502</v>
      </c>
      <c r="F653" s="551" t="s">
        <v>1093</v>
      </c>
      <c r="G653" s="649" t="s">
        <v>1332</v>
      </c>
      <c r="H653" s="647" t="str">
        <f t="shared" si="100"/>
        <v>Keuken</v>
      </c>
      <c r="I653" s="719" t="s">
        <v>491</v>
      </c>
      <c r="J653" s="650">
        <v>7</v>
      </c>
      <c r="K653" s="650"/>
      <c r="L653" s="559">
        <v>18153</v>
      </c>
      <c r="M653" s="557" t="str">
        <f t="shared" si="104"/>
        <v>nvt</v>
      </c>
      <c r="N653" s="453"/>
      <c r="O653" s="557">
        <f t="shared" si="105"/>
        <v>153</v>
      </c>
      <c r="P653" s="633">
        <v>1</v>
      </c>
      <c r="Q653" s="776">
        <f t="shared" si="106"/>
        <v>0</v>
      </c>
      <c r="R653" s="776">
        <f t="shared" si="107"/>
        <v>0</v>
      </c>
      <c r="S653" s="552">
        <f t="shared" si="108"/>
        <v>0</v>
      </c>
      <c r="T653" s="626">
        <f t="shared" si="101"/>
        <v>0</v>
      </c>
      <c r="U653" s="626">
        <f t="shared" si="102"/>
        <v>0</v>
      </c>
      <c r="V653" s="553">
        <f t="shared" si="103"/>
        <v>0</v>
      </c>
      <c r="W653" s="554" t="str">
        <f t="shared" si="109"/>
        <v>V</v>
      </c>
      <c r="X653" s="555"/>
      <c r="Y653" s="631">
        <f>IF(Q653=0,0,(Q653+R653)*'1.0-Contractblad'!$L$98)</f>
        <v>0</v>
      </c>
      <c r="Z653" s="632">
        <f ca="1">IF(J653=0,0,VLOOKUP(D653,'1.1a-Jaarprijzen'!$B$70:$P$124,14,FALSE)*(K653+J653))</f>
        <v>0</v>
      </c>
    </row>
    <row r="654" spans="1:26" hidden="1">
      <c r="A654" s="558"/>
      <c r="B654" s="701"/>
      <c r="C654" s="659">
        <v>3</v>
      </c>
      <c r="D654" s="549" t="s">
        <v>1481</v>
      </c>
      <c r="E654" s="550" t="s">
        <v>502</v>
      </c>
      <c r="F654" s="551" t="s">
        <v>1094</v>
      </c>
      <c r="G654" s="649" t="s">
        <v>493</v>
      </c>
      <c r="H654" s="647" t="str">
        <f t="shared" si="100"/>
        <v>administratieve -, personeels- en vergaderruimte</v>
      </c>
      <c r="I654" s="719" t="s">
        <v>499</v>
      </c>
      <c r="J654" s="650">
        <v>11.4</v>
      </c>
      <c r="K654" s="650"/>
      <c r="L654" s="652">
        <v>1102</v>
      </c>
      <c r="M654" s="557">
        <f t="shared" si="104"/>
        <v>101</v>
      </c>
      <c r="N654" s="453"/>
      <c r="O654" s="557">
        <f t="shared" si="105"/>
        <v>102</v>
      </c>
      <c r="P654" s="633">
        <v>1</v>
      </c>
      <c r="Q654" s="776">
        <f t="shared" si="106"/>
        <v>0</v>
      </c>
      <c r="R654" s="776">
        <f t="shared" si="107"/>
        <v>0</v>
      </c>
      <c r="S654" s="552">
        <f t="shared" si="108"/>
        <v>0</v>
      </c>
      <c r="T654" s="626">
        <f t="shared" si="101"/>
        <v>0</v>
      </c>
      <c r="U654" s="626">
        <f t="shared" si="102"/>
        <v>0</v>
      </c>
      <c r="V654" s="553">
        <f t="shared" si="103"/>
        <v>0</v>
      </c>
      <c r="W654" s="554" t="str">
        <f t="shared" si="109"/>
        <v>B</v>
      </c>
      <c r="X654" s="555"/>
      <c r="Y654" s="631">
        <f>IF(Q654=0,0,(Q654+R654)*'1.0-Contractblad'!$L$98)</f>
        <v>0</v>
      </c>
      <c r="Z654" s="632">
        <f ca="1">IF(J654=0,0,VLOOKUP(D654,'1.1a-Jaarprijzen'!$B$70:$P$124,14,FALSE)*(K654+J654))</f>
        <v>0</v>
      </c>
    </row>
    <row r="655" spans="1:26" hidden="1">
      <c r="A655" s="558"/>
      <c r="B655" s="701"/>
      <c r="C655" s="659">
        <v>3</v>
      </c>
      <c r="D655" s="549" t="s">
        <v>1481</v>
      </c>
      <c r="E655" s="550" t="s">
        <v>502</v>
      </c>
      <c r="F655" s="551" t="s">
        <v>1095</v>
      </c>
      <c r="G655" s="649" t="s">
        <v>493</v>
      </c>
      <c r="H655" s="647" t="str">
        <f t="shared" si="100"/>
        <v>administratieve -, personeels- en vergaderruimte</v>
      </c>
      <c r="I655" s="719" t="s">
        <v>499</v>
      </c>
      <c r="J655" s="650">
        <v>20.2</v>
      </c>
      <c r="K655" s="650"/>
      <c r="L655" s="652">
        <v>1102</v>
      </c>
      <c r="M655" s="557">
        <f t="shared" si="104"/>
        <v>101</v>
      </c>
      <c r="N655" s="453"/>
      <c r="O655" s="557">
        <f t="shared" si="105"/>
        <v>102</v>
      </c>
      <c r="P655" s="633">
        <v>1</v>
      </c>
      <c r="Q655" s="776">
        <f t="shared" si="106"/>
        <v>0</v>
      </c>
      <c r="R655" s="776">
        <f t="shared" si="107"/>
        <v>0</v>
      </c>
      <c r="S655" s="552">
        <f t="shared" si="108"/>
        <v>0</v>
      </c>
      <c r="T655" s="626">
        <f t="shared" si="101"/>
        <v>0</v>
      </c>
      <c r="U655" s="626">
        <f t="shared" si="102"/>
        <v>0</v>
      </c>
      <c r="V655" s="553">
        <f t="shared" si="103"/>
        <v>0</v>
      </c>
      <c r="W655" s="554" t="str">
        <f t="shared" si="109"/>
        <v>B</v>
      </c>
      <c r="X655" s="555"/>
      <c r="Y655" s="631">
        <f>IF(Q655=0,0,(Q655+R655)*'1.0-Contractblad'!$L$98)</f>
        <v>0</v>
      </c>
      <c r="Z655" s="632">
        <f ca="1">IF(J655=0,0,VLOOKUP(D655,'1.1a-Jaarprijzen'!$B$70:$P$124,14,FALSE)*(K655+J655))</f>
        <v>0</v>
      </c>
    </row>
    <row r="656" spans="1:26" hidden="1">
      <c r="A656" s="558"/>
      <c r="B656" s="548"/>
      <c r="C656" s="659">
        <v>3</v>
      </c>
      <c r="D656" s="549" t="s">
        <v>1481</v>
      </c>
      <c r="E656" s="550" t="s">
        <v>502</v>
      </c>
      <c r="F656" s="551" t="s">
        <v>1096</v>
      </c>
      <c r="G656" s="649" t="s">
        <v>486</v>
      </c>
      <c r="H656" s="647" t="str">
        <f t="shared" si="100"/>
        <v>niet van toepassing</v>
      </c>
      <c r="I656" s="719"/>
      <c r="J656" s="623"/>
      <c r="K656" s="623"/>
      <c r="L656" s="668" t="s">
        <v>27</v>
      </c>
      <c r="M656" s="557">
        <f t="shared" si="104"/>
        <v>0</v>
      </c>
      <c r="N656" s="453"/>
      <c r="O656" s="557">
        <f t="shared" si="105"/>
        <v>0</v>
      </c>
      <c r="P656" s="633">
        <v>1</v>
      </c>
      <c r="Q656" s="776">
        <f t="shared" si="106"/>
        <v>0</v>
      </c>
      <c r="R656" s="776">
        <f t="shared" si="107"/>
        <v>0</v>
      </c>
      <c r="S656" s="552">
        <f t="shared" si="108"/>
        <v>0</v>
      </c>
      <c r="T656" s="626">
        <f t="shared" si="101"/>
        <v>0</v>
      </c>
      <c r="U656" s="626">
        <f t="shared" si="102"/>
        <v>0</v>
      </c>
      <c r="V656" s="553">
        <f t="shared" si="103"/>
        <v>0</v>
      </c>
      <c r="W656" s="554">
        <f t="shared" si="109"/>
        <v>0</v>
      </c>
      <c r="X656" s="454" t="s">
        <v>1454</v>
      </c>
      <c r="Y656" s="631">
        <f>IF(Q656=0,0,(Q656+R656)*'1.0-Contractblad'!$L$98)</f>
        <v>0</v>
      </c>
      <c r="Z656" s="632">
        <f>IF(J656=0,0,VLOOKUP(D656,'1.1a-Jaarprijzen'!$B$70:$P$124,14,FALSE)*(K656+J656))</f>
        <v>0</v>
      </c>
    </row>
    <row r="657" spans="1:26" hidden="1">
      <c r="A657" s="558"/>
      <c r="B657" s="701"/>
      <c r="C657" s="659">
        <v>3</v>
      </c>
      <c r="D657" s="549" t="s">
        <v>1481</v>
      </c>
      <c r="E657" s="550" t="s">
        <v>502</v>
      </c>
      <c r="F657" s="551" t="s">
        <v>1097</v>
      </c>
      <c r="G657" s="649" t="s">
        <v>1367</v>
      </c>
      <c r="H657" s="647" t="str">
        <f t="shared" si="100"/>
        <v>sanitaire ruimte (toilet-/doucheruimte)</v>
      </c>
      <c r="I657" s="719" t="s">
        <v>491</v>
      </c>
      <c r="J657" s="650">
        <v>7.8</v>
      </c>
      <c r="K657" s="650"/>
      <c r="L657" s="651">
        <v>4102</v>
      </c>
      <c r="M657" s="557">
        <f t="shared" si="104"/>
        <v>104</v>
      </c>
      <c r="N657" s="453"/>
      <c r="O657" s="557">
        <f t="shared" si="105"/>
        <v>102</v>
      </c>
      <c r="P657" s="633">
        <v>1</v>
      </c>
      <c r="Q657" s="776">
        <f t="shared" si="106"/>
        <v>0</v>
      </c>
      <c r="R657" s="776">
        <f t="shared" si="107"/>
        <v>0</v>
      </c>
      <c r="S657" s="552">
        <f t="shared" si="108"/>
        <v>0</v>
      </c>
      <c r="T657" s="626">
        <f t="shared" si="101"/>
        <v>0</v>
      </c>
      <c r="U657" s="626">
        <f t="shared" si="102"/>
        <v>0</v>
      </c>
      <c r="V657" s="553">
        <f t="shared" si="103"/>
        <v>0</v>
      </c>
      <c r="W657" s="554" t="str">
        <f t="shared" si="109"/>
        <v>S</v>
      </c>
      <c r="X657" s="555"/>
      <c r="Y657" s="631">
        <f>IF(Q657=0,0,(Q657+R657)*'1.0-Contractblad'!$L$98)</f>
        <v>0</v>
      </c>
      <c r="Z657" s="632">
        <f ca="1">IF(J657=0,0,VLOOKUP(D657,'1.1a-Jaarprijzen'!$B$70:$P$124,14,FALSE)*(K657+J657))</f>
        <v>0</v>
      </c>
    </row>
    <row r="658" spans="1:26" hidden="1">
      <c r="A658" s="558"/>
      <c r="B658" s="548"/>
      <c r="C658" s="659">
        <v>3</v>
      </c>
      <c r="D658" s="549" t="s">
        <v>1481</v>
      </c>
      <c r="E658" s="550" t="s">
        <v>502</v>
      </c>
      <c r="F658" s="551" t="s">
        <v>471</v>
      </c>
      <c r="G658" s="649" t="s">
        <v>1368</v>
      </c>
      <c r="H658" s="647" t="str">
        <f t="shared" si="100"/>
        <v>niet van toepassing</v>
      </c>
      <c r="I658" s="719" t="s">
        <v>491</v>
      </c>
      <c r="J658" s="623"/>
      <c r="K658" s="623"/>
      <c r="L658" s="668" t="s">
        <v>27</v>
      </c>
      <c r="M658" s="557">
        <f t="shared" si="104"/>
        <v>0</v>
      </c>
      <c r="N658" s="453"/>
      <c r="O658" s="557">
        <f t="shared" si="105"/>
        <v>0</v>
      </c>
      <c r="P658" s="633">
        <v>1</v>
      </c>
      <c r="Q658" s="776">
        <f t="shared" si="106"/>
        <v>0</v>
      </c>
      <c r="R658" s="776">
        <f t="shared" si="107"/>
        <v>0</v>
      </c>
      <c r="S658" s="552">
        <f t="shared" si="108"/>
        <v>0</v>
      </c>
      <c r="T658" s="626">
        <f t="shared" si="101"/>
        <v>0</v>
      </c>
      <c r="U658" s="626">
        <f t="shared" si="102"/>
        <v>0</v>
      </c>
      <c r="V658" s="553">
        <f t="shared" si="103"/>
        <v>0</v>
      </c>
      <c r="W658" s="554">
        <f t="shared" si="109"/>
        <v>0</v>
      </c>
      <c r="X658" s="454" t="s">
        <v>1454</v>
      </c>
      <c r="Y658" s="631">
        <f>IF(Q658=0,0,(Q658+R658)*'1.0-Contractblad'!$L$98)</f>
        <v>0</v>
      </c>
      <c r="Z658" s="632">
        <f>IF(J658=0,0,VLOOKUP(D658,'1.1a-Jaarprijzen'!$B$70:$P$124,14,FALSE)*(K658+J658))</f>
        <v>0</v>
      </c>
    </row>
    <row r="659" spans="1:26" hidden="1">
      <c r="A659" s="558"/>
      <c r="B659" s="548"/>
      <c r="C659" s="659">
        <v>3</v>
      </c>
      <c r="D659" s="549" t="s">
        <v>1481</v>
      </c>
      <c r="E659" s="550" t="s">
        <v>502</v>
      </c>
      <c r="F659" s="551" t="s">
        <v>1098</v>
      </c>
      <c r="G659" s="649" t="s">
        <v>1368</v>
      </c>
      <c r="H659" s="647" t="str">
        <f t="shared" si="100"/>
        <v>niet van toepassing</v>
      </c>
      <c r="I659" s="719" t="s">
        <v>491</v>
      </c>
      <c r="J659" s="623"/>
      <c r="K659" s="623"/>
      <c r="L659" s="668" t="s">
        <v>27</v>
      </c>
      <c r="M659" s="557">
        <f t="shared" si="104"/>
        <v>0</v>
      </c>
      <c r="N659" s="453"/>
      <c r="O659" s="557">
        <f t="shared" si="105"/>
        <v>0</v>
      </c>
      <c r="P659" s="633">
        <v>1</v>
      </c>
      <c r="Q659" s="776">
        <f t="shared" si="106"/>
        <v>0</v>
      </c>
      <c r="R659" s="776">
        <f t="shared" si="107"/>
        <v>0</v>
      </c>
      <c r="S659" s="552">
        <f t="shared" si="108"/>
        <v>0</v>
      </c>
      <c r="T659" s="626">
        <f t="shared" si="101"/>
        <v>0</v>
      </c>
      <c r="U659" s="626">
        <f t="shared" si="102"/>
        <v>0</v>
      </c>
      <c r="V659" s="553">
        <f t="shared" si="103"/>
        <v>0</v>
      </c>
      <c r="W659" s="554">
        <f t="shared" si="109"/>
        <v>0</v>
      </c>
      <c r="X659" s="454" t="s">
        <v>1454</v>
      </c>
      <c r="Y659" s="631">
        <f>IF(Q659=0,0,(Q659+R659)*'1.0-Contractblad'!$L$98)</f>
        <v>0</v>
      </c>
      <c r="Z659" s="632">
        <f>IF(J659=0,0,VLOOKUP(D659,'1.1a-Jaarprijzen'!$B$70:$P$124,14,FALSE)*(K659+J659))</f>
        <v>0</v>
      </c>
    </row>
    <row r="660" spans="1:26" hidden="1">
      <c r="A660" s="558"/>
      <c r="B660" s="548"/>
      <c r="C660" s="659">
        <v>3</v>
      </c>
      <c r="D660" s="549" t="s">
        <v>1481</v>
      </c>
      <c r="E660" s="550" t="s">
        <v>502</v>
      </c>
      <c r="F660" s="551" t="s">
        <v>472</v>
      </c>
      <c r="G660" s="649" t="s">
        <v>1368</v>
      </c>
      <c r="H660" s="647" t="str">
        <f t="shared" si="100"/>
        <v>niet van toepassing</v>
      </c>
      <c r="I660" s="719" t="s">
        <v>491</v>
      </c>
      <c r="J660" s="623"/>
      <c r="K660" s="623"/>
      <c r="L660" s="668" t="s">
        <v>27</v>
      </c>
      <c r="M660" s="557">
        <f t="shared" si="104"/>
        <v>0</v>
      </c>
      <c r="N660" s="453"/>
      <c r="O660" s="557">
        <f t="shared" si="105"/>
        <v>0</v>
      </c>
      <c r="P660" s="633">
        <v>1</v>
      </c>
      <c r="Q660" s="776">
        <f t="shared" si="106"/>
        <v>0</v>
      </c>
      <c r="R660" s="776">
        <f t="shared" si="107"/>
        <v>0</v>
      </c>
      <c r="S660" s="552">
        <f t="shared" si="108"/>
        <v>0</v>
      </c>
      <c r="T660" s="626">
        <f t="shared" si="101"/>
        <v>0</v>
      </c>
      <c r="U660" s="626">
        <f t="shared" si="102"/>
        <v>0</v>
      </c>
      <c r="V660" s="553">
        <f t="shared" si="103"/>
        <v>0</v>
      </c>
      <c r="W660" s="554">
        <f t="shared" si="109"/>
        <v>0</v>
      </c>
      <c r="X660" s="454" t="s">
        <v>1454</v>
      </c>
      <c r="Y660" s="631">
        <f>IF(Q660=0,0,(Q660+R660)*'1.0-Contractblad'!$L$98)</f>
        <v>0</v>
      </c>
      <c r="Z660" s="632">
        <f>IF(J660=0,0,VLOOKUP(D660,'1.1a-Jaarprijzen'!$B$70:$P$124,14,FALSE)*(K660+J660))</f>
        <v>0</v>
      </c>
    </row>
    <row r="661" spans="1:26" hidden="1">
      <c r="A661" s="558"/>
      <c r="B661" s="548"/>
      <c r="C661" s="659">
        <v>3</v>
      </c>
      <c r="D661" s="549" t="s">
        <v>1481</v>
      </c>
      <c r="E661" s="550" t="s">
        <v>502</v>
      </c>
      <c r="F661" s="551" t="s">
        <v>473</v>
      </c>
      <c r="G661" s="649" t="s">
        <v>1368</v>
      </c>
      <c r="H661" s="647" t="str">
        <f t="shared" si="100"/>
        <v>niet van toepassing</v>
      </c>
      <c r="I661" s="719" t="s">
        <v>491</v>
      </c>
      <c r="J661" s="623"/>
      <c r="K661" s="623"/>
      <c r="L661" s="668" t="s">
        <v>27</v>
      </c>
      <c r="M661" s="557">
        <f t="shared" si="104"/>
        <v>0</v>
      </c>
      <c r="N661" s="453"/>
      <c r="O661" s="557">
        <f t="shared" si="105"/>
        <v>0</v>
      </c>
      <c r="P661" s="633">
        <v>1</v>
      </c>
      <c r="Q661" s="776">
        <f t="shared" si="106"/>
        <v>0</v>
      </c>
      <c r="R661" s="776">
        <f t="shared" si="107"/>
        <v>0</v>
      </c>
      <c r="S661" s="552">
        <f t="shared" si="108"/>
        <v>0</v>
      </c>
      <c r="T661" s="626">
        <f t="shared" si="101"/>
        <v>0</v>
      </c>
      <c r="U661" s="626">
        <f t="shared" si="102"/>
        <v>0</v>
      </c>
      <c r="V661" s="553">
        <f t="shared" si="103"/>
        <v>0</v>
      </c>
      <c r="W661" s="554">
        <f t="shared" si="109"/>
        <v>0</v>
      </c>
      <c r="X661" s="454" t="s">
        <v>1454</v>
      </c>
      <c r="Y661" s="631">
        <f>IF(Q661=0,0,(Q661+R661)*'1.0-Contractblad'!$L$98)</f>
        <v>0</v>
      </c>
      <c r="Z661" s="632">
        <f>IF(J661=0,0,VLOOKUP(D661,'1.1a-Jaarprijzen'!$B$70:$P$124,14,FALSE)*(K661+J661))</f>
        <v>0</v>
      </c>
    </row>
    <row r="662" spans="1:26" hidden="1">
      <c r="A662" s="558"/>
      <c r="B662" s="548"/>
      <c r="C662" s="659">
        <v>3</v>
      </c>
      <c r="D662" s="549" t="s">
        <v>1481</v>
      </c>
      <c r="E662" s="550" t="s">
        <v>502</v>
      </c>
      <c r="F662" s="551" t="s">
        <v>1099</v>
      </c>
      <c r="G662" s="649" t="s">
        <v>1368</v>
      </c>
      <c r="H662" s="647" t="str">
        <f t="shared" si="100"/>
        <v>niet van toepassing</v>
      </c>
      <c r="I662" s="719" t="s">
        <v>491</v>
      </c>
      <c r="J662" s="623"/>
      <c r="K662" s="623"/>
      <c r="L662" s="668" t="s">
        <v>27</v>
      </c>
      <c r="M662" s="557">
        <f t="shared" si="104"/>
        <v>0</v>
      </c>
      <c r="N662" s="453"/>
      <c r="O662" s="557">
        <f t="shared" si="105"/>
        <v>0</v>
      </c>
      <c r="P662" s="633">
        <v>1</v>
      </c>
      <c r="Q662" s="776">
        <f t="shared" si="106"/>
        <v>0</v>
      </c>
      <c r="R662" s="776">
        <f t="shared" si="107"/>
        <v>0</v>
      </c>
      <c r="S662" s="552">
        <f t="shared" si="108"/>
        <v>0</v>
      </c>
      <c r="T662" s="626">
        <f t="shared" si="101"/>
        <v>0</v>
      </c>
      <c r="U662" s="626">
        <f t="shared" si="102"/>
        <v>0</v>
      </c>
      <c r="V662" s="553">
        <f t="shared" si="103"/>
        <v>0</v>
      </c>
      <c r="W662" s="554">
        <f t="shared" si="109"/>
        <v>0</v>
      </c>
      <c r="X662" s="454" t="s">
        <v>1454</v>
      </c>
      <c r="Y662" s="631">
        <f>IF(Q662=0,0,(Q662+R662)*'1.0-Contractblad'!$L$98)</f>
        <v>0</v>
      </c>
      <c r="Z662" s="632">
        <f>IF(J662=0,0,VLOOKUP(D662,'1.1a-Jaarprijzen'!$B$70:$P$124,14,FALSE)*(K662+J662))</f>
        <v>0</v>
      </c>
    </row>
    <row r="663" spans="1:26" hidden="1">
      <c r="A663" s="558"/>
      <c r="B663" s="548"/>
      <c r="C663" s="659">
        <v>3</v>
      </c>
      <c r="D663" s="549" t="s">
        <v>1481</v>
      </c>
      <c r="E663" s="550" t="s">
        <v>502</v>
      </c>
      <c r="F663" s="551" t="s">
        <v>474</v>
      </c>
      <c r="G663" s="649" t="s">
        <v>1368</v>
      </c>
      <c r="H663" s="647" t="str">
        <f t="shared" si="100"/>
        <v>niet van toepassing</v>
      </c>
      <c r="I663" s="719" t="s">
        <v>491</v>
      </c>
      <c r="J663" s="623"/>
      <c r="K663" s="623"/>
      <c r="L663" s="668" t="s">
        <v>27</v>
      </c>
      <c r="M663" s="557">
        <f t="shared" si="104"/>
        <v>0</v>
      </c>
      <c r="N663" s="453"/>
      <c r="O663" s="557">
        <f t="shared" si="105"/>
        <v>0</v>
      </c>
      <c r="P663" s="633">
        <v>1</v>
      </c>
      <c r="Q663" s="776">
        <f t="shared" si="106"/>
        <v>0</v>
      </c>
      <c r="R663" s="776">
        <f t="shared" si="107"/>
        <v>0</v>
      </c>
      <c r="S663" s="552">
        <f t="shared" si="108"/>
        <v>0</v>
      </c>
      <c r="T663" s="626">
        <f t="shared" si="101"/>
        <v>0</v>
      </c>
      <c r="U663" s="626">
        <f t="shared" si="102"/>
        <v>0</v>
      </c>
      <c r="V663" s="553">
        <f t="shared" si="103"/>
        <v>0</v>
      </c>
      <c r="W663" s="554">
        <f t="shared" si="109"/>
        <v>0</v>
      </c>
      <c r="X663" s="454" t="s">
        <v>1454</v>
      </c>
      <c r="Y663" s="631">
        <f>IF(Q663=0,0,(Q663+R663)*'1.0-Contractblad'!$L$98)</f>
        <v>0</v>
      </c>
      <c r="Z663" s="632">
        <f>IF(J663=0,0,VLOOKUP(D663,'1.1a-Jaarprijzen'!$B$70:$P$124,14,FALSE)*(K663+J663))</f>
        <v>0</v>
      </c>
    </row>
    <row r="664" spans="1:26" hidden="1">
      <c r="A664" s="558"/>
      <c r="B664" s="548"/>
      <c r="C664" s="659">
        <v>3</v>
      </c>
      <c r="D664" s="549" t="s">
        <v>1481</v>
      </c>
      <c r="E664" s="550" t="s">
        <v>502</v>
      </c>
      <c r="F664" s="551" t="s">
        <v>1100</v>
      </c>
      <c r="G664" s="649" t="s">
        <v>1368</v>
      </c>
      <c r="H664" s="647" t="str">
        <f t="shared" si="100"/>
        <v>niet van toepassing</v>
      </c>
      <c r="I664" s="719" t="s">
        <v>491</v>
      </c>
      <c r="J664" s="650"/>
      <c r="K664" s="623"/>
      <c r="L664" s="668" t="s">
        <v>27</v>
      </c>
      <c r="M664" s="557">
        <f t="shared" si="104"/>
        <v>0</v>
      </c>
      <c r="N664" s="453"/>
      <c r="O664" s="557">
        <f t="shared" si="105"/>
        <v>0</v>
      </c>
      <c r="P664" s="633">
        <v>1</v>
      </c>
      <c r="Q664" s="776">
        <f t="shared" si="106"/>
        <v>0</v>
      </c>
      <c r="R664" s="776">
        <f t="shared" si="107"/>
        <v>0</v>
      </c>
      <c r="S664" s="552">
        <f t="shared" si="108"/>
        <v>0</v>
      </c>
      <c r="T664" s="626">
        <f t="shared" si="101"/>
        <v>0</v>
      </c>
      <c r="U664" s="626">
        <f t="shared" si="102"/>
        <v>0</v>
      </c>
      <c r="V664" s="553">
        <f t="shared" si="103"/>
        <v>0</v>
      </c>
      <c r="W664" s="554">
        <f t="shared" si="109"/>
        <v>0</v>
      </c>
      <c r="X664" s="454" t="s">
        <v>1454</v>
      </c>
      <c r="Y664" s="631">
        <f>IF(Q664=0,0,(Q664+R664)*'1.0-Contractblad'!$L$98)</f>
        <v>0</v>
      </c>
      <c r="Z664" s="632">
        <f>IF(J664=0,0,VLOOKUP(D664,'1.1a-Jaarprijzen'!$B$70:$P$124,14,FALSE)*(K664+J664))</f>
        <v>0</v>
      </c>
    </row>
    <row r="665" spans="1:26" hidden="1">
      <c r="A665" s="558"/>
      <c r="B665" s="548"/>
      <c r="C665" s="659">
        <v>3</v>
      </c>
      <c r="D665" s="549" t="s">
        <v>1481</v>
      </c>
      <c r="E665" s="550" t="s">
        <v>502</v>
      </c>
      <c r="F665" s="551" t="s">
        <v>1101</v>
      </c>
      <c r="G665" s="649" t="s">
        <v>1368</v>
      </c>
      <c r="H665" s="647" t="str">
        <f t="shared" si="100"/>
        <v>niet van toepassing</v>
      </c>
      <c r="I665" s="719" t="s">
        <v>491</v>
      </c>
      <c r="J665" s="650"/>
      <c r="K665" s="623"/>
      <c r="L665" s="668" t="s">
        <v>27</v>
      </c>
      <c r="M665" s="557">
        <f t="shared" si="104"/>
        <v>0</v>
      </c>
      <c r="N665" s="453"/>
      <c r="O665" s="557">
        <f t="shared" si="105"/>
        <v>0</v>
      </c>
      <c r="P665" s="633">
        <v>1</v>
      </c>
      <c r="Q665" s="776">
        <f t="shared" si="106"/>
        <v>0</v>
      </c>
      <c r="R665" s="776">
        <f t="shared" si="107"/>
        <v>0</v>
      </c>
      <c r="S665" s="552">
        <f t="shared" si="108"/>
        <v>0</v>
      </c>
      <c r="T665" s="626">
        <f t="shared" si="101"/>
        <v>0</v>
      </c>
      <c r="U665" s="626">
        <f t="shared" si="102"/>
        <v>0</v>
      </c>
      <c r="V665" s="553">
        <f t="shared" si="103"/>
        <v>0</v>
      </c>
      <c r="W665" s="554">
        <f t="shared" si="109"/>
        <v>0</v>
      </c>
      <c r="X665" s="454" t="s">
        <v>1454</v>
      </c>
      <c r="Y665" s="631">
        <f>IF(Q665=0,0,(Q665+R665)*'1.0-Contractblad'!$L$98)</f>
        <v>0</v>
      </c>
      <c r="Z665" s="632">
        <f>IF(J665=0,0,VLOOKUP(D665,'1.1a-Jaarprijzen'!$B$70:$P$124,14,FALSE)*(K665+J665))</f>
        <v>0</v>
      </c>
    </row>
    <row r="666" spans="1:26" hidden="1">
      <c r="A666" s="558"/>
      <c r="B666" s="548"/>
      <c r="C666" s="659">
        <v>3</v>
      </c>
      <c r="D666" s="549" t="s">
        <v>1481</v>
      </c>
      <c r="E666" s="550" t="s">
        <v>502</v>
      </c>
      <c r="F666" s="551" t="s">
        <v>1102</v>
      </c>
      <c r="G666" s="649" t="s">
        <v>1303</v>
      </c>
      <c r="H666" s="647" t="str">
        <f t="shared" si="100"/>
        <v>niet van toepassing</v>
      </c>
      <c r="I666" s="719"/>
      <c r="J666" s="650"/>
      <c r="K666" s="650">
        <v>3.4</v>
      </c>
      <c r="L666" s="668" t="s">
        <v>27</v>
      </c>
      <c r="M666" s="557">
        <f t="shared" si="104"/>
        <v>0</v>
      </c>
      <c r="N666" s="453"/>
      <c r="O666" s="557">
        <f t="shared" si="105"/>
        <v>0</v>
      </c>
      <c r="P666" s="633">
        <v>1</v>
      </c>
      <c r="Q666" s="776">
        <f t="shared" si="106"/>
        <v>0</v>
      </c>
      <c r="R666" s="776">
        <f t="shared" si="107"/>
        <v>0</v>
      </c>
      <c r="S666" s="552">
        <f t="shared" si="108"/>
        <v>0</v>
      </c>
      <c r="T666" s="626">
        <f t="shared" si="101"/>
        <v>0</v>
      </c>
      <c r="U666" s="626">
        <f t="shared" si="102"/>
        <v>0</v>
      </c>
      <c r="V666" s="553">
        <f t="shared" si="103"/>
        <v>0</v>
      </c>
      <c r="W666" s="554">
        <f t="shared" si="109"/>
        <v>0</v>
      </c>
      <c r="X666" s="454" t="s">
        <v>1454</v>
      </c>
      <c r="Y666" s="631">
        <f>IF(Q666=0,0,(Q666+R666)*'1.0-Contractblad'!$L$98)</f>
        <v>0</v>
      </c>
      <c r="Z666" s="632">
        <f>IF(J666=0,0,VLOOKUP(D666,'1.1a-Jaarprijzen'!$B$70:$P$124,14,FALSE)*(K666+J666))</f>
        <v>0</v>
      </c>
    </row>
    <row r="667" spans="1:26" hidden="1">
      <c r="A667" s="558"/>
      <c r="B667" s="548"/>
      <c r="C667" s="659">
        <v>3</v>
      </c>
      <c r="D667" s="549" t="s">
        <v>1481</v>
      </c>
      <c r="E667" s="550" t="s">
        <v>502</v>
      </c>
      <c r="F667" s="551" t="s">
        <v>1103</v>
      </c>
      <c r="G667" s="649" t="s">
        <v>488</v>
      </c>
      <c r="H667" s="647" t="str">
        <f t="shared" si="100"/>
        <v>sanitaire ruimte (toilet-/doucheruimte)</v>
      </c>
      <c r="I667" s="719" t="s">
        <v>492</v>
      </c>
      <c r="J667" s="650">
        <v>0.8</v>
      </c>
      <c r="K667" s="623"/>
      <c r="L667" s="559">
        <v>4153</v>
      </c>
      <c r="M667" s="557">
        <f t="shared" si="104"/>
        <v>104</v>
      </c>
      <c r="N667" s="453"/>
      <c r="O667" s="557">
        <f t="shared" si="105"/>
        <v>153</v>
      </c>
      <c r="P667" s="633">
        <v>1</v>
      </c>
      <c r="Q667" s="776">
        <f t="shared" si="106"/>
        <v>0</v>
      </c>
      <c r="R667" s="776">
        <f t="shared" si="107"/>
        <v>0</v>
      </c>
      <c r="S667" s="552">
        <f t="shared" si="108"/>
        <v>0</v>
      </c>
      <c r="T667" s="626">
        <f t="shared" si="101"/>
        <v>0</v>
      </c>
      <c r="U667" s="626">
        <f t="shared" si="102"/>
        <v>0</v>
      </c>
      <c r="V667" s="553">
        <f t="shared" si="103"/>
        <v>0</v>
      </c>
      <c r="W667" s="554" t="str">
        <f t="shared" si="109"/>
        <v>S</v>
      </c>
      <c r="X667" s="555"/>
      <c r="Y667" s="631">
        <f>IF(Q667=0,0,(Q667+R667)*'1.0-Contractblad'!$L$98)</f>
        <v>0</v>
      </c>
      <c r="Z667" s="632">
        <f ca="1">IF(J667=0,0,VLOOKUP(D667,'1.1a-Jaarprijzen'!$B$70:$P$124,14,FALSE)*(K667+J667))</f>
        <v>0</v>
      </c>
    </row>
    <row r="668" spans="1:26" hidden="1">
      <c r="A668" s="558"/>
      <c r="B668" s="548"/>
      <c r="C668" s="659">
        <v>3</v>
      </c>
      <c r="D668" s="549" t="s">
        <v>1481</v>
      </c>
      <c r="E668" s="550" t="s">
        <v>502</v>
      </c>
      <c r="F668" s="551" t="s">
        <v>1104</v>
      </c>
      <c r="G668" s="649" t="s">
        <v>488</v>
      </c>
      <c r="H668" s="647" t="str">
        <f t="shared" si="100"/>
        <v>sanitaire ruimte (toilet-/doucheruimte)</v>
      </c>
      <c r="I668" s="719" t="s">
        <v>492</v>
      </c>
      <c r="J668" s="650">
        <v>0.8</v>
      </c>
      <c r="K668" s="623"/>
      <c r="L668" s="559">
        <v>4153</v>
      </c>
      <c r="M668" s="557">
        <f t="shared" si="104"/>
        <v>104</v>
      </c>
      <c r="N668" s="453"/>
      <c r="O668" s="557">
        <f t="shared" si="105"/>
        <v>153</v>
      </c>
      <c r="P668" s="633">
        <v>1</v>
      </c>
      <c r="Q668" s="776">
        <f t="shared" si="106"/>
        <v>0</v>
      </c>
      <c r="R668" s="776">
        <f t="shared" si="107"/>
        <v>0</v>
      </c>
      <c r="S668" s="552">
        <f t="shared" si="108"/>
        <v>0</v>
      </c>
      <c r="T668" s="626">
        <f t="shared" si="101"/>
        <v>0</v>
      </c>
      <c r="U668" s="626">
        <f t="shared" si="102"/>
        <v>0</v>
      </c>
      <c r="V668" s="553">
        <f t="shared" si="103"/>
        <v>0</v>
      </c>
      <c r="W668" s="554" t="str">
        <f t="shared" si="109"/>
        <v>S</v>
      </c>
      <c r="X668" s="555"/>
      <c r="Y668" s="631">
        <f>IF(Q668=0,0,(Q668+R668)*'1.0-Contractblad'!$L$98)</f>
        <v>0</v>
      </c>
      <c r="Z668" s="632">
        <f ca="1">IF(J668=0,0,VLOOKUP(D668,'1.1a-Jaarprijzen'!$B$70:$P$124,14,FALSE)*(K668+J668))</f>
        <v>0</v>
      </c>
    </row>
    <row r="669" spans="1:26" hidden="1">
      <c r="A669" s="558"/>
      <c r="B669" s="548"/>
      <c r="C669" s="659">
        <v>3</v>
      </c>
      <c r="D669" s="549" t="s">
        <v>1481</v>
      </c>
      <c r="E669" s="550" t="s">
        <v>502</v>
      </c>
      <c r="F669" s="551" t="s">
        <v>1105</v>
      </c>
      <c r="G669" s="649" t="s">
        <v>501</v>
      </c>
      <c r="H669" s="647" t="str">
        <f t="shared" si="100"/>
        <v>sanitaire ruimte (toilet-/doucheruimte)</v>
      </c>
      <c r="I669" s="719" t="s">
        <v>492</v>
      </c>
      <c r="J669" s="650">
        <v>2.1</v>
      </c>
      <c r="K669" s="623"/>
      <c r="L669" s="559">
        <v>4153</v>
      </c>
      <c r="M669" s="557">
        <f t="shared" si="104"/>
        <v>104</v>
      </c>
      <c r="N669" s="453"/>
      <c r="O669" s="557">
        <f t="shared" si="105"/>
        <v>153</v>
      </c>
      <c r="P669" s="633">
        <v>1</v>
      </c>
      <c r="Q669" s="776">
        <f t="shared" si="106"/>
        <v>0</v>
      </c>
      <c r="R669" s="776">
        <f t="shared" si="107"/>
        <v>0</v>
      </c>
      <c r="S669" s="552">
        <f t="shared" si="108"/>
        <v>0</v>
      </c>
      <c r="T669" s="626">
        <f t="shared" si="101"/>
        <v>0</v>
      </c>
      <c r="U669" s="626">
        <f t="shared" si="102"/>
        <v>0</v>
      </c>
      <c r="V669" s="553">
        <f t="shared" si="103"/>
        <v>0</v>
      </c>
      <c r="W669" s="554" t="str">
        <f t="shared" si="109"/>
        <v>S</v>
      </c>
      <c r="X669" s="555"/>
      <c r="Y669" s="631">
        <f>IF(Q669=0,0,(Q669+R669)*'1.0-Contractblad'!$L$98)</f>
        <v>0</v>
      </c>
      <c r="Z669" s="632">
        <f ca="1">IF(J669=0,0,VLOOKUP(D669,'1.1a-Jaarprijzen'!$B$70:$P$124,14,FALSE)*(K669+J669))</f>
        <v>0</v>
      </c>
    </row>
    <row r="670" spans="1:26" hidden="1">
      <c r="A670" s="558"/>
      <c r="B670" s="548"/>
      <c r="C670" s="659">
        <v>3</v>
      </c>
      <c r="D670" s="549" t="s">
        <v>1481</v>
      </c>
      <c r="E670" s="550" t="s">
        <v>502</v>
      </c>
      <c r="F670" s="551" t="s">
        <v>1106</v>
      </c>
      <c r="G670" s="649" t="s">
        <v>1344</v>
      </c>
      <c r="H670" s="647" t="str">
        <f t="shared" si="100"/>
        <v>niet van toepassing</v>
      </c>
      <c r="I670" s="719" t="s">
        <v>499</v>
      </c>
      <c r="J670" s="650"/>
      <c r="K670" s="650">
        <v>13.6</v>
      </c>
      <c r="L670" s="668" t="s">
        <v>27</v>
      </c>
      <c r="M670" s="557">
        <f t="shared" si="104"/>
        <v>0</v>
      </c>
      <c r="N670" s="453"/>
      <c r="O670" s="557">
        <f t="shared" si="105"/>
        <v>0</v>
      </c>
      <c r="P670" s="633">
        <v>1</v>
      </c>
      <c r="Q670" s="776">
        <f t="shared" si="106"/>
        <v>0</v>
      </c>
      <c r="R670" s="776">
        <f t="shared" si="107"/>
        <v>0</v>
      </c>
      <c r="S670" s="552">
        <f t="shared" si="108"/>
        <v>0</v>
      </c>
      <c r="T670" s="626">
        <f t="shared" si="101"/>
        <v>0</v>
      </c>
      <c r="U670" s="626">
        <f t="shared" si="102"/>
        <v>0</v>
      </c>
      <c r="V670" s="553">
        <f t="shared" si="103"/>
        <v>0</v>
      </c>
      <c r="W670" s="554">
        <f t="shared" si="109"/>
        <v>0</v>
      </c>
      <c r="X670" s="454" t="s">
        <v>1454</v>
      </c>
      <c r="Y670" s="631">
        <f>IF(Q670=0,0,(Q670+R670)*'1.0-Contractblad'!$L$98)</f>
        <v>0</v>
      </c>
      <c r="Z670" s="632">
        <f>IF(J670=0,0,VLOOKUP(D670,'1.1a-Jaarprijzen'!$B$70:$P$124,14,FALSE)*(K670+J670))</f>
        <v>0</v>
      </c>
    </row>
    <row r="671" spans="1:26" hidden="1">
      <c r="A671" s="558"/>
      <c r="B671" s="548"/>
      <c r="C671" s="659">
        <v>3</v>
      </c>
      <c r="D671" s="549" t="s">
        <v>1481</v>
      </c>
      <c r="E671" s="550" t="s">
        <v>502</v>
      </c>
      <c r="F671" s="551" t="s">
        <v>1107</v>
      </c>
      <c r="G671" s="649" t="s">
        <v>306</v>
      </c>
      <c r="H671" s="647" t="str">
        <f t="shared" si="100"/>
        <v>niet van toepassing</v>
      </c>
      <c r="I671" s="719" t="s">
        <v>499</v>
      </c>
      <c r="J671" s="650"/>
      <c r="K671" s="650">
        <v>25.5</v>
      </c>
      <c r="L671" s="668" t="s">
        <v>27</v>
      </c>
      <c r="M671" s="557">
        <f t="shared" si="104"/>
        <v>0</v>
      </c>
      <c r="N671" s="453"/>
      <c r="O671" s="557">
        <f t="shared" si="105"/>
        <v>0</v>
      </c>
      <c r="P671" s="633">
        <v>1</v>
      </c>
      <c r="Q671" s="776">
        <f t="shared" si="106"/>
        <v>0</v>
      </c>
      <c r="R671" s="776">
        <f t="shared" si="107"/>
        <v>0</v>
      </c>
      <c r="S671" s="552">
        <f t="shared" si="108"/>
        <v>0</v>
      </c>
      <c r="T671" s="626">
        <f t="shared" si="101"/>
        <v>0</v>
      </c>
      <c r="U671" s="626">
        <f t="shared" si="102"/>
        <v>0</v>
      </c>
      <c r="V671" s="553">
        <f t="shared" si="103"/>
        <v>0</v>
      </c>
      <c r="W671" s="554">
        <f t="shared" si="109"/>
        <v>0</v>
      </c>
      <c r="X671" s="454" t="s">
        <v>1454</v>
      </c>
      <c r="Y671" s="631">
        <f>IF(Q671=0,0,(Q671+R671)*'1.0-Contractblad'!$L$98)</f>
        <v>0</v>
      </c>
      <c r="Z671" s="632">
        <f>IF(J671=0,0,VLOOKUP(D671,'1.1a-Jaarprijzen'!$B$70:$P$124,14,FALSE)*(K671+J671))</f>
        <v>0</v>
      </c>
    </row>
    <row r="672" spans="1:26">
      <c r="A672" s="558"/>
      <c r="B672" s="548"/>
      <c r="C672" s="659">
        <v>3</v>
      </c>
      <c r="D672" s="549" t="s">
        <v>1481</v>
      </c>
      <c r="E672" s="550" t="s">
        <v>502</v>
      </c>
      <c r="F672" s="551" t="s">
        <v>1108</v>
      </c>
      <c r="G672" s="649" t="s">
        <v>1330</v>
      </c>
      <c r="H672" s="647" t="str">
        <f t="shared" si="100"/>
        <v>niet van toepassing</v>
      </c>
      <c r="I672" s="719" t="s">
        <v>499</v>
      </c>
      <c r="J672" s="650"/>
      <c r="K672" s="650">
        <v>16</v>
      </c>
      <c r="L672" s="668" t="s">
        <v>27</v>
      </c>
      <c r="M672" s="557">
        <f t="shared" si="104"/>
        <v>0</v>
      </c>
      <c r="N672" s="453"/>
      <c r="O672" s="557">
        <f t="shared" si="105"/>
        <v>0</v>
      </c>
      <c r="P672" s="633">
        <v>1</v>
      </c>
      <c r="Q672" s="776">
        <f t="shared" si="106"/>
        <v>0</v>
      </c>
      <c r="R672" s="776">
        <f t="shared" si="107"/>
        <v>0</v>
      </c>
      <c r="S672" s="552">
        <f t="shared" si="108"/>
        <v>0</v>
      </c>
      <c r="T672" s="626">
        <f t="shared" si="101"/>
        <v>0</v>
      </c>
      <c r="U672" s="626">
        <f t="shared" si="102"/>
        <v>0</v>
      </c>
      <c r="V672" s="553">
        <f t="shared" si="103"/>
        <v>0</v>
      </c>
      <c r="W672" s="554">
        <f t="shared" si="109"/>
        <v>0</v>
      </c>
      <c r="X672" s="454" t="s">
        <v>1454</v>
      </c>
      <c r="Y672" s="631">
        <f>IF(Q672=0,0,(Q672+R672)*'1.0-Contractblad'!$L$98)</f>
        <v>0</v>
      </c>
      <c r="Z672" s="632">
        <f>IF(J672=0,0,VLOOKUP(D672,'1.1a-Jaarprijzen'!$B$70:$P$124,14,FALSE)*(K672+J672))</f>
        <v>0</v>
      </c>
    </row>
    <row r="673" spans="1:26" hidden="1">
      <c r="A673" s="558"/>
      <c r="B673" s="548"/>
      <c r="C673" s="659">
        <v>3</v>
      </c>
      <c r="D673" s="549" t="s">
        <v>1481</v>
      </c>
      <c r="E673" s="550" t="s">
        <v>502</v>
      </c>
      <c r="F673" s="551" t="s">
        <v>1109</v>
      </c>
      <c r="G673" s="649" t="s">
        <v>501</v>
      </c>
      <c r="H673" s="647" t="str">
        <f t="shared" si="100"/>
        <v>sanitaire ruimte (toilet-/doucheruimte)</v>
      </c>
      <c r="I673" s="719" t="s">
        <v>492</v>
      </c>
      <c r="J673" s="650">
        <v>4.4000000000000004</v>
      </c>
      <c r="K673" s="623"/>
      <c r="L673" s="559">
        <v>4153</v>
      </c>
      <c r="M673" s="557">
        <f t="shared" si="104"/>
        <v>104</v>
      </c>
      <c r="N673" s="453"/>
      <c r="O673" s="557">
        <f t="shared" si="105"/>
        <v>153</v>
      </c>
      <c r="P673" s="633">
        <v>1</v>
      </c>
      <c r="Q673" s="776">
        <f t="shared" si="106"/>
        <v>0</v>
      </c>
      <c r="R673" s="776">
        <f t="shared" si="107"/>
        <v>0</v>
      </c>
      <c r="S673" s="552">
        <f t="shared" si="108"/>
        <v>0</v>
      </c>
      <c r="T673" s="626">
        <f t="shared" si="101"/>
        <v>0</v>
      </c>
      <c r="U673" s="626">
        <f t="shared" si="102"/>
        <v>0</v>
      </c>
      <c r="V673" s="553">
        <f t="shared" si="103"/>
        <v>0</v>
      </c>
      <c r="W673" s="554" t="str">
        <f t="shared" si="109"/>
        <v>S</v>
      </c>
      <c r="X673" s="555"/>
      <c r="Y673" s="631">
        <f>IF(Q673=0,0,(Q673+R673)*'1.0-Contractblad'!$L$98)</f>
        <v>0</v>
      </c>
      <c r="Z673" s="632">
        <f ca="1">IF(J673=0,0,VLOOKUP(D673,'1.1a-Jaarprijzen'!$B$70:$P$124,14,FALSE)*(K673+J673))</f>
        <v>0</v>
      </c>
    </row>
    <row r="674" spans="1:26" hidden="1">
      <c r="A674" s="558"/>
      <c r="B674" s="701"/>
      <c r="C674" s="659">
        <v>3</v>
      </c>
      <c r="D674" s="549" t="s">
        <v>1481</v>
      </c>
      <c r="E674" s="550" t="s">
        <v>502</v>
      </c>
      <c r="F674" s="551" t="s">
        <v>1110</v>
      </c>
      <c r="G674" s="649" t="s">
        <v>488</v>
      </c>
      <c r="H674" s="647" t="str">
        <f t="shared" si="100"/>
        <v>sanitaire ruimte (toilet-/doucheruimte)</v>
      </c>
      <c r="I674" s="719" t="s">
        <v>492</v>
      </c>
      <c r="J674" s="650">
        <v>0.7</v>
      </c>
      <c r="K674" s="650"/>
      <c r="L674" s="651">
        <v>4255</v>
      </c>
      <c r="M674" s="557">
        <f t="shared" si="104"/>
        <v>104</v>
      </c>
      <c r="N674" s="453"/>
      <c r="O674" s="557">
        <f t="shared" si="105"/>
        <v>255</v>
      </c>
      <c r="P674" s="633">
        <v>1</v>
      </c>
      <c r="Q674" s="776">
        <f t="shared" si="106"/>
        <v>0</v>
      </c>
      <c r="R674" s="776">
        <f t="shared" si="107"/>
        <v>0</v>
      </c>
      <c r="S674" s="552">
        <f t="shared" si="108"/>
        <v>0</v>
      </c>
      <c r="T674" s="626">
        <f t="shared" si="101"/>
        <v>0</v>
      </c>
      <c r="U674" s="626">
        <f t="shared" si="102"/>
        <v>0</v>
      </c>
      <c r="V674" s="553">
        <f t="shared" si="103"/>
        <v>0</v>
      </c>
      <c r="W674" s="554" t="str">
        <f t="shared" si="109"/>
        <v>S</v>
      </c>
      <c r="X674" s="555"/>
      <c r="Y674" s="631">
        <f>IF(Q674=0,0,(Q674+R674)*'1.0-Contractblad'!$L$98)</f>
        <v>0</v>
      </c>
      <c r="Z674" s="632">
        <f ca="1">IF(J674=0,0,VLOOKUP(D674,'1.1a-Jaarprijzen'!$B$70:$P$124,14,FALSE)*(K674+J674))</f>
        <v>0</v>
      </c>
    </row>
    <row r="675" spans="1:26" hidden="1">
      <c r="A675" s="558"/>
      <c r="B675" s="701"/>
      <c r="C675" s="659">
        <v>3</v>
      </c>
      <c r="D675" s="549" t="s">
        <v>1481</v>
      </c>
      <c r="E675" s="550" t="s">
        <v>502</v>
      </c>
      <c r="F675" s="551" t="s">
        <v>1111</v>
      </c>
      <c r="G675" s="649" t="s">
        <v>488</v>
      </c>
      <c r="H675" s="647" t="str">
        <f t="shared" si="100"/>
        <v>sanitaire ruimte (toilet-/doucheruimte)</v>
      </c>
      <c r="I675" s="719" t="s">
        <v>492</v>
      </c>
      <c r="J675" s="650">
        <v>0.7</v>
      </c>
      <c r="K675" s="650"/>
      <c r="L675" s="651">
        <v>4255</v>
      </c>
      <c r="M675" s="557">
        <f t="shared" si="104"/>
        <v>104</v>
      </c>
      <c r="N675" s="453"/>
      <c r="O675" s="557">
        <f t="shared" si="105"/>
        <v>255</v>
      </c>
      <c r="P675" s="633">
        <v>1</v>
      </c>
      <c r="Q675" s="776">
        <f t="shared" si="106"/>
        <v>0</v>
      </c>
      <c r="R675" s="776">
        <f t="shared" si="107"/>
        <v>0</v>
      </c>
      <c r="S675" s="552">
        <f t="shared" si="108"/>
        <v>0</v>
      </c>
      <c r="T675" s="626">
        <f t="shared" si="101"/>
        <v>0</v>
      </c>
      <c r="U675" s="626">
        <f t="shared" si="102"/>
        <v>0</v>
      </c>
      <c r="V675" s="553">
        <f t="shared" si="103"/>
        <v>0</v>
      </c>
      <c r="W675" s="554" t="str">
        <f t="shared" si="109"/>
        <v>S</v>
      </c>
      <c r="X675" s="555"/>
      <c r="Y675" s="631">
        <f>IF(Q675=0,0,(Q675+R675)*'1.0-Contractblad'!$L$98)</f>
        <v>0</v>
      </c>
      <c r="Z675" s="632">
        <f ca="1">IF(J675=0,0,VLOOKUP(D675,'1.1a-Jaarprijzen'!$B$70:$P$124,14,FALSE)*(K675+J675))</f>
        <v>0</v>
      </c>
    </row>
    <row r="676" spans="1:26" hidden="1">
      <c r="A676" s="558"/>
      <c r="B676" s="701"/>
      <c r="C676" s="659">
        <v>3</v>
      </c>
      <c r="D676" s="549" t="s">
        <v>1481</v>
      </c>
      <c r="E676" s="550" t="s">
        <v>502</v>
      </c>
      <c r="F676" s="551" t="s">
        <v>1112</v>
      </c>
      <c r="G676" s="649" t="s">
        <v>489</v>
      </c>
      <c r="H676" s="647" t="str">
        <f t="shared" si="100"/>
        <v>sanitaire ruimte (toilet-/doucheruimte)</v>
      </c>
      <c r="I676" s="719" t="s">
        <v>492</v>
      </c>
      <c r="J676" s="650">
        <v>0.7</v>
      </c>
      <c r="K676" s="650"/>
      <c r="L676" s="651">
        <v>4255</v>
      </c>
      <c r="M676" s="557">
        <f t="shared" si="104"/>
        <v>104</v>
      </c>
      <c r="N676" s="453"/>
      <c r="O676" s="557">
        <f t="shared" si="105"/>
        <v>255</v>
      </c>
      <c r="P676" s="633">
        <v>1</v>
      </c>
      <c r="Q676" s="776">
        <f t="shared" si="106"/>
        <v>0</v>
      </c>
      <c r="R676" s="776">
        <f t="shared" si="107"/>
        <v>0</v>
      </c>
      <c r="S676" s="552">
        <f t="shared" si="108"/>
        <v>0</v>
      </c>
      <c r="T676" s="626">
        <f t="shared" si="101"/>
        <v>0</v>
      </c>
      <c r="U676" s="626">
        <f t="shared" si="102"/>
        <v>0</v>
      </c>
      <c r="V676" s="553">
        <f t="shared" si="103"/>
        <v>0</v>
      </c>
      <c r="W676" s="554" t="str">
        <f t="shared" si="109"/>
        <v>S</v>
      </c>
      <c r="X676" s="555"/>
      <c r="Y676" s="631">
        <f>IF(Q676=0,0,(Q676+R676)*'1.0-Contractblad'!$L$98)</f>
        <v>0</v>
      </c>
      <c r="Z676" s="632">
        <f ca="1">IF(J676=0,0,VLOOKUP(D676,'1.1a-Jaarprijzen'!$B$70:$P$124,14,FALSE)*(K676+J676))</f>
        <v>0</v>
      </c>
    </row>
    <row r="677" spans="1:26" hidden="1">
      <c r="A677" s="558"/>
      <c r="B677" s="701"/>
      <c r="C677" s="659">
        <v>3</v>
      </c>
      <c r="D677" s="549" t="s">
        <v>1481</v>
      </c>
      <c r="E677" s="550" t="s">
        <v>502</v>
      </c>
      <c r="F677" s="551" t="s">
        <v>1113</v>
      </c>
      <c r="G677" s="649" t="s">
        <v>489</v>
      </c>
      <c r="H677" s="647" t="str">
        <f t="shared" si="100"/>
        <v>sanitaire ruimte (toilet-/doucheruimte)</v>
      </c>
      <c r="I677" s="719" t="s">
        <v>492</v>
      </c>
      <c r="J677" s="650">
        <v>0.7</v>
      </c>
      <c r="K677" s="650"/>
      <c r="L677" s="651">
        <v>4255</v>
      </c>
      <c r="M677" s="557">
        <f t="shared" si="104"/>
        <v>104</v>
      </c>
      <c r="N677" s="453"/>
      <c r="O677" s="557">
        <f t="shared" si="105"/>
        <v>255</v>
      </c>
      <c r="P677" s="633">
        <v>1</v>
      </c>
      <c r="Q677" s="776">
        <f t="shared" si="106"/>
        <v>0</v>
      </c>
      <c r="R677" s="776">
        <f t="shared" si="107"/>
        <v>0</v>
      </c>
      <c r="S677" s="552">
        <f t="shared" si="108"/>
        <v>0</v>
      </c>
      <c r="T677" s="626">
        <f t="shared" si="101"/>
        <v>0</v>
      </c>
      <c r="U677" s="626">
        <f t="shared" si="102"/>
        <v>0</v>
      </c>
      <c r="V677" s="553">
        <f t="shared" si="103"/>
        <v>0</v>
      </c>
      <c r="W677" s="554" t="str">
        <f t="shared" si="109"/>
        <v>S</v>
      </c>
      <c r="X677" s="555"/>
      <c r="Y677" s="631">
        <f>IF(Q677=0,0,(Q677+R677)*'1.0-Contractblad'!$L$98)</f>
        <v>0</v>
      </c>
      <c r="Z677" s="632">
        <f ca="1">IF(J677=0,0,VLOOKUP(D677,'1.1a-Jaarprijzen'!$B$70:$P$124,14,FALSE)*(K677+J677))</f>
        <v>0</v>
      </c>
    </row>
    <row r="678" spans="1:26" hidden="1">
      <c r="A678" s="558"/>
      <c r="B678" s="701"/>
      <c r="C678" s="659">
        <v>3</v>
      </c>
      <c r="D678" s="549" t="s">
        <v>1481</v>
      </c>
      <c r="E678" s="550" t="s">
        <v>502</v>
      </c>
      <c r="F678" s="551" t="s">
        <v>1114</v>
      </c>
      <c r="G678" s="649" t="s">
        <v>489</v>
      </c>
      <c r="H678" s="647" t="str">
        <f t="shared" si="100"/>
        <v>sanitaire ruimte (toilet-/doucheruimte)</v>
      </c>
      <c r="I678" s="719" t="s">
        <v>492</v>
      </c>
      <c r="J678" s="650">
        <v>0.7</v>
      </c>
      <c r="K678" s="650"/>
      <c r="L678" s="651">
        <v>4255</v>
      </c>
      <c r="M678" s="557">
        <f t="shared" si="104"/>
        <v>104</v>
      </c>
      <c r="N678" s="453"/>
      <c r="O678" s="557">
        <f t="shared" si="105"/>
        <v>255</v>
      </c>
      <c r="P678" s="633">
        <v>1</v>
      </c>
      <c r="Q678" s="776">
        <f t="shared" si="106"/>
        <v>0</v>
      </c>
      <c r="R678" s="776">
        <f t="shared" si="107"/>
        <v>0</v>
      </c>
      <c r="S678" s="552">
        <f t="shared" si="108"/>
        <v>0</v>
      </c>
      <c r="T678" s="626">
        <f t="shared" si="101"/>
        <v>0</v>
      </c>
      <c r="U678" s="626">
        <f t="shared" si="102"/>
        <v>0</v>
      </c>
      <c r="V678" s="553">
        <f t="shared" si="103"/>
        <v>0</v>
      </c>
      <c r="W678" s="554" t="str">
        <f t="shared" si="109"/>
        <v>S</v>
      </c>
      <c r="X678" s="555"/>
      <c r="Y678" s="631">
        <f>IF(Q678=0,0,(Q678+R678)*'1.0-Contractblad'!$L$98)</f>
        <v>0</v>
      </c>
      <c r="Z678" s="632">
        <f ca="1">IF(J678=0,0,VLOOKUP(D678,'1.1a-Jaarprijzen'!$B$70:$P$124,14,FALSE)*(K678+J678))</f>
        <v>0</v>
      </c>
    </row>
    <row r="679" spans="1:26" hidden="1">
      <c r="A679" s="558"/>
      <c r="B679" s="548"/>
      <c r="C679" s="659">
        <v>3</v>
      </c>
      <c r="D679" s="549" t="s">
        <v>1481</v>
      </c>
      <c r="E679" s="550" t="s">
        <v>502</v>
      </c>
      <c r="F679" s="551" t="s">
        <v>1115</v>
      </c>
      <c r="G679" s="649" t="s">
        <v>1365</v>
      </c>
      <c r="H679" s="647" t="str">
        <f t="shared" si="100"/>
        <v>entree, gang, hal, repro, kopieer, was/droogruimte</v>
      </c>
      <c r="I679" s="719" t="s">
        <v>491</v>
      </c>
      <c r="J679" s="650">
        <v>0.3</v>
      </c>
      <c r="K679" s="623"/>
      <c r="L679" s="651">
        <v>3153</v>
      </c>
      <c r="M679" s="557">
        <f t="shared" si="104"/>
        <v>103</v>
      </c>
      <c r="N679" s="453"/>
      <c r="O679" s="557">
        <f t="shared" si="105"/>
        <v>153</v>
      </c>
      <c r="P679" s="633">
        <v>1</v>
      </c>
      <c r="Q679" s="776">
        <f t="shared" si="106"/>
        <v>0</v>
      </c>
      <c r="R679" s="776">
        <f t="shared" si="107"/>
        <v>0</v>
      </c>
      <c r="S679" s="552">
        <f t="shared" si="108"/>
        <v>0</v>
      </c>
      <c r="T679" s="626">
        <f t="shared" si="101"/>
        <v>0</v>
      </c>
      <c r="U679" s="626">
        <f t="shared" si="102"/>
        <v>0</v>
      </c>
      <c r="V679" s="553">
        <f t="shared" si="103"/>
        <v>0</v>
      </c>
      <c r="W679" s="554" t="str">
        <f t="shared" si="109"/>
        <v>V</v>
      </c>
      <c r="X679" s="555"/>
      <c r="Y679" s="631">
        <f>IF(Q679=0,0,(Q679+R679)*'1.0-Contractblad'!$L$98)</f>
        <v>0</v>
      </c>
      <c r="Z679" s="632">
        <f ca="1">IF(J679=0,0,VLOOKUP(D679,'1.1a-Jaarprijzen'!$B$70:$P$124,14,FALSE)*(K679+J679))</f>
        <v>0</v>
      </c>
    </row>
    <row r="680" spans="1:26" hidden="1">
      <c r="A680" s="558"/>
      <c r="B680" s="548"/>
      <c r="C680" s="659">
        <v>3</v>
      </c>
      <c r="D680" s="549" t="s">
        <v>1481</v>
      </c>
      <c r="E680" s="550" t="s">
        <v>478</v>
      </c>
      <c r="F680" s="551" t="s">
        <v>1116</v>
      </c>
      <c r="G680" s="649" t="s">
        <v>488</v>
      </c>
      <c r="H680" s="647" t="str">
        <f t="shared" si="100"/>
        <v>sanitaire ruimte (toilet-/doucheruimte)</v>
      </c>
      <c r="I680" s="719" t="s">
        <v>492</v>
      </c>
      <c r="J680" s="650">
        <v>0.9</v>
      </c>
      <c r="K680" s="623"/>
      <c r="L680" s="559">
        <v>4102</v>
      </c>
      <c r="M680" s="557">
        <f t="shared" si="104"/>
        <v>104</v>
      </c>
      <c r="N680" s="453"/>
      <c r="O680" s="557">
        <f t="shared" si="105"/>
        <v>102</v>
      </c>
      <c r="P680" s="633">
        <v>1</v>
      </c>
      <c r="Q680" s="776">
        <f t="shared" si="106"/>
        <v>0</v>
      </c>
      <c r="R680" s="776">
        <f t="shared" si="107"/>
        <v>0</v>
      </c>
      <c r="S680" s="552">
        <f t="shared" si="108"/>
        <v>0</v>
      </c>
      <c r="T680" s="626">
        <f t="shared" si="101"/>
        <v>0</v>
      </c>
      <c r="U680" s="626">
        <f t="shared" si="102"/>
        <v>0</v>
      </c>
      <c r="V680" s="553">
        <f t="shared" si="103"/>
        <v>0</v>
      </c>
      <c r="W680" s="554" t="str">
        <f t="shared" si="109"/>
        <v>S</v>
      </c>
      <c r="X680" s="555"/>
      <c r="Y680" s="631">
        <f>IF(Q680=0,0,(Q680+R680)*'1.0-Contractblad'!$L$98)</f>
        <v>0</v>
      </c>
      <c r="Z680" s="632">
        <f ca="1">IF(J680=0,0,VLOOKUP(D680,'1.1a-Jaarprijzen'!$B$70:$P$124,14,FALSE)*(K680+J680))</f>
        <v>0</v>
      </c>
    </row>
    <row r="681" spans="1:26" hidden="1">
      <c r="A681" s="558"/>
      <c r="B681" s="548"/>
      <c r="C681" s="659">
        <v>3</v>
      </c>
      <c r="D681" s="549" t="s">
        <v>1481</v>
      </c>
      <c r="E681" s="550" t="s">
        <v>478</v>
      </c>
      <c r="F681" s="551" t="s">
        <v>1117</v>
      </c>
      <c r="G681" s="649" t="s">
        <v>487</v>
      </c>
      <c r="H681" s="647" t="str">
        <f t="shared" si="100"/>
        <v>niet van toepassing</v>
      </c>
      <c r="I681" s="719" t="s">
        <v>499</v>
      </c>
      <c r="J681" s="650">
        <v>0</v>
      </c>
      <c r="K681" s="623"/>
      <c r="L681" s="668" t="s">
        <v>27</v>
      </c>
      <c r="M681" s="557">
        <f t="shared" si="104"/>
        <v>0</v>
      </c>
      <c r="N681" s="453"/>
      <c r="O681" s="557">
        <f t="shared" si="105"/>
        <v>0</v>
      </c>
      <c r="P681" s="633">
        <v>1</v>
      </c>
      <c r="Q681" s="776">
        <f t="shared" si="106"/>
        <v>0</v>
      </c>
      <c r="R681" s="776">
        <f t="shared" si="107"/>
        <v>0</v>
      </c>
      <c r="S681" s="552">
        <f t="shared" si="108"/>
        <v>0</v>
      </c>
      <c r="T681" s="626">
        <f t="shared" si="101"/>
        <v>0</v>
      </c>
      <c r="U681" s="626">
        <f t="shared" si="102"/>
        <v>0</v>
      </c>
      <c r="V681" s="553">
        <f t="shared" si="103"/>
        <v>0</v>
      </c>
      <c r="W681" s="554">
        <f t="shared" si="109"/>
        <v>0</v>
      </c>
      <c r="X681" s="454"/>
      <c r="Y681" s="631">
        <f>IF(Q681=0,0,(Q681+R681)*'1.0-Contractblad'!$L$98)</f>
        <v>0</v>
      </c>
      <c r="Z681" s="632">
        <f>IF(J681=0,0,VLOOKUP(D681,'1.1a-Jaarprijzen'!$B$70:$P$124,14,FALSE)*(K681+J681))</f>
        <v>0</v>
      </c>
    </row>
    <row r="682" spans="1:26" hidden="1">
      <c r="A682" s="558"/>
      <c r="B682" s="701"/>
      <c r="C682" s="659">
        <v>3</v>
      </c>
      <c r="D682" s="549" t="s">
        <v>1481</v>
      </c>
      <c r="E682" s="550" t="s">
        <v>478</v>
      </c>
      <c r="F682" s="551" t="s">
        <v>1118</v>
      </c>
      <c r="G682" s="649" t="s">
        <v>1326</v>
      </c>
      <c r="H682" s="647" t="str">
        <f t="shared" si="100"/>
        <v>trappenhuis</v>
      </c>
      <c r="I682" s="719" t="s">
        <v>499</v>
      </c>
      <c r="J682" s="650">
        <v>0.8</v>
      </c>
      <c r="K682" s="650"/>
      <c r="L682" s="651">
        <v>9153</v>
      </c>
      <c r="M682" s="557">
        <f t="shared" si="104"/>
        <v>109</v>
      </c>
      <c r="N682" s="453"/>
      <c r="O682" s="557">
        <f t="shared" si="105"/>
        <v>153</v>
      </c>
      <c r="P682" s="633">
        <v>1</v>
      </c>
      <c r="Q682" s="776">
        <f t="shared" si="106"/>
        <v>0</v>
      </c>
      <c r="R682" s="776">
        <f t="shared" si="107"/>
        <v>0</v>
      </c>
      <c r="S682" s="552">
        <f t="shared" si="108"/>
        <v>0</v>
      </c>
      <c r="T682" s="626">
        <f t="shared" si="101"/>
        <v>0</v>
      </c>
      <c r="U682" s="626">
        <f t="shared" si="102"/>
        <v>0</v>
      </c>
      <c r="V682" s="553">
        <f t="shared" si="103"/>
        <v>0</v>
      </c>
      <c r="W682" s="554" t="str">
        <f t="shared" si="109"/>
        <v>V</v>
      </c>
      <c r="X682" s="555"/>
      <c r="Y682" s="631">
        <f>IF(Q682=0,0,(Q682+R682)*'1.0-Contractblad'!$L$98)</f>
        <v>0</v>
      </c>
      <c r="Z682" s="632">
        <f ca="1">IF(J682=0,0,VLOOKUP(D682,'1.1a-Jaarprijzen'!$B$70:$P$124,14,FALSE)*(K682+J682))</f>
        <v>0</v>
      </c>
    </row>
    <row r="683" spans="1:26" hidden="1">
      <c r="A683" s="558"/>
      <c r="B683" s="548"/>
      <c r="C683" s="659">
        <v>3</v>
      </c>
      <c r="D683" s="549" t="s">
        <v>1481</v>
      </c>
      <c r="E683" s="550" t="s">
        <v>478</v>
      </c>
      <c r="F683" s="551" t="s">
        <v>1119</v>
      </c>
      <c r="G683" s="649" t="s">
        <v>501</v>
      </c>
      <c r="H683" s="647" t="str">
        <f t="shared" si="100"/>
        <v>sanitaire ruimte (toilet-/doucheruimte)</v>
      </c>
      <c r="I683" s="719" t="s">
        <v>1407</v>
      </c>
      <c r="J683" s="650">
        <v>6.8</v>
      </c>
      <c r="K683" s="623"/>
      <c r="L683" s="559">
        <v>4102</v>
      </c>
      <c r="M683" s="557">
        <f t="shared" si="104"/>
        <v>104</v>
      </c>
      <c r="N683" s="453"/>
      <c r="O683" s="557">
        <f t="shared" si="105"/>
        <v>102</v>
      </c>
      <c r="P683" s="633">
        <v>1</v>
      </c>
      <c r="Q683" s="776">
        <f t="shared" si="106"/>
        <v>0</v>
      </c>
      <c r="R683" s="776">
        <f t="shared" si="107"/>
        <v>0</v>
      </c>
      <c r="S683" s="552">
        <f t="shared" si="108"/>
        <v>0</v>
      </c>
      <c r="T683" s="626">
        <f t="shared" si="101"/>
        <v>0</v>
      </c>
      <c r="U683" s="626">
        <f t="shared" si="102"/>
        <v>0</v>
      </c>
      <c r="V683" s="553">
        <f t="shared" si="103"/>
        <v>0</v>
      </c>
      <c r="W683" s="554" t="str">
        <f t="shared" si="109"/>
        <v>S</v>
      </c>
      <c r="X683" s="555"/>
      <c r="Y683" s="631">
        <f>IF(Q683=0,0,(Q683+R683)*'1.0-Contractblad'!$L$98)</f>
        <v>0</v>
      </c>
      <c r="Z683" s="632">
        <f ca="1">IF(J683=0,0,VLOOKUP(D683,'1.1a-Jaarprijzen'!$B$70:$P$124,14,FALSE)*(K683+J683))</f>
        <v>0</v>
      </c>
    </row>
    <row r="684" spans="1:26" hidden="1">
      <c r="A684" s="558"/>
      <c r="B684" s="548"/>
      <c r="C684" s="659">
        <v>3</v>
      </c>
      <c r="D684" s="549" t="s">
        <v>1481</v>
      </c>
      <c r="E684" s="550" t="s">
        <v>478</v>
      </c>
      <c r="F684" s="551" t="s">
        <v>1120</v>
      </c>
      <c r="G684" s="649" t="s">
        <v>488</v>
      </c>
      <c r="H684" s="647" t="str">
        <f t="shared" si="100"/>
        <v>sanitaire ruimte (toilet-/doucheruimte)</v>
      </c>
      <c r="I684" s="719" t="s">
        <v>492</v>
      </c>
      <c r="J684" s="650">
        <v>0.9</v>
      </c>
      <c r="K684" s="623"/>
      <c r="L684" s="559">
        <v>4102</v>
      </c>
      <c r="M684" s="557">
        <f t="shared" si="104"/>
        <v>104</v>
      </c>
      <c r="N684" s="453"/>
      <c r="O684" s="557">
        <f t="shared" si="105"/>
        <v>102</v>
      </c>
      <c r="P684" s="633">
        <v>1</v>
      </c>
      <c r="Q684" s="776">
        <f t="shared" si="106"/>
        <v>0</v>
      </c>
      <c r="R684" s="776">
        <f t="shared" si="107"/>
        <v>0</v>
      </c>
      <c r="S684" s="552">
        <f t="shared" si="108"/>
        <v>0</v>
      </c>
      <c r="T684" s="626">
        <f t="shared" si="101"/>
        <v>0</v>
      </c>
      <c r="U684" s="626">
        <f t="shared" si="102"/>
        <v>0</v>
      </c>
      <c r="V684" s="553">
        <f t="shared" si="103"/>
        <v>0</v>
      </c>
      <c r="W684" s="554" t="str">
        <f t="shared" si="109"/>
        <v>S</v>
      </c>
      <c r="X684" s="555"/>
      <c r="Y684" s="631">
        <f>IF(Q684=0,0,(Q684+R684)*'1.0-Contractblad'!$L$98)</f>
        <v>0</v>
      </c>
      <c r="Z684" s="632">
        <f ca="1">IF(J684=0,0,VLOOKUP(D684,'1.1a-Jaarprijzen'!$B$70:$P$124,14,FALSE)*(K684+J684))</f>
        <v>0</v>
      </c>
    </row>
    <row r="685" spans="1:26" hidden="1">
      <c r="A685" s="558"/>
      <c r="B685" s="548"/>
      <c r="C685" s="659">
        <v>3</v>
      </c>
      <c r="D685" s="549" t="s">
        <v>1481</v>
      </c>
      <c r="E685" s="550" t="s">
        <v>478</v>
      </c>
      <c r="F685" s="551" t="s">
        <v>1121</v>
      </c>
      <c r="G685" s="649" t="s">
        <v>488</v>
      </c>
      <c r="H685" s="647" t="str">
        <f t="shared" si="100"/>
        <v>sanitaire ruimte (toilet-/doucheruimte)</v>
      </c>
      <c r="I685" s="719" t="s">
        <v>492</v>
      </c>
      <c r="J685" s="650">
        <v>0.9</v>
      </c>
      <c r="K685" s="623"/>
      <c r="L685" s="559">
        <v>4102</v>
      </c>
      <c r="M685" s="557">
        <f t="shared" si="104"/>
        <v>104</v>
      </c>
      <c r="N685" s="453"/>
      <c r="O685" s="557">
        <f t="shared" si="105"/>
        <v>102</v>
      </c>
      <c r="P685" s="633">
        <v>1</v>
      </c>
      <c r="Q685" s="776">
        <f t="shared" si="106"/>
        <v>0</v>
      </c>
      <c r="R685" s="776">
        <f t="shared" si="107"/>
        <v>0</v>
      </c>
      <c r="S685" s="552">
        <f t="shared" si="108"/>
        <v>0</v>
      </c>
      <c r="T685" s="626">
        <f t="shared" si="101"/>
        <v>0</v>
      </c>
      <c r="U685" s="626">
        <f t="shared" si="102"/>
        <v>0</v>
      </c>
      <c r="V685" s="553">
        <f t="shared" si="103"/>
        <v>0</v>
      </c>
      <c r="W685" s="554" t="str">
        <f t="shared" si="109"/>
        <v>S</v>
      </c>
      <c r="X685" s="555"/>
      <c r="Y685" s="631">
        <f>IF(Q685=0,0,(Q685+R685)*'1.0-Contractblad'!$L$98)</f>
        <v>0</v>
      </c>
      <c r="Z685" s="632">
        <f ca="1">IF(J685=0,0,VLOOKUP(D685,'1.1a-Jaarprijzen'!$B$70:$P$124,14,FALSE)*(K685+J685))</f>
        <v>0</v>
      </c>
    </row>
    <row r="686" spans="1:26" hidden="1">
      <c r="A686" s="558"/>
      <c r="B686" s="548"/>
      <c r="C686" s="659">
        <v>3</v>
      </c>
      <c r="D686" s="549" t="s">
        <v>1481</v>
      </c>
      <c r="E686" s="550" t="s">
        <v>478</v>
      </c>
      <c r="F686" s="551" t="s">
        <v>1122</v>
      </c>
      <c r="G686" s="649" t="s">
        <v>493</v>
      </c>
      <c r="H686" s="647" t="str">
        <f t="shared" si="100"/>
        <v>niet van toepassing</v>
      </c>
      <c r="I686" s="719" t="s">
        <v>499</v>
      </c>
      <c r="J686" s="650"/>
      <c r="K686" s="623">
        <v>18.2</v>
      </c>
      <c r="L686" s="668" t="s">
        <v>27</v>
      </c>
      <c r="M686" s="557">
        <f t="shared" si="104"/>
        <v>0</v>
      </c>
      <c r="N686" s="453"/>
      <c r="O686" s="557">
        <f t="shared" si="105"/>
        <v>0</v>
      </c>
      <c r="P686" s="633">
        <v>1</v>
      </c>
      <c r="Q686" s="776">
        <f t="shared" si="106"/>
        <v>0</v>
      </c>
      <c r="R686" s="776">
        <f t="shared" si="107"/>
        <v>0</v>
      </c>
      <c r="S686" s="552">
        <f t="shared" si="108"/>
        <v>0</v>
      </c>
      <c r="T686" s="626">
        <f t="shared" si="101"/>
        <v>0</v>
      </c>
      <c r="U686" s="626">
        <f t="shared" si="102"/>
        <v>0</v>
      </c>
      <c r="V686" s="553">
        <f t="shared" si="103"/>
        <v>0</v>
      </c>
      <c r="W686" s="554">
        <f t="shared" si="109"/>
        <v>0</v>
      </c>
      <c r="X686" s="454"/>
      <c r="Y686" s="631">
        <f>IF(Q686=0,0,(Q686+R686)*'1.0-Contractblad'!$L$98)</f>
        <v>0</v>
      </c>
      <c r="Z686" s="632">
        <f>IF(J686=0,0,VLOOKUP(D686,'1.1a-Jaarprijzen'!$B$70:$P$124,14,FALSE)*(K686+J686))</f>
        <v>0</v>
      </c>
    </row>
    <row r="687" spans="1:26" hidden="1">
      <c r="A687" s="558"/>
      <c r="B687" s="548"/>
      <c r="C687" s="659">
        <v>3</v>
      </c>
      <c r="D687" s="549" t="s">
        <v>1481</v>
      </c>
      <c r="E687" s="550" t="s">
        <v>478</v>
      </c>
      <c r="F687" s="551" t="s">
        <v>1123</v>
      </c>
      <c r="G687" s="649" t="s">
        <v>493</v>
      </c>
      <c r="H687" s="647" t="str">
        <f t="shared" si="100"/>
        <v>niet van toepassing</v>
      </c>
      <c r="I687" s="719" t="s">
        <v>499</v>
      </c>
      <c r="J687" s="650"/>
      <c r="K687" s="623">
        <v>30.3</v>
      </c>
      <c r="L687" s="668" t="s">
        <v>27</v>
      </c>
      <c r="M687" s="557">
        <f t="shared" si="104"/>
        <v>0</v>
      </c>
      <c r="N687" s="453"/>
      <c r="O687" s="557">
        <f t="shared" si="105"/>
        <v>0</v>
      </c>
      <c r="P687" s="633">
        <v>1</v>
      </c>
      <c r="Q687" s="776">
        <f t="shared" si="106"/>
        <v>0</v>
      </c>
      <c r="R687" s="776">
        <f t="shared" si="107"/>
        <v>0</v>
      </c>
      <c r="S687" s="552">
        <f t="shared" si="108"/>
        <v>0</v>
      </c>
      <c r="T687" s="626">
        <f t="shared" si="101"/>
        <v>0</v>
      </c>
      <c r="U687" s="626">
        <f t="shared" si="102"/>
        <v>0</v>
      </c>
      <c r="V687" s="553">
        <f t="shared" si="103"/>
        <v>0</v>
      </c>
      <c r="W687" s="554">
        <f t="shared" si="109"/>
        <v>0</v>
      </c>
      <c r="X687" s="454"/>
      <c r="Y687" s="631">
        <f>IF(Q687=0,0,(Q687+R687)*'1.0-Contractblad'!$L$98)</f>
        <v>0</v>
      </c>
      <c r="Z687" s="632">
        <f>IF(J687=0,0,VLOOKUP(D687,'1.1a-Jaarprijzen'!$B$70:$P$124,14,FALSE)*(K687+J687))</f>
        <v>0</v>
      </c>
    </row>
    <row r="688" spans="1:26" hidden="1">
      <c r="A688" s="558"/>
      <c r="B688" s="548"/>
      <c r="C688" s="659">
        <v>3</v>
      </c>
      <c r="D688" s="549" t="s">
        <v>1481</v>
      </c>
      <c r="E688" s="550" t="s">
        <v>478</v>
      </c>
      <c r="F688" s="551" t="s">
        <v>1124</v>
      </c>
      <c r="G688" s="649" t="s">
        <v>1369</v>
      </c>
      <c r="H688" s="647" t="str">
        <f t="shared" si="100"/>
        <v>niet van toepassing</v>
      </c>
      <c r="I688" s="719" t="s">
        <v>499</v>
      </c>
      <c r="J688" s="650"/>
      <c r="K688" s="650">
        <v>11.5</v>
      </c>
      <c r="L688" s="668" t="s">
        <v>27</v>
      </c>
      <c r="M688" s="557">
        <f t="shared" si="104"/>
        <v>0</v>
      </c>
      <c r="N688" s="453"/>
      <c r="O688" s="557">
        <f t="shared" si="105"/>
        <v>0</v>
      </c>
      <c r="P688" s="633">
        <v>1</v>
      </c>
      <c r="Q688" s="776">
        <f t="shared" si="106"/>
        <v>0</v>
      </c>
      <c r="R688" s="776">
        <f t="shared" si="107"/>
        <v>0</v>
      </c>
      <c r="S688" s="552">
        <f t="shared" si="108"/>
        <v>0</v>
      </c>
      <c r="T688" s="626">
        <f t="shared" si="101"/>
        <v>0</v>
      </c>
      <c r="U688" s="626">
        <f t="shared" si="102"/>
        <v>0</v>
      </c>
      <c r="V688" s="553">
        <f t="shared" si="103"/>
        <v>0</v>
      </c>
      <c r="W688" s="554">
        <f t="shared" si="109"/>
        <v>0</v>
      </c>
      <c r="X688" s="454" t="s">
        <v>1454</v>
      </c>
      <c r="Y688" s="631">
        <f>IF(Q688=0,0,(Q688+R688)*'1.0-Contractblad'!$L$98)</f>
        <v>0</v>
      </c>
      <c r="Z688" s="632">
        <f>IF(J688=0,0,VLOOKUP(D688,'1.1a-Jaarprijzen'!$B$70:$P$124,14,FALSE)*(K688+J688))</f>
        <v>0</v>
      </c>
    </row>
    <row r="689" spans="1:26" hidden="1">
      <c r="A689" s="558"/>
      <c r="B689" s="548"/>
      <c r="C689" s="659">
        <v>3</v>
      </c>
      <c r="D689" s="549" t="s">
        <v>1481</v>
      </c>
      <c r="E689" s="550" t="s">
        <v>478</v>
      </c>
      <c r="F689" s="551" t="s">
        <v>1125</v>
      </c>
      <c r="G689" s="649" t="s">
        <v>493</v>
      </c>
      <c r="H689" s="647" t="str">
        <f t="shared" si="100"/>
        <v>niet van toepassing</v>
      </c>
      <c r="I689" s="719" t="s">
        <v>499</v>
      </c>
      <c r="J689" s="650"/>
      <c r="K689" s="650">
        <v>6.4</v>
      </c>
      <c r="L689" s="668" t="s">
        <v>27</v>
      </c>
      <c r="M689" s="557">
        <f t="shared" si="104"/>
        <v>0</v>
      </c>
      <c r="N689" s="453"/>
      <c r="O689" s="557">
        <f t="shared" si="105"/>
        <v>0</v>
      </c>
      <c r="P689" s="633">
        <v>1</v>
      </c>
      <c r="Q689" s="776">
        <f t="shared" si="106"/>
        <v>0</v>
      </c>
      <c r="R689" s="776">
        <f t="shared" si="107"/>
        <v>0</v>
      </c>
      <c r="S689" s="552">
        <f t="shared" si="108"/>
        <v>0</v>
      </c>
      <c r="T689" s="626">
        <f t="shared" si="101"/>
        <v>0</v>
      </c>
      <c r="U689" s="626">
        <f t="shared" si="102"/>
        <v>0</v>
      </c>
      <c r="V689" s="553">
        <f t="shared" si="103"/>
        <v>0</v>
      </c>
      <c r="W689" s="554">
        <f t="shared" si="109"/>
        <v>0</v>
      </c>
      <c r="X689" s="454"/>
      <c r="Y689" s="631">
        <f>IF(Q689=0,0,(Q689+R689)*'1.0-Contractblad'!$L$98)</f>
        <v>0</v>
      </c>
      <c r="Z689" s="632">
        <f>IF(J689=0,0,VLOOKUP(D689,'1.1a-Jaarprijzen'!$B$70:$P$124,14,FALSE)*(K689+J689))</f>
        <v>0</v>
      </c>
    </row>
    <row r="690" spans="1:26" hidden="1">
      <c r="A690" s="558"/>
      <c r="B690" s="548"/>
      <c r="C690" s="659">
        <v>3</v>
      </c>
      <c r="D690" s="549" t="s">
        <v>1481</v>
      </c>
      <c r="E690" s="550" t="s">
        <v>478</v>
      </c>
      <c r="F690" s="551" t="s">
        <v>1126</v>
      </c>
      <c r="G690" s="649" t="s">
        <v>493</v>
      </c>
      <c r="H690" s="647" t="str">
        <f t="shared" si="100"/>
        <v>niet van toepassing</v>
      </c>
      <c r="I690" s="719" t="s">
        <v>499</v>
      </c>
      <c r="J690" s="650"/>
      <c r="K690" s="650">
        <v>11.4</v>
      </c>
      <c r="L690" s="668" t="s">
        <v>27</v>
      </c>
      <c r="M690" s="557">
        <f t="shared" si="104"/>
        <v>0</v>
      </c>
      <c r="N690" s="453"/>
      <c r="O690" s="557">
        <f t="shared" si="105"/>
        <v>0</v>
      </c>
      <c r="P690" s="633">
        <v>1</v>
      </c>
      <c r="Q690" s="776">
        <f t="shared" si="106"/>
        <v>0</v>
      </c>
      <c r="R690" s="776">
        <f t="shared" si="107"/>
        <v>0</v>
      </c>
      <c r="S690" s="552">
        <f t="shared" si="108"/>
        <v>0</v>
      </c>
      <c r="T690" s="626">
        <f t="shared" si="101"/>
        <v>0</v>
      </c>
      <c r="U690" s="626">
        <f t="shared" si="102"/>
        <v>0</v>
      </c>
      <c r="V690" s="553">
        <f t="shared" si="103"/>
        <v>0</v>
      </c>
      <c r="W690" s="554">
        <f t="shared" si="109"/>
        <v>0</v>
      </c>
      <c r="X690" s="454"/>
      <c r="Y690" s="631">
        <f>IF(Q690=0,0,(Q690+R690)*'1.0-Contractblad'!$L$98)</f>
        <v>0</v>
      </c>
      <c r="Z690" s="632">
        <f>IF(J690=0,0,VLOOKUP(D690,'1.1a-Jaarprijzen'!$B$70:$P$124,14,FALSE)*(K690+J690))</f>
        <v>0</v>
      </c>
    </row>
    <row r="691" spans="1:26" hidden="1">
      <c r="A691" s="558"/>
      <c r="B691" s="548"/>
      <c r="C691" s="659">
        <v>3</v>
      </c>
      <c r="D691" s="549" t="s">
        <v>1481</v>
      </c>
      <c r="E691" s="550" t="s">
        <v>478</v>
      </c>
      <c r="F691" s="551" t="s">
        <v>475</v>
      </c>
      <c r="G691" s="649" t="s">
        <v>493</v>
      </c>
      <c r="H691" s="647" t="str">
        <f t="shared" si="100"/>
        <v>niet van toepassing</v>
      </c>
      <c r="I691" s="719" t="s">
        <v>491</v>
      </c>
      <c r="J691" s="650"/>
      <c r="K691" s="650">
        <v>10.199999999999999</v>
      </c>
      <c r="L691" s="668" t="s">
        <v>27</v>
      </c>
      <c r="M691" s="557">
        <f t="shared" si="104"/>
        <v>0</v>
      </c>
      <c r="N691" s="453"/>
      <c r="O691" s="557">
        <f t="shared" si="105"/>
        <v>0</v>
      </c>
      <c r="P691" s="633">
        <v>1</v>
      </c>
      <c r="Q691" s="776">
        <f t="shared" si="106"/>
        <v>0</v>
      </c>
      <c r="R691" s="776">
        <f t="shared" si="107"/>
        <v>0</v>
      </c>
      <c r="S691" s="552">
        <f t="shared" si="108"/>
        <v>0</v>
      </c>
      <c r="T691" s="626">
        <f t="shared" si="101"/>
        <v>0</v>
      </c>
      <c r="U691" s="626">
        <f t="shared" si="102"/>
        <v>0</v>
      </c>
      <c r="V691" s="553">
        <f t="shared" si="103"/>
        <v>0</v>
      </c>
      <c r="W691" s="554">
        <f t="shared" si="109"/>
        <v>0</v>
      </c>
      <c r="X691" s="454"/>
      <c r="Y691" s="631">
        <f>IF(Q691=0,0,(Q691+R691)*'1.0-Contractblad'!$L$98)</f>
        <v>0</v>
      </c>
      <c r="Z691" s="632">
        <f>IF(J691=0,0,VLOOKUP(D691,'1.1a-Jaarprijzen'!$B$70:$P$124,14,FALSE)*(K691+J691))</f>
        <v>0</v>
      </c>
    </row>
    <row r="692" spans="1:26" hidden="1">
      <c r="A692" s="558"/>
      <c r="B692" s="548"/>
      <c r="C692" s="659">
        <v>3</v>
      </c>
      <c r="D692" s="549" t="s">
        <v>1481</v>
      </c>
      <c r="E692" s="550" t="s">
        <v>478</v>
      </c>
      <c r="F692" s="551" t="s">
        <v>476</v>
      </c>
      <c r="G692" s="649" t="s">
        <v>493</v>
      </c>
      <c r="H692" s="647" t="str">
        <f t="shared" si="100"/>
        <v>niet van toepassing</v>
      </c>
      <c r="I692" s="719" t="s">
        <v>499</v>
      </c>
      <c r="J692" s="650"/>
      <c r="K692" s="650">
        <v>12.2</v>
      </c>
      <c r="L692" s="668" t="s">
        <v>27</v>
      </c>
      <c r="M692" s="557">
        <f t="shared" si="104"/>
        <v>0</v>
      </c>
      <c r="N692" s="453"/>
      <c r="O692" s="557">
        <f t="shared" si="105"/>
        <v>0</v>
      </c>
      <c r="P692" s="633">
        <v>1</v>
      </c>
      <c r="Q692" s="776">
        <f t="shared" si="106"/>
        <v>0</v>
      </c>
      <c r="R692" s="776">
        <f t="shared" si="107"/>
        <v>0</v>
      </c>
      <c r="S692" s="552">
        <f t="shared" si="108"/>
        <v>0</v>
      </c>
      <c r="T692" s="626">
        <f t="shared" si="101"/>
        <v>0</v>
      </c>
      <c r="U692" s="626">
        <f t="shared" si="102"/>
        <v>0</v>
      </c>
      <c r="V692" s="553">
        <f t="shared" si="103"/>
        <v>0</v>
      </c>
      <c r="W692" s="554">
        <f t="shared" si="109"/>
        <v>0</v>
      </c>
      <c r="X692" s="454"/>
      <c r="Y692" s="631">
        <f>IF(Q692=0,0,(Q692+R692)*'1.0-Contractblad'!$L$98)</f>
        <v>0</v>
      </c>
      <c r="Z692" s="632">
        <f>IF(J692=0,0,VLOOKUP(D692,'1.1a-Jaarprijzen'!$B$70:$P$124,14,FALSE)*(K692+J692))</f>
        <v>0</v>
      </c>
    </row>
    <row r="693" spans="1:26" hidden="1">
      <c r="A693" s="558"/>
      <c r="B693" s="548"/>
      <c r="C693" s="659">
        <v>3</v>
      </c>
      <c r="D693" s="549" t="s">
        <v>1481</v>
      </c>
      <c r="E693" s="550" t="s">
        <v>478</v>
      </c>
      <c r="F693" s="551" t="s">
        <v>1127</v>
      </c>
      <c r="G693" s="649" t="s">
        <v>1370</v>
      </c>
      <c r="H693" s="647" t="str">
        <f t="shared" si="100"/>
        <v>sanitaire ruimte (toilet-/doucheruimte)</v>
      </c>
      <c r="I693" s="719" t="s">
        <v>492</v>
      </c>
      <c r="J693" s="623">
        <v>4.9000000000000004</v>
      </c>
      <c r="K693" s="623"/>
      <c r="L693" s="559">
        <v>4153</v>
      </c>
      <c r="M693" s="557">
        <f t="shared" si="104"/>
        <v>104</v>
      </c>
      <c r="N693" s="453"/>
      <c r="O693" s="557">
        <f t="shared" si="105"/>
        <v>153</v>
      </c>
      <c r="P693" s="633">
        <v>1</v>
      </c>
      <c r="Q693" s="776">
        <f t="shared" si="106"/>
        <v>0</v>
      </c>
      <c r="R693" s="776">
        <f t="shared" si="107"/>
        <v>0</v>
      </c>
      <c r="S693" s="552">
        <f t="shared" si="108"/>
        <v>0</v>
      </c>
      <c r="T693" s="626">
        <f t="shared" si="101"/>
        <v>0</v>
      </c>
      <c r="U693" s="626">
        <f t="shared" si="102"/>
        <v>0</v>
      </c>
      <c r="V693" s="553">
        <f t="shared" si="103"/>
        <v>0</v>
      </c>
      <c r="W693" s="554" t="str">
        <f t="shared" si="109"/>
        <v>S</v>
      </c>
      <c r="X693" s="555"/>
      <c r="Y693" s="631">
        <f>IF(Q693=0,0,(Q693+R693)*'1.0-Contractblad'!$L$98)</f>
        <v>0</v>
      </c>
      <c r="Z693" s="632">
        <f ca="1">IF(J693=0,0,VLOOKUP(D693,'1.1a-Jaarprijzen'!$B$70:$P$124,14,FALSE)*(K693+J693))</f>
        <v>0</v>
      </c>
    </row>
    <row r="694" spans="1:26" hidden="1">
      <c r="A694" s="558"/>
      <c r="B694" s="548"/>
      <c r="C694" s="659">
        <v>3</v>
      </c>
      <c r="D694" s="549" t="s">
        <v>1481</v>
      </c>
      <c r="E694" s="660" t="s">
        <v>478</v>
      </c>
      <c r="F694" s="551" t="s">
        <v>1128</v>
      </c>
      <c r="G694" s="649" t="s">
        <v>493</v>
      </c>
      <c r="H694" s="647" t="str">
        <f t="shared" si="100"/>
        <v>niet van toepassing</v>
      </c>
      <c r="I694" s="719" t="s">
        <v>499</v>
      </c>
      <c r="J694" s="623"/>
      <c r="K694" s="623">
        <v>91.8</v>
      </c>
      <c r="L694" s="668" t="s">
        <v>27</v>
      </c>
      <c r="M694" s="557">
        <f t="shared" si="104"/>
        <v>0</v>
      </c>
      <c r="N694" s="453"/>
      <c r="O694" s="557">
        <f t="shared" si="105"/>
        <v>0</v>
      </c>
      <c r="P694" s="633">
        <v>1</v>
      </c>
      <c r="Q694" s="776">
        <f t="shared" si="106"/>
        <v>0</v>
      </c>
      <c r="R694" s="776">
        <f t="shared" si="107"/>
        <v>0</v>
      </c>
      <c r="S694" s="552">
        <f t="shared" si="108"/>
        <v>0</v>
      </c>
      <c r="T694" s="626">
        <f t="shared" si="101"/>
        <v>0</v>
      </c>
      <c r="U694" s="626">
        <f t="shared" si="102"/>
        <v>0</v>
      </c>
      <c r="V694" s="553">
        <f t="shared" si="103"/>
        <v>0</v>
      </c>
      <c r="W694" s="554">
        <f t="shared" si="109"/>
        <v>0</v>
      </c>
      <c r="X694" s="454" t="s">
        <v>1454</v>
      </c>
      <c r="Y694" s="631">
        <f>IF(Q694=0,0,(Q694+R694)*'1.0-Contractblad'!$L$98)</f>
        <v>0</v>
      </c>
      <c r="Z694" s="632">
        <f>IF(J694=0,0,VLOOKUP(D694,'1.1a-Jaarprijzen'!$B$70:$P$124,14,FALSE)*(K694+J694))</f>
        <v>0</v>
      </c>
    </row>
    <row r="695" spans="1:26" hidden="1">
      <c r="A695" s="558"/>
      <c r="B695" s="548"/>
      <c r="C695" s="659">
        <v>3</v>
      </c>
      <c r="D695" s="549" t="s">
        <v>1481</v>
      </c>
      <c r="E695" s="660" t="s">
        <v>478</v>
      </c>
      <c r="F695" s="551" t="s">
        <v>1129</v>
      </c>
      <c r="G695" s="649" t="s">
        <v>493</v>
      </c>
      <c r="H695" s="647" t="str">
        <f t="shared" si="100"/>
        <v>administratieve -, personeels- en vergaderruimte</v>
      </c>
      <c r="I695" s="719" t="s">
        <v>499</v>
      </c>
      <c r="J695" s="623">
        <v>110</v>
      </c>
      <c r="K695" s="623"/>
      <c r="L695" s="699">
        <v>1102</v>
      </c>
      <c r="M695" s="557">
        <f t="shared" si="104"/>
        <v>101</v>
      </c>
      <c r="N695" s="453"/>
      <c r="O695" s="557">
        <f t="shared" si="105"/>
        <v>102</v>
      </c>
      <c r="P695" s="633">
        <v>1</v>
      </c>
      <c r="Q695" s="776">
        <f t="shared" si="106"/>
        <v>0</v>
      </c>
      <c r="R695" s="776">
        <f t="shared" si="107"/>
        <v>0</v>
      </c>
      <c r="S695" s="552">
        <f t="shared" si="108"/>
        <v>0</v>
      </c>
      <c r="T695" s="626">
        <f t="shared" si="101"/>
        <v>0</v>
      </c>
      <c r="U695" s="626">
        <f t="shared" si="102"/>
        <v>0</v>
      </c>
      <c r="V695" s="553">
        <f t="shared" si="103"/>
        <v>0</v>
      </c>
      <c r="W695" s="554" t="str">
        <f t="shared" si="109"/>
        <v>B</v>
      </c>
      <c r="X695" s="555"/>
      <c r="Y695" s="631">
        <f>IF(Q695=0,0,(Q695+R695)*'1.0-Contractblad'!$L$98)</f>
        <v>0</v>
      </c>
      <c r="Z695" s="632">
        <f ca="1">IF(J695=0,0,VLOOKUP(D695,'1.1a-Jaarprijzen'!$B$70:$P$124,14,FALSE)*(K695+J695))</f>
        <v>0</v>
      </c>
    </row>
    <row r="696" spans="1:26" hidden="1">
      <c r="A696" s="558"/>
      <c r="B696" s="548"/>
      <c r="C696" s="659">
        <v>3</v>
      </c>
      <c r="D696" s="549" t="s">
        <v>1481</v>
      </c>
      <c r="E696" s="660" t="s">
        <v>479</v>
      </c>
      <c r="F696" s="551" t="s">
        <v>1130</v>
      </c>
      <c r="G696" s="649" t="s">
        <v>1282</v>
      </c>
      <c r="H696" s="647" t="str">
        <f t="shared" si="100"/>
        <v>niet van toepassing</v>
      </c>
      <c r="I696" s="719"/>
      <c r="J696" s="623"/>
      <c r="K696" s="623"/>
      <c r="L696" s="668" t="s">
        <v>27</v>
      </c>
      <c r="M696" s="557">
        <f t="shared" si="104"/>
        <v>0</v>
      </c>
      <c r="N696" s="453"/>
      <c r="O696" s="557">
        <f t="shared" si="105"/>
        <v>0</v>
      </c>
      <c r="P696" s="633">
        <v>1</v>
      </c>
      <c r="Q696" s="776">
        <f t="shared" si="106"/>
        <v>0</v>
      </c>
      <c r="R696" s="776">
        <f t="shared" si="107"/>
        <v>0</v>
      </c>
      <c r="S696" s="552">
        <f t="shared" si="108"/>
        <v>0</v>
      </c>
      <c r="T696" s="626">
        <f t="shared" si="101"/>
        <v>0</v>
      </c>
      <c r="U696" s="626">
        <f t="shared" si="102"/>
        <v>0</v>
      </c>
      <c r="V696" s="553">
        <f t="shared" si="103"/>
        <v>0</v>
      </c>
      <c r="W696" s="554">
        <f t="shared" si="109"/>
        <v>0</v>
      </c>
      <c r="X696" s="454" t="s">
        <v>1454</v>
      </c>
      <c r="Y696" s="631">
        <f>IF(Q696=0,0,(Q696+R696)*'1.0-Contractblad'!$L$98)</f>
        <v>0</v>
      </c>
      <c r="Z696" s="632">
        <f>IF(J696=0,0,VLOOKUP(D696,'1.1a-Jaarprijzen'!$B$70:$P$124,14,FALSE)*(K696+J696))</f>
        <v>0</v>
      </c>
    </row>
    <row r="697" spans="1:26" hidden="1">
      <c r="A697" s="558"/>
      <c r="B697" s="548"/>
      <c r="C697" s="659">
        <v>3</v>
      </c>
      <c r="D697" s="549" t="s">
        <v>1493</v>
      </c>
      <c r="E697" s="660" t="s">
        <v>502</v>
      </c>
      <c r="F697" s="551" t="s">
        <v>1131</v>
      </c>
      <c r="G697" s="649" t="s">
        <v>1368</v>
      </c>
      <c r="H697" s="647" t="str">
        <f t="shared" si="100"/>
        <v>niet van toepassing</v>
      </c>
      <c r="I697" s="719" t="s">
        <v>106</v>
      </c>
      <c r="J697" s="623"/>
      <c r="K697" s="623"/>
      <c r="L697" s="668" t="s">
        <v>27</v>
      </c>
      <c r="M697" s="557">
        <f t="shared" si="104"/>
        <v>0</v>
      </c>
      <c r="N697" s="453"/>
      <c r="O697" s="557">
        <f t="shared" si="105"/>
        <v>0</v>
      </c>
      <c r="P697" s="633">
        <v>1</v>
      </c>
      <c r="Q697" s="776">
        <f t="shared" si="106"/>
        <v>0</v>
      </c>
      <c r="R697" s="776">
        <f t="shared" si="107"/>
        <v>0</v>
      </c>
      <c r="S697" s="552">
        <f t="shared" si="108"/>
        <v>0</v>
      </c>
      <c r="T697" s="626">
        <f t="shared" si="101"/>
        <v>0</v>
      </c>
      <c r="U697" s="626">
        <f t="shared" si="102"/>
        <v>0</v>
      </c>
      <c r="V697" s="553">
        <f t="shared" si="103"/>
        <v>0</v>
      </c>
      <c r="W697" s="554">
        <f t="shared" si="109"/>
        <v>0</v>
      </c>
      <c r="X697" s="454" t="s">
        <v>1489</v>
      </c>
      <c r="Y697" s="631">
        <f>IF(Q697=0,0,(Q697+R697)*'1.0-Contractblad'!$L$98)</f>
        <v>0</v>
      </c>
      <c r="Z697" s="632">
        <f>IF(J697=0,0,VLOOKUP(D697,'1.1a-Jaarprijzen'!$B$70:$P$124,14,FALSE)*(K697+J697))</f>
        <v>0</v>
      </c>
    </row>
    <row r="698" spans="1:26" hidden="1">
      <c r="A698" s="558"/>
      <c r="B698" s="548"/>
      <c r="C698" s="659">
        <v>3</v>
      </c>
      <c r="D698" s="549" t="s">
        <v>1493</v>
      </c>
      <c r="E698" s="660" t="s">
        <v>502</v>
      </c>
      <c r="F698" s="551" t="s">
        <v>506</v>
      </c>
      <c r="G698" s="649" t="s">
        <v>1368</v>
      </c>
      <c r="H698" s="647" t="str">
        <f t="shared" si="100"/>
        <v>niet van toepassing</v>
      </c>
      <c r="I698" s="719" t="s">
        <v>106</v>
      </c>
      <c r="J698" s="623"/>
      <c r="K698" s="623"/>
      <c r="L698" s="668" t="s">
        <v>27</v>
      </c>
      <c r="M698" s="557">
        <f t="shared" si="104"/>
        <v>0</v>
      </c>
      <c r="N698" s="453"/>
      <c r="O698" s="557">
        <f t="shared" si="105"/>
        <v>0</v>
      </c>
      <c r="P698" s="633">
        <v>1</v>
      </c>
      <c r="Q698" s="776">
        <f t="shared" si="106"/>
        <v>0</v>
      </c>
      <c r="R698" s="776">
        <f t="shared" si="107"/>
        <v>0</v>
      </c>
      <c r="S698" s="552">
        <f t="shared" si="108"/>
        <v>0</v>
      </c>
      <c r="T698" s="626">
        <f t="shared" si="101"/>
        <v>0</v>
      </c>
      <c r="U698" s="626">
        <f t="shared" si="102"/>
        <v>0</v>
      </c>
      <c r="V698" s="553">
        <f t="shared" si="103"/>
        <v>0</v>
      </c>
      <c r="W698" s="554">
        <f t="shared" si="109"/>
        <v>0</v>
      </c>
      <c r="X698" s="454" t="s">
        <v>1489</v>
      </c>
      <c r="Y698" s="631">
        <f>IF(Q698=0,0,(Q698+R698)*'1.0-Contractblad'!$L$98)</f>
        <v>0</v>
      </c>
      <c r="Z698" s="632">
        <f>IF(J698=0,0,VLOOKUP(D698,'1.1a-Jaarprijzen'!$B$70:$P$124,14,FALSE)*(K698+J698))</f>
        <v>0</v>
      </c>
    </row>
    <row r="699" spans="1:26" hidden="1">
      <c r="A699" s="558"/>
      <c r="B699" s="548"/>
      <c r="C699" s="659">
        <v>3</v>
      </c>
      <c r="D699" s="549" t="s">
        <v>1493</v>
      </c>
      <c r="E699" s="660" t="s">
        <v>502</v>
      </c>
      <c r="F699" s="551" t="s">
        <v>507</v>
      </c>
      <c r="G699" s="649" t="s">
        <v>1368</v>
      </c>
      <c r="H699" s="647" t="str">
        <f t="shared" si="100"/>
        <v>niet van toepassing</v>
      </c>
      <c r="I699" s="719" t="s">
        <v>106</v>
      </c>
      <c r="J699" s="623"/>
      <c r="K699" s="623"/>
      <c r="L699" s="668" t="s">
        <v>27</v>
      </c>
      <c r="M699" s="557">
        <f t="shared" si="104"/>
        <v>0</v>
      </c>
      <c r="N699" s="453"/>
      <c r="O699" s="557">
        <f t="shared" si="105"/>
        <v>0</v>
      </c>
      <c r="P699" s="633">
        <v>1</v>
      </c>
      <c r="Q699" s="776">
        <f t="shared" si="106"/>
        <v>0</v>
      </c>
      <c r="R699" s="776">
        <f t="shared" si="107"/>
        <v>0</v>
      </c>
      <c r="S699" s="552">
        <f t="shared" si="108"/>
        <v>0</v>
      </c>
      <c r="T699" s="626">
        <f t="shared" si="101"/>
        <v>0</v>
      </c>
      <c r="U699" s="626">
        <f t="shared" si="102"/>
        <v>0</v>
      </c>
      <c r="V699" s="553">
        <f t="shared" si="103"/>
        <v>0</v>
      </c>
      <c r="W699" s="554">
        <f t="shared" si="109"/>
        <v>0</v>
      </c>
      <c r="X699" s="454" t="s">
        <v>1489</v>
      </c>
      <c r="Y699" s="631">
        <f>IF(Q699=0,0,(Q699+R699)*'1.0-Contractblad'!$L$98)</f>
        <v>0</v>
      </c>
      <c r="Z699" s="632">
        <f>IF(J699=0,0,VLOOKUP(D699,'1.1a-Jaarprijzen'!$B$70:$P$124,14,FALSE)*(K699+J699))</f>
        <v>0</v>
      </c>
    </row>
    <row r="700" spans="1:26" hidden="1">
      <c r="A700" s="558"/>
      <c r="B700" s="548"/>
      <c r="C700" s="659">
        <v>3</v>
      </c>
      <c r="D700" s="549" t="s">
        <v>1493</v>
      </c>
      <c r="E700" s="660" t="s">
        <v>502</v>
      </c>
      <c r="F700" s="551" t="s">
        <v>508</v>
      </c>
      <c r="G700" s="649" t="s">
        <v>1368</v>
      </c>
      <c r="H700" s="647" t="str">
        <f t="shared" si="100"/>
        <v>niet van toepassing</v>
      </c>
      <c r="I700" s="719" t="s">
        <v>106</v>
      </c>
      <c r="J700" s="623"/>
      <c r="K700" s="623"/>
      <c r="L700" s="668" t="s">
        <v>27</v>
      </c>
      <c r="M700" s="557">
        <f t="shared" si="104"/>
        <v>0</v>
      </c>
      <c r="N700" s="453"/>
      <c r="O700" s="557">
        <f t="shared" si="105"/>
        <v>0</v>
      </c>
      <c r="P700" s="633">
        <v>1</v>
      </c>
      <c r="Q700" s="776">
        <f t="shared" si="106"/>
        <v>0</v>
      </c>
      <c r="R700" s="776">
        <f t="shared" si="107"/>
        <v>0</v>
      </c>
      <c r="S700" s="552">
        <f t="shared" si="108"/>
        <v>0</v>
      </c>
      <c r="T700" s="626">
        <f t="shared" si="101"/>
        <v>0</v>
      </c>
      <c r="U700" s="626">
        <f t="shared" si="102"/>
        <v>0</v>
      </c>
      <c r="V700" s="553">
        <f t="shared" si="103"/>
        <v>0</v>
      </c>
      <c r="W700" s="554">
        <f t="shared" si="109"/>
        <v>0</v>
      </c>
      <c r="X700" s="454" t="s">
        <v>1489</v>
      </c>
      <c r="Y700" s="631">
        <f>IF(Q700=0,0,(Q700+R700)*'1.0-Contractblad'!$L$98)</f>
        <v>0</v>
      </c>
      <c r="Z700" s="632">
        <f>IF(J700=0,0,VLOOKUP(D700,'1.1a-Jaarprijzen'!$B$70:$P$124,14,FALSE)*(K700+J700))</f>
        <v>0</v>
      </c>
    </row>
    <row r="701" spans="1:26" hidden="1">
      <c r="A701" s="558"/>
      <c r="B701" s="548"/>
      <c r="C701" s="659">
        <v>3</v>
      </c>
      <c r="D701" s="549" t="s">
        <v>1493</v>
      </c>
      <c r="E701" s="660" t="s">
        <v>502</v>
      </c>
      <c r="F701" s="551" t="s">
        <v>509</v>
      </c>
      <c r="G701" s="649" t="s">
        <v>1368</v>
      </c>
      <c r="H701" s="647" t="str">
        <f t="shared" si="100"/>
        <v>niet van toepassing</v>
      </c>
      <c r="I701" s="719" t="s">
        <v>106</v>
      </c>
      <c r="J701" s="623"/>
      <c r="K701" s="623"/>
      <c r="L701" s="668" t="s">
        <v>27</v>
      </c>
      <c r="M701" s="557">
        <f t="shared" si="104"/>
        <v>0</v>
      </c>
      <c r="N701" s="453"/>
      <c r="O701" s="557">
        <f t="shared" si="105"/>
        <v>0</v>
      </c>
      <c r="P701" s="633">
        <v>1</v>
      </c>
      <c r="Q701" s="776">
        <f t="shared" si="106"/>
        <v>0</v>
      </c>
      <c r="R701" s="776">
        <f t="shared" si="107"/>
        <v>0</v>
      </c>
      <c r="S701" s="552">
        <f t="shared" si="108"/>
        <v>0</v>
      </c>
      <c r="T701" s="626">
        <f t="shared" si="101"/>
        <v>0</v>
      </c>
      <c r="U701" s="626">
        <f t="shared" si="102"/>
        <v>0</v>
      </c>
      <c r="V701" s="553">
        <f t="shared" si="103"/>
        <v>0</v>
      </c>
      <c r="W701" s="554">
        <f t="shared" si="109"/>
        <v>0</v>
      </c>
      <c r="X701" s="454" t="s">
        <v>1489</v>
      </c>
      <c r="Y701" s="631">
        <f>IF(Q701=0,0,(Q701+R701)*'1.0-Contractblad'!$L$98)</f>
        <v>0</v>
      </c>
      <c r="Z701" s="632">
        <f>IF(J701=0,0,VLOOKUP(D701,'1.1a-Jaarprijzen'!$B$70:$P$124,14,FALSE)*(K701+J701))</f>
        <v>0</v>
      </c>
    </row>
    <row r="702" spans="1:26" hidden="1">
      <c r="A702" s="558"/>
      <c r="B702" s="548"/>
      <c r="C702" s="659">
        <v>3</v>
      </c>
      <c r="D702" s="549" t="s">
        <v>1493</v>
      </c>
      <c r="E702" s="660" t="s">
        <v>502</v>
      </c>
      <c r="F702" s="551" t="s">
        <v>510</v>
      </c>
      <c r="G702" s="649" t="s">
        <v>1368</v>
      </c>
      <c r="H702" s="647" t="str">
        <f t="shared" si="100"/>
        <v>niet van toepassing</v>
      </c>
      <c r="I702" s="719" t="s">
        <v>106</v>
      </c>
      <c r="J702" s="623"/>
      <c r="K702" s="623"/>
      <c r="L702" s="668" t="s">
        <v>27</v>
      </c>
      <c r="M702" s="557">
        <f t="shared" si="104"/>
        <v>0</v>
      </c>
      <c r="N702" s="453"/>
      <c r="O702" s="557">
        <f t="shared" si="105"/>
        <v>0</v>
      </c>
      <c r="P702" s="633">
        <v>1</v>
      </c>
      <c r="Q702" s="776">
        <f t="shared" si="106"/>
        <v>0</v>
      </c>
      <c r="R702" s="776">
        <f t="shared" si="107"/>
        <v>0</v>
      </c>
      <c r="S702" s="552">
        <f t="shared" si="108"/>
        <v>0</v>
      </c>
      <c r="T702" s="626">
        <f t="shared" si="101"/>
        <v>0</v>
      </c>
      <c r="U702" s="626">
        <f t="shared" si="102"/>
        <v>0</v>
      </c>
      <c r="V702" s="553">
        <f t="shared" si="103"/>
        <v>0</v>
      </c>
      <c r="W702" s="554">
        <f t="shared" si="109"/>
        <v>0</v>
      </c>
      <c r="X702" s="454" t="s">
        <v>1489</v>
      </c>
      <c r="Y702" s="631">
        <f>IF(Q702=0,0,(Q702+R702)*'1.0-Contractblad'!$L$98)</f>
        <v>0</v>
      </c>
      <c r="Z702" s="632">
        <f>IF(J702=0,0,VLOOKUP(D702,'1.1a-Jaarprijzen'!$B$70:$P$124,14,FALSE)*(K702+J702))</f>
        <v>0</v>
      </c>
    </row>
    <row r="703" spans="1:26" hidden="1">
      <c r="A703" s="558"/>
      <c r="B703" s="548"/>
      <c r="C703" s="659">
        <v>3</v>
      </c>
      <c r="D703" s="549" t="s">
        <v>1493</v>
      </c>
      <c r="E703" s="660" t="s">
        <v>502</v>
      </c>
      <c r="F703" s="551" t="s">
        <v>511</v>
      </c>
      <c r="G703" s="649" t="s">
        <v>1368</v>
      </c>
      <c r="H703" s="647" t="str">
        <f t="shared" si="100"/>
        <v>niet van toepassing</v>
      </c>
      <c r="I703" s="719" t="s">
        <v>106</v>
      </c>
      <c r="J703" s="623"/>
      <c r="K703" s="623"/>
      <c r="L703" s="668" t="s">
        <v>27</v>
      </c>
      <c r="M703" s="557">
        <f t="shared" si="104"/>
        <v>0</v>
      </c>
      <c r="N703" s="453"/>
      <c r="O703" s="557">
        <f t="shared" si="105"/>
        <v>0</v>
      </c>
      <c r="P703" s="633">
        <v>1</v>
      </c>
      <c r="Q703" s="776">
        <f t="shared" si="106"/>
        <v>0</v>
      </c>
      <c r="R703" s="776">
        <f t="shared" si="107"/>
        <v>0</v>
      </c>
      <c r="S703" s="552">
        <f t="shared" si="108"/>
        <v>0</v>
      </c>
      <c r="T703" s="626">
        <f t="shared" si="101"/>
        <v>0</v>
      </c>
      <c r="U703" s="626">
        <f t="shared" si="102"/>
        <v>0</v>
      </c>
      <c r="V703" s="553">
        <f t="shared" si="103"/>
        <v>0</v>
      </c>
      <c r="W703" s="554">
        <f t="shared" si="109"/>
        <v>0</v>
      </c>
      <c r="X703" s="454" t="s">
        <v>1489</v>
      </c>
      <c r="Y703" s="631">
        <f>IF(Q703=0,0,(Q703+R703)*'1.0-Contractblad'!$L$98)</f>
        <v>0</v>
      </c>
      <c r="Z703" s="632">
        <f>IF(J703=0,0,VLOOKUP(D703,'1.1a-Jaarprijzen'!$B$70:$P$124,14,FALSE)*(K703+J703))</f>
        <v>0</v>
      </c>
    </row>
    <row r="704" spans="1:26" hidden="1">
      <c r="A704" s="558"/>
      <c r="B704" s="548"/>
      <c r="C704" s="659">
        <v>3</v>
      </c>
      <c r="D704" s="549" t="s">
        <v>1493</v>
      </c>
      <c r="E704" s="660" t="s">
        <v>502</v>
      </c>
      <c r="F704" s="551" t="s">
        <v>512</v>
      </c>
      <c r="G704" s="649" t="s">
        <v>1368</v>
      </c>
      <c r="H704" s="647" t="str">
        <f t="shared" si="100"/>
        <v>niet van toepassing</v>
      </c>
      <c r="I704" s="719" t="s">
        <v>106</v>
      </c>
      <c r="J704" s="623"/>
      <c r="K704" s="623"/>
      <c r="L704" s="668" t="s">
        <v>27</v>
      </c>
      <c r="M704" s="557">
        <f t="shared" si="104"/>
        <v>0</v>
      </c>
      <c r="N704" s="453"/>
      <c r="O704" s="557">
        <f t="shared" si="105"/>
        <v>0</v>
      </c>
      <c r="P704" s="633">
        <v>1</v>
      </c>
      <c r="Q704" s="776">
        <f t="shared" si="106"/>
        <v>0</v>
      </c>
      <c r="R704" s="776">
        <f t="shared" si="107"/>
        <v>0</v>
      </c>
      <c r="S704" s="552">
        <f t="shared" si="108"/>
        <v>0</v>
      </c>
      <c r="T704" s="626">
        <f t="shared" si="101"/>
        <v>0</v>
      </c>
      <c r="U704" s="626">
        <f t="shared" si="102"/>
        <v>0</v>
      </c>
      <c r="V704" s="553">
        <f t="shared" si="103"/>
        <v>0</v>
      </c>
      <c r="W704" s="554">
        <f t="shared" si="109"/>
        <v>0</v>
      </c>
      <c r="X704" s="454" t="s">
        <v>1489</v>
      </c>
      <c r="Y704" s="631">
        <f>IF(Q704=0,0,(Q704+R704)*'1.0-Contractblad'!$L$98)</f>
        <v>0</v>
      </c>
      <c r="Z704" s="632">
        <f>IF(J704=0,0,VLOOKUP(D704,'1.1a-Jaarprijzen'!$B$70:$P$124,14,FALSE)*(K704+J704))</f>
        <v>0</v>
      </c>
    </row>
    <row r="705" spans="1:26" hidden="1">
      <c r="A705" s="558"/>
      <c r="B705" s="548"/>
      <c r="C705" s="659">
        <v>3</v>
      </c>
      <c r="D705" s="549" t="s">
        <v>1493</v>
      </c>
      <c r="E705" s="660" t="s">
        <v>502</v>
      </c>
      <c r="F705" s="551" t="s">
        <v>1132</v>
      </c>
      <c r="G705" s="649" t="s">
        <v>1368</v>
      </c>
      <c r="H705" s="647" t="str">
        <f t="shared" si="100"/>
        <v>niet van toepassing</v>
      </c>
      <c r="I705" s="719" t="s">
        <v>106</v>
      </c>
      <c r="J705" s="623"/>
      <c r="K705" s="623"/>
      <c r="L705" s="668" t="s">
        <v>27</v>
      </c>
      <c r="M705" s="557">
        <f t="shared" si="104"/>
        <v>0</v>
      </c>
      <c r="N705" s="453"/>
      <c r="O705" s="557">
        <f t="shared" si="105"/>
        <v>0</v>
      </c>
      <c r="P705" s="633">
        <v>1</v>
      </c>
      <c r="Q705" s="776">
        <f t="shared" si="106"/>
        <v>0</v>
      </c>
      <c r="R705" s="776">
        <f t="shared" si="107"/>
        <v>0</v>
      </c>
      <c r="S705" s="552">
        <f t="shared" si="108"/>
        <v>0</v>
      </c>
      <c r="T705" s="626">
        <f t="shared" si="101"/>
        <v>0</v>
      </c>
      <c r="U705" s="626">
        <f t="shared" si="102"/>
        <v>0</v>
      </c>
      <c r="V705" s="553">
        <f t="shared" si="103"/>
        <v>0</v>
      </c>
      <c r="W705" s="554">
        <f t="shared" si="109"/>
        <v>0</v>
      </c>
      <c r="X705" s="454" t="s">
        <v>1489</v>
      </c>
      <c r="Y705" s="631">
        <f>IF(Q705=0,0,(Q705+R705)*'1.0-Contractblad'!$L$98)</f>
        <v>0</v>
      </c>
      <c r="Z705" s="632">
        <f>IF(J705=0,0,VLOOKUP(D705,'1.1a-Jaarprijzen'!$B$70:$P$124,14,FALSE)*(K705+J705))</f>
        <v>0</v>
      </c>
    </row>
    <row r="706" spans="1:26" hidden="1">
      <c r="A706" s="558"/>
      <c r="B706" s="548"/>
      <c r="C706" s="659">
        <v>3</v>
      </c>
      <c r="D706" s="549" t="s">
        <v>1493</v>
      </c>
      <c r="E706" s="660" t="s">
        <v>502</v>
      </c>
      <c r="F706" s="551" t="s">
        <v>1133</v>
      </c>
      <c r="G706" s="649" t="s">
        <v>1368</v>
      </c>
      <c r="H706" s="647" t="str">
        <f t="shared" si="100"/>
        <v>niet van toepassing</v>
      </c>
      <c r="I706" s="719" t="s">
        <v>106</v>
      </c>
      <c r="J706" s="623"/>
      <c r="K706" s="623"/>
      <c r="L706" s="668" t="s">
        <v>27</v>
      </c>
      <c r="M706" s="557">
        <f t="shared" si="104"/>
        <v>0</v>
      </c>
      <c r="N706" s="453"/>
      <c r="O706" s="557">
        <f t="shared" si="105"/>
        <v>0</v>
      </c>
      <c r="P706" s="633">
        <v>1</v>
      </c>
      <c r="Q706" s="776">
        <f t="shared" si="106"/>
        <v>0</v>
      </c>
      <c r="R706" s="776">
        <f t="shared" si="107"/>
        <v>0</v>
      </c>
      <c r="S706" s="552">
        <f t="shared" si="108"/>
        <v>0</v>
      </c>
      <c r="T706" s="626">
        <f t="shared" si="101"/>
        <v>0</v>
      </c>
      <c r="U706" s="626">
        <f t="shared" si="102"/>
        <v>0</v>
      </c>
      <c r="V706" s="553">
        <f t="shared" si="103"/>
        <v>0</v>
      </c>
      <c r="W706" s="554">
        <f t="shared" si="109"/>
        <v>0</v>
      </c>
      <c r="X706" s="454" t="s">
        <v>1489</v>
      </c>
      <c r="Y706" s="631">
        <f>IF(Q706=0,0,(Q706+R706)*'1.0-Contractblad'!$L$98)</f>
        <v>0</v>
      </c>
      <c r="Z706" s="632">
        <f>IF(J706=0,0,VLOOKUP(D706,'1.1a-Jaarprijzen'!$B$70:$P$124,14,FALSE)*(K706+J706))</f>
        <v>0</v>
      </c>
    </row>
    <row r="707" spans="1:26" hidden="1">
      <c r="A707" s="558"/>
      <c r="B707" s="548"/>
      <c r="C707" s="659">
        <v>3</v>
      </c>
      <c r="D707" s="549" t="s">
        <v>1493</v>
      </c>
      <c r="E707" s="660" t="s">
        <v>502</v>
      </c>
      <c r="F707" s="551" t="s">
        <v>1134</v>
      </c>
      <c r="G707" s="649" t="s">
        <v>1371</v>
      </c>
      <c r="H707" s="647" t="str">
        <f t="shared" ref="H707:H770" si="110">IF(L707="","",VLOOKUP(L707,Kengetal,4,FALSE))</f>
        <v>entree, gang, hal, repro, kopieer, was/droogruimte</v>
      </c>
      <c r="I707" s="719" t="s">
        <v>106</v>
      </c>
      <c r="J707" s="623">
        <v>65.3</v>
      </c>
      <c r="K707" s="623"/>
      <c r="L707" s="651">
        <v>3153</v>
      </c>
      <c r="M707" s="557">
        <f t="shared" si="104"/>
        <v>103</v>
      </c>
      <c r="N707" s="453"/>
      <c r="O707" s="557">
        <f t="shared" si="105"/>
        <v>153</v>
      </c>
      <c r="P707" s="633">
        <v>1</v>
      </c>
      <c r="Q707" s="776">
        <f t="shared" si="106"/>
        <v>0</v>
      </c>
      <c r="R707" s="776">
        <f t="shared" si="107"/>
        <v>0</v>
      </c>
      <c r="S707" s="552">
        <f t="shared" si="108"/>
        <v>0</v>
      </c>
      <c r="T707" s="626">
        <f t="shared" si="101"/>
        <v>0</v>
      </c>
      <c r="U707" s="626">
        <f t="shared" si="102"/>
        <v>0</v>
      </c>
      <c r="V707" s="553">
        <f t="shared" si="103"/>
        <v>0</v>
      </c>
      <c r="W707" s="554" t="str">
        <f t="shared" si="109"/>
        <v>V</v>
      </c>
      <c r="X707" s="454" t="s">
        <v>1489</v>
      </c>
      <c r="Y707" s="631">
        <f>IF(Q707=0,0,(Q707+R707)*'1.0-Contractblad'!$L$98)</f>
        <v>0</v>
      </c>
      <c r="Z707" s="632">
        <f ca="1">IF(J707=0,0,VLOOKUP(D707,'1.1a-Jaarprijzen'!$B$70:$P$124,14,FALSE)*(K707+J707))</f>
        <v>0</v>
      </c>
    </row>
    <row r="708" spans="1:26" hidden="1">
      <c r="A708" s="558"/>
      <c r="B708" s="548"/>
      <c r="C708" s="659">
        <v>3</v>
      </c>
      <c r="D708" s="549" t="s">
        <v>1493</v>
      </c>
      <c r="E708" s="660" t="s">
        <v>502</v>
      </c>
      <c r="F708" s="551" t="s">
        <v>1135</v>
      </c>
      <c r="G708" s="649" t="s">
        <v>1216</v>
      </c>
      <c r="H708" s="647" t="str">
        <f t="shared" si="110"/>
        <v>sanitaire ruimte (toilet-/doucheruimte)</v>
      </c>
      <c r="I708" s="719" t="s">
        <v>1402</v>
      </c>
      <c r="J708" s="623">
        <v>1.6</v>
      </c>
      <c r="K708" s="623"/>
      <c r="L708" s="559">
        <v>4153</v>
      </c>
      <c r="M708" s="557">
        <f t="shared" si="104"/>
        <v>104</v>
      </c>
      <c r="N708" s="453"/>
      <c r="O708" s="557">
        <f t="shared" si="105"/>
        <v>153</v>
      </c>
      <c r="P708" s="633">
        <v>1</v>
      </c>
      <c r="Q708" s="776">
        <f t="shared" si="106"/>
        <v>0</v>
      </c>
      <c r="R708" s="776">
        <f t="shared" si="107"/>
        <v>0</v>
      </c>
      <c r="S708" s="552">
        <f t="shared" si="108"/>
        <v>0</v>
      </c>
      <c r="T708" s="626">
        <f t="shared" ref="T708:T771" si="111">VLOOKUP($L708,Kengetal,6,FALSE)</f>
        <v>0</v>
      </c>
      <c r="U708" s="626">
        <f t="shared" ref="U708:U771" si="112">VLOOKUP($L708,Kengetal,7,FALSE)</f>
        <v>0</v>
      </c>
      <c r="V708" s="553">
        <f t="shared" ref="V708:V771" si="113">VLOOKUP($N708,Kengetal,7,FALSE)</f>
        <v>0</v>
      </c>
      <c r="W708" s="554" t="str">
        <f t="shared" si="109"/>
        <v>S</v>
      </c>
      <c r="X708" s="454" t="s">
        <v>1489</v>
      </c>
      <c r="Y708" s="631">
        <f>IF(Q708=0,0,(Q708+R708)*'1.0-Contractblad'!$L$98)</f>
        <v>0</v>
      </c>
      <c r="Z708" s="632">
        <f ca="1">IF(J708=0,0,VLOOKUP(D708,'1.1a-Jaarprijzen'!$B$70:$P$124,14,FALSE)*(K708+J708))</f>
        <v>0</v>
      </c>
    </row>
    <row r="709" spans="1:26" hidden="1">
      <c r="A709" s="558"/>
      <c r="B709" s="548"/>
      <c r="C709" s="659">
        <v>3</v>
      </c>
      <c r="D709" s="549" t="s">
        <v>1493</v>
      </c>
      <c r="E709" s="660" t="s">
        <v>502</v>
      </c>
      <c r="F709" s="551" t="s">
        <v>1136</v>
      </c>
      <c r="G709" s="649" t="s">
        <v>1372</v>
      </c>
      <c r="H709" s="647" t="str">
        <f t="shared" si="110"/>
        <v>entree, gang, hal, repro, kopieer, was/droogruimte</v>
      </c>
      <c r="I709" s="719" t="s">
        <v>106</v>
      </c>
      <c r="J709" s="623">
        <v>1.9</v>
      </c>
      <c r="K709" s="623"/>
      <c r="L709" s="559">
        <v>3102</v>
      </c>
      <c r="M709" s="557">
        <f t="shared" ref="M709:M772" si="114">VLOOKUP(L709,Kengetal,2,FALSE)</f>
        <v>103</v>
      </c>
      <c r="N709" s="453"/>
      <c r="O709" s="557">
        <f t="shared" ref="O709:O772" si="115">VLOOKUP(L709,Kengetal,3,FALSE)</f>
        <v>102</v>
      </c>
      <c r="P709" s="633">
        <v>1</v>
      </c>
      <c r="Q709" s="776">
        <f t="shared" ref="Q709:Q772" si="116">T709*J709*P709</f>
        <v>0</v>
      </c>
      <c r="R709" s="776">
        <f t="shared" ref="R709:R772" si="117">U709*J709*P709</f>
        <v>0</v>
      </c>
      <c r="S709" s="552">
        <f t="shared" ref="S709:S772" si="118">V709*J709*P709</f>
        <v>0</v>
      </c>
      <c r="T709" s="626">
        <f t="shared" si="111"/>
        <v>0</v>
      </c>
      <c r="U709" s="626">
        <f t="shared" si="112"/>
        <v>0</v>
      </c>
      <c r="V709" s="553">
        <f t="shared" si="113"/>
        <v>0</v>
      </c>
      <c r="W709" s="554" t="str">
        <f t="shared" ref="W709:W772" si="119">IF(L709="","",VLOOKUP(L709,Kengetal,14,FALSE))</f>
        <v>V</v>
      </c>
      <c r="X709" s="454" t="s">
        <v>1489</v>
      </c>
      <c r="Y709" s="631">
        <f>IF(Q709=0,0,(Q709+R709)*'1.0-Contractblad'!$L$98)</f>
        <v>0</v>
      </c>
      <c r="Z709" s="632">
        <f ca="1">IF(J709=0,0,VLOOKUP(D709,'1.1a-Jaarprijzen'!$B$70:$P$124,14,FALSE)*(K709+J709))</f>
        <v>0</v>
      </c>
    </row>
    <row r="710" spans="1:26" hidden="1">
      <c r="A710" s="558"/>
      <c r="B710" s="548"/>
      <c r="C710" s="659">
        <v>3</v>
      </c>
      <c r="D710" s="549" t="s">
        <v>1493</v>
      </c>
      <c r="E710" s="550" t="s">
        <v>502</v>
      </c>
      <c r="F710" s="551" t="s">
        <v>1137</v>
      </c>
      <c r="G710" s="649" t="s">
        <v>1235</v>
      </c>
      <c r="H710" s="647" t="str">
        <f t="shared" si="110"/>
        <v>niet van toepassing</v>
      </c>
      <c r="I710" s="719"/>
      <c r="J710" s="623"/>
      <c r="K710" s="623"/>
      <c r="L710" s="668" t="s">
        <v>27</v>
      </c>
      <c r="M710" s="557">
        <f t="shared" si="114"/>
        <v>0</v>
      </c>
      <c r="N710" s="453"/>
      <c r="O710" s="557">
        <f t="shared" si="115"/>
        <v>0</v>
      </c>
      <c r="P710" s="633">
        <v>1</v>
      </c>
      <c r="Q710" s="776">
        <f t="shared" si="116"/>
        <v>0</v>
      </c>
      <c r="R710" s="776">
        <f t="shared" si="117"/>
        <v>0</v>
      </c>
      <c r="S710" s="552">
        <f t="shared" si="118"/>
        <v>0</v>
      </c>
      <c r="T710" s="626">
        <f t="shared" si="111"/>
        <v>0</v>
      </c>
      <c r="U710" s="626">
        <f t="shared" si="112"/>
        <v>0</v>
      </c>
      <c r="V710" s="553">
        <f t="shared" si="113"/>
        <v>0</v>
      </c>
      <c r="W710" s="554">
        <f t="shared" si="119"/>
        <v>0</v>
      </c>
      <c r="X710" s="454" t="s">
        <v>1489</v>
      </c>
      <c r="Y710" s="631">
        <f>IF(Q710=0,0,(Q710+R710)*'1.0-Contractblad'!$L$98)</f>
        <v>0</v>
      </c>
      <c r="Z710" s="632">
        <f>IF(J710=0,0,VLOOKUP(D710,'1.1a-Jaarprijzen'!$B$70:$P$124,14,FALSE)*(K710+J710))</f>
        <v>0</v>
      </c>
    </row>
    <row r="711" spans="1:26" hidden="1">
      <c r="A711" s="558"/>
      <c r="B711" s="548"/>
      <c r="C711" s="659">
        <v>3</v>
      </c>
      <c r="D711" s="549" t="s">
        <v>1493</v>
      </c>
      <c r="E711" s="550" t="s">
        <v>502</v>
      </c>
      <c r="F711" s="551" t="s">
        <v>1138</v>
      </c>
      <c r="G711" s="649" t="s">
        <v>1275</v>
      </c>
      <c r="H711" s="647" t="str">
        <f t="shared" si="110"/>
        <v>administratieve -, personeels- en vergaderruimte</v>
      </c>
      <c r="I711" s="719" t="s">
        <v>106</v>
      </c>
      <c r="J711" s="623">
        <v>9.8000000000000007</v>
      </c>
      <c r="K711" s="623"/>
      <c r="L711" s="651">
        <v>1153</v>
      </c>
      <c r="M711" s="557">
        <f t="shared" si="114"/>
        <v>101</v>
      </c>
      <c r="N711" s="453"/>
      <c r="O711" s="557">
        <f t="shared" si="115"/>
        <v>153</v>
      </c>
      <c r="P711" s="633">
        <v>1</v>
      </c>
      <c r="Q711" s="776">
        <f t="shared" si="116"/>
        <v>0</v>
      </c>
      <c r="R711" s="776">
        <f t="shared" si="117"/>
        <v>0</v>
      </c>
      <c r="S711" s="552">
        <f t="shared" si="118"/>
        <v>0</v>
      </c>
      <c r="T711" s="626">
        <f t="shared" si="111"/>
        <v>0</v>
      </c>
      <c r="U711" s="626">
        <f t="shared" si="112"/>
        <v>0</v>
      </c>
      <c r="V711" s="553">
        <f t="shared" si="113"/>
        <v>0</v>
      </c>
      <c r="W711" s="554" t="str">
        <f t="shared" si="119"/>
        <v>B</v>
      </c>
      <c r="X711" s="454" t="s">
        <v>1489</v>
      </c>
      <c r="Y711" s="631">
        <f>IF(Q711=0,0,(Q711+R711)*'1.0-Contractblad'!$L$98)</f>
        <v>0</v>
      </c>
      <c r="Z711" s="632">
        <f ca="1">IF(J711=0,0,VLOOKUP(D711,'1.1a-Jaarprijzen'!$B$70:$P$124,14,FALSE)*(K711+J711))</f>
        <v>0</v>
      </c>
    </row>
    <row r="712" spans="1:26" hidden="1">
      <c r="A712" s="558"/>
      <c r="B712" s="548"/>
      <c r="C712" s="659">
        <v>3</v>
      </c>
      <c r="D712" s="549" t="s">
        <v>1493</v>
      </c>
      <c r="E712" s="550" t="s">
        <v>502</v>
      </c>
      <c r="F712" s="551" t="s">
        <v>1139</v>
      </c>
      <c r="G712" s="649" t="s">
        <v>1235</v>
      </c>
      <c r="H712" s="647" t="str">
        <f t="shared" si="110"/>
        <v>niet van toepassing</v>
      </c>
      <c r="I712" s="719"/>
      <c r="J712" s="623"/>
      <c r="K712" s="623"/>
      <c r="L712" s="668" t="s">
        <v>27</v>
      </c>
      <c r="M712" s="557">
        <f t="shared" si="114"/>
        <v>0</v>
      </c>
      <c r="N712" s="453"/>
      <c r="O712" s="557">
        <f t="shared" si="115"/>
        <v>0</v>
      </c>
      <c r="P712" s="633">
        <v>1</v>
      </c>
      <c r="Q712" s="776">
        <f t="shared" si="116"/>
        <v>0</v>
      </c>
      <c r="R712" s="776">
        <f t="shared" si="117"/>
        <v>0</v>
      </c>
      <c r="S712" s="552">
        <f t="shared" si="118"/>
        <v>0</v>
      </c>
      <c r="T712" s="626">
        <f t="shared" si="111"/>
        <v>0</v>
      </c>
      <c r="U712" s="626">
        <f t="shared" si="112"/>
        <v>0</v>
      </c>
      <c r="V712" s="553">
        <f t="shared" si="113"/>
        <v>0</v>
      </c>
      <c r="W712" s="554">
        <f t="shared" si="119"/>
        <v>0</v>
      </c>
      <c r="X712" s="454" t="s">
        <v>1489</v>
      </c>
      <c r="Y712" s="631">
        <f>IF(Q712=0,0,(Q712+R712)*'1.0-Contractblad'!$L$98)</f>
        <v>0</v>
      </c>
      <c r="Z712" s="632">
        <f>IF(J712=0,0,VLOOKUP(D712,'1.1a-Jaarprijzen'!$B$70:$P$124,14,FALSE)*(K712+J712))</f>
        <v>0</v>
      </c>
    </row>
    <row r="713" spans="1:26">
      <c r="A713" s="558"/>
      <c r="B713" s="548"/>
      <c r="C713" s="659">
        <v>3</v>
      </c>
      <c r="D713" s="549" t="s">
        <v>1493</v>
      </c>
      <c r="E713" s="550" t="s">
        <v>502</v>
      </c>
      <c r="F713" s="551" t="s">
        <v>1140</v>
      </c>
      <c r="G713" s="649" t="s">
        <v>1359</v>
      </c>
      <c r="H713" s="647" t="str">
        <f t="shared" si="110"/>
        <v>aula, gemeenschappelijke ruimte, bibliotheek</v>
      </c>
      <c r="I713" s="719" t="s">
        <v>106</v>
      </c>
      <c r="J713" s="623">
        <v>62.3</v>
      </c>
      <c r="K713" s="623"/>
      <c r="L713" s="559">
        <v>2153</v>
      </c>
      <c r="M713" s="557">
        <f t="shared" si="114"/>
        <v>102</v>
      </c>
      <c r="N713" s="453"/>
      <c r="O713" s="557">
        <f t="shared" si="115"/>
        <v>153</v>
      </c>
      <c r="P713" s="633">
        <v>1</v>
      </c>
      <c r="Q713" s="776">
        <f t="shared" si="116"/>
        <v>0</v>
      </c>
      <c r="R713" s="776">
        <f t="shared" si="117"/>
        <v>0</v>
      </c>
      <c r="S713" s="552">
        <f t="shared" si="118"/>
        <v>0</v>
      </c>
      <c r="T713" s="626">
        <f t="shared" si="111"/>
        <v>0</v>
      </c>
      <c r="U713" s="626">
        <f t="shared" si="112"/>
        <v>0</v>
      </c>
      <c r="V713" s="553">
        <f t="shared" si="113"/>
        <v>0</v>
      </c>
      <c r="W713" s="554" t="str">
        <f t="shared" si="119"/>
        <v>V</v>
      </c>
      <c r="X713" s="454" t="s">
        <v>1489</v>
      </c>
      <c r="Y713" s="631">
        <f>IF(Q713=0,0,(Q713+R713)*'1.0-Contractblad'!$L$98)</f>
        <v>0</v>
      </c>
      <c r="Z713" s="632">
        <f ca="1">IF(J713=0,0,VLOOKUP(D713,'1.1a-Jaarprijzen'!$B$70:$P$124,14,FALSE)*(K713+J713))</f>
        <v>0</v>
      </c>
    </row>
    <row r="714" spans="1:26" hidden="1">
      <c r="A714" s="558"/>
      <c r="B714" s="548"/>
      <c r="C714" s="659">
        <v>3</v>
      </c>
      <c r="D714" s="549" t="s">
        <v>1493</v>
      </c>
      <c r="E714" s="550" t="s">
        <v>502</v>
      </c>
      <c r="F714" s="551" t="s">
        <v>1141</v>
      </c>
      <c r="G714" s="649" t="s">
        <v>1276</v>
      </c>
      <c r="H714" s="647" t="str">
        <f t="shared" si="110"/>
        <v>Keuken</v>
      </c>
      <c r="I714" s="719" t="s">
        <v>106</v>
      </c>
      <c r="J714" s="623">
        <v>2.5</v>
      </c>
      <c r="K714" s="623"/>
      <c r="L714" s="559">
        <v>18153</v>
      </c>
      <c r="M714" s="557" t="str">
        <f t="shared" si="114"/>
        <v>nvt</v>
      </c>
      <c r="N714" s="453"/>
      <c r="O714" s="557">
        <f t="shared" si="115"/>
        <v>153</v>
      </c>
      <c r="P714" s="633">
        <v>1</v>
      </c>
      <c r="Q714" s="776">
        <f t="shared" si="116"/>
        <v>0</v>
      </c>
      <c r="R714" s="776">
        <f t="shared" si="117"/>
        <v>0</v>
      </c>
      <c r="S714" s="552">
        <f t="shared" si="118"/>
        <v>0</v>
      </c>
      <c r="T714" s="626">
        <f t="shared" si="111"/>
        <v>0</v>
      </c>
      <c r="U714" s="626">
        <f t="shared" si="112"/>
        <v>0</v>
      </c>
      <c r="V714" s="553">
        <f t="shared" si="113"/>
        <v>0</v>
      </c>
      <c r="W714" s="554" t="str">
        <f t="shared" si="119"/>
        <v>V</v>
      </c>
      <c r="X714" s="454" t="s">
        <v>1489</v>
      </c>
      <c r="Y714" s="631">
        <f>IF(Q714=0,0,(Q714+R714)*'1.0-Contractblad'!$L$98)</f>
        <v>0</v>
      </c>
      <c r="Z714" s="632">
        <f ca="1">IF(J714=0,0,VLOOKUP(D714,'1.1a-Jaarprijzen'!$B$70:$P$124,14,FALSE)*(K714+J714))</f>
        <v>0</v>
      </c>
    </row>
    <row r="715" spans="1:26" hidden="1">
      <c r="A715" s="558"/>
      <c r="B715" s="548"/>
      <c r="C715" s="659">
        <v>3</v>
      </c>
      <c r="D715" s="549" t="s">
        <v>1493</v>
      </c>
      <c r="E715" s="550" t="s">
        <v>502</v>
      </c>
      <c r="F715" s="551" t="s">
        <v>1142</v>
      </c>
      <c r="G715" s="649" t="s">
        <v>1373</v>
      </c>
      <c r="H715" s="647" t="str">
        <f t="shared" si="110"/>
        <v>aula, gemeenschappelijke ruimte, bibliotheek</v>
      </c>
      <c r="I715" s="719" t="s">
        <v>106</v>
      </c>
      <c r="J715" s="623">
        <v>34.700000000000003</v>
      </c>
      <c r="K715" s="623"/>
      <c r="L715" s="653">
        <v>2153</v>
      </c>
      <c r="M715" s="557">
        <f t="shared" si="114"/>
        <v>102</v>
      </c>
      <c r="N715" s="453"/>
      <c r="O715" s="557">
        <f t="shared" si="115"/>
        <v>153</v>
      </c>
      <c r="P715" s="633">
        <v>1</v>
      </c>
      <c r="Q715" s="776">
        <f t="shared" si="116"/>
        <v>0</v>
      </c>
      <c r="R715" s="776">
        <f t="shared" si="117"/>
        <v>0</v>
      </c>
      <c r="S715" s="552">
        <f t="shared" si="118"/>
        <v>0</v>
      </c>
      <c r="T715" s="626">
        <f t="shared" si="111"/>
        <v>0</v>
      </c>
      <c r="U715" s="626">
        <f t="shared" si="112"/>
        <v>0</v>
      </c>
      <c r="V715" s="553">
        <f t="shared" si="113"/>
        <v>0</v>
      </c>
      <c r="W715" s="554" t="str">
        <f t="shared" si="119"/>
        <v>V</v>
      </c>
      <c r="X715" s="454" t="s">
        <v>1489</v>
      </c>
      <c r="Y715" s="631">
        <f>IF(Q715=0,0,(Q715+R715)*'1.0-Contractblad'!$L$98)</f>
        <v>0</v>
      </c>
      <c r="Z715" s="632">
        <f ca="1">IF(J715=0,0,VLOOKUP(D715,'1.1a-Jaarprijzen'!$B$70:$P$124,14,FALSE)*(K715+J715))</f>
        <v>0</v>
      </c>
    </row>
    <row r="716" spans="1:26" hidden="1">
      <c r="A716" s="558"/>
      <c r="B716" s="548"/>
      <c r="C716" s="659">
        <v>3</v>
      </c>
      <c r="D716" s="549" t="s">
        <v>1493</v>
      </c>
      <c r="E716" s="550" t="s">
        <v>502</v>
      </c>
      <c r="F716" s="551" t="s">
        <v>1143</v>
      </c>
      <c r="G716" s="649" t="s">
        <v>1374</v>
      </c>
      <c r="H716" s="647" t="str">
        <f t="shared" si="110"/>
        <v>sanitaire ruimte (toilet-/doucheruimte)</v>
      </c>
      <c r="I716" s="719" t="s">
        <v>106</v>
      </c>
      <c r="J716" s="623">
        <v>6.2</v>
      </c>
      <c r="K716" s="623"/>
      <c r="L716" s="559">
        <v>4255</v>
      </c>
      <c r="M716" s="557">
        <f t="shared" si="114"/>
        <v>104</v>
      </c>
      <c r="N716" s="453"/>
      <c r="O716" s="557">
        <f t="shared" si="115"/>
        <v>255</v>
      </c>
      <c r="P716" s="633">
        <v>1</v>
      </c>
      <c r="Q716" s="776">
        <f t="shared" si="116"/>
        <v>0</v>
      </c>
      <c r="R716" s="776">
        <f t="shared" si="117"/>
        <v>0</v>
      </c>
      <c r="S716" s="552">
        <f t="shared" si="118"/>
        <v>0</v>
      </c>
      <c r="T716" s="626">
        <f t="shared" si="111"/>
        <v>0</v>
      </c>
      <c r="U716" s="626">
        <f t="shared" si="112"/>
        <v>0</v>
      </c>
      <c r="V716" s="553">
        <f t="shared" si="113"/>
        <v>0</v>
      </c>
      <c r="W716" s="554" t="str">
        <f t="shared" si="119"/>
        <v>S</v>
      </c>
      <c r="X716" s="454" t="s">
        <v>1489</v>
      </c>
      <c r="Y716" s="631">
        <f>IF(Q716=0,0,(Q716+R716)*'1.0-Contractblad'!$L$98)</f>
        <v>0</v>
      </c>
      <c r="Z716" s="632">
        <f ca="1">IF(J716=0,0,VLOOKUP(D716,'1.1a-Jaarprijzen'!$B$70:$P$124,14,FALSE)*(K716+J716))</f>
        <v>0</v>
      </c>
    </row>
    <row r="717" spans="1:26" hidden="1">
      <c r="A717" s="558"/>
      <c r="B717" s="548"/>
      <c r="C717" s="659">
        <v>3</v>
      </c>
      <c r="D717" s="549" t="s">
        <v>1493</v>
      </c>
      <c r="E717" s="550" t="s">
        <v>502</v>
      </c>
      <c r="F717" s="551" t="s">
        <v>1144</v>
      </c>
      <c r="G717" s="649" t="s">
        <v>1216</v>
      </c>
      <c r="H717" s="647" t="str">
        <f t="shared" si="110"/>
        <v>sanitaire ruimte (toilet-/doucheruimte)</v>
      </c>
      <c r="I717" s="719" t="s">
        <v>1402</v>
      </c>
      <c r="J717" s="623">
        <v>2</v>
      </c>
      <c r="K717" s="623"/>
      <c r="L717" s="559">
        <v>4153</v>
      </c>
      <c r="M717" s="557">
        <f t="shared" si="114"/>
        <v>104</v>
      </c>
      <c r="N717" s="453"/>
      <c r="O717" s="557">
        <f t="shared" si="115"/>
        <v>153</v>
      </c>
      <c r="P717" s="633">
        <v>1</v>
      </c>
      <c r="Q717" s="776">
        <f t="shared" si="116"/>
        <v>0</v>
      </c>
      <c r="R717" s="776">
        <f t="shared" si="117"/>
        <v>0</v>
      </c>
      <c r="S717" s="552">
        <f t="shared" si="118"/>
        <v>0</v>
      </c>
      <c r="T717" s="626">
        <f t="shared" si="111"/>
        <v>0</v>
      </c>
      <c r="U717" s="626">
        <f t="shared" si="112"/>
        <v>0</v>
      </c>
      <c r="V717" s="553">
        <f t="shared" si="113"/>
        <v>0</v>
      </c>
      <c r="W717" s="554" t="str">
        <f t="shared" si="119"/>
        <v>S</v>
      </c>
      <c r="X717" s="454" t="s">
        <v>1489</v>
      </c>
      <c r="Y717" s="631">
        <f>IF(Q717=0,0,(Q717+R717)*'1.0-Contractblad'!$L$98)</f>
        <v>0</v>
      </c>
      <c r="Z717" s="632">
        <f ca="1">IF(J717=0,0,VLOOKUP(D717,'1.1a-Jaarprijzen'!$B$70:$P$124,14,FALSE)*(K717+J717))</f>
        <v>0</v>
      </c>
    </row>
    <row r="718" spans="1:26" hidden="1">
      <c r="A718" s="558"/>
      <c r="B718" s="548"/>
      <c r="C718" s="659">
        <v>3</v>
      </c>
      <c r="D718" s="549" t="s">
        <v>1493</v>
      </c>
      <c r="E718" s="550" t="s">
        <v>502</v>
      </c>
      <c r="F718" s="551" t="s">
        <v>1145</v>
      </c>
      <c r="G718" s="649" t="s">
        <v>1375</v>
      </c>
      <c r="H718" s="647" t="str">
        <f t="shared" si="110"/>
        <v>sanitaire ruimte (toilet-/doucheruimte)</v>
      </c>
      <c r="I718" s="719" t="s">
        <v>1402</v>
      </c>
      <c r="J718" s="623">
        <v>2</v>
      </c>
      <c r="K718" s="623"/>
      <c r="L718" s="559">
        <v>4255</v>
      </c>
      <c r="M718" s="557">
        <f t="shared" si="114"/>
        <v>104</v>
      </c>
      <c r="N718" s="453"/>
      <c r="O718" s="557">
        <f t="shared" si="115"/>
        <v>255</v>
      </c>
      <c r="P718" s="633">
        <v>1</v>
      </c>
      <c r="Q718" s="776">
        <f t="shared" si="116"/>
        <v>0</v>
      </c>
      <c r="R718" s="776">
        <f t="shared" si="117"/>
        <v>0</v>
      </c>
      <c r="S718" s="552">
        <f t="shared" si="118"/>
        <v>0</v>
      </c>
      <c r="T718" s="626">
        <f t="shared" si="111"/>
        <v>0</v>
      </c>
      <c r="U718" s="626">
        <f t="shared" si="112"/>
        <v>0</v>
      </c>
      <c r="V718" s="553">
        <f t="shared" si="113"/>
        <v>0</v>
      </c>
      <c r="W718" s="554" t="str">
        <f t="shared" si="119"/>
        <v>S</v>
      </c>
      <c r="X718" s="454" t="s">
        <v>1489</v>
      </c>
      <c r="Y718" s="631">
        <f>IF(Q718=0,0,(Q718+R718)*'1.0-Contractblad'!$L$98)</f>
        <v>0</v>
      </c>
      <c r="Z718" s="632">
        <f ca="1">IF(J718=0,0,VLOOKUP(D718,'1.1a-Jaarprijzen'!$B$70:$P$124,14,FALSE)*(K718+J718))</f>
        <v>0</v>
      </c>
    </row>
    <row r="719" spans="1:26" hidden="1">
      <c r="A719" s="558"/>
      <c r="B719" s="548"/>
      <c r="C719" s="659">
        <v>3</v>
      </c>
      <c r="D719" s="549" t="s">
        <v>1493</v>
      </c>
      <c r="E719" s="550" t="s">
        <v>502</v>
      </c>
      <c r="F719" s="551" t="s">
        <v>1146</v>
      </c>
      <c r="G719" s="649" t="s">
        <v>1375</v>
      </c>
      <c r="H719" s="647" t="str">
        <f t="shared" si="110"/>
        <v>sanitaire ruimte (toilet-/doucheruimte)</v>
      </c>
      <c r="I719" s="719" t="s">
        <v>1402</v>
      </c>
      <c r="J719" s="623">
        <v>2</v>
      </c>
      <c r="K719" s="623"/>
      <c r="L719" s="559">
        <v>4255</v>
      </c>
      <c r="M719" s="557">
        <f t="shared" si="114"/>
        <v>104</v>
      </c>
      <c r="N719" s="453"/>
      <c r="O719" s="557">
        <f t="shared" si="115"/>
        <v>255</v>
      </c>
      <c r="P719" s="633">
        <v>1</v>
      </c>
      <c r="Q719" s="776">
        <f t="shared" si="116"/>
        <v>0</v>
      </c>
      <c r="R719" s="776">
        <f t="shared" si="117"/>
        <v>0</v>
      </c>
      <c r="S719" s="552">
        <f t="shared" si="118"/>
        <v>0</v>
      </c>
      <c r="T719" s="626">
        <f t="shared" si="111"/>
        <v>0</v>
      </c>
      <c r="U719" s="626">
        <f t="shared" si="112"/>
        <v>0</v>
      </c>
      <c r="V719" s="553">
        <f t="shared" si="113"/>
        <v>0</v>
      </c>
      <c r="W719" s="554" t="str">
        <f t="shared" si="119"/>
        <v>S</v>
      </c>
      <c r="X719" s="454" t="s">
        <v>1489</v>
      </c>
      <c r="Y719" s="631">
        <f>IF(Q719=0,0,(Q719+R719)*'1.0-Contractblad'!$L$98)</f>
        <v>0</v>
      </c>
      <c r="Z719" s="632">
        <f ca="1">IF(J719=0,0,VLOOKUP(D719,'1.1a-Jaarprijzen'!$B$70:$P$124,14,FALSE)*(K719+J719))</f>
        <v>0</v>
      </c>
    </row>
    <row r="720" spans="1:26" hidden="1">
      <c r="A720" s="558"/>
      <c r="B720" s="548"/>
      <c r="C720" s="659">
        <v>3</v>
      </c>
      <c r="D720" s="549" t="s">
        <v>1493</v>
      </c>
      <c r="E720" s="550" t="s">
        <v>502</v>
      </c>
      <c r="F720" s="551" t="s">
        <v>1147</v>
      </c>
      <c r="G720" s="649" t="s">
        <v>1375</v>
      </c>
      <c r="H720" s="647" t="str">
        <f t="shared" si="110"/>
        <v>sanitaire ruimte (toilet-/doucheruimte)</v>
      </c>
      <c r="I720" s="719" t="s">
        <v>1402</v>
      </c>
      <c r="J720" s="623">
        <v>2</v>
      </c>
      <c r="K720" s="623"/>
      <c r="L720" s="559">
        <v>4255</v>
      </c>
      <c r="M720" s="557">
        <f t="shared" si="114"/>
        <v>104</v>
      </c>
      <c r="N720" s="453"/>
      <c r="O720" s="557">
        <f t="shared" si="115"/>
        <v>255</v>
      </c>
      <c r="P720" s="633">
        <v>1</v>
      </c>
      <c r="Q720" s="776">
        <f t="shared" si="116"/>
        <v>0</v>
      </c>
      <c r="R720" s="776">
        <f t="shared" si="117"/>
        <v>0</v>
      </c>
      <c r="S720" s="552">
        <f t="shared" si="118"/>
        <v>0</v>
      </c>
      <c r="T720" s="626">
        <f t="shared" si="111"/>
        <v>0</v>
      </c>
      <c r="U720" s="626">
        <f t="shared" si="112"/>
        <v>0</v>
      </c>
      <c r="V720" s="553">
        <f t="shared" si="113"/>
        <v>0</v>
      </c>
      <c r="W720" s="554" t="str">
        <f t="shared" si="119"/>
        <v>S</v>
      </c>
      <c r="X720" s="454" t="s">
        <v>1489</v>
      </c>
      <c r="Y720" s="631">
        <f>IF(Q720=0,0,(Q720+R720)*'1.0-Contractblad'!$L$98)</f>
        <v>0</v>
      </c>
      <c r="Z720" s="632">
        <f ca="1">IF(J720=0,0,VLOOKUP(D720,'1.1a-Jaarprijzen'!$B$70:$P$124,14,FALSE)*(K720+J720))</f>
        <v>0</v>
      </c>
    </row>
    <row r="721" spans="1:26" hidden="1">
      <c r="A721" s="558"/>
      <c r="B721" s="548"/>
      <c r="C721" s="659">
        <v>3</v>
      </c>
      <c r="D721" s="549" t="s">
        <v>1493</v>
      </c>
      <c r="E721" s="550" t="s">
        <v>502</v>
      </c>
      <c r="F721" s="551" t="s">
        <v>1148</v>
      </c>
      <c r="G721" s="649" t="s">
        <v>1375</v>
      </c>
      <c r="H721" s="647" t="str">
        <f t="shared" si="110"/>
        <v>sanitaire ruimte (toilet-/doucheruimte)</v>
      </c>
      <c r="I721" s="719" t="s">
        <v>1402</v>
      </c>
      <c r="J721" s="623">
        <v>2</v>
      </c>
      <c r="K721" s="623"/>
      <c r="L721" s="559">
        <v>4255</v>
      </c>
      <c r="M721" s="557">
        <f t="shared" si="114"/>
        <v>104</v>
      </c>
      <c r="N721" s="453"/>
      <c r="O721" s="557">
        <f t="shared" si="115"/>
        <v>255</v>
      </c>
      <c r="P721" s="633">
        <v>1</v>
      </c>
      <c r="Q721" s="776">
        <f t="shared" si="116"/>
        <v>0</v>
      </c>
      <c r="R721" s="776">
        <f t="shared" si="117"/>
        <v>0</v>
      </c>
      <c r="S721" s="552">
        <f t="shared" si="118"/>
        <v>0</v>
      </c>
      <c r="T721" s="626">
        <f t="shared" si="111"/>
        <v>0</v>
      </c>
      <c r="U721" s="626">
        <f t="shared" si="112"/>
        <v>0</v>
      </c>
      <c r="V721" s="553">
        <f t="shared" si="113"/>
        <v>0</v>
      </c>
      <c r="W721" s="554" t="str">
        <f t="shared" si="119"/>
        <v>S</v>
      </c>
      <c r="X721" s="454" t="s">
        <v>1489</v>
      </c>
      <c r="Y721" s="631">
        <f>IF(Q721=0,0,(Q721+R721)*'1.0-Contractblad'!$L$98)</f>
        <v>0</v>
      </c>
      <c r="Z721" s="632">
        <f ca="1">IF(J721=0,0,VLOOKUP(D721,'1.1a-Jaarprijzen'!$B$70:$P$124,14,FALSE)*(K721+J721))</f>
        <v>0</v>
      </c>
    </row>
    <row r="722" spans="1:26" hidden="1">
      <c r="A722" s="558"/>
      <c r="B722" s="548"/>
      <c r="C722" s="659">
        <v>3</v>
      </c>
      <c r="D722" s="549" t="s">
        <v>1493</v>
      </c>
      <c r="E722" s="550" t="s">
        <v>502</v>
      </c>
      <c r="F722" s="551" t="s">
        <v>1149</v>
      </c>
      <c r="G722" s="649" t="s">
        <v>1216</v>
      </c>
      <c r="H722" s="647" t="str">
        <f t="shared" si="110"/>
        <v>sanitaire ruimte (toilet-/doucheruimte)</v>
      </c>
      <c r="I722" s="719" t="s">
        <v>1402</v>
      </c>
      <c r="J722" s="623">
        <v>1.8</v>
      </c>
      <c r="K722" s="623"/>
      <c r="L722" s="559">
        <v>4153</v>
      </c>
      <c r="M722" s="557">
        <f t="shared" si="114"/>
        <v>104</v>
      </c>
      <c r="N722" s="453"/>
      <c r="O722" s="557">
        <f t="shared" si="115"/>
        <v>153</v>
      </c>
      <c r="P722" s="633">
        <v>1</v>
      </c>
      <c r="Q722" s="776">
        <f t="shared" si="116"/>
        <v>0</v>
      </c>
      <c r="R722" s="776">
        <f t="shared" si="117"/>
        <v>0</v>
      </c>
      <c r="S722" s="552">
        <f t="shared" si="118"/>
        <v>0</v>
      </c>
      <c r="T722" s="626">
        <f t="shared" si="111"/>
        <v>0</v>
      </c>
      <c r="U722" s="626">
        <f t="shared" si="112"/>
        <v>0</v>
      </c>
      <c r="V722" s="553">
        <f t="shared" si="113"/>
        <v>0</v>
      </c>
      <c r="W722" s="554" t="str">
        <f t="shared" si="119"/>
        <v>S</v>
      </c>
      <c r="X722" s="454" t="s">
        <v>1489</v>
      </c>
      <c r="Y722" s="631">
        <f>IF(Q722=0,0,(Q722+R722)*'1.0-Contractblad'!$L$98)</f>
        <v>0</v>
      </c>
      <c r="Z722" s="632">
        <f ca="1">IF(J722=0,0,VLOOKUP(D722,'1.1a-Jaarprijzen'!$B$70:$P$124,14,FALSE)*(K722+J722))</f>
        <v>0</v>
      </c>
    </row>
    <row r="723" spans="1:26" hidden="1">
      <c r="A723" s="558"/>
      <c r="B723" s="548"/>
      <c r="C723" s="659">
        <v>3</v>
      </c>
      <c r="D723" s="549" t="s">
        <v>1493</v>
      </c>
      <c r="E723" s="550" t="s">
        <v>502</v>
      </c>
      <c r="F723" s="551" t="s">
        <v>1150</v>
      </c>
      <c r="G723" s="649" t="s">
        <v>1242</v>
      </c>
      <c r="H723" s="647" t="str">
        <f t="shared" si="110"/>
        <v>niet van toepassing</v>
      </c>
      <c r="I723" s="719"/>
      <c r="J723" s="623"/>
      <c r="K723" s="623"/>
      <c r="L723" s="668" t="s">
        <v>27</v>
      </c>
      <c r="M723" s="557">
        <f t="shared" si="114"/>
        <v>0</v>
      </c>
      <c r="N723" s="453"/>
      <c r="O723" s="557">
        <f t="shared" si="115"/>
        <v>0</v>
      </c>
      <c r="P723" s="633">
        <v>1</v>
      </c>
      <c r="Q723" s="776">
        <f t="shared" si="116"/>
        <v>0</v>
      </c>
      <c r="R723" s="776">
        <f t="shared" si="117"/>
        <v>0</v>
      </c>
      <c r="S723" s="552">
        <f t="shared" si="118"/>
        <v>0</v>
      </c>
      <c r="T723" s="626">
        <f t="shared" si="111"/>
        <v>0</v>
      </c>
      <c r="U723" s="626">
        <f t="shared" si="112"/>
        <v>0</v>
      </c>
      <c r="V723" s="553">
        <f t="shared" si="113"/>
        <v>0</v>
      </c>
      <c r="W723" s="554">
        <f t="shared" si="119"/>
        <v>0</v>
      </c>
      <c r="X723" s="454" t="s">
        <v>1489</v>
      </c>
      <c r="Y723" s="631">
        <f>IF(Q723=0,0,(Q723+R723)*'1.0-Contractblad'!$L$98)</f>
        <v>0</v>
      </c>
      <c r="Z723" s="632">
        <f>IF(J723=0,0,VLOOKUP(D723,'1.1a-Jaarprijzen'!$B$70:$P$124,14,FALSE)*(K723+J723))</f>
        <v>0</v>
      </c>
    </row>
    <row r="724" spans="1:26" hidden="1">
      <c r="A724" s="558"/>
      <c r="B724" s="548"/>
      <c r="C724" s="659">
        <v>3</v>
      </c>
      <c r="D724" s="549" t="s">
        <v>1493</v>
      </c>
      <c r="E724" s="550" t="s">
        <v>502</v>
      </c>
      <c r="F724" s="551" t="s">
        <v>1151</v>
      </c>
      <c r="G724" s="649" t="s">
        <v>1235</v>
      </c>
      <c r="H724" s="647" t="str">
        <f t="shared" si="110"/>
        <v>niet van toepassing</v>
      </c>
      <c r="I724" s="719"/>
      <c r="J724" s="623"/>
      <c r="K724" s="623"/>
      <c r="L724" s="668" t="s">
        <v>27</v>
      </c>
      <c r="M724" s="557">
        <f t="shared" si="114"/>
        <v>0</v>
      </c>
      <c r="N724" s="453"/>
      <c r="O724" s="557">
        <f t="shared" si="115"/>
        <v>0</v>
      </c>
      <c r="P724" s="633">
        <v>1</v>
      </c>
      <c r="Q724" s="776">
        <f t="shared" si="116"/>
        <v>0</v>
      </c>
      <c r="R724" s="776">
        <f t="shared" si="117"/>
        <v>0</v>
      </c>
      <c r="S724" s="552">
        <f t="shared" si="118"/>
        <v>0</v>
      </c>
      <c r="T724" s="626">
        <f t="shared" si="111"/>
        <v>0</v>
      </c>
      <c r="U724" s="626">
        <f t="shared" si="112"/>
        <v>0</v>
      </c>
      <c r="V724" s="553">
        <f t="shared" si="113"/>
        <v>0</v>
      </c>
      <c r="W724" s="554">
        <f t="shared" si="119"/>
        <v>0</v>
      </c>
      <c r="X724" s="454" t="s">
        <v>1489</v>
      </c>
      <c r="Y724" s="631">
        <f>IF(Q724=0,0,(Q724+R724)*'1.0-Contractblad'!$L$98)</f>
        <v>0</v>
      </c>
      <c r="Z724" s="632">
        <f>IF(J724=0,0,VLOOKUP(D724,'1.1a-Jaarprijzen'!$B$70:$P$124,14,FALSE)*(K724+J724))</f>
        <v>0</v>
      </c>
    </row>
    <row r="725" spans="1:26" hidden="1">
      <c r="A725" s="558"/>
      <c r="B725" s="548"/>
      <c r="C725" s="659">
        <v>3</v>
      </c>
      <c r="D725" s="549" t="s">
        <v>1493</v>
      </c>
      <c r="E725" s="550" t="s">
        <v>502</v>
      </c>
      <c r="F725" s="551" t="s">
        <v>1152</v>
      </c>
      <c r="G725" s="649" t="s">
        <v>1368</v>
      </c>
      <c r="H725" s="647" t="str">
        <f t="shared" si="110"/>
        <v>niet van toepassing</v>
      </c>
      <c r="I725" s="719" t="s">
        <v>106</v>
      </c>
      <c r="J725" s="623"/>
      <c r="K725" s="623"/>
      <c r="L725" s="668" t="s">
        <v>27</v>
      </c>
      <c r="M725" s="557">
        <f t="shared" si="114"/>
        <v>0</v>
      </c>
      <c r="N725" s="453"/>
      <c r="O725" s="557">
        <f t="shared" si="115"/>
        <v>0</v>
      </c>
      <c r="P725" s="633">
        <v>1</v>
      </c>
      <c r="Q725" s="776">
        <f t="shared" si="116"/>
        <v>0</v>
      </c>
      <c r="R725" s="776">
        <f t="shared" si="117"/>
        <v>0</v>
      </c>
      <c r="S725" s="552">
        <f t="shared" si="118"/>
        <v>0</v>
      </c>
      <c r="T725" s="626">
        <f t="shared" si="111"/>
        <v>0</v>
      </c>
      <c r="U725" s="626">
        <f t="shared" si="112"/>
        <v>0</v>
      </c>
      <c r="V725" s="553">
        <f t="shared" si="113"/>
        <v>0</v>
      </c>
      <c r="W725" s="554">
        <f t="shared" si="119"/>
        <v>0</v>
      </c>
      <c r="X725" s="454" t="s">
        <v>1490</v>
      </c>
      <c r="Y725" s="631">
        <f>IF(Q725=0,0,(Q725+R725)*'1.0-Contractblad'!$L$98)</f>
        <v>0</v>
      </c>
      <c r="Z725" s="632">
        <f>IF(J725=0,0,VLOOKUP(D725,'1.1a-Jaarprijzen'!$B$70:$P$124,14,FALSE)*(K725+J725))</f>
        <v>0</v>
      </c>
    </row>
    <row r="726" spans="1:26" hidden="1">
      <c r="A726" s="558"/>
      <c r="B726" s="548"/>
      <c r="C726" s="659">
        <v>3</v>
      </c>
      <c r="D726" s="549" t="s">
        <v>1493</v>
      </c>
      <c r="E726" s="550" t="s">
        <v>502</v>
      </c>
      <c r="F726" s="551" t="s">
        <v>1003</v>
      </c>
      <c r="G726" s="649" t="s">
        <v>1368</v>
      </c>
      <c r="H726" s="647" t="str">
        <f t="shared" si="110"/>
        <v>niet van toepassing</v>
      </c>
      <c r="I726" s="719" t="s">
        <v>106</v>
      </c>
      <c r="J726" s="623"/>
      <c r="K726" s="623"/>
      <c r="L726" s="668" t="s">
        <v>27</v>
      </c>
      <c r="M726" s="557">
        <f t="shared" si="114"/>
        <v>0</v>
      </c>
      <c r="N726" s="453"/>
      <c r="O726" s="557">
        <f t="shared" si="115"/>
        <v>0</v>
      </c>
      <c r="P726" s="633">
        <v>1</v>
      </c>
      <c r="Q726" s="776">
        <f t="shared" si="116"/>
        <v>0</v>
      </c>
      <c r="R726" s="776">
        <f t="shared" si="117"/>
        <v>0</v>
      </c>
      <c r="S726" s="552">
        <f t="shared" si="118"/>
        <v>0</v>
      </c>
      <c r="T726" s="626">
        <f t="shared" si="111"/>
        <v>0</v>
      </c>
      <c r="U726" s="626">
        <f t="shared" si="112"/>
        <v>0</v>
      </c>
      <c r="V726" s="553">
        <f t="shared" si="113"/>
        <v>0</v>
      </c>
      <c r="W726" s="554">
        <f t="shared" si="119"/>
        <v>0</v>
      </c>
      <c r="X726" s="454" t="s">
        <v>1490</v>
      </c>
      <c r="Y726" s="631">
        <f>IF(Q726=0,0,(Q726+R726)*'1.0-Contractblad'!$L$98)</f>
        <v>0</v>
      </c>
      <c r="Z726" s="632">
        <f>IF(J726=0,0,VLOOKUP(D726,'1.1a-Jaarprijzen'!$B$70:$P$124,14,FALSE)*(K726+J726))</f>
        <v>0</v>
      </c>
    </row>
    <row r="727" spans="1:26" hidden="1">
      <c r="A727" s="558"/>
      <c r="B727" s="548"/>
      <c r="C727" s="659">
        <v>3</v>
      </c>
      <c r="D727" s="549" t="s">
        <v>1493</v>
      </c>
      <c r="E727" s="550" t="s">
        <v>502</v>
      </c>
      <c r="F727" s="551" t="s">
        <v>997</v>
      </c>
      <c r="G727" s="649" t="s">
        <v>1368</v>
      </c>
      <c r="H727" s="647" t="str">
        <f t="shared" si="110"/>
        <v>niet van toepassing</v>
      </c>
      <c r="I727" s="719" t="s">
        <v>106</v>
      </c>
      <c r="J727" s="623"/>
      <c r="K727" s="623"/>
      <c r="L727" s="668" t="s">
        <v>27</v>
      </c>
      <c r="M727" s="557">
        <f t="shared" si="114"/>
        <v>0</v>
      </c>
      <c r="N727" s="453"/>
      <c r="O727" s="557">
        <f t="shared" si="115"/>
        <v>0</v>
      </c>
      <c r="P727" s="633">
        <v>1</v>
      </c>
      <c r="Q727" s="776">
        <f t="shared" si="116"/>
        <v>0</v>
      </c>
      <c r="R727" s="776">
        <f t="shared" si="117"/>
        <v>0</v>
      </c>
      <c r="S727" s="552">
        <f t="shared" si="118"/>
        <v>0</v>
      </c>
      <c r="T727" s="626">
        <f t="shared" si="111"/>
        <v>0</v>
      </c>
      <c r="U727" s="626">
        <f t="shared" si="112"/>
        <v>0</v>
      </c>
      <c r="V727" s="553">
        <f t="shared" si="113"/>
        <v>0</v>
      </c>
      <c r="W727" s="554">
        <f t="shared" si="119"/>
        <v>0</v>
      </c>
      <c r="X727" s="454" t="s">
        <v>1490</v>
      </c>
      <c r="Y727" s="631">
        <f>IF(Q727=0,0,(Q727+R727)*'1.0-Contractblad'!$L$98)</f>
        <v>0</v>
      </c>
      <c r="Z727" s="632">
        <f>IF(J727=0,0,VLOOKUP(D727,'1.1a-Jaarprijzen'!$B$70:$P$124,14,FALSE)*(K727+J727))</f>
        <v>0</v>
      </c>
    </row>
    <row r="728" spans="1:26" hidden="1">
      <c r="A728" s="558"/>
      <c r="B728" s="548"/>
      <c r="C728" s="659">
        <v>3</v>
      </c>
      <c r="D728" s="549" t="s">
        <v>1493</v>
      </c>
      <c r="E728" s="550" t="s">
        <v>502</v>
      </c>
      <c r="F728" s="551" t="s">
        <v>1004</v>
      </c>
      <c r="G728" s="649" t="s">
        <v>1368</v>
      </c>
      <c r="H728" s="647" t="str">
        <f t="shared" si="110"/>
        <v>niet van toepassing</v>
      </c>
      <c r="I728" s="719" t="s">
        <v>106</v>
      </c>
      <c r="J728" s="623"/>
      <c r="K728" s="623"/>
      <c r="L728" s="668" t="s">
        <v>27</v>
      </c>
      <c r="M728" s="557">
        <f t="shared" si="114"/>
        <v>0</v>
      </c>
      <c r="N728" s="453"/>
      <c r="O728" s="557">
        <f t="shared" si="115"/>
        <v>0</v>
      </c>
      <c r="P728" s="633">
        <v>1</v>
      </c>
      <c r="Q728" s="776">
        <f t="shared" si="116"/>
        <v>0</v>
      </c>
      <c r="R728" s="776">
        <f t="shared" si="117"/>
        <v>0</v>
      </c>
      <c r="S728" s="552">
        <f t="shared" si="118"/>
        <v>0</v>
      </c>
      <c r="T728" s="626">
        <f t="shared" si="111"/>
        <v>0</v>
      </c>
      <c r="U728" s="626">
        <f t="shared" si="112"/>
        <v>0</v>
      </c>
      <c r="V728" s="553">
        <f t="shared" si="113"/>
        <v>0</v>
      </c>
      <c r="W728" s="554">
        <f t="shared" si="119"/>
        <v>0</v>
      </c>
      <c r="X728" s="454" t="s">
        <v>1490</v>
      </c>
      <c r="Y728" s="631">
        <f>IF(Q728=0,0,(Q728+R728)*'1.0-Contractblad'!$L$98)</f>
        <v>0</v>
      </c>
      <c r="Z728" s="632">
        <f>IF(J728=0,0,VLOOKUP(D728,'1.1a-Jaarprijzen'!$B$70:$P$124,14,FALSE)*(K728+J728))</f>
        <v>0</v>
      </c>
    </row>
    <row r="729" spans="1:26" hidden="1">
      <c r="A729" s="558"/>
      <c r="B729" s="548"/>
      <c r="C729" s="659">
        <v>3</v>
      </c>
      <c r="D729" s="549" t="s">
        <v>1493</v>
      </c>
      <c r="E729" s="550" t="s">
        <v>502</v>
      </c>
      <c r="F729" s="551" t="s">
        <v>1153</v>
      </c>
      <c r="G729" s="649" t="s">
        <v>1368</v>
      </c>
      <c r="H729" s="647" t="str">
        <f t="shared" si="110"/>
        <v>niet van toepassing</v>
      </c>
      <c r="I729" s="719" t="s">
        <v>106</v>
      </c>
      <c r="J729" s="623"/>
      <c r="K729" s="623"/>
      <c r="L729" s="668" t="s">
        <v>27</v>
      </c>
      <c r="M729" s="557">
        <f t="shared" si="114"/>
        <v>0</v>
      </c>
      <c r="N729" s="453"/>
      <c r="O729" s="557">
        <f t="shared" si="115"/>
        <v>0</v>
      </c>
      <c r="P729" s="633">
        <v>1</v>
      </c>
      <c r="Q729" s="776">
        <f t="shared" si="116"/>
        <v>0</v>
      </c>
      <c r="R729" s="776">
        <f t="shared" si="117"/>
        <v>0</v>
      </c>
      <c r="S729" s="552">
        <f t="shared" si="118"/>
        <v>0</v>
      </c>
      <c r="T729" s="626">
        <f t="shared" si="111"/>
        <v>0</v>
      </c>
      <c r="U729" s="626">
        <f t="shared" si="112"/>
        <v>0</v>
      </c>
      <c r="V729" s="553">
        <f t="shared" si="113"/>
        <v>0</v>
      </c>
      <c r="W729" s="554">
        <f t="shared" si="119"/>
        <v>0</v>
      </c>
      <c r="X729" s="454" t="s">
        <v>1490</v>
      </c>
      <c r="Y729" s="631">
        <f>IF(Q729=0,0,(Q729+R729)*'1.0-Contractblad'!$L$98)</f>
        <v>0</v>
      </c>
      <c r="Z729" s="632">
        <f>IF(J729=0,0,VLOOKUP(D729,'1.1a-Jaarprijzen'!$B$70:$P$124,14,FALSE)*(K729+J729))</f>
        <v>0</v>
      </c>
    </row>
    <row r="730" spans="1:26" hidden="1">
      <c r="A730" s="558"/>
      <c r="B730" s="548"/>
      <c r="C730" s="659">
        <v>3</v>
      </c>
      <c r="D730" s="549" t="s">
        <v>1493</v>
      </c>
      <c r="E730" s="550" t="s">
        <v>502</v>
      </c>
      <c r="F730" s="551" t="s">
        <v>1005</v>
      </c>
      <c r="G730" s="649" t="s">
        <v>1368</v>
      </c>
      <c r="H730" s="647" t="str">
        <f t="shared" si="110"/>
        <v>niet van toepassing</v>
      </c>
      <c r="I730" s="719" t="s">
        <v>106</v>
      </c>
      <c r="J730" s="623"/>
      <c r="K730" s="623"/>
      <c r="L730" s="668" t="s">
        <v>27</v>
      </c>
      <c r="M730" s="557">
        <f t="shared" si="114"/>
        <v>0</v>
      </c>
      <c r="N730" s="453"/>
      <c r="O730" s="557">
        <f t="shared" si="115"/>
        <v>0</v>
      </c>
      <c r="P730" s="633">
        <v>1</v>
      </c>
      <c r="Q730" s="776">
        <f t="shared" si="116"/>
        <v>0</v>
      </c>
      <c r="R730" s="776">
        <f t="shared" si="117"/>
        <v>0</v>
      </c>
      <c r="S730" s="552">
        <f t="shared" si="118"/>
        <v>0</v>
      </c>
      <c r="T730" s="626">
        <f t="shared" si="111"/>
        <v>0</v>
      </c>
      <c r="U730" s="626">
        <f t="shared" si="112"/>
        <v>0</v>
      </c>
      <c r="V730" s="553">
        <f t="shared" si="113"/>
        <v>0</v>
      </c>
      <c r="W730" s="554">
        <f t="shared" si="119"/>
        <v>0</v>
      </c>
      <c r="X730" s="454" t="s">
        <v>1490</v>
      </c>
      <c r="Y730" s="631">
        <f>IF(Q730=0,0,(Q730+R730)*'1.0-Contractblad'!$L$98)</f>
        <v>0</v>
      </c>
      <c r="Z730" s="632">
        <f>IF(J730=0,0,VLOOKUP(D730,'1.1a-Jaarprijzen'!$B$70:$P$124,14,FALSE)*(K730+J730))</f>
        <v>0</v>
      </c>
    </row>
    <row r="731" spans="1:26" hidden="1">
      <c r="A731" s="558"/>
      <c r="B731" s="548"/>
      <c r="C731" s="659">
        <v>3</v>
      </c>
      <c r="D731" s="549" t="s">
        <v>1493</v>
      </c>
      <c r="E731" s="550" t="s">
        <v>502</v>
      </c>
      <c r="F731" s="551" t="s">
        <v>433</v>
      </c>
      <c r="G731" s="649" t="s">
        <v>1368</v>
      </c>
      <c r="H731" s="647" t="str">
        <f t="shared" si="110"/>
        <v>niet van toepassing</v>
      </c>
      <c r="I731" s="719" t="s">
        <v>106</v>
      </c>
      <c r="J731" s="623"/>
      <c r="K731" s="623"/>
      <c r="L731" s="668" t="s">
        <v>27</v>
      </c>
      <c r="M731" s="557">
        <f t="shared" si="114"/>
        <v>0</v>
      </c>
      <c r="N731" s="453"/>
      <c r="O731" s="557">
        <f t="shared" si="115"/>
        <v>0</v>
      </c>
      <c r="P731" s="633">
        <v>1</v>
      </c>
      <c r="Q731" s="776">
        <f t="shared" si="116"/>
        <v>0</v>
      </c>
      <c r="R731" s="776">
        <f t="shared" si="117"/>
        <v>0</v>
      </c>
      <c r="S731" s="552">
        <f t="shared" si="118"/>
        <v>0</v>
      </c>
      <c r="T731" s="626">
        <f t="shared" si="111"/>
        <v>0</v>
      </c>
      <c r="U731" s="626">
        <f t="shared" si="112"/>
        <v>0</v>
      </c>
      <c r="V731" s="553">
        <f t="shared" si="113"/>
        <v>0</v>
      </c>
      <c r="W731" s="554">
        <f t="shared" si="119"/>
        <v>0</v>
      </c>
      <c r="X731" s="454" t="s">
        <v>1490</v>
      </c>
      <c r="Y731" s="631">
        <f>IF(Q731=0,0,(Q731+R731)*'1.0-Contractblad'!$L$98)</f>
        <v>0</v>
      </c>
      <c r="Z731" s="632">
        <f>IF(J731=0,0,VLOOKUP(D731,'1.1a-Jaarprijzen'!$B$70:$P$124,14,FALSE)*(K731+J731))</f>
        <v>0</v>
      </c>
    </row>
    <row r="732" spans="1:26" hidden="1">
      <c r="A732" s="558"/>
      <c r="B732" s="548"/>
      <c r="C732" s="659">
        <v>3</v>
      </c>
      <c r="D732" s="549" t="s">
        <v>1493</v>
      </c>
      <c r="E732" s="550" t="s">
        <v>502</v>
      </c>
      <c r="F732" s="551" t="s">
        <v>1154</v>
      </c>
      <c r="G732" s="649" t="s">
        <v>1368</v>
      </c>
      <c r="H732" s="647" t="str">
        <f t="shared" si="110"/>
        <v>niet van toepassing</v>
      </c>
      <c r="I732" s="719" t="s">
        <v>106</v>
      </c>
      <c r="J732" s="623"/>
      <c r="K732" s="623"/>
      <c r="L732" s="668" t="s">
        <v>27</v>
      </c>
      <c r="M732" s="557">
        <f t="shared" si="114"/>
        <v>0</v>
      </c>
      <c r="N732" s="453"/>
      <c r="O732" s="557">
        <f t="shared" si="115"/>
        <v>0</v>
      </c>
      <c r="P732" s="633">
        <v>1</v>
      </c>
      <c r="Q732" s="776">
        <f t="shared" si="116"/>
        <v>0</v>
      </c>
      <c r="R732" s="776">
        <f t="shared" si="117"/>
        <v>0</v>
      </c>
      <c r="S732" s="552">
        <f t="shared" si="118"/>
        <v>0</v>
      </c>
      <c r="T732" s="626">
        <f t="shared" si="111"/>
        <v>0</v>
      </c>
      <c r="U732" s="626">
        <f t="shared" si="112"/>
        <v>0</v>
      </c>
      <c r="V732" s="553">
        <f t="shared" si="113"/>
        <v>0</v>
      </c>
      <c r="W732" s="554">
        <f t="shared" si="119"/>
        <v>0</v>
      </c>
      <c r="X732" s="454" t="s">
        <v>1490</v>
      </c>
      <c r="Y732" s="631">
        <f>IF(Q732=0,0,(Q732+R732)*'1.0-Contractblad'!$L$98)</f>
        <v>0</v>
      </c>
      <c r="Z732" s="632">
        <f>IF(J732=0,0,VLOOKUP(D732,'1.1a-Jaarprijzen'!$B$70:$P$124,14,FALSE)*(K732+J732))</f>
        <v>0</v>
      </c>
    </row>
    <row r="733" spans="1:26" hidden="1">
      <c r="A733" s="558"/>
      <c r="B733" s="548"/>
      <c r="C733" s="659">
        <v>3</v>
      </c>
      <c r="D733" s="549" t="s">
        <v>1493</v>
      </c>
      <c r="E733" s="550" t="s">
        <v>502</v>
      </c>
      <c r="F733" s="551" t="s">
        <v>1006</v>
      </c>
      <c r="G733" s="649" t="s">
        <v>1368</v>
      </c>
      <c r="H733" s="647" t="str">
        <f t="shared" si="110"/>
        <v>niet van toepassing</v>
      </c>
      <c r="I733" s="719" t="s">
        <v>106</v>
      </c>
      <c r="J733" s="623"/>
      <c r="K733" s="623"/>
      <c r="L733" s="668" t="s">
        <v>27</v>
      </c>
      <c r="M733" s="557">
        <f t="shared" si="114"/>
        <v>0</v>
      </c>
      <c r="N733" s="453"/>
      <c r="O733" s="557">
        <f t="shared" si="115"/>
        <v>0</v>
      </c>
      <c r="P733" s="633">
        <v>1</v>
      </c>
      <c r="Q733" s="776">
        <f t="shared" si="116"/>
        <v>0</v>
      </c>
      <c r="R733" s="776">
        <f t="shared" si="117"/>
        <v>0</v>
      </c>
      <c r="S733" s="552">
        <f t="shared" si="118"/>
        <v>0</v>
      </c>
      <c r="T733" s="626">
        <f t="shared" si="111"/>
        <v>0</v>
      </c>
      <c r="U733" s="626">
        <f t="shared" si="112"/>
        <v>0</v>
      </c>
      <c r="V733" s="553">
        <f t="shared" si="113"/>
        <v>0</v>
      </c>
      <c r="W733" s="554">
        <f t="shared" si="119"/>
        <v>0</v>
      </c>
      <c r="X733" s="454" t="s">
        <v>1490</v>
      </c>
      <c r="Y733" s="631">
        <f>IF(Q733=0,0,(Q733+R733)*'1.0-Contractblad'!$L$98)</f>
        <v>0</v>
      </c>
      <c r="Z733" s="632">
        <f>IF(J733=0,0,VLOOKUP(D733,'1.1a-Jaarprijzen'!$B$70:$P$124,14,FALSE)*(K733+J733))</f>
        <v>0</v>
      </c>
    </row>
    <row r="734" spans="1:26" hidden="1">
      <c r="A734" s="558"/>
      <c r="B734" s="548"/>
      <c r="C734" s="659">
        <v>3</v>
      </c>
      <c r="D734" s="549" t="s">
        <v>1493</v>
      </c>
      <c r="E734" s="550" t="s">
        <v>502</v>
      </c>
      <c r="F734" s="551" t="s">
        <v>434</v>
      </c>
      <c r="G734" s="649" t="s">
        <v>1368</v>
      </c>
      <c r="H734" s="647" t="str">
        <f t="shared" si="110"/>
        <v>niet van toepassing</v>
      </c>
      <c r="I734" s="719" t="s">
        <v>106</v>
      </c>
      <c r="J734" s="623"/>
      <c r="K734" s="623"/>
      <c r="L734" s="668" t="s">
        <v>27</v>
      </c>
      <c r="M734" s="557">
        <f t="shared" si="114"/>
        <v>0</v>
      </c>
      <c r="N734" s="453"/>
      <c r="O734" s="557">
        <f t="shared" si="115"/>
        <v>0</v>
      </c>
      <c r="P734" s="633">
        <v>1</v>
      </c>
      <c r="Q734" s="776">
        <f t="shared" si="116"/>
        <v>0</v>
      </c>
      <c r="R734" s="776">
        <f t="shared" si="117"/>
        <v>0</v>
      </c>
      <c r="S734" s="552">
        <f t="shared" si="118"/>
        <v>0</v>
      </c>
      <c r="T734" s="626">
        <f t="shared" si="111"/>
        <v>0</v>
      </c>
      <c r="U734" s="626">
        <f t="shared" si="112"/>
        <v>0</v>
      </c>
      <c r="V734" s="553">
        <f t="shared" si="113"/>
        <v>0</v>
      </c>
      <c r="W734" s="554">
        <f t="shared" si="119"/>
        <v>0</v>
      </c>
      <c r="X734" s="454" t="s">
        <v>1490</v>
      </c>
      <c r="Y734" s="631">
        <f>IF(Q734=0,0,(Q734+R734)*'1.0-Contractblad'!$L$98)</f>
        <v>0</v>
      </c>
      <c r="Z734" s="632">
        <f>IF(J734=0,0,VLOOKUP(D734,'1.1a-Jaarprijzen'!$B$70:$P$124,14,FALSE)*(K734+J734))</f>
        <v>0</v>
      </c>
    </row>
    <row r="735" spans="1:26" hidden="1">
      <c r="A735" s="558"/>
      <c r="B735" s="548"/>
      <c r="C735" s="659">
        <v>3</v>
      </c>
      <c r="D735" s="549" t="s">
        <v>1493</v>
      </c>
      <c r="E735" s="550" t="s">
        <v>502</v>
      </c>
      <c r="F735" s="551" t="s">
        <v>435</v>
      </c>
      <c r="G735" s="649" t="s">
        <v>1371</v>
      </c>
      <c r="H735" s="647" t="str">
        <f t="shared" si="110"/>
        <v>entree, gang, hal, repro, kopieer, was/droogruimte</v>
      </c>
      <c r="I735" s="719" t="s">
        <v>106</v>
      </c>
      <c r="J735" s="623">
        <v>66.5</v>
      </c>
      <c r="K735" s="623"/>
      <c r="L735" s="651">
        <v>3153</v>
      </c>
      <c r="M735" s="557">
        <f t="shared" si="114"/>
        <v>103</v>
      </c>
      <c r="N735" s="453"/>
      <c r="O735" s="557">
        <f t="shared" si="115"/>
        <v>153</v>
      </c>
      <c r="P735" s="633">
        <v>1</v>
      </c>
      <c r="Q735" s="776">
        <f t="shared" si="116"/>
        <v>0</v>
      </c>
      <c r="R735" s="776">
        <f t="shared" si="117"/>
        <v>0</v>
      </c>
      <c r="S735" s="552">
        <f t="shared" si="118"/>
        <v>0</v>
      </c>
      <c r="T735" s="626">
        <f t="shared" si="111"/>
        <v>0</v>
      </c>
      <c r="U735" s="626">
        <f t="shared" si="112"/>
        <v>0</v>
      </c>
      <c r="V735" s="553">
        <f t="shared" si="113"/>
        <v>0</v>
      </c>
      <c r="W735" s="554" t="str">
        <f t="shared" si="119"/>
        <v>V</v>
      </c>
      <c r="X735" s="454" t="s">
        <v>1490</v>
      </c>
      <c r="Y735" s="631">
        <f>IF(Q735=0,0,(Q735+R735)*'1.0-Contractblad'!$L$98)</f>
        <v>0</v>
      </c>
      <c r="Z735" s="632">
        <f ca="1">IF(J735=0,0,VLOOKUP(D735,'1.1a-Jaarprijzen'!$B$70:$P$124,14,FALSE)*(K735+J735))</f>
        <v>0</v>
      </c>
    </row>
    <row r="736" spans="1:26" hidden="1">
      <c r="A736" s="558"/>
      <c r="B736" s="548"/>
      <c r="C736" s="659">
        <v>3</v>
      </c>
      <c r="D736" s="549" t="s">
        <v>1493</v>
      </c>
      <c r="E736" s="550" t="s">
        <v>502</v>
      </c>
      <c r="F736" s="551" t="s">
        <v>436</v>
      </c>
      <c r="G736" s="649" t="s">
        <v>1216</v>
      </c>
      <c r="H736" s="647" t="str">
        <f t="shared" si="110"/>
        <v>sanitaire ruimte (toilet-/doucheruimte)</v>
      </c>
      <c r="I736" s="719" t="s">
        <v>1402</v>
      </c>
      <c r="J736" s="623">
        <v>1.6</v>
      </c>
      <c r="K736" s="623"/>
      <c r="L736" s="559">
        <v>4153</v>
      </c>
      <c r="M736" s="557">
        <f t="shared" si="114"/>
        <v>104</v>
      </c>
      <c r="N736" s="453"/>
      <c r="O736" s="557">
        <f t="shared" si="115"/>
        <v>153</v>
      </c>
      <c r="P736" s="633">
        <v>1</v>
      </c>
      <c r="Q736" s="776">
        <f t="shared" si="116"/>
        <v>0</v>
      </c>
      <c r="R736" s="776">
        <f t="shared" si="117"/>
        <v>0</v>
      </c>
      <c r="S736" s="552">
        <f t="shared" si="118"/>
        <v>0</v>
      </c>
      <c r="T736" s="626">
        <f t="shared" si="111"/>
        <v>0</v>
      </c>
      <c r="U736" s="626">
        <f t="shared" si="112"/>
        <v>0</v>
      </c>
      <c r="V736" s="553">
        <f t="shared" si="113"/>
        <v>0</v>
      </c>
      <c r="W736" s="554" t="str">
        <f t="shared" si="119"/>
        <v>S</v>
      </c>
      <c r="X736" s="454" t="s">
        <v>1490</v>
      </c>
      <c r="Y736" s="631">
        <f>IF(Q736=0,0,(Q736+R736)*'1.0-Contractblad'!$L$98)</f>
        <v>0</v>
      </c>
      <c r="Z736" s="632">
        <f ca="1">IF(J736=0,0,VLOOKUP(D736,'1.1a-Jaarprijzen'!$B$70:$P$124,14,FALSE)*(K736+J736))</f>
        <v>0</v>
      </c>
    </row>
    <row r="737" spans="1:26" hidden="1">
      <c r="A737" s="558"/>
      <c r="B737" s="548"/>
      <c r="C737" s="659">
        <v>3</v>
      </c>
      <c r="D737" s="549" t="s">
        <v>1493</v>
      </c>
      <c r="E737" s="550" t="s">
        <v>502</v>
      </c>
      <c r="F737" s="551" t="s">
        <v>437</v>
      </c>
      <c r="G737" s="649" t="s">
        <v>1372</v>
      </c>
      <c r="H737" s="647" t="str">
        <f t="shared" si="110"/>
        <v>entree, gang, hal, repro, kopieer, was/droogruimte</v>
      </c>
      <c r="I737" s="719" t="s">
        <v>106</v>
      </c>
      <c r="J737" s="623">
        <v>1.9</v>
      </c>
      <c r="K737" s="623"/>
      <c r="L737" s="559">
        <v>3102</v>
      </c>
      <c r="M737" s="557">
        <f t="shared" si="114"/>
        <v>103</v>
      </c>
      <c r="N737" s="453"/>
      <c r="O737" s="557">
        <f t="shared" si="115"/>
        <v>102</v>
      </c>
      <c r="P737" s="633">
        <v>1</v>
      </c>
      <c r="Q737" s="776">
        <f t="shared" si="116"/>
        <v>0</v>
      </c>
      <c r="R737" s="776">
        <f t="shared" si="117"/>
        <v>0</v>
      </c>
      <c r="S737" s="552">
        <f t="shared" si="118"/>
        <v>0</v>
      </c>
      <c r="T737" s="626">
        <f t="shared" si="111"/>
        <v>0</v>
      </c>
      <c r="U737" s="626">
        <f t="shared" si="112"/>
        <v>0</v>
      </c>
      <c r="V737" s="553">
        <f t="shared" si="113"/>
        <v>0</v>
      </c>
      <c r="W737" s="554" t="str">
        <f t="shared" si="119"/>
        <v>V</v>
      </c>
      <c r="X737" s="454" t="s">
        <v>1490</v>
      </c>
      <c r="Y737" s="631">
        <f>IF(Q737=0,0,(Q737+R737)*'1.0-Contractblad'!$L$98)</f>
        <v>0</v>
      </c>
      <c r="Z737" s="632">
        <f ca="1">IF(J737=0,0,VLOOKUP(D737,'1.1a-Jaarprijzen'!$B$70:$P$124,14,FALSE)*(K737+J737))</f>
        <v>0</v>
      </c>
    </row>
    <row r="738" spans="1:26" hidden="1">
      <c r="A738" s="558"/>
      <c r="B738" s="548"/>
      <c r="C738" s="659">
        <v>3</v>
      </c>
      <c r="D738" s="549" t="s">
        <v>1493</v>
      </c>
      <c r="E738" s="550" t="s">
        <v>502</v>
      </c>
      <c r="F738" s="551" t="s">
        <v>438</v>
      </c>
      <c r="G738" s="649" t="s">
        <v>1235</v>
      </c>
      <c r="H738" s="647" t="str">
        <f t="shared" si="110"/>
        <v>niet van toepassing</v>
      </c>
      <c r="I738" s="719"/>
      <c r="J738" s="623"/>
      <c r="K738" s="623"/>
      <c r="L738" s="668" t="s">
        <v>27</v>
      </c>
      <c r="M738" s="557">
        <f t="shared" si="114"/>
        <v>0</v>
      </c>
      <c r="N738" s="453"/>
      <c r="O738" s="557">
        <f t="shared" si="115"/>
        <v>0</v>
      </c>
      <c r="P738" s="633">
        <v>1</v>
      </c>
      <c r="Q738" s="776">
        <f t="shared" si="116"/>
        <v>0</v>
      </c>
      <c r="R738" s="776">
        <f t="shared" si="117"/>
        <v>0</v>
      </c>
      <c r="S738" s="552">
        <f t="shared" si="118"/>
        <v>0</v>
      </c>
      <c r="T738" s="626">
        <f t="shared" si="111"/>
        <v>0</v>
      </c>
      <c r="U738" s="626">
        <f t="shared" si="112"/>
        <v>0</v>
      </c>
      <c r="V738" s="553">
        <f t="shared" si="113"/>
        <v>0</v>
      </c>
      <c r="W738" s="554">
        <f t="shared" si="119"/>
        <v>0</v>
      </c>
      <c r="X738" s="454" t="s">
        <v>1490</v>
      </c>
      <c r="Y738" s="631">
        <f>IF(Q738=0,0,(Q738+R738)*'1.0-Contractblad'!$L$98)</f>
        <v>0</v>
      </c>
      <c r="Z738" s="632">
        <f>IF(J738=0,0,VLOOKUP(D738,'1.1a-Jaarprijzen'!$B$70:$P$124,14,FALSE)*(K738+J738))</f>
        <v>0</v>
      </c>
    </row>
    <row r="739" spans="1:26" hidden="1">
      <c r="A739" s="558"/>
      <c r="B739" s="548"/>
      <c r="C739" s="659">
        <v>3</v>
      </c>
      <c r="D739" s="549" t="s">
        <v>1493</v>
      </c>
      <c r="E739" s="550" t="s">
        <v>502</v>
      </c>
      <c r="F739" s="551" t="s">
        <v>439</v>
      </c>
      <c r="G739" s="649" t="s">
        <v>1275</v>
      </c>
      <c r="H739" s="647" t="str">
        <f t="shared" si="110"/>
        <v>administratieve -, personeels- en vergaderruimte</v>
      </c>
      <c r="I739" s="719" t="s">
        <v>106</v>
      </c>
      <c r="J739" s="623">
        <v>11.1</v>
      </c>
      <c r="K739" s="623"/>
      <c r="L739" s="651">
        <v>1153</v>
      </c>
      <c r="M739" s="557">
        <f t="shared" si="114"/>
        <v>101</v>
      </c>
      <c r="N739" s="453"/>
      <c r="O739" s="557">
        <f t="shared" si="115"/>
        <v>153</v>
      </c>
      <c r="P739" s="633">
        <v>1</v>
      </c>
      <c r="Q739" s="776">
        <f t="shared" si="116"/>
        <v>0</v>
      </c>
      <c r="R739" s="776">
        <f t="shared" si="117"/>
        <v>0</v>
      </c>
      <c r="S739" s="552">
        <f t="shared" si="118"/>
        <v>0</v>
      </c>
      <c r="T739" s="626">
        <f t="shared" si="111"/>
        <v>0</v>
      </c>
      <c r="U739" s="626">
        <f t="shared" si="112"/>
        <v>0</v>
      </c>
      <c r="V739" s="553">
        <f t="shared" si="113"/>
        <v>0</v>
      </c>
      <c r="W739" s="554" t="str">
        <f t="shared" si="119"/>
        <v>B</v>
      </c>
      <c r="X739" s="454" t="s">
        <v>1490</v>
      </c>
      <c r="Y739" s="631">
        <f>IF(Q739=0,0,(Q739+R739)*'1.0-Contractblad'!$L$98)</f>
        <v>0</v>
      </c>
      <c r="Z739" s="632">
        <f ca="1">IF(J739=0,0,VLOOKUP(D739,'1.1a-Jaarprijzen'!$B$70:$P$124,14,FALSE)*(K739+J739))</f>
        <v>0</v>
      </c>
    </row>
    <row r="740" spans="1:26" hidden="1">
      <c r="A740" s="558"/>
      <c r="B740" s="548"/>
      <c r="C740" s="659">
        <v>3</v>
      </c>
      <c r="D740" s="549" t="s">
        <v>1493</v>
      </c>
      <c r="E740" s="550" t="s">
        <v>502</v>
      </c>
      <c r="F740" s="551" t="s">
        <v>440</v>
      </c>
      <c r="G740" s="649" t="s">
        <v>1235</v>
      </c>
      <c r="H740" s="647" t="str">
        <f t="shared" si="110"/>
        <v>niet van toepassing</v>
      </c>
      <c r="I740" s="719"/>
      <c r="J740" s="623"/>
      <c r="K740" s="623"/>
      <c r="L740" s="668" t="s">
        <v>27</v>
      </c>
      <c r="M740" s="557">
        <f t="shared" si="114"/>
        <v>0</v>
      </c>
      <c r="N740" s="453"/>
      <c r="O740" s="557">
        <f t="shared" si="115"/>
        <v>0</v>
      </c>
      <c r="P740" s="633">
        <v>1</v>
      </c>
      <c r="Q740" s="776">
        <f t="shared" si="116"/>
        <v>0</v>
      </c>
      <c r="R740" s="776">
        <f t="shared" si="117"/>
        <v>0</v>
      </c>
      <c r="S740" s="552">
        <f t="shared" si="118"/>
        <v>0</v>
      </c>
      <c r="T740" s="626">
        <f t="shared" si="111"/>
        <v>0</v>
      </c>
      <c r="U740" s="626">
        <f t="shared" si="112"/>
        <v>0</v>
      </c>
      <c r="V740" s="553">
        <f t="shared" si="113"/>
        <v>0</v>
      </c>
      <c r="W740" s="554">
        <f t="shared" si="119"/>
        <v>0</v>
      </c>
      <c r="X740" s="454" t="s">
        <v>1490</v>
      </c>
      <c r="Y740" s="631">
        <f>IF(Q740=0,0,(Q740+R740)*'1.0-Contractblad'!$L$98)</f>
        <v>0</v>
      </c>
      <c r="Z740" s="632">
        <f>IF(J740=0,0,VLOOKUP(D740,'1.1a-Jaarprijzen'!$B$70:$P$124,14,FALSE)*(K740+J740))</f>
        <v>0</v>
      </c>
    </row>
    <row r="741" spans="1:26">
      <c r="A741" s="558"/>
      <c r="B741" s="548"/>
      <c r="C741" s="659">
        <v>3</v>
      </c>
      <c r="D741" s="549" t="s">
        <v>1493</v>
      </c>
      <c r="E741" s="550" t="s">
        <v>502</v>
      </c>
      <c r="F741" s="551" t="s">
        <v>441</v>
      </c>
      <c r="G741" s="649" t="s">
        <v>1359</v>
      </c>
      <c r="H741" s="647" t="str">
        <f t="shared" si="110"/>
        <v>aula, gemeenschappelijke ruimte, bibliotheek</v>
      </c>
      <c r="I741" s="719" t="s">
        <v>106</v>
      </c>
      <c r="J741" s="623">
        <v>62.3</v>
      </c>
      <c r="K741" s="623"/>
      <c r="L741" s="559">
        <v>2153</v>
      </c>
      <c r="M741" s="557">
        <f t="shared" si="114"/>
        <v>102</v>
      </c>
      <c r="N741" s="453"/>
      <c r="O741" s="557">
        <f t="shared" si="115"/>
        <v>153</v>
      </c>
      <c r="P741" s="633">
        <v>1</v>
      </c>
      <c r="Q741" s="776">
        <f t="shared" si="116"/>
        <v>0</v>
      </c>
      <c r="R741" s="776">
        <f t="shared" si="117"/>
        <v>0</v>
      </c>
      <c r="S741" s="552">
        <f t="shared" si="118"/>
        <v>0</v>
      </c>
      <c r="T741" s="626">
        <f t="shared" si="111"/>
        <v>0</v>
      </c>
      <c r="U741" s="626">
        <f t="shared" si="112"/>
        <v>0</v>
      </c>
      <c r="V741" s="553">
        <f t="shared" si="113"/>
        <v>0</v>
      </c>
      <c r="W741" s="554" t="str">
        <f t="shared" si="119"/>
        <v>V</v>
      </c>
      <c r="X741" s="454" t="s">
        <v>1490</v>
      </c>
      <c r="Y741" s="631">
        <f>IF(Q741=0,0,(Q741+R741)*'1.0-Contractblad'!$L$98)</f>
        <v>0</v>
      </c>
      <c r="Z741" s="632">
        <f ca="1">IF(J741=0,0,VLOOKUP(D741,'1.1a-Jaarprijzen'!$B$70:$P$124,14,FALSE)*(K741+J741))</f>
        <v>0</v>
      </c>
    </row>
    <row r="742" spans="1:26" hidden="1">
      <c r="A742" s="558"/>
      <c r="B742" s="548"/>
      <c r="C742" s="659">
        <v>3</v>
      </c>
      <c r="D742" s="549" t="s">
        <v>1493</v>
      </c>
      <c r="E742" s="550" t="s">
        <v>502</v>
      </c>
      <c r="F742" s="551" t="s">
        <v>442</v>
      </c>
      <c r="G742" s="649" t="s">
        <v>1276</v>
      </c>
      <c r="H742" s="647" t="str">
        <f t="shared" si="110"/>
        <v>Keuken</v>
      </c>
      <c r="I742" s="719" t="s">
        <v>106</v>
      </c>
      <c r="J742" s="623">
        <v>2.5</v>
      </c>
      <c r="K742" s="623"/>
      <c r="L742" s="559">
        <v>18153</v>
      </c>
      <c r="M742" s="557" t="str">
        <f t="shared" si="114"/>
        <v>nvt</v>
      </c>
      <c r="N742" s="453"/>
      <c r="O742" s="557">
        <f t="shared" si="115"/>
        <v>153</v>
      </c>
      <c r="P742" s="633">
        <v>1</v>
      </c>
      <c r="Q742" s="776">
        <f t="shared" si="116"/>
        <v>0</v>
      </c>
      <c r="R742" s="776">
        <f t="shared" si="117"/>
        <v>0</v>
      </c>
      <c r="S742" s="552">
        <f t="shared" si="118"/>
        <v>0</v>
      </c>
      <c r="T742" s="626">
        <f t="shared" si="111"/>
        <v>0</v>
      </c>
      <c r="U742" s="626">
        <f t="shared" si="112"/>
        <v>0</v>
      </c>
      <c r="V742" s="553">
        <f t="shared" si="113"/>
        <v>0</v>
      </c>
      <c r="W742" s="554" t="str">
        <f t="shared" si="119"/>
        <v>V</v>
      </c>
      <c r="X742" s="454" t="s">
        <v>1490</v>
      </c>
      <c r="Y742" s="631">
        <f>IF(Q742=0,0,(Q742+R742)*'1.0-Contractblad'!$L$98)</f>
        <v>0</v>
      </c>
      <c r="Z742" s="632">
        <f ca="1">IF(J742=0,0,VLOOKUP(D742,'1.1a-Jaarprijzen'!$B$70:$P$124,14,FALSE)*(K742+J742))</f>
        <v>0</v>
      </c>
    </row>
    <row r="743" spans="1:26" hidden="1">
      <c r="A743" s="558"/>
      <c r="B743" s="548"/>
      <c r="C743" s="659">
        <v>3</v>
      </c>
      <c r="D743" s="549" t="s">
        <v>1493</v>
      </c>
      <c r="E743" s="550" t="s">
        <v>502</v>
      </c>
      <c r="F743" s="551" t="s">
        <v>443</v>
      </c>
      <c r="G743" s="649" t="s">
        <v>1373</v>
      </c>
      <c r="H743" s="647" t="str">
        <f t="shared" si="110"/>
        <v>aula, gemeenschappelijke ruimte, bibliotheek</v>
      </c>
      <c r="I743" s="719" t="s">
        <v>106</v>
      </c>
      <c r="J743" s="623">
        <v>34.700000000000003</v>
      </c>
      <c r="K743" s="623"/>
      <c r="L743" s="653">
        <v>2153</v>
      </c>
      <c r="M743" s="557">
        <f t="shared" si="114"/>
        <v>102</v>
      </c>
      <c r="N743" s="453"/>
      <c r="O743" s="557">
        <f t="shared" si="115"/>
        <v>153</v>
      </c>
      <c r="P743" s="633">
        <v>1</v>
      </c>
      <c r="Q743" s="776">
        <f t="shared" si="116"/>
        <v>0</v>
      </c>
      <c r="R743" s="776">
        <f t="shared" si="117"/>
        <v>0</v>
      </c>
      <c r="S743" s="552">
        <f t="shared" si="118"/>
        <v>0</v>
      </c>
      <c r="T743" s="626">
        <f t="shared" si="111"/>
        <v>0</v>
      </c>
      <c r="U743" s="626">
        <f t="shared" si="112"/>
        <v>0</v>
      </c>
      <c r="V743" s="553">
        <f t="shared" si="113"/>
        <v>0</v>
      </c>
      <c r="W743" s="554" t="str">
        <f t="shared" si="119"/>
        <v>V</v>
      </c>
      <c r="X743" s="454" t="s">
        <v>1490</v>
      </c>
      <c r="Y743" s="631">
        <f>IF(Q743=0,0,(Q743+R743)*'1.0-Contractblad'!$L$98)</f>
        <v>0</v>
      </c>
      <c r="Z743" s="632">
        <f ca="1">IF(J743=0,0,VLOOKUP(D743,'1.1a-Jaarprijzen'!$B$70:$P$124,14,FALSE)*(K743+J743))</f>
        <v>0</v>
      </c>
    </row>
    <row r="744" spans="1:26" hidden="1">
      <c r="A744" s="558"/>
      <c r="B744" s="548"/>
      <c r="C744" s="659">
        <v>3</v>
      </c>
      <c r="D744" s="549" t="s">
        <v>1493</v>
      </c>
      <c r="E744" s="550" t="s">
        <v>502</v>
      </c>
      <c r="F744" s="551" t="s">
        <v>444</v>
      </c>
      <c r="G744" s="649" t="s">
        <v>1374</v>
      </c>
      <c r="H744" s="647" t="str">
        <f t="shared" si="110"/>
        <v>sanitaire ruimte (toilet-/doucheruimte)</v>
      </c>
      <c r="I744" s="719" t="s">
        <v>106</v>
      </c>
      <c r="J744" s="623">
        <v>6.2</v>
      </c>
      <c r="K744" s="623"/>
      <c r="L744" s="668">
        <v>4255</v>
      </c>
      <c r="M744" s="557">
        <f t="shared" si="114"/>
        <v>104</v>
      </c>
      <c r="N744" s="453"/>
      <c r="O744" s="557">
        <f t="shared" si="115"/>
        <v>255</v>
      </c>
      <c r="P744" s="633">
        <v>1</v>
      </c>
      <c r="Q744" s="776">
        <f t="shared" si="116"/>
        <v>0</v>
      </c>
      <c r="R744" s="776">
        <f t="shared" si="117"/>
        <v>0</v>
      </c>
      <c r="S744" s="552">
        <f t="shared" si="118"/>
        <v>0</v>
      </c>
      <c r="T744" s="626">
        <f t="shared" si="111"/>
        <v>0</v>
      </c>
      <c r="U744" s="626">
        <f t="shared" si="112"/>
        <v>0</v>
      </c>
      <c r="V744" s="553">
        <f t="shared" si="113"/>
        <v>0</v>
      </c>
      <c r="W744" s="554" t="str">
        <f t="shared" si="119"/>
        <v>S</v>
      </c>
      <c r="X744" s="454" t="s">
        <v>1490</v>
      </c>
      <c r="Y744" s="631">
        <f>IF(Q744=0,0,(Q744+R744)*'1.0-Contractblad'!$L$98)</f>
        <v>0</v>
      </c>
      <c r="Z744" s="632">
        <f ca="1">IF(J744=0,0,VLOOKUP(D744,'1.1a-Jaarprijzen'!$B$70:$P$124,14,FALSE)*(K744+J744))</f>
        <v>0</v>
      </c>
    </row>
    <row r="745" spans="1:26" hidden="1">
      <c r="A745" s="558"/>
      <c r="B745" s="548"/>
      <c r="C745" s="659">
        <v>3</v>
      </c>
      <c r="D745" s="549" t="s">
        <v>1493</v>
      </c>
      <c r="E745" s="550" t="s">
        <v>502</v>
      </c>
      <c r="F745" s="551" t="s">
        <v>445</v>
      </c>
      <c r="G745" s="649" t="s">
        <v>1216</v>
      </c>
      <c r="H745" s="647" t="str">
        <f t="shared" si="110"/>
        <v>sanitaire ruimte (toilet-/doucheruimte)</v>
      </c>
      <c r="I745" s="719" t="s">
        <v>1402</v>
      </c>
      <c r="J745" s="623">
        <v>2</v>
      </c>
      <c r="K745" s="623"/>
      <c r="L745" s="559">
        <v>4153</v>
      </c>
      <c r="M745" s="557">
        <f t="shared" si="114"/>
        <v>104</v>
      </c>
      <c r="N745" s="453"/>
      <c r="O745" s="557">
        <f t="shared" si="115"/>
        <v>153</v>
      </c>
      <c r="P745" s="633">
        <v>1</v>
      </c>
      <c r="Q745" s="776">
        <f t="shared" si="116"/>
        <v>0</v>
      </c>
      <c r="R745" s="776">
        <f t="shared" si="117"/>
        <v>0</v>
      </c>
      <c r="S745" s="552">
        <f t="shared" si="118"/>
        <v>0</v>
      </c>
      <c r="T745" s="626">
        <f t="shared" si="111"/>
        <v>0</v>
      </c>
      <c r="U745" s="626">
        <f t="shared" si="112"/>
        <v>0</v>
      </c>
      <c r="V745" s="553">
        <f t="shared" si="113"/>
        <v>0</v>
      </c>
      <c r="W745" s="554" t="str">
        <f t="shared" si="119"/>
        <v>S</v>
      </c>
      <c r="X745" s="454" t="s">
        <v>1490</v>
      </c>
      <c r="Y745" s="631">
        <f>IF(Q745=0,0,(Q745+R745)*'1.0-Contractblad'!$L$98)</f>
        <v>0</v>
      </c>
      <c r="Z745" s="632">
        <f ca="1">IF(J745=0,0,VLOOKUP(D745,'1.1a-Jaarprijzen'!$B$70:$P$124,14,FALSE)*(K745+J745))</f>
        <v>0</v>
      </c>
    </row>
    <row r="746" spans="1:26" hidden="1">
      <c r="A746" s="558"/>
      <c r="B746" s="548"/>
      <c r="C746" s="659">
        <v>3</v>
      </c>
      <c r="D746" s="549" t="s">
        <v>1493</v>
      </c>
      <c r="E746" s="550" t="s">
        <v>502</v>
      </c>
      <c r="F746" s="551" t="s">
        <v>446</v>
      </c>
      <c r="G746" s="649" t="s">
        <v>1375</v>
      </c>
      <c r="H746" s="647" t="str">
        <f t="shared" si="110"/>
        <v>sanitaire ruimte (toilet-/doucheruimte)</v>
      </c>
      <c r="I746" s="719" t="s">
        <v>1402</v>
      </c>
      <c r="J746" s="623">
        <v>2</v>
      </c>
      <c r="K746" s="623"/>
      <c r="L746" s="559">
        <v>4255</v>
      </c>
      <c r="M746" s="557">
        <f t="shared" si="114"/>
        <v>104</v>
      </c>
      <c r="N746" s="453"/>
      <c r="O746" s="557">
        <f t="shared" si="115"/>
        <v>255</v>
      </c>
      <c r="P746" s="633">
        <v>1</v>
      </c>
      <c r="Q746" s="776">
        <f t="shared" si="116"/>
        <v>0</v>
      </c>
      <c r="R746" s="776">
        <f t="shared" si="117"/>
        <v>0</v>
      </c>
      <c r="S746" s="552">
        <f t="shared" si="118"/>
        <v>0</v>
      </c>
      <c r="T746" s="626">
        <f t="shared" si="111"/>
        <v>0</v>
      </c>
      <c r="U746" s="626">
        <f t="shared" si="112"/>
        <v>0</v>
      </c>
      <c r="V746" s="553">
        <f t="shared" si="113"/>
        <v>0</v>
      </c>
      <c r="W746" s="554" t="str">
        <f t="shared" si="119"/>
        <v>S</v>
      </c>
      <c r="X746" s="454" t="s">
        <v>1490</v>
      </c>
      <c r="Y746" s="631">
        <f>IF(Q746=0,0,(Q746+R746)*'1.0-Contractblad'!$L$98)</f>
        <v>0</v>
      </c>
      <c r="Z746" s="632">
        <f ca="1">IF(J746=0,0,VLOOKUP(D746,'1.1a-Jaarprijzen'!$B$70:$P$124,14,FALSE)*(K746+J746))</f>
        <v>0</v>
      </c>
    </row>
    <row r="747" spans="1:26" hidden="1">
      <c r="A747" s="558"/>
      <c r="B747" s="548"/>
      <c r="C747" s="659">
        <v>3</v>
      </c>
      <c r="D747" s="549" t="s">
        <v>1493</v>
      </c>
      <c r="E747" s="550" t="s">
        <v>502</v>
      </c>
      <c r="F747" s="551" t="s">
        <v>1007</v>
      </c>
      <c r="G747" s="649" t="s">
        <v>1375</v>
      </c>
      <c r="H747" s="647" t="str">
        <f t="shared" si="110"/>
        <v>sanitaire ruimte (toilet-/doucheruimte)</v>
      </c>
      <c r="I747" s="719" t="s">
        <v>1402</v>
      </c>
      <c r="J747" s="623">
        <v>2</v>
      </c>
      <c r="K747" s="623"/>
      <c r="L747" s="559">
        <v>4255</v>
      </c>
      <c r="M747" s="557">
        <f t="shared" si="114"/>
        <v>104</v>
      </c>
      <c r="N747" s="453"/>
      <c r="O747" s="557">
        <f t="shared" si="115"/>
        <v>255</v>
      </c>
      <c r="P747" s="633">
        <v>1</v>
      </c>
      <c r="Q747" s="776">
        <f t="shared" si="116"/>
        <v>0</v>
      </c>
      <c r="R747" s="776">
        <f t="shared" si="117"/>
        <v>0</v>
      </c>
      <c r="S747" s="552">
        <f t="shared" si="118"/>
        <v>0</v>
      </c>
      <c r="T747" s="626">
        <f t="shared" si="111"/>
        <v>0</v>
      </c>
      <c r="U747" s="626">
        <f t="shared" si="112"/>
        <v>0</v>
      </c>
      <c r="V747" s="553">
        <f t="shared" si="113"/>
        <v>0</v>
      </c>
      <c r="W747" s="554" t="str">
        <f t="shared" si="119"/>
        <v>S</v>
      </c>
      <c r="X747" s="454" t="s">
        <v>1490</v>
      </c>
      <c r="Y747" s="631">
        <f>IF(Q747=0,0,(Q747+R747)*'1.0-Contractblad'!$L$98)</f>
        <v>0</v>
      </c>
      <c r="Z747" s="632">
        <f ca="1">IF(J747=0,0,VLOOKUP(D747,'1.1a-Jaarprijzen'!$B$70:$P$124,14,FALSE)*(K747+J747))</f>
        <v>0</v>
      </c>
    </row>
    <row r="748" spans="1:26" hidden="1">
      <c r="A748" s="558"/>
      <c r="B748" s="548"/>
      <c r="C748" s="659">
        <v>3</v>
      </c>
      <c r="D748" s="549" t="s">
        <v>1493</v>
      </c>
      <c r="E748" s="550" t="s">
        <v>502</v>
      </c>
      <c r="F748" s="551" t="s">
        <v>1008</v>
      </c>
      <c r="G748" s="649" t="s">
        <v>1375</v>
      </c>
      <c r="H748" s="647" t="str">
        <f t="shared" si="110"/>
        <v>sanitaire ruimte (toilet-/doucheruimte)</v>
      </c>
      <c r="I748" s="719" t="s">
        <v>1402</v>
      </c>
      <c r="J748" s="623">
        <v>2</v>
      </c>
      <c r="K748" s="623"/>
      <c r="L748" s="559">
        <v>4255</v>
      </c>
      <c r="M748" s="557">
        <f t="shared" si="114"/>
        <v>104</v>
      </c>
      <c r="N748" s="453"/>
      <c r="O748" s="557">
        <f t="shared" si="115"/>
        <v>255</v>
      </c>
      <c r="P748" s="633">
        <v>1</v>
      </c>
      <c r="Q748" s="776">
        <f t="shared" si="116"/>
        <v>0</v>
      </c>
      <c r="R748" s="776">
        <f t="shared" si="117"/>
        <v>0</v>
      </c>
      <c r="S748" s="552">
        <f t="shared" si="118"/>
        <v>0</v>
      </c>
      <c r="T748" s="626">
        <f t="shared" si="111"/>
        <v>0</v>
      </c>
      <c r="U748" s="626">
        <f t="shared" si="112"/>
        <v>0</v>
      </c>
      <c r="V748" s="553">
        <f t="shared" si="113"/>
        <v>0</v>
      </c>
      <c r="W748" s="554" t="str">
        <f t="shared" si="119"/>
        <v>S</v>
      </c>
      <c r="X748" s="454" t="s">
        <v>1490</v>
      </c>
      <c r="Y748" s="631">
        <f>IF(Q748=0,0,(Q748+R748)*'1.0-Contractblad'!$L$98)</f>
        <v>0</v>
      </c>
      <c r="Z748" s="632">
        <f ca="1">IF(J748=0,0,VLOOKUP(D748,'1.1a-Jaarprijzen'!$B$70:$P$124,14,FALSE)*(K748+J748))</f>
        <v>0</v>
      </c>
    </row>
    <row r="749" spans="1:26" hidden="1">
      <c r="A749" s="558"/>
      <c r="B749" s="548"/>
      <c r="C749" s="659">
        <v>3</v>
      </c>
      <c r="D749" s="549" t="s">
        <v>1493</v>
      </c>
      <c r="E749" s="550" t="s">
        <v>502</v>
      </c>
      <c r="F749" s="551" t="s">
        <v>1009</v>
      </c>
      <c r="G749" s="649" t="s">
        <v>1375</v>
      </c>
      <c r="H749" s="647" t="str">
        <f t="shared" si="110"/>
        <v>sanitaire ruimte (toilet-/doucheruimte)</v>
      </c>
      <c r="I749" s="719" t="s">
        <v>1402</v>
      </c>
      <c r="J749" s="623">
        <v>2</v>
      </c>
      <c r="K749" s="623"/>
      <c r="L749" s="559">
        <v>4255</v>
      </c>
      <c r="M749" s="557">
        <f t="shared" si="114"/>
        <v>104</v>
      </c>
      <c r="N749" s="453"/>
      <c r="O749" s="557">
        <f t="shared" si="115"/>
        <v>255</v>
      </c>
      <c r="P749" s="633">
        <v>1</v>
      </c>
      <c r="Q749" s="776">
        <f t="shared" si="116"/>
        <v>0</v>
      </c>
      <c r="R749" s="776">
        <f t="shared" si="117"/>
        <v>0</v>
      </c>
      <c r="S749" s="552">
        <f t="shared" si="118"/>
        <v>0</v>
      </c>
      <c r="T749" s="626">
        <f t="shared" si="111"/>
        <v>0</v>
      </c>
      <c r="U749" s="626">
        <f t="shared" si="112"/>
        <v>0</v>
      </c>
      <c r="V749" s="553">
        <f t="shared" si="113"/>
        <v>0</v>
      </c>
      <c r="W749" s="554" t="str">
        <f t="shared" si="119"/>
        <v>S</v>
      </c>
      <c r="X749" s="454" t="s">
        <v>1490</v>
      </c>
      <c r="Y749" s="631">
        <f>IF(Q749=0,0,(Q749+R749)*'1.0-Contractblad'!$L$98)</f>
        <v>0</v>
      </c>
      <c r="Z749" s="632">
        <f ca="1">IF(J749=0,0,VLOOKUP(D749,'1.1a-Jaarprijzen'!$B$70:$P$124,14,FALSE)*(K749+J749))</f>
        <v>0</v>
      </c>
    </row>
    <row r="750" spans="1:26" hidden="1">
      <c r="A750" s="558"/>
      <c r="B750" s="548"/>
      <c r="C750" s="659">
        <v>3</v>
      </c>
      <c r="D750" s="549" t="s">
        <v>1493</v>
      </c>
      <c r="E750" s="550" t="s">
        <v>502</v>
      </c>
      <c r="F750" s="551" t="s">
        <v>1010</v>
      </c>
      <c r="G750" s="649" t="s">
        <v>1216</v>
      </c>
      <c r="H750" s="647" t="str">
        <f t="shared" si="110"/>
        <v>sanitaire ruimte (toilet-/doucheruimte)</v>
      </c>
      <c r="I750" s="719" t="s">
        <v>1402</v>
      </c>
      <c r="J750" s="623">
        <v>1.9</v>
      </c>
      <c r="K750" s="623"/>
      <c r="L750" s="559">
        <v>4153</v>
      </c>
      <c r="M750" s="557">
        <f t="shared" si="114"/>
        <v>104</v>
      </c>
      <c r="N750" s="453"/>
      <c r="O750" s="557">
        <f t="shared" si="115"/>
        <v>153</v>
      </c>
      <c r="P750" s="633">
        <v>1</v>
      </c>
      <c r="Q750" s="776">
        <f t="shared" si="116"/>
        <v>0</v>
      </c>
      <c r="R750" s="776">
        <f t="shared" si="117"/>
        <v>0</v>
      </c>
      <c r="S750" s="552">
        <f t="shared" si="118"/>
        <v>0</v>
      </c>
      <c r="T750" s="626">
        <f t="shared" si="111"/>
        <v>0</v>
      </c>
      <c r="U750" s="626">
        <f t="shared" si="112"/>
        <v>0</v>
      </c>
      <c r="V750" s="553">
        <f t="shared" si="113"/>
        <v>0</v>
      </c>
      <c r="W750" s="554" t="str">
        <f t="shared" si="119"/>
        <v>S</v>
      </c>
      <c r="X750" s="454" t="s">
        <v>1490</v>
      </c>
      <c r="Y750" s="631">
        <f>IF(Q750=0,0,(Q750+R750)*'1.0-Contractblad'!$L$98)</f>
        <v>0</v>
      </c>
      <c r="Z750" s="632">
        <f ca="1">IF(J750=0,0,VLOOKUP(D750,'1.1a-Jaarprijzen'!$B$70:$P$124,14,FALSE)*(K750+J750))</f>
        <v>0</v>
      </c>
    </row>
    <row r="751" spans="1:26" hidden="1">
      <c r="A751" s="558"/>
      <c r="B751" s="548"/>
      <c r="C751" s="659">
        <v>3</v>
      </c>
      <c r="D751" s="549" t="s">
        <v>1493</v>
      </c>
      <c r="E751" s="550" t="s">
        <v>502</v>
      </c>
      <c r="F751" s="551" t="s">
        <v>1011</v>
      </c>
      <c r="G751" s="649" t="s">
        <v>477</v>
      </c>
      <c r="H751" s="647" t="str">
        <f t="shared" si="110"/>
        <v>niet van toepassing</v>
      </c>
      <c r="I751" s="719" t="s">
        <v>84</v>
      </c>
      <c r="J751" s="623"/>
      <c r="K751" s="623"/>
      <c r="L751" s="668" t="s">
        <v>27</v>
      </c>
      <c r="M751" s="557">
        <f t="shared" si="114"/>
        <v>0</v>
      </c>
      <c r="N751" s="453"/>
      <c r="O751" s="557">
        <f t="shared" si="115"/>
        <v>0</v>
      </c>
      <c r="P751" s="633">
        <v>1</v>
      </c>
      <c r="Q751" s="776">
        <f t="shared" si="116"/>
        <v>0</v>
      </c>
      <c r="R751" s="776">
        <f t="shared" si="117"/>
        <v>0</v>
      </c>
      <c r="S751" s="552">
        <f t="shared" si="118"/>
        <v>0</v>
      </c>
      <c r="T751" s="626">
        <f t="shared" si="111"/>
        <v>0</v>
      </c>
      <c r="U751" s="626">
        <f t="shared" si="112"/>
        <v>0</v>
      </c>
      <c r="V751" s="553">
        <f t="shared" si="113"/>
        <v>0</v>
      </c>
      <c r="W751" s="554">
        <f t="shared" si="119"/>
        <v>0</v>
      </c>
      <c r="X751" s="454" t="s">
        <v>1490</v>
      </c>
      <c r="Y751" s="631">
        <f>IF(Q751=0,0,(Q751+R751)*'1.0-Contractblad'!$L$98)</f>
        <v>0</v>
      </c>
      <c r="Z751" s="632">
        <f>IF(J751=0,0,VLOOKUP(D751,'1.1a-Jaarprijzen'!$B$70:$P$124,14,FALSE)*(K751+J751))</f>
        <v>0</v>
      </c>
    </row>
    <row r="752" spans="1:26" hidden="1">
      <c r="A752" s="558"/>
      <c r="B752" s="548"/>
      <c r="C752" s="659">
        <v>3</v>
      </c>
      <c r="D752" s="549" t="s">
        <v>1493</v>
      </c>
      <c r="E752" s="550" t="s">
        <v>502</v>
      </c>
      <c r="F752" s="551" t="s">
        <v>1155</v>
      </c>
      <c r="G752" s="649" t="s">
        <v>1368</v>
      </c>
      <c r="H752" s="647" t="str">
        <f t="shared" si="110"/>
        <v>niet van toepassing</v>
      </c>
      <c r="I752" s="719" t="s">
        <v>106</v>
      </c>
      <c r="J752" s="623"/>
      <c r="K752" s="623"/>
      <c r="L752" s="668" t="s">
        <v>27</v>
      </c>
      <c r="M752" s="557">
        <f t="shared" si="114"/>
        <v>0</v>
      </c>
      <c r="N752" s="453"/>
      <c r="O752" s="557">
        <f t="shared" si="115"/>
        <v>0</v>
      </c>
      <c r="P752" s="633">
        <v>1</v>
      </c>
      <c r="Q752" s="776">
        <f t="shared" si="116"/>
        <v>0</v>
      </c>
      <c r="R752" s="776">
        <f t="shared" si="117"/>
        <v>0</v>
      </c>
      <c r="S752" s="552">
        <f t="shared" si="118"/>
        <v>0</v>
      </c>
      <c r="T752" s="626">
        <f t="shared" si="111"/>
        <v>0</v>
      </c>
      <c r="U752" s="626">
        <f t="shared" si="112"/>
        <v>0</v>
      </c>
      <c r="V752" s="553">
        <f t="shared" si="113"/>
        <v>0</v>
      </c>
      <c r="W752" s="554">
        <f t="shared" si="119"/>
        <v>0</v>
      </c>
      <c r="X752" s="454" t="s">
        <v>1491</v>
      </c>
      <c r="Y752" s="631">
        <f>IF(Q752=0,0,(Q752+R752)*'1.0-Contractblad'!$L$98)</f>
        <v>0</v>
      </c>
      <c r="Z752" s="632">
        <f>IF(J752=0,0,VLOOKUP(D752,'1.1a-Jaarprijzen'!$B$70:$P$124,14,FALSE)*(K752+J752))</f>
        <v>0</v>
      </c>
    </row>
    <row r="753" spans="1:26" hidden="1">
      <c r="A753" s="558"/>
      <c r="B753" s="548"/>
      <c r="C753" s="659">
        <v>3</v>
      </c>
      <c r="D753" s="549" t="s">
        <v>1493</v>
      </c>
      <c r="E753" s="550" t="s">
        <v>502</v>
      </c>
      <c r="F753" s="551" t="s">
        <v>1156</v>
      </c>
      <c r="G753" s="649" t="s">
        <v>1368</v>
      </c>
      <c r="H753" s="647" t="str">
        <f t="shared" si="110"/>
        <v>niet van toepassing</v>
      </c>
      <c r="I753" s="719" t="s">
        <v>106</v>
      </c>
      <c r="J753" s="623"/>
      <c r="K753" s="623"/>
      <c r="L753" s="668" t="s">
        <v>27</v>
      </c>
      <c r="M753" s="557">
        <f t="shared" si="114"/>
        <v>0</v>
      </c>
      <c r="N753" s="453"/>
      <c r="O753" s="557">
        <f t="shared" si="115"/>
        <v>0</v>
      </c>
      <c r="P753" s="633">
        <v>1</v>
      </c>
      <c r="Q753" s="776">
        <f t="shared" si="116"/>
        <v>0</v>
      </c>
      <c r="R753" s="776">
        <f t="shared" si="117"/>
        <v>0</v>
      </c>
      <c r="S753" s="552">
        <f t="shared" si="118"/>
        <v>0</v>
      </c>
      <c r="T753" s="626">
        <f t="shared" si="111"/>
        <v>0</v>
      </c>
      <c r="U753" s="626">
        <f t="shared" si="112"/>
        <v>0</v>
      </c>
      <c r="V753" s="553">
        <f t="shared" si="113"/>
        <v>0</v>
      </c>
      <c r="W753" s="554">
        <f t="shared" si="119"/>
        <v>0</v>
      </c>
      <c r="X753" s="454" t="s">
        <v>1491</v>
      </c>
      <c r="Y753" s="631">
        <f>IF(Q753=0,0,(Q753+R753)*'1.0-Contractblad'!$L$98)</f>
        <v>0</v>
      </c>
      <c r="Z753" s="632">
        <f>IF(J753=0,0,VLOOKUP(D753,'1.1a-Jaarprijzen'!$B$70:$P$124,14,FALSE)*(K753+J753))</f>
        <v>0</v>
      </c>
    </row>
    <row r="754" spans="1:26" hidden="1">
      <c r="A754" s="558"/>
      <c r="B754" s="548"/>
      <c r="C754" s="659">
        <v>3</v>
      </c>
      <c r="D754" s="549" t="s">
        <v>1493</v>
      </c>
      <c r="E754" s="550" t="s">
        <v>502</v>
      </c>
      <c r="F754" s="551" t="s">
        <v>1157</v>
      </c>
      <c r="G754" s="649" t="s">
        <v>1368</v>
      </c>
      <c r="H754" s="647" t="str">
        <f t="shared" si="110"/>
        <v>niet van toepassing</v>
      </c>
      <c r="I754" s="719" t="s">
        <v>106</v>
      </c>
      <c r="J754" s="623"/>
      <c r="K754" s="623"/>
      <c r="L754" s="668" t="s">
        <v>27</v>
      </c>
      <c r="M754" s="557">
        <f t="shared" si="114"/>
        <v>0</v>
      </c>
      <c r="N754" s="453"/>
      <c r="O754" s="557">
        <f t="shared" si="115"/>
        <v>0</v>
      </c>
      <c r="P754" s="633">
        <v>1</v>
      </c>
      <c r="Q754" s="776">
        <f t="shared" si="116"/>
        <v>0</v>
      </c>
      <c r="R754" s="776">
        <f t="shared" si="117"/>
        <v>0</v>
      </c>
      <c r="S754" s="552">
        <f t="shared" si="118"/>
        <v>0</v>
      </c>
      <c r="T754" s="626">
        <f t="shared" si="111"/>
        <v>0</v>
      </c>
      <c r="U754" s="626">
        <f t="shared" si="112"/>
        <v>0</v>
      </c>
      <c r="V754" s="553">
        <f t="shared" si="113"/>
        <v>0</v>
      </c>
      <c r="W754" s="554">
        <f t="shared" si="119"/>
        <v>0</v>
      </c>
      <c r="X754" s="454" t="s">
        <v>1491</v>
      </c>
      <c r="Y754" s="631">
        <f>IF(Q754=0,0,(Q754+R754)*'1.0-Contractblad'!$L$98)</f>
        <v>0</v>
      </c>
      <c r="Z754" s="632">
        <f>IF(J754=0,0,VLOOKUP(D754,'1.1a-Jaarprijzen'!$B$70:$P$124,14,FALSE)*(K754+J754))</f>
        <v>0</v>
      </c>
    </row>
    <row r="755" spans="1:26" hidden="1">
      <c r="A755" s="558"/>
      <c r="B755" s="548"/>
      <c r="C755" s="659">
        <v>3</v>
      </c>
      <c r="D755" s="549" t="s">
        <v>1493</v>
      </c>
      <c r="E755" s="550" t="s">
        <v>502</v>
      </c>
      <c r="F755" s="551" t="s">
        <v>1158</v>
      </c>
      <c r="G755" s="649" t="s">
        <v>1368</v>
      </c>
      <c r="H755" s="647" t="str">
        <f t="shared" si="110"/>
        <v>niet van toepassing</v>
      </c>
      <c r="I755" s="719" t="s">
        <v>106</v>
      </c>
      <c r="J755" s="623"/>
      <c r="K755" s="623"/>
      <c r="L755" s="668" t="s">
        <v>27</v>
      </c>
      <c r="M755" s="557">
        <f t="shared" si="114"/>
        <v>0</v>
      </c>
      <c r="N755" s="453"/>
      <c r="O755" s="557">
        <f t="shared" si="115"/>
        <v>0</v>
      </c>
      <c r="P755" s="633">
        <v>1</v>
      </c>
      <c r="Q755" s="776">
        <f t="shared" si="116"/>
        <v>0</v>
      </c>
      <c r="R755" s="776">
        <f t="shared" si="117"/>
        <v>0</v>
      </c>
      <c r="S755" s="552">
        <f t="shared" si="118"/>
        <v>0</v>
      </c>
      <c r="T755" s="626">
        <f t="shared" si="111"/>
        <v>0</v>
      </c>
      <c r="U755" s="626">
        <f t="shared" si="112"/>
        <v>0</v>
      </c>
      <c r="V755" s="553">
        <f t="shared" si="113"/>
        <v>0</v>
      </c>
      <c r="W755" s="554">
        <f t="shared" si="119"/>
        <v>0</v>
      </c>
      <c r="X755" s="454" t="s">
        <v>1491</v>
      </c>
      <c r="Y755" s="631">
        <f>IF(Q755=0,0,(Q755+R755)*'1.0-Contractblad'!$L$98)</f>
        <v>0</v>
      </c>
      <c r="Z755" s="632">
        <f>IF(J755=0,0,VLOOKUP(D755,'1.1a-Jaarprijzen'!$B$70:$P$124,14,FALSE)*(K755+J755))</f>
        <v>0</v>
      </c>
    </row>
    <row r="756" spans="1:26" hidden="1">
      <c r="A756" s="558"/>
      <c r="B756" s="548"/>
      <c r="C756" s="659">
        <v>3</v>
      </c>
      <c r="D756" s="549" t="s">
        <v>1493</v>
      </c>
      <c r="E756" s="550" t="s">
        <v>502</v>
      </c>
      <c r="F756" s="551" t="s">
        <v>1159</v>
      </c>
      <c r="G756" s="649" t="s">
        <v>1368</v>
      </c>
      <c r="H756" s="647" t="str">
        <f t="shared" si="110"/>
        <v>niet van toepassing</v>
      </c>
      <c r="I756" s="719" t="s">
        <v>106</v>
      </c>
      <c r="J756" s="623"/>
      <c r="K756" s="623"/>
      <c r="L756" s="668" t="s">
        <v>27</v>
      </c>
      <c r="M756" s="557">
        <f t="shared" si="114"/>
        <v>0</v>
      </c>
      <c r="N756" s="453"/>
      <c r="O756" s="557">
        <f t="shared" si="115"/>
        <v>0</v>
      </c>
      <c r="P756" s="633">
        <v>1</v>
      </c>
      <c r="Q756" s="776">
        <f t="shared" si="116"/>
        <v>0</v>
      </c>
      <c r="R756" s="776">
        <f t="shared" si="117"/>
        <v>0</v>
      </c>
      <c r="S756" s="552">
        <f t="shared" si="118"/>
        <v>0</v>
      </c>
      <c r="T756" s="626">
        <f t="shared" si="111"/>
        <v>0</v>
      </c>
      <c r="U756" s="626">
        <f t="shared" si="112"/>
        <v>0</v>
      </c>
      <c r="V756" s="553">
        <f t="shared" si="113"/>
        <v>0</v>
      </c>
      <c r="W756" s="554">
        <f t="shared" si="119"/>
        <v>0</v>
      </c>
      <c r="X756" s="454" t="s">
        <v>1491</v>
      </c>
      <c r="Y756" s="631">
        <f>IF(Q756=0,0,(Q756+R756)*'1.0-Contractblad'!$L$98)</f>
        <v>0</v>
      </c>
      <c r="Z756" s="632">
        <f>IF(J756=0,0,VLOOKUP(D756,'1.1a-Jaarprijzen'!$B$70:$P$124,14,FALSE)*(K756+J756))</f>
        <v>0</v>
      </c>
    </row>
    <row r="757" spans="1:26" hidden="1">
      <c r="A757" s="558"/>
      <c r="B757" s="548"/>
      <c r="C757" s="659">
        <v>3</v>
      </c>
      <c r="D757" s="549" t="s">
        <v>1493</v>
      </c>
      <c r="E757" s="550" t="s">
        <v>502</v>
      </c>
      <c r="F757" s="551" t="s">
        <v>1160</v>
      </c>
      <c r="G757" s="649" t="s">
        <v>1368</v>
      </c>
      <c r="H757" s="647" t="str">
        <f t="shared" si="110"/>
        <v>niet van toepassing</v>
      </c>
      <c r="I757" s="719" t="s">
        <v>106</v>
      </c>
      <c r="J757" s="623"/>
      <c r="K757" s="623"/>
      <c r="L757" s="668" t="s">
        <v>27</v>
      </c>
      <c r="M757" s="557">
        <f t="shared" si="114"/>
        <v>0</v>
      </c>
      <c r="N757" s="453"/>
      <c r="O757" s="557">
        <f t="shared" si="115"/>
        <v>0</v>
      </c>
      <c r="P757" s="633">
        <v>1</v>
      </c>
      <c r="Q757" s="776">
        <f t="shared" si="116"/>
        <v>0</v>
      </c>
      <c r="R757" s="776">
        <f t="shared" si="117"/>
        <v>0</v>
      </c>
      <c r="S757" s="552">
        <f t="shared" si="118"/>
        <v>0</v>
      </c>
      <c r="T757" s="626">
        <f t="shared" si="111"/>
        <v>0</v>
      </c>
      <c r="U757" s="626">
        <f t="shared" si="112"/>
        <v>0</v>
      </c>
      <c r="V757" s="553">
        <f t="shared" si="113"/>
        <v>0</v>
      </c>
      <c r="W757" s="554">
        <f t="shared" si="119"/>
        <v>0</v>
      </c>
      <c r="X757" s="454" t="s">
        <v>1491</v>
      </c>
      <c r="Y757" s="631">
        <f>IF(Q757=0,0,(Q757+R757)*'1.0-Contractblad'!$L$98)</f>
        <v>0</v>
      </c>
      <c r="Z757" s="632">
        <f>IF(J757=0,0,VLOOKUP(D757,'1.1a-Jaarprijzen'!$B$70:$P$124,14,FALSE)*(K757+J757))</f>
        <v>0</v>
      </c>
    </row>
    <row r="758" spans="1:26" hidden="1">
      <c r="A758" s="558"/>
      <c r="B758" s="548"/>
      <c r="C758" s="659">
        <v>3</v>
      </c>
      <c r="D758" s="549" t="s">
        <v>1493</v>
      </c>
      <c r="E758" s="550" t="s">
        <v>502</v>
      </c>
      <c r="F758" s="551" t="s">
        <v>1161</v>
      </c>
      <c r="G758" s="649" t="s">
        <v>1368</v>
      </c>
      <c r="H758" s="647" t="str">
        <f t="shared" si="110"/>
        <v>niet van toepassing</v>
      </c>
      <c r="I758" s="719" t="s">
        <v>106</v>
      </c>
      <c r="J758" s="623"/>
      <c r="K758" s="623"/>
      <c r="L758" s="668" t="s">
        <v>27</v>
      </c>
      <c r="M758" s="557">
        <f t="shared" si="114"/>
        <v>0</v>
      </c>
      <c r="N758" s="453"/>
      <c r="O758" s="557">
        <f t="shared" si="115"/>
        <v>0</v>
      </c>
      <c r="P758" s="633">
        <v>1</v>
      </c>
      <c r="Q758" s="776">
        <f t="shared" si="116"/>
        <v>0</v>
      </c>
      <c r="R758" s="776">
        <f t="shared" si="117"/>
        <v>0</v>
      </c>
      <c r="S758" s="552">
        <f t="shared" si="118"/>
        <v>0</v>
      </c>
      <c r="T758" s="626">
        <f t="shared" si="111"/>
        <v>0</v>
      </c>
      <c r="U758" s="626">
        <f t="shared" si="112"/>
        <v>0</v>
      </c>
      <c r="V758" s="553">
        <f t="shared" si="113"/>
        <v>0</v>
      </c>
      <c r="W758" s="554">
        <f t="shared" si="119"/>
        <v>0</v>
      </c>
      <c r="X758" s="454" t="s">
        <v>1491</v>
      </c>
      <c r="Y758" s="631">
        <f>IF(Q758=0,0,(Q758+R758)*'1.0-Contractblad'!$L$98)</f>
        <v>0</v>
      </c>
      <c r="Z758" s="632">
        <f>IF(J758=0,0,VLOOKUP(D758,'1.1a-Jaarprijzen'!$B$70:$P$124,14,FALSE)*(K758+J758))</f>
        <v>0</v>
      </c>
    </row>
    <row r="759" spans="1:26" hidden="1">
      <c r="A759" s="558"/>
      <c r="B759" s="548"/>
      <c r="C759" s="659">
        <v>3</v>
      </c>
      <c r="D759" s="549" t="s">
        <v>1493</v>
      </c>
      <c r="E759" s="550" t="s">
        <v>502</v>
      </c>
      <c r="F759" s="551" t="s">
        <v>1162</v>
      </c>
      <c r="G759" s="649" t="s">
        <v>1368</v>
      </c>
      <c r="H759" s="647" t="str">
        <f t="shared" si="110"/>
        <v>niet van toepassing</v>
      </c>
      <c r="I759" s="719" t="s">
        <v>106</v>
      </c>
      <c r="J759" s="623"/>
      <c r="K759" s="623"/>
      <c r="L759" s="668" t="s">
        <v>27</v>
      </c>
      <c r="M759" s="557">
        <f t="shared" si="114"/>
        <v>0</v>
      </c>
      <c r="N759" s="453"/>
      <c r="O759" s="557">
        <f t="shared" si="115"/>
        <v>0</v>
      </c>
      <c r="P759" s="633">
        <v>1</v>
      </c>
      <c r="Q759" s="776">
        <f t="shared" si="116"/>
        <v>0</v>
      </c>
      <c r="R759" s="776">
        <f t="shared" si="117"/>
        <v>0</v>
      </c>
      <c r="S759" s="552">
        <f t="shared" si="118"/>
        <v>0</v>
      </c>
      <c r="T759" s="626">
        <f t="shared" si="111"/>
        <v>0</v>
      </c>
      <c r="U759" s="626">
        <f t="shared" si="112"/>
        <v>0</v>
      </c>
      <c r="V759" s="553">
        <f t="shared" si="113"/>
        <v>0</v>
      </c>
      <c r="W759" s="554">
        <f t="shared" si="119"/>
        <v>0</v>
      </c>
      <c r="X759" s="454" t="s">
        <v>1491</v>
      </c>
      <c r="Y759" s="631">
        <f>IF(Q759=0,0,(Q759+R759)*'1.0-Contractblad'!$L$98)</f>
        <v>0</v>
      </c>
      <c r="Z759" s="632">
        <f>IF(J759=0,0,VLOOKUP(D759,'1.1a-Jaarprijzen'!$B$70:$P$124,14,FALSE)*(K759+J759))</f>
        <v>0</v>
      </c>
    </row>
    <row r="760" spans="1:26" hidden="1">
      <c r="A760" s="558"/>
      <c r="B760" s="548"/>
      <c r="C760" s="659">
        <v>3</v>
      </c>
      <c r="D760" s="549" t="s">
        <v>1493</v>
      </c>
      <c r="E760" s="550" t="s">
        <v>502</v>
      </c>
      <c r="F760" s="551" t="s">
        <v>1163</v>
      </c>
      <c r="G760" s="649" t="s">
        <v>1368</v>
      </c>
      <c r="H760" s="647" t="str">
        <f t="shared" si="110"/>
        <v>niet van toepassing</v>
      </c>
      <c r="I760" s="719" t="s">
        <v>106</v>
      </c>
      <c r="J760" s="623"/>
      <c r="K760" s="623"/>
      <c r="L760" s="668" t="s">
        <v>27</v>
      </c>
      <c r="M760" s="557">
        <f t="shared" si="114"/>
        <v>0</v>
      </c>
      <c r="N760" s="453"/>
      <c r="O760" s="557">
        <f t="shared" si="115"/>
        <v>0</v>
      </c>
      <c r="P760" s="633">
        <v>1</v>
      </c>
      <c r="Q760" s="776">
        <f t="shared" si="116"/>
        <v>0</v>
      </c>
      <c r="R760" s="776">
        <f t="shared" si="117"/>
        <v>0</v>
      </c>
      <c r="S760" s="552">
        <f t="shared" si="118"/>
        <v>0</v>
      </c>
      <c r="T760" s="626">
        <f t="shared" si="111"/>
        <v>0</v>
      </c>
      <c r="U760" s="626">
        <f t="shared" si="112"/>
        <v>0</v>
      </c>
      <c r="V760" s="553">
        <f t="shared" si="113"/>
        <v>0</v>
      </c>
      <c r="W760" s="554">
        <f t="shared" si="119"/>
        <v>0</v>
      </c>
      <c r="X760" s="454" t="s">
        <v>1491</v>
      </c>
      <c r="Y760" s="631">
        <f>IF(Q760=0,0,(Q760+R760)*'1.0-Contractblad'!$L$98)</f>
        <v>0</v>
      </c>
      <c r="Z760" s="632">
        <f>IF(J760=0,0,VLOOKUP(D760,'1.1a-Jaarprijzen'!$B$70:$P$124,14,FALSE)*(K760+J760))</f>
        <v>0</v>
      </c>
    </row>
    <row r="761" spans="1:26" hidden="1">
      <c r="A761" s="558"/>
      <c r="B761" s="548"/>
      <c r="C761" s="659">
        <v>3</v>
      </c>
      <c r="D761" s="549" t="s">
        <v>1493</v>
      </c>
      <c r="E761" s="550" t="s">
        <v>502</v>
      </c>
      <c r="F761" s="551" t="s">
        <v>454</v>
      </c>
      <c r="G761" s="649" t="s">
        <v>1368</v>
      </c>
      <c r="H761" s="647" t="str">
        <f t="shared" si="110"/>
        <v>niet van toepassing</v>
      </c>
      <c r="I761" s="719" t="s">
        <v>106</v>
      </c>
      <c r="J761" s="623"/>
      <c r="K761" s="623"/>
      <c r="L761" s="668" t="s">
        <v>27</v>
      </c>
      <c r="M761" s="557">
        <f t="shared" si="114"/>
        <v>0</v>
      </c>
      <c r="N761" s="453"/>
      <c r="O761" s="557">
        <f t="shared" si="115"/>
        <v>0</v>
      </c>
      <c r="P761" s="633">
        <v>1</v>
      </c>
      <c r="Q761" s="776">
        <f t="shared" si="116"/>
        <v>0</v>
      </c>
      <c r="R761" s="776">
        <f t="shared" si="117"/>
        <v>0</v>
      </c>
      <c r="S761" s="552">
        <f t="shared" si="118"/>
        <v>0</v>
      </c>
      <c r="T761" s="626">
        <f t="shared" si="111"/>
        <v>0</v>
      </c>
      <c r="U761" s="626">
        <f t="shared" si="112"/>
        <v>0</v>
      </c>
      <c r="V761" s="553">
        <f t="shared" si="113"/>
        <v>0</v>
      </c>
      <c r="W761" s="554">
        <f t="shared" si="119"/>
        <v>0</v>
      </c>
      <c r="X761" s="454" t="s">
        <v>1491</v>
      </c>
      <c r="Y761" s="631">
        <f>IF(Q761=0,0,(Q761+R761)*'1.0-Contractblad'!$L$98)</f>
        <v>0</v>
      </c>
      <c r="Z761" s="632">
        <f>IF(J761=0,0,VLOOKUP(D761,'1.1a-Jaarprijzen'!$B$70:$P$124,14,FALSE)*(K761+J761))</f>
        <v>0</v>
      </c>
    </row>
    <row r="762" spans="1:26" hidden="1">
      <c r="A762" s="558"/>
      <c r="B762" s="548"/>
      <c r="C762" s="659">
        <v>3</v>
      </c>
      <c r="D762" s="549" t="s">
        <v>1493</v>
      </c>
      <c r="E762" s="550" t="s">
        <v>502</v>
      </c>
      <c r="F762" s="551" t="s">
        <v>1164</v>
      </c>
      <c r="G762" s="649" t="s">
        <v>1371</v>
      </c>
      <c r="H762" s="647" t="str">
        <f t="shared" si="110"/>
        <v>entree, gang, hal, repro, kopieer, was/droogruimte</v>
      </c>
      <c r="I762" s="719" t="s">
        <v>106</v>
      </c>
      <c r="J762" s="623">
        <v>65.3</v>
      </c>
      <c r="K762" s="623"/>
      <c r="L762" s="651">
        <v>3153</v>
      </c>
      <c r="M762" s="557">
        <f t="shared" si="114"/>
        <v>103</v>
      </c>
      <c r="N762" s="453"/>
      <c r="O762" s="557">
        <f t="shared" si="115"/>
        <v>153</v>
      </c>
      <c r="P762" s="633">
        <v>1</v>
      </c>
      <c r="Q762" s="776">
        <f t="shared" si="116"/>
        <v>0</v>
      </c>
      <c r="R762" s="776">
        <f t="shared" si="117"/>
        <v>0</v>
      </c>
      <c r="S762" s="552">
        <f t="shared" si="118"/>
        <v>0</v>
      </c>
      <c r="T762" s="626">
        <f t="shared" si="111"/>
        <v>0</v>
      </c>
      <c r="U762" s="626">
        <f t="shared" si="112"/>
        <v>0</v>
      </c>
      <c r="V762" s="553">
        <f t="shared" si="113"/>
        <v>0</v>
      </c>
      <c r="W762" s="554" t="str">
        <f t="shared" si="119"/>
        <v>V</v>
      </c>
      <c r="X762" s="454" t="s">
        <v>1491</v>
      </c>
      <c r="Y762" s="631">
        <f>IF(Q762=0,0,(Q762+R762)*'1.0-Contractblad'!$L$98)</f>
        <v>0</v>
      </c>
      <c r="Z762" s="632">
        <f ca="1">IF(J762=0,0,VLOOKUP(D762,'1.1a-Jaarprijzen'!$B$70:$P$124,14,FALSE)*(K762+J762))</f>
        <v>0</v>
      </c>
    </row>
    <row r="763" spans="1:26" hidden="1">
      <c r="A763" s="558"/>
      <c r="B763" s="548"/>
      <c r="C763" s="659">
        <v>3</v>
      </c>
      <c r="D763" s="549" t="s">
        <v>1493</v>
      </c>
      <c r="E763" s="550" t="s">
        <v>502</v>
      </c>
      <c r="F763" s="551" t="s">
        <v>455</v>
      </c>
      <c r="G763" s="649" t="s">
        <v>1216</v>
      </c>
      <c r="H763" s="647" t="str">
        <f t="shared" si="110"/>
        <v>sanitaire ruimte (toilet-/doucheruimte)</v>
      </c>
      <c r="I763" s="719" t="s">
        <v>1402</v>
      </c>
      <c r="J763" s="623">
        <v>1.6</v>
      </c>
      <c r="K763" s="623"/>
      <c r="L763" s="559">
        <v>4153</v>
      </c>
      <c r="M763" s="557">
        <f t="shared" si="114"/>
        <v>104</v>
      </c>
      <c r="N763" s="453"/>
      <c r="O763" s="557">
        <f t="shared" si="115"/>
        <v>153</v>
      </c>
      <c r="P763" s="633">
        <v>1</v>
      </c>
      <c r="Q763" s="776">
        <f t="shared" si="116"/>
        <v>0</v>
      </c>
      <c r="R763" s="776">
        <f t="shared" si="117"/>
        <v>0</v>
      </c>
      <c r="S763" s="552">
        <f t="shared" si="118"/>
        <v>0</v>
      </c>
      <c r="T763" s="626">
        <f t="shared" si="111"/>
        <v>0</v>
      </c>
      <c r="U763" s="626">
        <f t="shared" si="112"/>
        <v>0</v>
      </c>
      <c r="V763" s="553">
        <f t="shared" si="113"/>
        <v>0</v>
      </c>
      <c r="W763" s="554" t="str">
        <f t="shared" si="119"/>
        <v>S</v>
      </c>
      <c r="X763" s="454" t="s">
        <v>1491</v>
      </c>
      <c r="Y763" s="631">
        <f>IF(Q763=0,0,(Q763+R763)*'1.0-Contractblad'!$L$98)</f>
        <v>0</v>
      </c>
      <c r="Z763" s="632">
        <f ca="1">IF(J763=0,0,VLOOKUP(D763,'1.1a-Jaarprijzen'!$B$70:$P$124,14,FALSE)*(K763+J763))</f>
        <v>0</v>
      </c>
    </row>
    <row r="764" spans="1:26" hidden="1">
      <c r="A764" s="558"/>
      <c r="B764" s="548"/>
      <c r="C764" s="659">
        <v>3</v>
      </c>
      <c r="D764" s="549" t="s">
        <v>1493</v>
      </c>
      <c r="E764" s="550" t="s">
        <v>502</v>
      </c>
      <c r="F764" s="551" t="s">
        <v>456</v>
      </c>
      <c r="G764" s="649" t="s">
        <v>1372</v>
      </c>
      <c r="H764" s="647" t="str">
        <f t="shared" si="110"/>
        <v>entree, gang, hal, repro, kopieer, was/droogruimte</v>
      </c>
      <c r="I764" s="719" t="s">
        <v>106</v>
      </c>
      <c r="J764" s="623">
        <v>1.9</v>
      </c>
      <c r="K764" s="623"/>
      <c r="L764" s="559">
        <v>3102</v>
      </c>
      <c r="M764" s="557">
        <f t="shared" si="114"/>
        <v>103</v>
      </c>
      <c r="N764" s="453"/>
      <c r="O764" s="557">
        <f t="shared" si="115"/>
        <v>102</v>
      </c>
      <c r="P764" s="633">
        <v>1</v>
      </c>
      <c r="Q764" s="776">
        <f t="shared" si="116"/>
        <v>0</v>
      </c>
      <c r="R764" s="776">
        <f t="shared" si="117"/>
        <v>0</v>
      </c>
      <c r="S764" s="552">
        <f t="shared" si="118"/>
        <v>0</v>
      </c>
      <c r="T764" s="626">
        <f t="shared" si="111"/>
        <v>0</v>
      </c>
      <c r="U764" s="626">
        <f t="shared" si="112"/>
        <v>0</v>
      </c>
      <c r="V764" s="553">
        <f t="shared" si="113"/>
        <v>0</v>
      </c>
      <c r="W764" s="554" t="str">
        <f t="shared" si="119"/>
        <v>V</v>
      </c>
      <c r="X764" s="454" t="s">
        <v>1491</v>
      </c>
      <c r="Y764" s="631">
        <f>IF(Q764=0,0,(Q764+R764)*'1.0-Contractblad'!$L$98)</f>
        <v>0</v>
      </c>
      <c r="Z764" s="632">
        <f ca="1">IF(J764=0,0,VLOOKUP(D764,'1.1a-Jaarprijzen'!$B$70:$P$124,14,FALSE)*(K764+J764))</f>
        <v>0</v>
      </c>
    </row>
    <row r="765" spans="1:26" hidden="1">
      <c r="A765" s="558"/>
      <c r="B765" s="548"/>
      <c r="C765" s="659">
        <v>3</v>
      </c>
      <c r="D765" s="549" t="s">
        <v>1493</v>
      </c>
      <c r="E765" s="550" t="s">
        <v>502</v>
      </c>
      <c r="F765" s="551" t="s">
        <v>457</v>
      </c>
      <c r="G765" s="649" t="s">
        <v>1235</v>
      </c>
      <c r="H765" s="647" t="str">
        <f t="shared" si="110"/>
        <v>niet van toepassing</v>
      </c>
      <c r="I765" s="719"/>
      <c r="J765" s="623"/>
      <c r="K765" s="623"/>
      <c r="L765" s="668" t="s">
        <v>27</v>
      </c>
      <c r="M765" s="557">
        <f t="shared" si="114"/>
        <v>0</v>
      </c>
      <c r="N765" s="453"/>
      <c r="O765" s="557">
        <f t="shared" si="115"/>
        <v>0</v>
      </c>
      <c r="P765" s="633">
        <v>1</v>
      </c>
      <c r="Q765" s="776">
        <f t="shared" si="116"/>
        <v>0</v>
      </c>
      <c r="R765" s="776">
        <f t="shared" si="117"/>
        <v>0</v>
      </c>
      <c r="S765" s="552">
        <f t="shared" si="118"/>
        <v>0</v>
      </c>
      <c r="T765" s="626">
        <f t="shared" si="111"/>
        <v>0</v>
      </c>
      <c r="U765" s="626">
        <f t="shared" si="112"/>
        <v>0</v>
      </c>
      <c r="V765" s="553">
        <f t="shared" si="113"/>
        <v>0</v>
      </c>
      <c r="W765" s="554">
        <f t="shared" si="119"/>
        <v>0</v>
      </c>
      <c r="X765" s="454" t="s">
        <v>1491</v>
      </c>
      <c r="Y765" s="631">
        <f>IF(Q765=0,0,(Q765+R765)*'1.0-Contractblad'!$L$98)</f>
        <v>0</v>
      </c>
      <c r="Z765" s="632">
        <f>IF(J765=0,0,VLOOKUP(D765,'1.1a-Jaarprijzen'!$B$70:$P$124,14,FALSE)*(K765+J765))</f>
        <v>0</v>
      </c>
    </row>
    <row r="766" spans="1:26" hidden="1">
      <c r="A766" s="558"/>
      <c r="B766" s="548"/>
      <c r="C766" s="659">
        <v>3</v>
      </c>
      <c r="D766" s="549" t="s">
        <v>1493</v>
      </c>
      <c r="E766" s="550" t="s">
        <v>502</v>
      </c>
      <c r="F766" s="551" t="s">
        <v>458</v>
      </c>
      <c r="G766" s="649" t="s">
        <v>1275</v>
      </c>
      <c r="H766" s="647" t="str">
        <f t="shared" si="110"/>
        <v>administratieve -, personeels- en vergaderruimte</v>
      </c>
      <c r="I766" s="719" t="s">
        <v>106</v>
      </c>
      <c r="J766" s="623">
        <v>9.9</v>
      </c>
      <c r="K766" s="623"/>
      <c r="L766" s="651">
        <v>1153</v>
      </c>
      <c r="M766" s="557">
        <f t="shared" si="114"/>
        <v>101</v>
      </c>
      <c r="N766" s="453"/>
      <c r="O766" s="557">
        <f t="shared" si="115"/>
        <v>153</v>
      </c>
      <c r="P766" s="633">
        <v>1</v>
      </c>
      <c r="Q766" s="776">
        <f t="shared" si="116"/>
        <v>0</v>
      </c>
      <c r="R766" s="776">
        <f t="shared" si="117"/>
        <v>0</v>
      </c>
      <c r="S766" s="552">
        <f t="shared" si="118"/>
        <v>0</v>
      </c>
      <c r="T766" s="626">
        <f t="shared" si="111"/>
        <v>0</v>
      </c>
      <c r="U766" s="626">
        <f t="shared" si="112"/>
        <v>0</v>
      </c>
      <c r="V766" s="553">
        <f t="shared" si="113"/>
        <v>0</v>
      </c>
      <c r="W766" s="554" t="str">
        <f t="shared" si="119"/>
        <v>B</v>
      </c>
      <c r="X766" s="454" t="s">
        <v>1491</v>
      </c>
      <c r="Y766" s="631">
        <f>IF(Q766=0,0,(Q766+R766)*'1.0-Contractblad'!$L$98)</f>
        <v>0</v>
      </c>
      <c r="Z766" s="632">
        <f ca="1">IF(J766=0,0,VLOOKUP(D766,'1.1a-Jaarprijzen'!$B$70:$P$124,14,FALSE)*(K766+J766))</f>
        <v>0</v>
      </c>
    </row>
    <row r="767" spans="1:26" hidden="1">
      <c r="A767" s="558"/>
      <c r="B767" s="548"/>
      <c r="C767" s="659">
        <v>3</v>
      </c>
      <c r="D767" s="549" t="s">
        <v>1493</v>
      </c>
      <c r="E767" s="550" t="s">
        <v>502</v>
      </c>
      <c r="F767" s="551" t="s">
        <v>459</v>
      </c>
      <c r="G767" s="649" t="s">
        <v>1235</v>
      </c>
      <c r="H767" s="647" t="str">
        <f t="shared" si="110"/>
        <v>niet van toepassing</v>
      </c>
      <c r="I767" s="719"/>
      <c r="J767" s="623"/>
      <c r="K767" s="623"/>
      <c r="L767" s="668" t="s">
        <v>27</v>
      </c>
      <c r="M767" s="557">
        <f t="shared" si="114"/>
        <v>0</v>
      </c>
      <c r="N767" s="453"/>
      <c r="O767" s="557">
        <f t="shared" si="115"/>
        <v>0</v>
      </c>
      <c r="P767" s="633">
        <v>1</v>
      </c>
      <c r="Q767" s="776">
        <f t="shared" si="116"/>
        <v>0</v>
      </c>
      <c r="R767" s="776">
        <f t="shared" si="117"/>
        <v>0</v>
      </c>
      <c r="S767" s="552">
        <f t="shared" si="118"/>
        <v>0</v>
      </c>
      <c r="T767" s="626">
        <f t="shared" si="111"/>
        <v>0</v>
      </c>
      <c r="U767" s="626">
        <f t="shared" si="112"/>
        <v>0</v>
      </c>
      <c r="V767" s="553">
        <f t="shared" si="113"/>
        <v>0</v>
      </c>
      <c r="W767" s="554">
        <f t="shared" si="119"/>
        <v>0</v>
      </c>
      <c r="X767" s="454" t="s">
        <v>1491</v>
      </c>
      <c r="Y767" s="631">
        <f>IF(Q767=0,0,(Q767+R767)*'1.0-Contractblad'!$L$98)</f>
        <v>0</v>
      </c>
      <c r="Z767" s="632">
        <f>IF(J767=0,0,VLOOKUP(D767,'1.1a-Jaarprijzen'!$B$70:$P$124,14,FALSE)*(K767+J767))</f>
        <v>0</v>
      </c>
    </row>
    <row r="768" spans="1:26">
      <c r="A768" s="558"/>
      <c r="B768" s="548"/>
      <c r="C768" s="659">
        <v>3</v>
      </c>
      <c r="D768" s="549" t="s">
        <v>1493</v>
      </c>
      <c r="E768" s="550" t="s">
        <v>502</v>
      </c>
      <c r="F768" s="551" t="s">
        <v>460</v>
      </c>
      <c r="G768" s="649" t="s">
        <v>1359</v>
      </c>
      <c r="H768" s="647" t="str">
        <f t="shared" si="110"/>
        <v>aula, gemeenschappelijke ruimte, bibliotheek</v>
      </c>
      <c r="I768" s="719" t="s">
        <v>106</v>
      </c>
      <c r="J768" s="623">
        <v>62.3</v>
      </c>
      <c r="K768" s="623"/>
      <c r="L768" s="559">
        <v>2153</v>
      </c>
      <c r="M768" s="557">
        <f t="shared" si="114"/>
        <v>102</v>
      </c>
      <c r="N768" s="453"/>
      <c r="O768" s="557">
        <f t="shared" si="115"/>
        <v>153</v>
      </c>
      <c r="P768" s="633">
        <v>1</v>
      </c>
      <c r="Q768" s="776">
        <f t="shared" si="116"/>
        <v>0</v>
      </c>
      <c r="R768" s="776">
        <f t="shared" si="117"/>
        <v>0</v>
      </c>
      <c r="S768" s="552">
        <f t="shared" si="118"/>
        <v>0</v>
      </c>
      <c r="T768" s="626">
        <f t="shared" si="111"/>
        <v>0</v>
      </c>
      <c r="U768" s="626">
        <f t="shared" si="112"/>
        <v>0</v>
      </c>
      <c r="V768" s="553">
        <f t="shared" si="113"/>
        <v>0</v>
      </c>
      <c r="W768" s="554" t="str">
        <f t="shared" si="119"/>
        <v>V</v>
      </c>
      <c r="X768" s="454" t="s">
        <v>1491</v>
      </c>
      <c r="Y768" s="631">
        <f>IF(Q768=0,0,(Q768+R768)*'1.0-Contractblad'!$L$98)</f>
        <v>0</v>
      </c>
      <c r="Z768" s="632">
        <f ca="1">IF(J768=0,0,VLOOKUP(D768,'1.1a-Jaarprijzen'!$B$70:$P$124,14,FALSE)*(K768+J768))</f>
        <v>0</v>
      </c>
    </row>
    <row r="769" spans="1:26" hidden="1">
      <c r="A769" s="558"/>
      <c r="B769" s="548"/>
      <c r="C769" s="659">
        <v>3</v>
      </c>
      <c r="D769" s="549" t="s">
        <v>1493</v>
      </c>
      <c r="E769" s="550" t="s">
        <v>502</v>
      </c>
      <c r="F769" s="551" t="s">
        <v>461</v>
      </c>
      <c r="G769" s="649" t="s">
        <v>1276</v>
      </c>
      <c r="H769" s="647" t="str">
        <f t="shared" si="110"/>
        <v>Keuken</v>
      </c>
      <c r="I769" s="719" t="s">
        <v>106</v>
      </c>
      <c r="J769" s="623">
        <v>2.5</v>
      </c>
      <c r="K769" s="623"/>
      <c r="L769" s="559">
        <v>18153</v>
      </c>
      <c r="M769" s="557" t="str">
        <f t="shared" si="114"/>
        <v>nvt</v>
      </c>
      <c r="N769" s="453"/>
      <c r="O769" s="557">
        <f t="shared" si="115"/>
        <v>153</v>
      </c>
      <c r="P769" s="633">
        <v>1</v>
      </c>
      <c r="Q769" s="776">
        <f t="shared" si="116"/>
        <v>0</v>
      </c>
      <c r="R769" s="776">
        <f t="shared" si="117"/>
        <v>0</v>
      </c>
      <c r="S769" s="552">
        <f t="shared" si="118"/>
        <v>0</v>
      </c>
      <c r="T769" s="626">
        <f t="shared" si="111"/>
        <v>0</v>
      </c>
      <c r="U769" s="626">
        <f t="shared" si="112"/>
        <v>0</v>
      </c>
      <c r="V769" s="553">
        <f t="shared" si="113"/>
        <v>0</v>
      </c>
      <c r="W769" s="554" t="str">
        <f t="shared" si="119"/>
        <v>V</v>
      </c>
      <c r="X769" s="454" t="s">
        <v>1491</v>
      </c>
      <c r="Y769" s="631">
        <f>IF(Q769=0,0,(Q769+R769)*'1.0-Contractblad'!$L$98)</f>
        <v>0</v>
      </c>
      <c r="Z769" s="632">
        <f ca="1">IF(J769=0,0,VLOOKUP(D769,'1.1a-Jaarprijzen'!$B$70:$P$124,14,FALSE)*(K769+J769))</f>
        <v>0</v>
      </c>
    </row>
    <row r="770" spans="1:26" hidden="1">
      <c r="A770" s="558"/>
      <c r="B770" s="548"/>
      <c r="C770" s="659">
        <v>3</v>
      </c>
      <c r="D770" s="549" t="s">
        <v>1493</v>
      </c>
      <c r="E770" s="550" t="s">
        <v>502</v>
      </c>
      <c r="F770" s="551" t="s">
        <v>462</v>
      </c>
      <c r="G770" s="649" t="s">
        <v>1373</v>
      </c>
      <c r="H770" s="647" t="str">
        <f t="shared" si="110"/>
        <v>aula, gemeenschappelijke ruimte, bibliotheek</v>
      </c>
      <c r="I770" s="719" t="s">
        <v>106</v>
      </c>
      <c r="J770" s="623">
        <v>34.700000000000003</v>
      </c>
      <c r="K770" s="623"/>
      <c r="L770" s="653">
        <v>2153</v>
      </c>
      <c r="M770" s="557">
        <f t="shared" si="114"/>
        <v>102</v>
      </c>
      <c r="N770" s="453"/>
      <c r="O770" s="557">
        <f t="shared" si="115"/>
        <v>153</v>
      </c>
      <c r="P770" s="633">
        <v>1</v>
      </c>
      <c r="Q770" s="776">
        <f t="shared" si="116"/>
        <v>0</v>
      </c>
      <c r="R770" s="776">
        <f t="shared" si="117"/>
        <v>0</v>
      </c>
      <c r="S770" s="552">
        <f t="shared" si="118"/>
        <v>0</v>
      </c>
      <c r="T770" s="626">
        <f t="shared" si="111"/>
        <v>0</v>
      </c>
      <c r="U770" s="626">
        <f t="shared" si="112"/>
        <v>0</v>
      </c>
      <c r="V770" s="553">
        <f t="shared" si="113"/>
        <v>0</v>
      </c>
      <c r="W770" s="554" t="str">
        <f t="shared" si="119"/>
        <v>V</v>
      </c>
      <c r="X770" s="454" t="s">
        <v>1491</v>
      </c>
      <c r="Y770" s="631">
        <f>IF(Q770=0,0,(Q770+R770)*'1.0-Contractblad'!$L$98)</f>
        <v>0</v>
      </c>
      <c r="Z770" s="632">
        <f ca="1">IF(J770=0,0,VLOOKUP(D770,'1.1a-Jaarprijzen'!$B$70:$P$124,14,FALSE)*(K770+J770))</f>
        <v>0</v>
      </c>
    </row>
    <row r="771" spans="1:26" hidden="1">
      <c r="A771" s="558"/>
      <c r="B771" s="548"/>
      <c r="C771" s="659">
        <v>3</v>
      </c>
      <c r="D771" s="549" t="s">
        <v>1493</v>
      </c>
      <c r="E771" s="550" t="s">
        <v>502</v>
      </c>
      <c r="F771" s="551" t="s">
        <v>463</v>
      </c>
      <c r="G771" s="649" t="s">
        <v>1374</v>
      </c>
      <c r="H771" s="647" t="str">
        <f t="shared" ref="H771:H825" si="120">IF(L771="","",VLOOKUP(L771,Kengetal,4,FALSE))</f>
        <v>sanitaire ruimte (toilet-/doucheruimte)</v>
      </c>
      <c r="I771" s="719" t="s">
        <v>106</v>
      </c>
      <c r="J771" s="623">
        <v>6.2</v>
      </c>
      <c r="K771" s="623"/>
      <c r="L771" s="559">
        <v>4255</v>
      </c>
      <c r="M771" s="557">
        <f t="shared" si="114"/>
        <v>104</v>
      </c>
      <c r="N771" s="453"/>
      <c r="O771" s="557">
        <f t="shared" si="115"/>
        <v>255</v>
      </c>
      <c r="P771" s="633">
        <v>1</v>
      </c>
      <c r="Q771" s="776">
        <f t="shared" si="116"/>
        <v>0</v>
      </c>
      <c r="R771" s="776">
        <f t="shared" si="117"/>
        <v>0</v>
      </c>
      <c r="S771" s="552">
        <f t="shared" si="118"/>
        <v>0</v>
      </c>
      <c r="T771" s="626">
        <f t="shared" si="111"/>
        <v>0</v>
      </c>
      <c r="U771" s="626">
        <f t="shared" si="112"/>
        <v>0</v>
      </c>
      <c r="V771" s="553">
        <f t="shared" si="113"/>
        <v>0</v>
      </c>
      <c r="W771" s="554" t="str">
        <f t="shared" si="119"/>
        <v>S</v>
      </c>
      <c r="X771" s="454" t="s">
        <v>1491</v>
      </c>
      <c r="Y771" s="631">
        <f>IF(Q771=0,0,(Q771+R771)*'1.0-Contractblad'!$L$98)</f>
        <v>0</v>
      </c>
      <c r="Z771" s="632">
        <f ca="1">IF(J771=0,0,VLOOKUP(D771,'1.1a-Jaarprijzen'!$B$70:$P$124,14,FALSE)*(K771+J771))</f>
        <v>0</v>
      </c>
    </row>
    <row r="772" spans="1:26" hidden="1">
      <c r="A772" s="558"/>
      <c r="B772" s="548"/>
      <c r="C772" s="659">
        <v>3</v>
      </c>
      <c r="D772" s="549" t="s">
        <v>1493</v>
      </c>
      <c r="E772" s="550" t="s">
        <v>502</v>
      </c>
      <c r="F772" s="551" t="s">
        <v>464</v>
      </c>
      <c r="G772" s="649" t="s">
        <v>1216</v>
      </c>
      <c r="H772" s="647" t="str">
        <f t="shared" si="120"/>
        <v>sanitaire ruimte (toilet-/doucheruimte)</v>
      </c>
      <c r="I772" s="719" t="s">
        <v>1402</v>
      </c>
      <c r="J772" s="623">
        <v>2</v>
      </c>
      <c r="K772" s="623"/>
      <c r="L772" s="559">
        <v>4153</v>
      </c>
      <c r="M772" s="557">
        <f t="shared" si="114"/>
        <v>104</v>
      </c>
      <c r="N772" s="453"/>
      <c r="O772" s="557">
        <f t="shared" si="115"/>
        <v>153</v>
      </c>
      <c r="P772" s="633">
        <v>1</v>
      </c>
      <c r="Q772" s="776">
        <f t="shared" si="116"/>
        <v>0</v>
      </c>
      <c r="R772" s="776">
        <f t="shared" si="117"/>
        <v>0</v>
      </c>
      <c r="S772" s="552">
        <f t="shared" si="118"/>
        <v>0</v>
      </c>
      <c r="T772" s="626">
        <f t="shared" ref="T772:T825" si="121">VLOOKUP($L772,Kengetal,6,FALSE)</f>
        <v>0</v>
      </c>
      <c r="U772" s="626">
        <f t="shared" ref="U772:U825" si="122">VLOOKUP($L772,Kengetal,7,FALSE)</f>
        <v>0</v>
      </c>
      <c r="V772" s="553">
        <f t="shared" ref="V772:V825" si="123">VLOOKUP($N772,Kengetal,7,FALSE)</f>
        <v>0</v>
      </c>
      <c r="W772" s="554" t="str">
        <f t="shared" si="119"/>
        <v>S</v>
      </c>
      <c r="X772" s="454" t="s">
        <v>1491</v>
      </c>
      <c r="Y772" s="631">
        <f>IF(Q772=0,0,(Q772+R772)*'1.0-Contractblad'!$L$98)</f>
        <v>0</v>
      </c>
      <c r="Z772" s="632">
        <f ca="1">IF(J772=0,0,VLOOKUP(D772,'1.1a-Jaarprijzen'!$B$70:$P$124,14,FALSE)*(K772+J772))</f>
        <v>0</v>
      </c>
    </row>
    <row r="773" spans="1:26" hidden="1">
      <c r="A773" s="558"/>
      <c r="B773" s="548"/>
      <c r="C773" s="659">
        <v>3</v>
      </c>
      <c r="D773" s="549" t="s">
        <v>1493</v>
      </c>
      <c r="E773" s="550" t="s">
        <v>502</v>
      </c>
      <c r="F773" s="551" t="s">
        <v>465</v>
      </c>
      <c r="G773" s="649" t="s">
        <v>1375</v>
      </c>
      <c r="H773" s="647" t="str">
        <f t="shared" si="120"/>
        <v>sanitaire ruimte (toilet-/doucheruimte)</v>
      </c>
      <c r="I773" s="719" t="s">
        <v>1402</v>
      </c>
      <c r="J773" s="623">
        <v>2</v>
      </c>
      <c r="K773" s="623"/>
      <c r="L773" s="559">
        <v>4255</v>
      </c>
      <c r="M773" s="557">
        <f t="shared" ref="M773:M825" si="124">VLOOKUP(L773,Kengetal,2,FALSE)</f>
        <v>104</v>
      </c>
      <c r="N773" s="453"/>
      <c r="O773" s="557">
        <f t="shared" ref="O773:O825" si="125">VLOOKUP(L773,Kengetal,3,FALSE)</f>
        <v>255</v>
      </c>
      <c r="P773" s="633">
        <v>1</v>
      </c>
      <c r="Q773" s="776">
        <f t="shared" ref="Q773:Q825" si="126">T773*J773*P773</f>
        <v>0</v>
      </c>
      <c r="R773" s="776">
        <f t="shared" ref="R773:R825" si="127">U773*J773*P773</f>
        <v>0</v>
      </c>
      <c r="S773" s="552">
        <f t="shared" ref="S773:S825" si="128">V773*J773*P773</f>
        <v>0</v>
      </c>
      <c r="T773" s="626">
        <f t="shared" si="121"/>
        <v>0</v>
      </c>
      <c r="U773" s="626">
        <f t="shared" si="122"/>
        <v>0</v>
      </c>
      <c r="V773" s="553">
        <f t="shared" si="123"/>
        <v>0</v>
      </c>
      <c r="W773" s="554" t="str">
        <f t="shared" ref="W773:W825" si="129">IF(L773="","",VLOOKUP(L773,Kengetal,14,FALSE))</f>
        <v>S</v>
      </c>
      <c r="X773" s="454" t="s">
        <v>1491</v>
      </c>
      <c r="Y773" s="631">
        <f>IF(Q773=0,0,(Q773+R773)*'1.0-Contractblad'!$L$98)</f>
        <v>0</v>
      </c>
      <c r="Z773" s="632">
        <f ca="1">IF(J773=0,0,VLOOKUP(D773,'1.1a-Jaarprijzen'!$B$70:$P$124,14,FALSE)*(K773+J773))</f>
        <v>0</v>
      </c>
    </row>
    <row r="774" spans="1:26" hidden="1">
      <c r="A774" s="558"/>
      <c r="B774" s="548"/>
      <c r="C774" s="659">
        <v>3</v>
      </c>
      <c r="D774" s="549" t="s">
        <v>1493</v>
      </c>
      <c r="E774" s="550" t="s">
        <v>502</v>
      </c>
      <c r="F774" s="551" t="s">
        <v>466</v>
      </c>
      <c r="G774" s="649" t="s">
        <v>1375</v>
      </c>
      <c r="H774" s="647" t="str">
        <f t="shared" si="120"/>
        <v>sanitaire ruimte (toilet-/doucheruimte)</v>
      </c>
      <c r="I774" s="719" t="s">
        <v>1402</v>
      </c>
      <c r="J774" s="623">
        <v>2</v>
      </c>
      <c r="K774" s="623"/>
      <c r="L774" s="559">
        <v>4255</v>
      </c>
      <c r="M774" s="557">
        <f t="shared" si="124"/>
        <v>104</v>
      </c>
      <c r="N774" s="453"/>
      <c r="O774" s="557">
        <f t="shared" si="125"/>
        <v>255</v>
      </c>
      <c r="P774" s="633">
        <v>1</v>
      </c>
      <c r="Q774" s="776">
        <f t="shared" si="126"/>
        <v>0</v>
      </c>
      <c r="R774" s="776">
        <f t="shared" si="127"/>
        <v>0</v>
      </c>
      <c r="S774" s="552">
        <f t="shared" si="128"/>
        <v>0</v>
      </c>
      <c r="T774" s="626">
        <f t="shared" si="121"/>
        <v>0</v>
      </c>
      <c r="U774" s="626">
        <f t="shared" si="122"/>
        <v>0</v>
      </c>
      <c r="V774" s="553">
        <f t="shared" si="123"/>
        <v>0</v>
      </c>
      <c r="W774" s="554" t="str">
        <f t="shared" si="129"/>
        <v>S</v>
      </c>
      <c r="X774" s="454" t="s">
        <v>1491</v>
      </c>
      <c r="Y774" s="631">
        <f>IF(Q774=0,0,(Q774+R774)*'1.0-Contractblad'!$L$98)</f>
        <v>0</v>
      </c>
      <c r="Z774" s="632">
        <f ca="1">IF(J774=0,0,VLOOKUP(D774,'1.1a-Jaarprijzen'!$B$70:$P$124,14,FALSE)*(K774+J774))</f>
        <v>0</v>
      </c>
    </row>
    <row r="775" spans="1:26" hidden="1">
      <c r="A775" s="558"/>
      <c r="B775" s="548"/>
      <c r="C775" s="659">
        <v>3</v>
      </c>
      <c r="D775" s="549" t="s">
        <v>1493</v>
      </c>
      <c r="E775" s="550" t="s">
        <v>502</v>
      </c>
      <c r="F775" s="551" t="s">
        <v>467</v>
      </c>
      <c r="G775" s="649" t="s">
        <v>1375</v>
      </c>
      <c r="H775" s="647" t="str">
        <f t="shared" si="120"/>
        <v>sanitaire ruimte (toilet-/doucheruimte)</v>
      </c>
      <c r="I775" s="719" t="s">
        <v>1402</v>
      </c>
      <c r="J775" s="623">
        <v>2</v>
      </c>
      <c r="K775" s="623"/>
      <c r="L775" s="559">
        <v>4255</v>
      </c>
      <c r="M775" s="557">
        <f t="shared" si="124"/>
        <v>104</v>
      </c>
      <c r="N775" s="453"/>
      <c r="O775" s="557">
        <f t="shared" si="125"/>
        <v>255</v>
      </c>
      <c r="P775" s="633">
        <v>1</v>
      </c>
      <c r="Q775" s="776">
        <f t="shared" si="126"/>
        <v>0</v>
      </c>
      <c r="R775" s="776">
        <f t="shared" si="127"/>
        <v>0</v>
      </c>
      <c r="S775" s="552">
        <f t="shared" si="128"/>
        <v>0</v>
      </c>
      <c r="T775" s="626">
        <f t="shared" si="121"/>
        <v>0</v>
      </c>
      <c r="U775" s="626">
        <f t="shared" si="122"/>
        <v>0</v>
      </c>
      <c r="V775" s="553">
        <f t="shared" si="123"/>
        <v>0</v>
      </c>
      <c r="W775" s="554" t="str">
        <f t="shared" si="129"/>
        <v>S</v>
      </c>
      <c r="X775" s="454" t="s">
        <v>1491</v>
      </c>
      <c r="Y775" s="631">
        <f>IF(Q775=0,0,(Q775+R775)*'1.0-Contractblad'!$L$98)</f>
        <v>0</v>
      </c>
      <c r="Z775" s="632">
        <f ca="1">IF(J775=0,0,VLOOKUP(D775,'1.1a-Jaarprijzen'!$B$70:$P$124,14,FALSE)*(K775+J775))</f>
        <v>0</v>
      </c>
    </row>
    <row r="776" spans="1:26" hidden="1">
      <c r="A776" s="558"/>
      <c r="B776" s="548"/>
      <c r="C776" s="659">
        <v>3</v>
      </c>
      <c r="D776" s="549" t="s">
        <v>1493</v>
      </c>
      <c r="E776" s="550" t="s">
        <v>502</v>
      </c>
      <c r="F776" s="551" t="s">
        <v>468</v>
      </c>
      <c r="G776" s="649" t="s">
        <v>1375</v>
      </c>
      <c r="H776" s="647" t="str">
        <f t="shared" si="120"/>
        <v>sanitaire ruimte (toilet-/doucheruimte)</v>
      </c>
      <c r="I776" s="719" t="s">
        <v>1402</v>
      </c>
      <c r="J776" s="623">
        <v>2</v>
      </c>
      <c r="K776" s="623"/>
      <c r="L776" s="559">
        <v>4255</v>
      </c>
      <c r="M776" s="557">
        <f t="shared" si="124"/>
        <v>104</v>
      </c>
      <c r="N776" s="453"/>
      <c r="O776" s="557">
        <f t="shared" si="125"/>
        <v>255</v>
      </c>
      <c r="P776" s="633">
        <v>1</v>
      </c>
      <c r="Q776" s="776">
        <f t="shared" si="126"/>
        <v>0</v>
      </c>
      <c r="R776" s="776">
        <f t="shared" si="127"/>
        <v>0</v>
      </c>
      <c r="S776" s="552">
        <f t="shared" si="128"/>
        <v>0</v>
      </c>
      <c r="T776" s="626">
        <f t="shared" si="121"/>
        <v>0</v>
      </c>
      <c r="U776" s="626">
        <f t="shared" si="122"/>
        <v>0</v>
      </c>
      <c r="V776" s="553">
        <f t="shared" si="123"/>
        <v>0</v>
      </c>
      <c r="W776" s="554" t="str">
        <f t="shared" si="129"/>
        <v>S</v>
      </c>
      <c r="X776" s="454" t="s">
        <v>1491</v>
      </c>
      <c r="Y776" s="631">
        <f>IF(Q776=0,0,(Q776+R776)*'1.0-Contractblad'!$L$98)</f>
        <v>0</v>
      </c>
      <c r="Z776" s="632">
        <f ca="1">IF(J776=0,0,VLOOKUP(D776,'1.1a-Jaarprijzen'!$B$70:$P$124,14,FALSE)*(K776+J776))</f>
        <v>0</v>
      </c>
    </row>
    <row r="777" spans="1:26" hidden="1">
      <c r="A777" s="558"/>
      <c r="B777" s="548"/>
      <c r="C777" s="659">
        <v>3</v>
      </c>
      <c r="D777" s="549" t="s">
        <v>1493</v>
      </c>
      <c r="E777" s="550" t="s">
        <v>502</v>
      </c>
      <c r="F777" s="551" t="s">
        <v>469</v>
      </c>
      <c r="G777" s="649" t="s">
        <v>1216</v>
      </c>
      <c r="H777" s="647" t="str">
        <f t="shared" si="120"/>
        <v>sanitaire ruimte (toilet-/doucheruimte)</v>
      </c>
      <c r="I777" s="719" t="s">
        <v>1402</v>
      </c>
      <c r="J777" s="623">
        <v>1.9</v>
      </c>
      <c r="K777" s="623"/>
      <c r="L777" s="559">
        <v>4153</v>
      </c>
      <c r="M777" s="557">
        <f t="shared" si="124"/>
        <v>104</v>
      </c>
      <c r="N777" s="453"/>
      <c r="O777" s="557">
        <f t="shared" si="125"/>
        <v>153</v>
      </c>
      <c r="P777" s="633">
        <v>1</v>
      </c>
      <c r="Q777" s="776">
        <f t="shared" si="126"/>
        <v>0</v>
      </c>
      <c r="R777" s="776">
        <f t="shared" si="127"/>
        <v>0</v>
      </c>
      <c r="S777" s="552">
        <f t="shared" si="128"/>
        <v>0</v>
      </c>
      <c r="T777" s="626">
        <f t="shared" si="121"/>
        <v>0</v>
      </c>
      <c r="U777" s="626">
        <f t="shared" si="122"/>
        <v>0</v>
      </c>
      <c r="V777" s="553">
        <f t="shared" si="123"/>
        <v>0</v>
      </c>
      <c r="W777" s="554" t="str">
        <f t="shared" si="129"/>
        <v>S</v>
      </c>
      <c r="X777" s="454" t="s">
        <v>1491</v>
      </c>
      <c r="Y777" s="631">
        <f>IF(Q777=0,0,(Q777+R777)*'1.0-Contractblad'!$L$98)</f>
        <v>0</v>
      </c>
      <c r="Z777" s="632">
        <f ca="1">IF(J777=0,0,VLOOKUP(D777,'1.1a-Jaarprijzen'!$B$70:$P$124,14,FALSE)*(K777+J777))</f>
        <v>0</v>
      </c>
    </row>
    <row r="778" spans="1:26" hidden="1">
      <c r="A778" s="558"/>
      <c r="B778" s="548"/>
      <c r="C778" s="659">
        <v>3</v>
      </c>
      <c r="D778" s="549" t="s">
        <v>1493</v>
      </c>
      <c r="E778" s="550" t="s">
        <v>502</v>
      </c>
      <c r="F778" s="551" t="s">
        <v>470</v>
      </c>
      <c r="G778" s="649" t="s">
        <v>477</v>
      </c>
      <c r="H778" s="647" t="str">
        <f t="shared" si="120"/>
        <v>niet van toepassing</v>
      </c>
      <c r="I778" s="719"/>
      <c r="J778" s="623"/>
      <c r="K778" s="623"/>
      <c r="L778" s="668" t="s">
        <v>27</v>
      </c>
      <c r="M778" s="557">
        <f t="shared" si="124"/>
        <v>0</v>
      </c>
      <c r="N778" s="453"/>
      <c r="O778" s="557">
        <f t="shared" si="125"/>
        <v>0</v>
      </c>
      <c r="P778" s="633">
        <v>1</v>
      </c>
      <c r="Q778" s="776">
        <f t="shared" si="126"/>
        <v>0</v>
      </c>
      <c r="R778" s="776">
        <f t="shared" si="127"/>
        <v>0</v>
      </c>
      <c r="S778" s="552">
        <f t="shared" si="128"/>
        <v>0</v>
      </c>
      <c r="T778" s="626">
        <f t="shared" si="121"/>
        <v>0</v>
      </c>
      <c r="U778" s="626">
        <f t="shared" si="122"/>
        <v>0</v>
      </c>
      <c r="V778" s="553">
        <f t="shared" si="123"/>
        <v>0</v>
      </c>
      <c r="W778" s="554">
        <f t="shared" si="129"/>
        <v>0</v>
      </c>
      <c r="X778" s="454" t="s">
        <v>1491</v>
      </c>
      <c r="Y778" s="631">
        <f>IF(Q778=0,0,(Q778+R778)*'1.0-Contractblad'!$L$98)</f>
        <v>0</v>
      </c>
      <c r="Z778" s="632">
        <f>IF(J778=0,0,VLOOKUP(D778,'1.1a-Jaarprijzen'!$B$70:$P$124,14,FALSE)*(K778+J778))</f>
        <v>0</v>
      </c>
    </row>
    <row r="779" spans="1:26" hidden="1">
      <c r="A779" s="558"/>
      <c r="B779" s="548"/>
      <c r="C779" s="659">
        <v>3</v>
      </c>
      <c r="D779" s="549" t="s">
        <v>1493</v>
      </c>
      <c r="E779" s="550" t="s">
        <v>502</v>
      </c>
      <c r="F779" s="551" t="s">
        <v>1165</v>
      </c>
      <c r="G779" s="649" t="s">
        <v>1376</v>
      </c>
      <c r="H779" s="647" t="str">
        <f t="shared" si="120"/>
        <v>entree, gang, hal, repro, kopieer, was/droogruimte</v>
      </c>
      <c r="I779" s="719" t="s">
        <v>1410</v>
      </c>
      <c r="J779" s="623">
        <v>38.1</v>
      </c>
      <c r="K779" s="623"/>
      <c r="L779" s="651">
        <v>3153</v>
      </c>
      <c r="M779" s="557">
        <f t="shared" si="124"/>
        <v>103</v>
      </c>
      <c r="N779" s="453"/>
      <c r="O779" s="557">
        <f t="shared" si="125"/>
        <v>153</v>
      </c>
      <c r="P779" s="633">
        <v>1</v>
      </c>
      <c r="Q779" s="776">
        <f t="shared" si="126"/>
        <v>0</v>
      </c>
      <c r="R779" s="776">
        <f t="shared" si="127"/>
        <v>0</v>
      </c>
      <c r="S779" s="552">
        <f t="shared" si="128"/>
        <v>0</v>
      </c>
      <c r="T779" s="626">
        <f t="shared" si="121"/>
        <v>0</v>
      </c>
      <c r="U779" s="626">
        <f t="shared" si="122"/>
        <v>0</v>
      </c>
      <c r="V779" s="553">
        <f t="shared" si="123"/>
        <v>0</v>
      </c>
      <c r="W779" s="554" t="str">
        <f t="shared" si="129"/>
        <v>V</v>
      </c>
      <c r="X779" s="454" t="s">
        <v>1492</v>
      </c>
      <c r="Y779" s="631">
        <f>IF(Q779=0,0,(Q779+R779)*'1.0-Contractblad'!$L$98)</f>
        <v>0</v>
      </c>
      <c r="Z779" s="632">
        <f ca="1">IF(J779=0,0,VLOOKUP(D779,'1.1a-Jaarprijzen'!$B$70:$P$124,14,FALSE)*(K779+J779))</f>
        <v>0</v>
      </c>
    </row>
    <row r="780" spans="1:26" hidden="1">
      <c r="A780" s="558"/>
      <c r="B780" s="548"/>
      <c r="C780" s="659">
        <v>3</v>
      </c>
      <c r="D780" s="549" t="s">
        <v>1493</v>
      </c>
      <c r="E780" s="550" t="s">
        <v>478</v>
      </c>
      <c r="F780" s="551" t="s">
        <v>1166</v>
      </c>
      <c r="G780" s="649" t="s">
        <v>498</v>
      </c>
      <c r="H780" s="647" t="str">
        <f t="shared" si="120"/>
        <v>administratieve -, personeels- en vergaderruimte</v>
      </c>
      <c r="I780" s="719" t="s">
        <v>106</v>
      </c>
      <c r="J780" s="623">
        <v>22.2</v>
      </c>
      <c r="K780" s="623"/>
      <c r="L780" s="651">
        <v>1153</v>
      </c>
      <c r="M780" s="557">
        <f t="shared" si="124"/>
        <v>101</v>
      </c>
      <c r="N780" s="453"/>
      <c r="O780" s="557">
        <f t="shared" si="125"/>
        <v>153</v>
      </c>
      <c r="P780" s="633">
        <v>1</v>
      </c>
      <c r="Q780" s="776">
        <f t="shared" si="126"/>
        <v>0</v>
      </c>
      <c r="R780" s="776">
        <f t="shared" si="127"/>
        <v>0</v>
      </c>
      <c r="S780" s="552">
        <f t="shared" si="128"/>
        <v>0</v>
      </c>
      <c r="T780" s="626">
        <f t="shared" si="121"/>
        <v>0</v>
      </c>
      <c r="U780" s="626">
        <f t="shared" si="122"/>
        <v>0</v>
      </c>
      <c r="V780" s="553">
        <f t="shared" si="123"/>
        <v>0</v>
      </c>
      <c r="W780" s="554" t="str">
        <f t="shared" si="129"/>
        <v>B</v>
      </c>
      <c r="X780" s="454"/>
      <c r="Y780" s="631">
        <f>IF(Q780=0,0,(Q780+R780)*'1.0-Contractblad'!$L$98)</f>
        <v>0</v>
      </c>
      <c r="Z780" s="632">
        <f ca="1">IF(J780=0,0,VLOOKUP(D780,'1.1a-Jaarprijzen'!$B$70:$P$124,14,FALSE)*(K780+J780))</f>
        <v>0</v>
      </c>
    </row>
    <row r="781" spans="1:26" hidden="1">
      <c r="A781" s="558"/>
      <c r="B781" s="548"/>
      <c r="C781" s="659">
        <v>3</v>
      </c>
      <c r="D781" s="549" t="s">
        <v>1493</v>
      </c>
      <c r="E781" s="550" t="s">
        <v>478</v>
      </c>
      <c r="F781" s="551" t="s">
        <v>1167</v>
      </c>
      <c r="G781" s="649" t="s">
        <v>498</v>
      </c>
      <c r="H781" s="647" t="str">
        <f t="shared" si="120"/>
        <v>administratieve -, personeels- en vergaderruimte</v>
      </c>
      <c r="I781" s="719" t="s">
        <v>106</v>
      </c>
      <c r="J781" s="623">
        <v>21.5</v>
      </c>
      <c r="K781" s="623"/>
      <c r="L781" s="651">
        <v>1153</v>
      </c>
      <c r="M781" s="557">
        <f t="shared" si="124"/>
        <v>101</v>
      </c>
      <c r="N781" s="453"/>
      <c r="O781" s="557">
        <f t="shared" si="125"/>
        <v>153</v>
      </c>
      <c r="P781" s="633">
        <v>1</v>
      </c>
      <c r="Q781" s="776">
        <f t="shared" si="126"/>
        <v>0</v>
      </c>
      <c r="R781" s="776">
        <f t="shared" si="127"/>
        <v>0</v>
      </c>
      <c r="S781" s="552">
        <f t="shared" si="128"/>
        <v>0</v>
      </c>
      <c r="T781" s="626">
        <f t="shared" si="121"/>
        <v>0</v>
      </c>
      <c r="U781" s="626">
        <f t="shared" si="122"/>
        <v>0</v>
      </c>
      <c r="V781" s="553">
        <f t="shared" si="123"/>
        <v>0</v>
      </c>
      <c r="W781" s="554" t="str">
        <f t="shared" si="129"/>
        <v>B</v>
      </c>
      <c r="X781" s="454"/>
      <c r="Y781" s="631">
        <f>IF(Q781=0,0,(Q781+R781)*'1.0-Contractblad'!$L$98)</f>
        <v>0</v>
      </c>
      <c r="Z781" s="632">
        <f ca="1">IF(J781=0,0,VLOOKUP(D781,'1.1a-Jaarprijzen'!$B$70:$P$124,14,FALSE)*(K781+J781))</f>
        <v>0</v>
      </c>
    </row>
    <row r="782" spans="1:26" hidden="1">
      <c r="A782" s="558"/>
      <c r="B782" s="548"/>
      <c r="C782" s="659">
        <v>3</v>
      </c>
      <c r="D782" s="549" t="s">
        <v>1493</v>
      </c>
      <c r="E782" s="550" t="s">
        <v>478</v>
      </c>
      <c r="F782" s="551" t="s">
        <v>1168</v>
      </c>
      <c r="G782" s="649" t="s">
        <v>493</v>
      </c>
      <c r="H782" s="647" t="str">
        <f t="shared" si="120"/>
        <v>administratieve -, personeels- en vergaderruimte</v>
      </c>
      <c r="I782" s="719" t="s">
        <v>106</v>
      </c>
      <c r="J782" s="623">
        <v>8.6</v>
      </c>
      <c r="K782" s="623"/>
      <c r="L782" s="699">
        <v>1102</v>
      </c>
      <c r="M782" s="557">
        <f t="shared" si="124"/>
        <v>101</v>
      </c>
      <c r="N782" s="453"/>
      <c r="O782" s="557">
        <f t="shared" si="125"/>
        <v>102</v>
      </c>
      <c r="P782" s="633">
        <v>1</v>
      </c>
      <c r="Q782" s="776">
        <f t="shared" si="126"/>
        <v>0</v>
      </c>
      <c r="R782" s="776">
        <f t="shared" si="127"/>
        <v>0</v>
      </c>
      <c r="S782" s="552">
        <f t="shared" si="128"/>
        <v>0</v>
      </c>
      <c r="T782" s="626">
        <f t="shared" si="121"/>
        <v>0</v>
      </c>
      <c r="U782" s="626">
        <f t="shared" si="122"/>
        <v>0</v>
      </c>
      <c r="V782" s="553">
        <f t="shared" si="123"/>
        <v>0</v>
      </c>
      <c r="W782" s="554" t="str">
        <f t="shared" si="129"/>
        <v>B</v>
      </c>
      <c r="X782" s="555"/>
      <c r="Y782" s="631">
        <f>IF(Q782=0,0,(Q782+R782)*'1.0-Contractblad'!$L$98)</f>
        <v>0</v>
      </c>
      <c r="Z782" s="632">
        <f ca="1">IF(J782=0,0,VLOOKUP(D782,'1.1a-Jaarprijzen'!$B$70:$P$124,14,FALSE)*(K782+J782))</f>
        <v>0</v>
      </c>
    </row>
    <row r="783" spans="1:26" hidden="1">
      <c r="A783" s="558"/>
      <c r="B783" s="548"/>
      <c r="C783" s="659">
        <v>3</v>
      </c>
      <c r="D783" s="549" t="s">
        <v>1493</v>
      </c>
      <c r="E783" s="550" t="s">
        <v>478</v>
      </c>
      <c r="F783" s="551" t="s">
        <v>1169</v>
      </c>
      <c r="G783" s="649" t="s">
        <v>1377</v>
      </c>
      <c r="H783" s="647" t="str">
        <f t="shared" si="120"/>
        <v>sanitaire ruimte (toilet-/doucheruimte)</v>
      </c>
      <c r="I783" s="719" t="s">
        <v>1402</v>
      </c>
      <c r="J783" s="623">
        <v>3.8</v>
      </c>
      <c r="K783" s="623"/>
      <c r="L783" s="559">
        <v>4153</v>
      </c>
      <c r="M783" s="557">
        <f t="shared" si="124"/>
        <v>104</v>
      </c>
      <c r="N783" s="453"/>
      <c r="O783" s="557">
        <f t="shared" si="125"/>
        <v>153</v>
      </c>
      <c r="P783" s="633">
        <v>1</v>
      </c>
      <c r="Q783" s="776">
        <f t="shared" si="126"/>
        <v>0</v>
      </c>
      <c r="R783" s="776">
        <f t="shared" si="127"/>
        <v>0</v>
      </c>
      <c r="S783" s="552">
        <f t="shared" si="128"/>
        <v>0</v>
      </c>
      <c r="T783" s="626">
        <f t="shared" si="121"/>
        <v>0</v>
      </c>
      <c r="U783" s="626">
        <f t="shared" si="122"/>
        <v>0</v>
      </c>
      <c r="V783" s="553">
        <f t="shared" si="123"/>
        <v>0</v>
      </c>
      <c r="W783" s="554" t="str">
        <f t="shared" si="129"/>
        <v>S</v>
      </c>
      <c r="X783" s="555"/>
      <c r="Y783" s="631">
        <f>IF(Q783=0,0,(Q783+R783)*'1.0-Contractblad'!$L$98)</f>
        <v>0</v>
      </c>
      <c r="Z783" s="632">
        <f ca="1">IF(J783=0,0,VLOOKUP(D783,'1.1a-Jaarprijzen'!$B$70:$P$124,14,FALSE)*(K783+J783))</f>
        <v>0</v>
      </c>
    </row>
    <row r="784" spans="1:26" hidden="1">
      <c r="A784" s="558"/>
      <c r="B784" s="548"/>
      <c r="C784" s="659">
        <v>3</v>
      </c>
      <c r="D784" s="549" t="s">
        <v>1493</v>
      </c>
      <c r="E784" s="550" t="s">
        <v>478</v>
      </c>
      <c r="F784" s="551" t="s">
        <v>1170</v>
      </c>
      <c r="G784" s="649" t="s">
        <v>1216</v>
      </c>
      <c r="H784" s="647" t="str">
        <f t="shared" si="120"/>
        <v>sanitaire ruimte (toilet-/doucheruimte)</v>
      </c>
      <c r="I784" s="719" t="s">
        <v>1402</v>
      </c>
      <c r="J784" s="623">
        <v>1.7</v>
      </c>
      <c r="K784" s="623"/>
      <c r="L784" s="559">
        <v>4153</v>
      </c>
      <c r="M784" s="557">
        <f t="shared" si="124"/>
        <v>104</v>
      </c>
      <c r="N784" s="453"/>
      <c r="O784" s="557">
        <f t="shared" si="125"/>
        <v>153</v>
      </c>
      <c r="P784" s="633">
        <v>1</v>
      </c>
      <c r="Q784" s="776">
        <f t="shared" si="126"/>
        <v>0</v>
      </c>
      <c r="R784" s="776">
        <f t="shared" si="127"/>
        <v>0</v>
      </c>
      <c r="S784" s="552">
        <f t="shared" si="128"/>
        <v>0</v>
      </c>
      <c r="T784" s="626">
        <f t="shared" si="121"/>
        <v>0</v>
      </c>
      <c r="U784" s="626">
        <f t="shared" si="122"/>
        <v>0</v>
      </c>
      <c r="V784" s="553">
        <f t="shared" si="123"/>
        <v>0</v>
      </c>
      <c r="W784" s="554" t="str">
        <f t="shared" si="129"/>
        <v>S</v>
      </c>
      <c r="X784" s="555"/>
      <c r="Y784" s="631">
        <f>IF(Q784=0,0,(Q784+R784)*'1.0-Contractblad'!$L$98)</f>
        <v>0</v>
      </c>
      <c r="Z784" s="632">
        <f ca="1">IF(J784=0,0,VLOOKUP(D784,'1.1a-Jaarprijzen'!$B$70:$P$124,14,FALSE)*(K784+J784))</f>
        <v>0</v>
      </c>
    </row>
    <row r="785" spans="1:26" hidden="1">
      <c r="A785" s="558"/>
      <c r="B785" s="548"/>
      <c r="C785" s="659">
        <v>3</v>
      </c>
      <c r="D785" s="549" t="s">
        <v>1493</v>
      </c>
      <c r="E785" s="550" t="s">
        <v>478</v>
      </c>
      <c r="F785" s="551" t="s">
        <v>1171</v>
      </c>
      <c r="G785" s="649" t="s">
        <v>1216</v>
      </c>
      <c r="H785" s="647" t="str">
        <f t="shared" si="120"/>
        <v>sanitaire ruimte (toilet-/doucheruimte)</v>
      </c>
      <c r="I785" s="719" t="s">
        <v>1402</v>
      </c>
      <c r="J785" s="623">
        <v>1.7</v>
      </c>
      <c r="K785" s="623"/>
      <c r="L785" s="559">
        <v>4153</v>
      </c>
      <c r="M785" s="557">
        <f t="shared" si="124"/>
        <v>104</v>
      </c>
      <c r="N785" s="453"/>
      <c r="O785" s="557">
        <f t="shared" si="125"/>
        <v>153</v>
      </c>
      <c r="P785" s="633">
        <v>1</v>
      </c>
      <c r="Q785" s="776">
        <f t="shared" si="126"/>
        <v>0</v>
      </c>
      <c r="R785" s="776">
        <f t="shared" si="127"/>
        <v>0</v>
      </c>
      <c r="S785" s="552">
        <f t="shared" si="128"/>
        <v>0</v>
      </c>
      <c r="T785" s="626">
        <f t="shared" si="121"/>
        <v>0</v>
      </c>
      <c r="U785" s="626">
        <f t="shared" si="122"/>
        <v>0</v>
      </c>
      <c r="V785" s="553">
        <f t="shared" si="123"/>
        <v>0</v>
      </c>
      <c r="W785" s="554" t="str">
        <f t="shared" si="129"/>
        <v>S</v>
      </c>
      <c r="X785" s="555"/>
      <c r="Y785" s="631">
        <f>IF(Q785=0,0,(Q785+R785)*'1.0-Contractblad'!$L$98)</f>
        <v>0</v>
      </c>
      <c r="Z785" s="632">
        <f ca="1">IF(J785=0,0,VLOOKUP(D785,'1.1a-Jaarprijzen'!$B$70:$P$124,14,FALSE)*(K785+J785))</f>
        <v>0</v>
      </c>
    </row>
    <row r="786" spans="1:26" hidden="1">
      <c r="A786" s="558"/>
      <c r="B786" s="548"/>
      <c r="C786" s="659">
        <v>3</v>
      </c>
      <c r="D786" s="549" t="s">
        <v>1493</v>
      </c>
      <c r="E786" s="550" t="s">
        <v>478</v>
      </c>
      <c r="F786" s="551" t="s">
        <v>1172</v>
      </c>
      <c r="G786" s="649" t="s">
        <v>1378</v>
      </c>
      <c r="H786" s="647" t="str">
        <f t="shared" si="120"/>
        <v>niet van toepassing</v>
      </c>
      <c r="I786" s="719"/>
      <c r="J786" s="623"/>
      <c r="K786" s="623"/>
      <c r="L786" s="668" t="s">
        <v>27</v>
      </c>
      <c r="M786" s="557">
        <f t="shared" si="124"/>
        <v>0</v>
      </c>
      <c r="N786" s="453"/>
      <c r="O786" s="557">
        <f t="shared" si="125"/>
        <v>0</v>
      </c>
      <c r="P786" s="633">
        <v>1</v>
      </c>
      <c r="Q786" s="776">
        <f t="shared" si="126"/>
        <v>0</v>
      </c>
      <c r="R786" s="776">
        <f t="shared" si="127"/>
        <v>0</v>
      </c>
      <c r="S786" s="552">
        <f t="shared" si="128"/>
        <v>0</v>
      </c>
      <c r="T786" s="626">
        <f t="shared" si="121"/>
        <v>0</v>
      </c>
      <c r="U786" s="626">
        <f t="shared" si="122"/>
        <v>0</v>
      </c>
      <c r="V786" s="553">
        <f t="shared" si="123"/>
        <v>0</v>
      </c>
      <c r="W786" s="554">
        <f t="shared" si="129"/>
        <v>0</v>
      </c>
      <c r="X786" s="454" t="s">
        <v>1454</v>
      </c>
      <c r="Y786" s="631">
        <f>IF(Q786=0,0,(Q786+R786)*'1.0-Contractblad'!$L$98)</f>
        <v>0</v>
      </c>
      <c r="Z786" s="632">
        <f>IF(J786=0,0,VLOOKUP(D786,'1.1a-Jaarprijzen'!$B$70:$P$124,14,FALSE)*(K786+J786))</f>
        <v>0</v>
      </c>
    </row>
    <row r="787" spans="1:26" hidden="1">
      <c r="A787" s="558"/>
      <c r="B787" s="548"/>
      <c r="C787" s="659">
        <v>3</v>
      </c>
      <c r="D787" s="549" t="s">
        <v>1493</v>
      </c>
      <c r="E787" s="550" t="s">
        <v>478</v>
      </c>
      <c r="F787" s="551" t="s">
        <v>1173</v>
      </c>
      <c r="G787" s="649" t="s">
        <v>493</v>
      </c>
      <c r="H787" s="647" t="str">
        <f t="shared" si="120"/>
        <v>administratieve -, personeels- en vergaderruimte</v>
      </c>
      <c r="I787" s="719" t="s">
        <v>106</v>
      </c>
      <c r="J787" s="623">
        <v>8.4</v>
      </c>
      <c r="K787" s="623"/>
      <c r="L787" s="699">
        <v>1102</v>
      </c>
      <c r="M787" s="557">
        <f t="shared" si="124"/>
        <v>101</v>
      </c>
      <c r="N787" s="453"/>
      <c r="O787" s="557">
        <f t="shared" si="125"/>
        <v>102</v>
      </c>
      <c r="P787" s="633">
        <v>1</v>
      </c>
      <c r="Q787" s="776">
        <f t="shared" si="126"/>
        <v>0</v>
      </c>
      <c r="R787" s="776">
        <f t="shared" si="127"/>
        <v>0</v>
      </c>
      <c r="S787" s="552">
        <f t="shared" si="128"/>
        <v>0</v>
      </c>
      <c r="T787" s="626">
        <f t="shared" si="121"/>
        <v>0</v>
      </c>
      <c r="U787" s="626">
        <f t="shared" si="122"/>
        <v>0</v>
      </c>
      <c r="V787" s="553">
        <f t="shared" si="123"/>
        <v>0</v>
      </c>
      <c r="W787" s="554" t="str">
        <f t="shared" si="129"/>
        <v>B</v>
      </c>
      <c r="X787" s="555"/>
      <c r="Y787" s="631">
        <f>IF(Q787=0,0,(Q787+R787)*'1.0-Contractblad'!$L$98)</f>
        <v>0</v>
      </c>
      <c r="Z787" s="632">
        <f ca="1">IF(J787=0,0,VLOOKUP(D787,'1.1a-Jaarprijzen'!$B$70:$P$124,14,FALSE)*(K787+J787))</f>
        <v>0</v>
      </c>
    </row>
    <row r="788" spans="1:26" hidden="1">
      <c r="A788" s="558"/>
      <c r="B788" s="548"/>
      <c r="C788" s="659">
        <v>3</v>
      </c>
      <c r="D788" s="549" t="s">
        <v>1493</v>
      </c>
      <c r="E788" s="550" t="s">
        <v>478</v>
      </c>
      <c r="F788" s="551" t="s">
        <v>1174</v>
      </c>
      <c r="G788" s="649" t="s">
        <v>1379</v>
      </c>
      <c r="H788" s="647" t="str">
        <f t="shared" si="120"/>
        <v>entree, gang, hal, repro, kopieer, was/droogruimte</v>
      </c>
      <c r="I788" s="719" t="s">
        <v>106</v>
      </c>
      <c r="J788" s="623">
        <v>120</v>
      </c>
      <c r="K788" s="623"/>
      <c r="L788" s="651">
        <v>3153</v>
      </c>
      <c r="M788" s="557">
        <f t="shared" si="124"/>
        <v>103</v>
      </c>
      <c r="N788" s="453"/>
      <c r="O788" s="557">
        <f t="shared" si="125"/>
        <v>153</v>
      </c>
      <c r="P788" s="633">
        <v>1</v>
      </c>
      <c r="Q788" s="776">
        <f t="shared" si="126"/>
        <v>0</v>
      </c>
      <c r="R788" s="776">
        <f t="shared" si="127"/>
        <v>0</v>
      </c>
      <c r="S788" s="552">
        <f t="shared" si="128"/>
        <v>0</v>
      </c>
      <c r="T788" s="626">
        <f t="shared" si="121"/>
        <v>0</v>
      </c>
      <c r="U788" s="626">
        <f t="shared" si="122"/>
        <v>0</v>
      </c>
      <c r="V788" s="553">
        <f t="shared" si="123"/>
        <v>0</v>
      </c>
      <c r="W788" s="554" t="str">
        <f t="shared" si="129"/>
        <v>V</v>
      </c>
      <c r="X788" s="555"/>
      <c r="Y788" s="631">
        <f>IF(Q788=0,0,(Q788+R788)*'1.0-Contractblad'!$L$98)</f>
        <v>0</v>
      </c>
      <c r="Z788" s="632">
        <f ca="1">IF(J788=0,0,VLOOKUP(D788,'1.1a-Jaarprijzen'!$B$70:$P$124,14,FALSE)*(K788+J788))</f>
        <v>0</v>
      </c>
    </row>
    <row r="789" spans="1:26" hidden="1">
      <c r="A789" s="558"/>
      <c r="B789" s="548"/>
      <c r="C789" s="659">
        <v>3</v>
      </c>
      <c r="D789" s="549" t="s">
        <v>1482</v>
      </c>
      <c r="E789" s="550" t="s">
        <v>502</v>
      </c>
      <c r="F789" s="551" t="s">
        <v>1175</v>
      </c>
      <c r="G789" s="649" t="s">
        <v>1221</v>
      </c>
      <c r="H789" s="647" t="str">
        <f t="shared" si="120"/>
        <v>entree, gang, hal, repro, kopieer, was/droogruimte</v>
      </c>
      <c r="I789" s="719" t="s">
        <v>1407</v>
      </c>
      <c r="J789" s="623">
        <v>11.5</v>
      </c>
      <c r="K789" s="623"/>
      <c r="L789" s="651">
        <v>3153</v>
      </c>
      <c r="M789" s="557">
        <f t="shared" si="124"/>
        <v>103</v>
      </c>
      <c r="N789" s="453"/>
      <c r="O789" s="557">
        <f t="shared" si="125"/>
        <v>153</v>
      </c>
      <c r="P789" s="633">
        <v>1</v>
      </c>
      <c r="Q789" s="776">
        <f t="shared" si="126"/>
        <v>0</v>
      </c>
      <c r="R789" s="776">
        <f t="shared" si="127"/>
        <v>0</v>
      </c>
      <c r="S789" s="552">
        <f t="shared" si="128"/>
        <v>0</v>
      </c>
      <c r="T789" s="626">
        <f t="shared" si="121"/>
        <v>0</v>
      </c>
      <c r="U789" s="626">
        <f t="shared" si="122"/>
        <v>0</v>
      </c>
      <c r="V789" s="553">
        <f t="shared" si="123"/>
        <v>0</v>
      </c>
      <c r="W789" s="554" t="str">
        <f t="shared" si="129"/>
        <v>V</v>
      </c>
      <c r="X789" s="555"/>
      <c r="Y789" s="631">
        <f>IF(Q789=0,0,(Q789+R789)*'1.0-Contractblad'!$L$98)</f>
        <v>0</v>
      </c>
      <c r="Z789" s="632">
        <f ca="1">IF(J789=0,0,VLOOKUP(D789,'1.1a-Jaarprijzen'!$B$70:$P$124,14,FALSE)*(K789+J789))</f>
        <v>0</v>
      </c>
    </row>
    <row r="790" spans="1:26" hidden="1">
      <c r="A790" s="558"/>
      <c r="B790" s="548"/>
      <c r="C790" s="659">
        <v>3</v>
      </c>
      <c r="D790" s="549" t="s">
        <v>1482</v>
      </c>
      <c r="E790" s="550" t="s">
        <v>502</v>
      </c>
      <c r="F790" s="551" t="s">
        <v>1176</v>
      </c>
      <c r="G790" s="649" t="s">
        <v>1380</v>
      </c>
      <c r="H790" s="647" t="str">
        <f t="shared" si="120"/>
        <v>kantine, restaurant</v>
      </c>
      <c r="I790" s="719" t="s">
        <v>1407</v>
      </c>
      <c r="J790" s="623">
        <v>16.600000000000001</v>
      </c>
      <c r="K790" s="623"/>
      <c r="L790" s="559">
        <v>11255</v>
      </c>
      <c r="M790" s="557">
        <f t="shared" si="124"/>
        <v>105</v>
      </c>
      <c r="N790" s="453"/>
      <c r="O790" s="557">
        <f t="shared" si="125"/>
        <v>255</v>
      </c>
      <c r="P790" s="633">
        <v>1</v>
      </c>
      <c r="Q790" s="776">
        <f t="shared" si="126"/>
        <v>0</v>
      </c>
      <c r="R790" s="776">
        <f t="shared" si="127"/>
        <v>0</v>
      </c>
      <c r="S790" s="552">
        <f t="shared" si="128"/>
        <v>0</v>
      </c>
      <c r="T790" s="626">
        <f t="shared" si="121"/>
        <v>0</v>
      </c>
      <c r="U790" s="626">
        <f t="shared" si="122"/>
        <v>0</v>
      </c>
      <c r="V790" s="553">
        <f t="shared" si="123"/>
        <v>0</v>
      </c>
      <c r="W790" s="554" t="str">
        <f t="shared" si="129"/>
        <v>V</v>
      </c>
      <c r="X790" s="555"/>
      <c r="Y790" s="631">
        <f>IF(Q790=0,0,(Q790+R790)*'1.0-Contractblad'!$L$98)</f>
        <v>0</v>
      </c>
      <c r="Z790" s="632">
        <f ca="1">IF(J790=0,0,VLOOKUP(D790,'1.1a-Jaarprijzen'!$B$70:$P$124,14,FALSE)*(K790+J790))</f>
        <v>0</v>
      </c>
    </row>
    <row r="791" spans="1:26" hidden="1">
      <c r="A791" s="558"/>
      <c r="B791" s="548"/>
      <c r="C791" s="659">
        <v>3</v>
      </c>
      <c r="D791" s="549" t="s">
        <v>1482</v>
      </c>
      <c r="E791" s="550" t="s">
        <v>502</v>
      </c>
      <c r="F791" s="551" t="s">
        <v>1177</v>
      </c>
      <c r="G791" s="649" t="s">
        <v>1216</v>
      </c>
      <c r="H791" s="647" t="str">
        <f t="shared" si="120"/>
        <v>sanitaire ruimte (toilet-/doucheruimte)</v>
      </c>
      <c r="I791" s="719" t="s">
        <v>1407</v>
      </c>
      <c r="J791" s="623">
        <v>1.8</v>
      </c>
      <c r="K791" s="623"/>
      <c r="L791" s="559">
        <v>4153</v>
      </c>
      <c r="M791" s="557">
        <f t="shared" si="124"/>
        <v>104</v>
      </c>
      <c r="N791" s="453"/>
      <c r="O791" s="557">
        <f t="shared" si="125"/>
        <v>153</v>
      </c>
      <c r="P791" s="633">
        <v>1</v>
      </c>
      <c r="Q791" s="776">
        <f t="shared" si="126"/>
        <v>0</v>
      </c>
      <c r="R791" s="776">
        <f t="shared" si="127"/>
        <v>0</v>
      </c>
      <c r="S791" s="552">
        <f t="shared" si="128"/>
        <v>0</v>
      </c>
      <c r="T791" s="626">
        <f t="shared" si="121"/>
        <v>0</v>
      </c>
      <c r="U791" s="626">
        <f t="shared" si="122"/>
        <v>0</v>
      </c>
      <c r="V791" s="553">
        <f t="shared" si="123"/>
        <v>0</v>
      </c>
      <c r="W791" s="554" t="str">
        <f t="shared" si="129"/>
        <v>S</v>
      </c>
      <c r="X791" s="555"/>
      <c r="Y791" s="631">
        <f>IF(Q791=0,0,(Q791+R791)*'1.0-Contractblad'!$L$98)</f>
        <v>0</v>
      </c>
      <c r="Z791" s="632">
        <f ca="1">IF(J791=0,0,VLOOKUP(D791,'1.1a-Jaarprijzen'!$B$70:$P$124,14,FALSE)*(K791+J791))</f>
        <v>0</v>
      </c>
    </row>
    <row r="792" spans="1:26" hidden="1">
      <c r="A792" s="558"/>
      <c r="B792" s="548"/>
      <c r="C792" s="659">
        <v>3</v>
      </c>
      <c r="D792" s="549" t="s">
        <v>1482</v>
      </c>
      <c r="E792" s="550" t="s">
        <v>502</v>
      </c>
      <c r="F792" s="551" t="s">
        <v>1178</v>
      </c>
      <c r="G792" s="649" t="s">
        <v>1381</v>
      </c>
      <c r="H792" s="647" t="str">
        <f t="shared" si="120"/>
        <v>pantry</v>
      </c>
      <c r="I792" s="719" t="s">
        <v>1407</v>
      </c>
      <c r="J792" s="623">
        <v>6.8</v>
      </c>
      <c r="K792" s="623"/>
      <c r="L792" s="559">
        <v>5153</v>
      </c>
      <c r="M792" s="557">
        <f t="shared" si="124"/>
        <v>105</v>
      </c>
      <c r="N792" s="453"/>
      <c r="O792" s="557">
        <f t="shared" si="125"/>
        <v>153</v>
      </c>
      <c r="P792" s="633">
        <v>1</v>
      </c>
      <c r="Q792" s="776">
        <f t="shared" si="126"/>
        <v>0</v>
      </c>
      <c r="R792" s="776">
        <f t="shared" si="127"/>
        <v>0</v>
      </c>
      <c r="S792" s="552">
        <f t="shared" si="128"/>
        <v>0</v>
      </c>
      <c r="T792" s="626">
        <f t="shared" si="121"/>
        <v>0</v>
      </c>
      <c r="U792" s="626">
        <f t="shared" si="122"/>
        <v>0</v>
      </c>
      <c r="V792" s="553">
        <f t="shared" si="123"/>
        <v>0</v>
      </c>
      <c r="W792" s="554" t="str">
        <f t="shared" si="129"/>
        <v>V</v>
      </c>
      <c r="X792" s="556"/>
      <c r="Y792" s="631">
        <f>IF(Q792=0,0,(Q792+R792)*'1.0-Contractblad'!$L$98)</f>
        <v>0</v>
      </c>
      <c r="Z792" s="632">
        <f ca="1">IF(J792=0,0,VLOOKUP(D792,'1.1a-Jaarprijzen'!$B$70:$P$124,14,FALSE)*(K792+J792))</f>
        <v>0</v>
      </c>
    </row>
    <row r="793" spans="1:26" hidden="1">
      <c r="A793" s="558"/>
      <c r="B793" s="548"/>
      <c r="C793" s="659">
        <v>3</v>
      </c>
      <c r="D793" s="549" t="s">
        <v>1482</v>
      </c>
      <c r="E793" s="550" t="s">
        <v>502</v>
      </c>
      <c r="F793" s="551" t="s">
        <v>1179</v>
      </c>
      <c r="G793" s="649" t="s">
        <v>1216</v>
      </c>
      <c r="H793" s="647" t="str">
        <f t="shared" si="120"/>
        <v>sanitaire ruimte (toilet-/doucheruimte)</v>
      </c>
      <c r="I793" s="719" t="s">
        <v>1407</v>
      </c>
      <c r="J793" s="623">
        <v>1.8</v>
      </c>
      <c r="K793" s="623"/>
      <c r="L793" s="559">
        <v>4153</v>
      </c>
      <c r="M793" s="557">
        <f t="shared" si="124"/>
        <v>104</v>
      </c>
      <c r="N793" s="453"/>
      <c r="O793" s="557">
        <f t="shared" si="125"/>
        <v>153</v>
      </c>
      <c r="P793" s="633">
        <v>1</v>
      </c>
      <c r="Q793" s="776">
        <f t="shared" si="126"/>
        <v>0</v>
      </c>
      <c r="R793" s="776">
        <f t="shared" si="127"/>
        <v>0</v>
      </c>
      <c r="S793" s="552">
        <f t="shared" si="128"/>
        <v>0</v>
      </c>
      <c r="T793" s="626">
        <f t="shared" si="121"/>
        <v>0</v>
      </c>
      <c r="U793" s="626">
        <f t="shared" si="122"/>
        <v>0</v>
      </c>
      <c r="V793" s="553">
        <f t="shared" si="123"/>
        <v>0</v>
      </c>
      <c r="W793" s="554" t="str">
        <f t="shared" si="129"/>
        <v>S</v>
      </c>
      <c r="X793" s="555"/>
      <c r="Y793" s="631">
        <f>IF(Q793=0,0,(Q793+R793)*'1.0-Contractblad'!$L$98)</f>
        <v>0</v>
      </c>
      <c r="Z793" s="632">
        <f ca="1">IF(J793=0,0,VLOOKUP(D793,'1.1a-Jaarprijzen'!$B$70:$P$124,14,FALSE)*(K793+J793))</f>
        <v>0</v>
      </c>
    </row>
    <row r="794" spans="1:26" hidden="1">
      <c r="A794" s="558"/>
      <c r="B794" s="548"/>
      <c r="C794" s="659">
        <v>3</v>
      </c>
      <c r="D794" s="549" t="s">
        <v>1483</v>
      </c>
      <c r="E794" s="550" t="s">
        <v>502</v>
      </c>
      <c r="F794" s="551" t="s">
        <v>1180</v>
      </c>
      <c r="G794" s="649" t="s">
        <v>498</v>
      </c>
      <c r="H794" s="647" t="str">
        <f t="shared" si="120"/>
        <v>administratieve -, personeels- en vergaderruimte</v>
      </c>
      <c r="I794" s="719" t="s">
        <v>491</v>
      </c>
      <c r="J794" s="623">
        <v>103.7</v>
      </c>
      <c r="K794" s="623"/>
      <c r="L794" s="651">
        <v>1153</v>
      </c>
      <c r="M794" s="557">
        <f t="shared" si="124"/>
        <v>101</v>
      </c>
      <c r="N794" s="453"/>
      <c r="O794" s="557">
        <f t="shared" si="125"/>
        <v>153</v>
      </c>
      <c r="P794" s="633">
        <v>1</v>
      </c>
      <c r="Q794" s="776">
        <f t="shared" si="126"/>
        <v>0</v>
      </c>
      <c r="R794" s="776">
        <f t="shared" si="127"/>
        <v>0</v>
      </c>
      <c r="S794" s="552">
        <f t="shared" si="128"/>
        <v>0</v>
      </c>
      <c r="T794" s="626">
        <f t="shared" si="121"/>
        <v>0</v>
      </c>
      <c r="U794" s="626">
        <f t="shared" si="122"/>
        <v>0</v>
      </c>
      <c r="V794" s="553">
        <f t="shared" si="123"/>
        <v>0</v>
      </c>
      <c r="W794" s="554" t="str">
        <f t="shared" si="129"/>
        <v>B</v>
      </c>
      <c r="X794" s="454"/>
      <c r="Y794" s="631">
        <f>IF(Q794=0,0,(Q794+R794)*'1.0-Contractblad'!$L$98)</f>
        <v>0</v>
      </c>
      <c r="Z794" s="632">
        <f ca="1">IF(J794=0,0,VLOOKUP(D794,'1.1a-Jaarprijzen'!$B$70:$P$124,14,FALSE)*(K794+J794))</f>
        <v>0</v>
      </c>
    </row>
    <row r="795" spans="1:26" hidden="1">
      <c r="A795" s="558"/>
      <c r="B795" s="548"/>
      <c r="C795" s="659">
        <v>3</v>
      </c>
      <c r="D795" s="549" t="s">
        <v>1483</v>
      </c>
      <c r="E795" s="550" t="s">
        <v>502</v>
      </c>
      <c r="F795" s="551" t="s">
        <v>1181</v>
      </c>
      <c r="G795" s="649" t="s">
        <v>1235</v>
      </c>
      <c r="H795" s="647" t="str">
        <f t="shared" si="120"/>
        <v>niet van toepassing</v>
      </c>
      <c r="I795" s="719"/>
      <c r="J795" s="623"/>
      <c r="K795" s="623"/>
      <c r="L795" s="668" t="s">
        <v>27</v>
      </c>
      <c r="M795" s="557">
        <f t="shared" si="124"/>
        <v>0</v>
      </c>
      <c r="N795" s="453"/>
      <c r="O795" s="557">
        <f t="shared" si="125"/>
        <v>0</v>
      </c>
      <c r="P795" s="633">
        <v>1</v>
      </c>
      <c r="Q795" s="776">
        <f t="shared" si="126"/>
        <v>0</v>
      </c>
      <c r="R795" s="776">
        <f t="shared" si="127"/>
        <v>0</v>
      </c>
      <c r="S795" s="552">
        <f t="shared" si="128"/>
        <v>0</v>
      </c>
      <c r="T795" s="626">
        <f t="shared" si="121"/>
        <v>0</v>
      </c>
      <c r="U795" s="626">
        <f t="shared" si="122"/>
        <v>0</v>
      </c>
      <c r="V795" s="553">
        <f t="shared" si="123"/>
        <v>0</v>
      </c>
      <c r="W795" s="554">
        <f t="shared" si="129"/>
        <v>0</v>
      </c>
      <c r="X795" s="454" t="s">
        <v>1454</v>
      </c>
      <c r="Y795" s="631">
        <f>IF(Q795=0,0,(Q795+R795)*'1.0-Contractblad'!$L$98)</f>
        <v>0</v>
      </c>
      <c r="Z795" s="632">
        <f>IF(J795=0,0,VLOOKUP(D795,'1.1a-Jaarprijzen'!$B$70:$P$124,14,FALSE)*(K795+J795))</f>
        <v>0</v>
      </c>
    </row>
    <row r="796" spans="1:26" hidden="1">
      <c r="A796" s="558"/>
      <c r="B796" s="548"/>
      <c r="C796" s="659">
        <v>3</v>
      </c>
      <c r="D796" s="549" t="s">
        <v>1483</v>
      </c>
      <c r="E796" s="550" t="s">
        <v>502</v>
      </c>
      <c r="F796" s="551" t="s">
        <v>1182</v>
      </c>
      <c r="G796" s="649" t="s">
        <v>1235</v>
      </c>
      <c r="H796" s="647" t="str">
        <f t="shared" si="120"/>
        <v>niet van toepassing</v>
      </c>
      <c r="I796" s="719"/>
      <c r="J796" s="623"/>
      <c r="K796" s="623"/>
      <c r="L796" s="668" t="s">
        <v>27</v>
      </c>
      <c r="M796" s="557">
        <f t="shared" si="124"/>
        <v>0</v>
      </c>
      <c r="N796" s="453"/>
      <c r="O796" s="557">
        <f t="shared" si="125"/>
        <v>0</v>
      </c>
      <c r="P796" s="633">
        <v>1</v>
      </c>
      <c r="Q796" s="776">
        <f t="shared" si="126"/>
        <v>0</v>
      </c>
      <c r="R796" s="776">
        <f t="shared" si="127"/>
        <v>0</v>
      </c>
      <c r="S796" s="552">
        <f t="shared" si="128"/>
        <v>0</v>
      </c>
      <c r="T796" s="626">
        <f t="shared" si="121"/>
        <v>0</v>
      </c>
      <c r="U796" s="626">
        <f t="shared" si="122"/>
        <v>0</v>
      </c>
      <c r="V796" s="553">
        <f t="shared" si="123"/>
        <v>0</v>
      </c>
      <c r="W796" s="554">
        <f t="shared" si="129"/>
        <v>0</v>
      </c>
      <c r="X796" s="454" t="s">
        <v>1454</v>
      </c>
      <c r="Y796" s="631">
        <f>IF(Q796=0,0,(Q796+R796)*'1.0-Contractblad'!$L$98)</f>
        <v>0</v>
      </c>
      <c r="Z796" s="632">
        <f>IF(J796=0,0,VLOOKUP(D796,'1.1a-Jaarprijzen'!$B$70:$P$124,14,FALSE)*(K796+J796))</f>
        <v>0</v>
      </c>
    </row>
    <row r="797" spans="1:26" hidden="1">
      <c r="A797" s="558"/>
      <c r="B797" s="548"/>
      <c r="C797" s="659">
        <v>3</v>
      </c>
      <c r="D797" s="549" t="s">
        <v>1483</v>
      </c>
      <c r="E797" s="550" t="s">
        <v>502</v>
      </c>
      <c r="F797" s="551" t="s">
        <v>1183</v>
      </c>
      <c r="G797" s="649" t="s">
        <v>493</v>
      </c>
      <c r="H797" s="647" t="str">
        <f t="shared" si="120"/>
        <v>administratieve -, personeels- en vergaderruimte</v>
      </c>
      <c r="I797" s="719" t="s">
        <v>491</v>
      </c>
      <c r="J797" s="623">
        <v>9.8000000000000007</v>
      </c>
      <c r="K797" s="623"/>
      <c r="L797" s="699">
        <v>1102</v>
      </c>
      <c r="M797" s="557">
        <f t="shared" si="124"/>
        <v>101</v>
      </c>
      <c r="N797" s="453"/>
      <c r="O797" s="557">
        <f t="shared" si="125"/>
        <v>102</v>
      </c>
      <c r="P797" s="633">
        <v>1</v>
      </c>
      <c r="Q797" s="776">
        <f t="shared" si="126"/>
        <v>0</v>
      </c>
      <c r="R797" s="776">
        <f t="shared" si="127"/>
        <v>0</v>
      </c>
      <c r="S797" s="552">
        <f t="shared" si="128"/>
        <v>0</v>
      </c>
      <c r="T797" s="626">
        <f t="shared" si="121"/>
        <v>0</v>
      </c>
      <c r="U797" s="626">
        <f t="shared" si="122"/>
        <v>0</v>
      </c>
      <c r="V797" s="553">
        <f t="shared" si="123"/>
        <v>0</v>
      </c>
      <c r="W797" s="554" t="str">
        <f t="shared" si="129"/>
        <v>B</v>
      </c>
      <c r="X797" s="555"/>
      <c r="Y797" s="631">
        <f>IF(Q797=0,0,(Q797+R797)*'1.0-Contractblad'!$L$98)</f>
        <v>0</v>
      </c>
      <c r="Z797" s="632">
        <f ca="1">IF(J797=0,0,VLOOKUP(D797,'1.1a-Jaarprijzen'!$B$70:$P$124,14,FALSE)*(K797+J797))</f>
        <v>0</v>
      </c>
    </row>
    <row r="798" spans="1:26" hidden="1">
      <c r="A798" s="558"/>
      <c r="B798" s="548"/>
      <c r="C798" s="659">
        <v>3</v>
      </c>
      <c r="D798" s="549" t="s">
        <v>1483</v>
      </c>
      <c r="E798" s="550" t="s">
        <v>502</v>
      </c>
      <c r="F798" s="551" t="s">
        <v>1184</v>
      </c>
      <c r="G798" s="649" t="s">
        <v>488</v>
      </c>
      <c r="H798" s="647" t="str">
        <f t="shared" si="120"/>
        <v>sanitaire ruimte (toilet-/doucheruimte)</v>
      </c>
      <c r="I798" s="719" t="s">
        <v>492</v>
      </c>
      <c r="J798" s="623">
        <v>1.5</v>
      </c>
      <c r="K798" s="623"/>
      <c r="L798" s="559">
        <v>4153</v>
      </c>
      <c r="M798" s="557">
        <f t="shared" si="124"/>
        <v>104</v>
      </c>
      <c r="N798" s="453"/>
      <c r="O798" s="557">
        <f t="shared" si="125"/>
        <v>153</v>
      </c>
      <c r="P798" s="633">
        <v>1</v>
      </c>
      <c r="Q798" s="776">
        <f t="shared" si="126"/>
        <v>0</v>
      </c>
      <c r="R798" s="776">
        <f t="shared" si="127"/>
        <v>0</v>
      </c>
      <c r="S798" s="552">
        <f t="shared" si="128"/>
        <v>0</v>
      </c>
      <c r="T798" s="626">
        <f t="shared" si="121"/>
        <v>0</v>
      </c>
      <c r="U798" s="626">
        <f t="shared" si="122"/>
        <v>0</v>
      </c>
      <c r="V798" s="553">
        <f t="shared" si="123"/>
        <v>0</v>
      </c>
      <c r="W798" s="554" t="str">
        <f t="shared" si="129"/>
        <v>S</v>
      </c>
      <c r="X798" s="555"/>
      <c r="Y798" s="631">
        <f>IF(Q798=0,0,(Q798+R798)*'1.0-Contractblad'!$L$98)</f>
        <v>0</v>
      </c>
      <c r="Z798" s="632">
        <f ca="1">IF(J798=0,0,VLOOKUP(D798,'1.1a-Jaarprijzen'!$B$70:$P$124,14,FALSE)*(K798+J798))</f>
        <v>0</v>
      </c>
    </row>
    <row r="799" spans="1:26" hidden="1">
      <c r="A799" s="558"/>
      <c r="B799" s="548"/>
      <c r="C799" s="659">
        <v>3</v>
      </c>
      <c r="D799" s="549" t="s">
        <v>1483</v>
      </c>
      <c r="E799" s="550" t="s">
        <v>502</v>
      </c>
      <c r="F799" s="551" t="s">
        <v>1185</v>
      </c>
      <c r="G799" s="649" t="s">
        <v>1382</v>
      </c>
      <c r="H799" s="647" t="str">
        <f t="shared" si="120"/>
        <v>sanitaire ruimte (toilet-/doucheruimte)</v>
      </c>
      <c r="I799" s="719" t="s">
        <v>492</v>
      </c>
      <c r="J799" s="623">
        <v>4.7</v>
      </c>
      <c r="K799" s="623"/>
      <c r="L799" s="559">
        <v>4153</v>
      </c>
      <c r="M799" s="557">
        <f t="shared" si="124"/>
        <v>104</v>
      </c>
      <c r="N799" s="453"/>
      <c r="O799" s="557">
        <f t="shared" si="125"/>
        <v>153</v>
      </c>
      <c r="P799" s="633">
        <v>1</v>
      </c>
      <c r="Q799" s="776">
        <f t="shared" si="126"/>
        <v>0</v>
      </c>
      <c r="R799" s="776">
        <f t="shared" si="127"/>
        <v>0</v>
      </c>
      <c r="S799" s="552">
        <f t="shared" si="128"/>
        <v>0</v>
      </c>
      <c r="T799" s="626">
        <f t="shared" si="121"/>
        <v>0</v>
      </c>
      <c r="U799" s="626">
        <f t="shared" si="122"/>
        <v>0</v>
      </c>
      <c r="V799" s="553">
        <f t="shared" si="123"/>
        <v>0</v>
      </c>
      <c r="W799" s="554" t="str">
        <f t="shared" si="129"/>
        <v>S</v>
      </c>
      <c r="X799" s="555"/>
      <c r="Y799" s="631">
        <f>IF(Q799=0,0,(Q799+R799)*'1.0-Contractblad'!$L$98)</f>
        <v>0</v>
      </c>
      <c r="Z799" s="632">
        <f ca="1">IF(J799=0,0,VLOOKUP(D799,'1.1a-Jaarprijzen'!$B$70:$P$124,14,FALSE)*(K799+J799))</f>
        <v>0</v>
      </c>
    </row>
    <row r="800" spans="1:26" hidden="1">
      <c r="A800" s="558"/>
      <c r="B800" s="548"/>
      <c r="C800" s="659">
        <v>3</v>
      </c>
      <c r="D800" s="549" t="s">
        <v>1483</v>
      </c>
      <c r="E800" s="550" t="s">
        <v>502</v>
      </c>
      <c r="F800" s="551" t="s">
        <v>1186</v>
      </c>
      <c r="G800" s="649" t="s">
        <v>488</v>
      </c>
      <c r="H800" s="647" t="str">
        <f t="shared" si="120"/>
        <v>sanitaire ruimte (toilet-/doucheruimte)</v>
      </c>
      <c r="I800" s="719" t="s">
        <v>492</v>
      </c>
      <c r="J800" s="623">
        <v>1.5</v>
      </c>
      <c r="K800" s="623"/>
      <c r="L800" s="559">
        <v>4153</v>
      </c>
      <c r="M800" s="557">
        <f t="shared" si="124"/>
        <v>104</v>
      </c>
      <c r="N800" s="453"/>
      <c r="O800" s="557">
        <f t="shared" si="125"/>
        <v>153</v>
      </c>
      <c r="P800" s="633">
        <v>1</v>
      </c>
      <c r="Q800" s="776">
        <f t="shared" si="126"/>
        <v>0</v>
      </c>
      <c r="R800" s="776">
        <f t="shared" si="127"/>
        <v>0</v>
      </c>
      <c r="S800" s="552">
        <f t="shared" si="128"/>
        <v>0</v>
      </c>
      <c r="T800" s="626">
        <f t="shared" si="121"/>
        <v>0</v>
      </c>
      <c r="U800" s="626">
        <f t="shared" si="122"/>
        <v>0</v>
      </c>
      <c r="V800" s="553">
        <f t="shared" si="123"/>
        <v>0</v>
      </c>
      <c r="W800" s="554" t="str">
        <f t="shared" si="129"/>
        <v>S</v>
      </c>
      <c r="X800" s="555"/>
      <c r="Y800" s="631">
        <f>IF(Q800=0,0,(Q800+R800)*'1.0-Contractblad'!$L$98)</f>
        <v>0</v>
      </c>
      <c r="Z800" s="632">
        <f ca="1">IF(J800=0,0,VLOOKUP(D800,'1.1a-Jaarprijzen'!$B$70:$P$124,14,FALSE)*(K800+J800))</f>
        <v>0</v>
      </c>
    </row>
    <row r="801" spans="1:26" hidden="1">
      <c r="A801" s="558"/>
      <c r="B801" s="548"/>
      <c r="C801" s="659">
        <v>3</v>
      </c>
      <c r="D801" s="549" t="s">
        <v>1483</v>
      </c>
      <c r="E801" s="550" t="s">
        <v>502</v>
      </c>
      <c r="F801" s="551" t="s">
        <v>1187</v>
      </c>
      <c r="G801" s="649" t="s">
        <v>1383</v>
      </c>
      <c r="H801" s="647" t="str">
        <f t="shared" si="120"/>
        <v>kleedruimten</v>
      </c>
      <c r="I801" s="719" t="s">
        <v>492</v>
      </c>
      <c r="J801" s="623">
        <v>10.1</v>
      </c>
      <c r="K801" s="623"/>
      <c r="L801" s="668">
        <v>13153</v>
      </c>
      <c r="M801" s="557">
        <f t="shared" si="124"/>
        <v>103</v>
      </c>
      <c r="N801" s="453"/>
      <c r="O801" s="557">
        <f t="shared" si="125"/>
        <v>153</v>
      </c>
      <c r="P801" s="633">
        <v>1</v>
      </c>
      <c r="Q801" s="776">
        <f t="shared" si="126"/>
        <v>0</v>
      </c>
      <c r="R801" s="776">
        <f t="shared" si="127"/>
        <v>0</v>
      </c>
      <c r="S801" s="552">
        <f t="shared" si="128"/>
        <v>0</v>
      </c>
      <c r="T801" s="626">
        <f t="shared" si="121"/>
        <v>0</v>
      </c>
      <c r="U801" s="626">
        <f t="shared" si="122"/>
        <v>0</v>
      </c>
      <c r="V801" s="553">
        <f t="shared" si="123"/>
        <v>0</v>
      </c>
      <c r="W801" s="554" t="str">
        <f t="shared" si="129"/>
        <v>V</v>
      </c>
      <c r="X801" s="555"/>
      <c r="Y801" s="631">
        <f>IF(Q801=0,0,(Q801+R801)*'1.0-Contractblad'!$L$98)</f>
        <v>0</v>
      </c>
      <c r="Z801" s="632">
        <f ca="1">IF(J801=0,0,VLOOKUP(D801,'1.1a-Jaarprijzen'!$B$70:$P$124,14,FALSE)*(K801+J801))</f>
        <v>0</v>
      </c>
    </row>
    <row r="802" spans="1:26" hidden="1">
      <c r="A802" s="558"/>
      <c r="B802" s="548"/>
      <c r="C802" s="659">
        <v>3</v>
      </c>
      <c r="D802" s="549" t="s">
        <v>1483</v>
      </c>
      <c r="E802" s="550" t="s">
        <v>502</v>
      </c>
      <c r="F802" s="551" t="s">
        <v>1188</v>
      </c>
      <c r="G802" s="649" t="s">
        <v>1384</v>
      </c>
      <c r="H802" s="647" t="str">
        <f t="shared" si="120"/>
        <v>kleedruimten</v>
      </c>
      <c r="I802" s="719" t="s">
        <v>492</v>
      </c>
      <c r="J802" s="623">
        <v>10.1</v>
      </c>
      <c r="K802" s="623"/>
      <c r="L802" s="668">
        <v>13153</v>
      </c>
      <c r="M802" s="557">
        <f t="shared" si="124"/>
        <v>103</v>
      </c>
      <c r="N802" s="453"/>
      <c r="O802" s="557">
        <f t="shared" si="125"/>
        <v>153</v>
      </c>
      <c r="P802" s="633">
        <v>1</v>
      </c>
      <c r="Q802" s="776">
        <f t="shared" si="126"/>
        <v>0</v>
      </c>
      <c r="R802" s="776">
        <f t="shared" si="127"/>
        <v>0</v>
      </c>
      <c r="S802" s="552">
        <f t="shared" si="128"/>
        <v>0</v>
      </c>
      <c r="T802" s="626">
        <f t="shared" si="121"/>
        <v>0</v>
      </c>
      <c r="U802" s="626">
        <f t="shared" si="122"/>
        <v>0</v>
      </c>
      <c r="V802" s="553">
        <f t="shared" si="123"/>
        <v>0</v>
      </c>
      <c r="W802" s="554" t="str">
        <f t="shared" si="129"/>
        <v>V</v>
      </c>
      <c r="X802" s="555"/>
      <c r="Y802" s="631">
        <f>IF(Q802=0,0,(Q802+R802)*'1.0-Contractblad'!$L$98)</f>
        <v>0</v>
      </c>
      <c r="Z802" s="632">
        <f ca="1">IF(J802=0,0,VLOOKUP(D802,'1.1a-Jaarprijzen'!$B$70:$P$124,14,FALSE)*(K802+J802))</f>
        <v>0</v>
      </c>
    </row>
    <row r="803" spans="1:26" hidden="1">
      <c r="A803" s="558"/>
      <c r="B803" s="548"/>
      <c r="C803" s="659">
        <v>3</v>
      </c>
      <c r="D803" s="549" t="s">
        <v>1483</v>
      </c>
      <c r="E803" s="550" t="s">
        <v>502</v>
      </c>
      <c r="F803" s="551" t="s">
        <v>1189</v>
      </c>
      <c r="G803" s="649" t="s">
        <v>1385</v>
      </c>
      <c r="H803" s="647" t="str">
        <f t="shared" si="120"/>
        <v>sanitaire ruimte (toilet-/doucheruimte)</v>
      </c>
      <c r="I803" s="719" t="s">
        <v>492</v>
      </c>
      <c r="J803" s="623">
        <v>5.6</v>
      </c>
      <c r="K803" s="623"/>
      <c r="L803" s="559">
        <v>4153</v>
      </c>
      <c r="M803" s="557">
        <f t="shared" si="124"/>
        <v>104</v>
      </c>
      <c r="N803" s="453"/>
      <c r="O803" s="557">
        <f t="shared" si="125"/>
        <v>153</v>
      </c>
      <c r="P803" s="633">
        <v>1</v>
      </c>
      <c r="Q803" s="776">
        <f t="shared" si="126"/>
        <v>0</v>
      </c>
      <c r="R803" s="776">
        <f t="shared" si="127"/>
        <v>0</v>
      </c>
      <c r="S803" s="552">
        <f t="shared" si="128"/>
        <v>0</v>
      </c>
      <c r="T803" s="626">
        <f t="shared" si="121"/>
        <v>0</v>
      </c>
      <c r="U803" s="626">
        <f t="shared" si="122"/>
        <v>0</v>
      </c>
      <c r="V803" s="553">
        <f t="shared" si="123"/>
        <v>0</v>
      </c>
      <c r="W803" s="554" t="str">
        <f t="shared" si="129"/>
        <v>S</v>
      </c>
      <c r="X803" s="555"/>
      <c r="Y803" s="631">
        <f>IF(Q803=0,0,(Q803+R803)*'1.0-Contractblad'!$L$98)</f>
        <v>0</v>
      </c>
      <c r="Z803" s="632">
        <f ca="1">IF(J803=0,0,VLOOKUP(D803,'1.1a-Jaarprijzen'!$B$70:$P$124,14,FALSE)*(K803+J803))</f>
        <v>0</v>
      </c>
    </row>
    <row r="804" spans="1:26" hidden="1">
      <c r="A804" s="558"/>
      <c r="B804" s="548"/>
      <c r="C804" s="659">
        <v>3</v>
      </c>
      <c r="D804" s="549" t="s">
        <v>1483</v>
      </c>
      <c r="E804" s="550" t="s">
        <v>502</v>
      </c>
      <c r="F804" s="551" t="s">
        <v>1190</v>
      </c>
      <c r="G804" s="649" t="s">
        <v>1385</v>
      </c>
      <c r="H804" s="647" t="str">
        <f t="shared" si="120"/>
        <v>sanitaire ruimte (toilet-/doucheruimte)</v>
      </c>
      <c r="I804" s="719" t="s">
        <v>492</v>
      </c>
      <c r="J804" s="623">
        <v>6.6</v>
      </c>
      <c r="K804" s="623"/>
      <c r="L804" s="559">
        <v>4153</v>
      </c>
      <c r="M804" s="557">
        <f t="shared" si="124"/>
        <v>104</v>
      </c>
      <c r="N804" s="453"/>
      <c r="O804" s="557">
        <f t="shared" si="125"/>
        <v>153</v>
      </c>
      <c r="P804" s="633">
        <v>1</v>
      </c>
      <c r="Q804" s="776">
        <f t="shared" si="126"/>
        <v>0</v>
      </c>
      <c r="R804" s="776">
        <f t="shared" si="127"/>
        <v>0</v>
      </c>
      <c r="S804" s="552">
        <f t="shared" si="128"/>
        <v>0</v>
      </c>
      <c r="T804" s="626">
        <f t="shared" si="121"/>
        <v>0</v>
      </c>
      <c r="U804" s="626">
        <f t="shared" si="122"/>
        <v>0</v>
      </c>
      <c r="V804" s="553">
        <f t="shared" si="123"/>
        <v>0</v>
      </c>
      <c r="W804" s="554" t="str">
        <f t="shared" si="129"/>
        <v>S</v>
      </c>
      <c r="X804" s="555"/>
      <c r="Y804" s="631">
        <f>IF(Q804=0,0,(Q804+R804)*'1.0-Contractblad'!$L$98)</f>
        <v>0</v>
      </c>
      <c r="Z804" s="632">
        <f ca="1">IF(J804=0,0,VLOOKUP(D804,'1.1a-Jaarprijzen'!$B$70:$P$124,14,FALSE)*(K804+J804))</f>
        <v>0</v>
      </c>
    </row>
    <row r="805" spans="1:26" hidden="1">
      <c r="A805" s="558"/>
      <c r="B805" s="548"/>
      <c r="C805" s="659">
        <v>3</v>
      </c>
      <c r="D805" s="549" t="s">
        <v>1483</v>
      </c>
      <c r="E805" s="550" t="s">
        <v>502</v>
      </c>
      <c r="F805" s="551" t="s">
        <v>1453</v>
      </c>
      <c r="G805" s="649" t="s">
        <v>1386</v>
      </c>
      <c r="H805" s="647" t="str">
        <f t="shared" si="120"/>
        <v>niet van toepassing</v>
      </c>
      <c r="I805" s="719" t="s">
        <v>492</v>
      </c>
      <c r="J805" s="623"/>
      <c r="K805" s="623"/>
      <c r="L805" s="668" t="s">
        <v>27</v>
      </c>
      <c r="M805" s="557">
        <f t="shared" si="124"/>
        <v>0</v>
      </c>
      <c r="N805" s="453"/>
      <c r="O805" s="557">
        <f t="shared" si="125"/>
        <v>0</v>
      </c>
      <c r="P805" s="633">
        <v>1</v>
      </c>
      <c r="Q805" s="776">
        <f t="shared" si="126"/>
        <v>0</v>
      </c>
      <c r="R805" s="776">
        <f t="shared" si="127"/>
        <v>0</v>
      </c>
      <c r="S805" s="552">
        <f t="shared" si="128"/>
        <v>0</v>
      </c>
      <c r="T805" s="626">
        <f t="shared" si="121"/>
        <v>0</v>
      </c>
      <c r="U805" s="626">
        <f t="shared" si="122"/>
        <v>0</v>
      </c>
      <c r="V805" s="553">
        <f t="shared" si="123"/>
        <v>0</v>
      </c>
      <c r="W805" s="554">
        <f t="shared" si="129"/>
        <v>0</v>
      </c>
      <c r="X805" s="454" t="s">
        <v>1454</v>
      </c>
      <c r="Y805" s="631">
        <f>IF(Q805=0,0,(Q805+R805)*'1.0-Contractblad'!$L$98)</f>
        <v>0</v>
      </c>
      <c r="Z805" s="632">
        <f>IF(J805=0,0,VLOOKUP(D805,'1.1a-Jaarprijzen'!$B$70:$P$124,14,FALSE)*(K805+J805))</f>
        <v>0</v>
      </c>
    </row>
    <row r="806" spans="1:26" hidden="1">
      <c r="A806" s="558"/>
      <c r="B806" s="548"/>
      <c r="C806" s="659">
        <v>3</v>
      </c>
      <c r="D806" s="549" t="s">
        <v>1483</v>
      </c>
      <c r="E806" s="550" t="s">
        <v>502</v>
      </c>
      <c r="F806" s="551" t="s">
        <v>1191</v>
      </c>
      <c r="G806" s="649" t="s">
        <v>1387</v>
      </c>
      <c r="H806" s="647" t="str">
        <f t="shared" si="120"/>
        <v>fiitness</v>
      </c>
      <c r="I806" s="719" t="s">
        <v>1399</v>
      </c>
      <c r="J806" s="623">
        <v>62.7</v>
      </c>
      <c r="K806" s="623"/>
      <c r="L806" s="653">
        <v>15153</v>
      </c>
      <c r="M806" s="557">
        <f t="shared" si="124"/>
        <v>108</v>
      </c>
      <c r="N806" s="453"/>
      <c r="O806" s="557">
        <f t="shared" si="125"/>
        <v>153</v>
      </c>
      <c r="P806" s="633">
        <v>1</v>
      </c>
      <c r="Q806" s="776">
        <f t="shared" si="126"/>
        <v>0</v>
      </c>
      <c r="R806" s="776">
        <f t="shared" si="127"/>
        <v>0</v>
      </c>
      <c r="S806" s="552">
        <f t="shared" si="128"/>
        <v>0</v>
      </c>
      <c r="T806" s="626">
        <f t="shared" si="121"/>
        <v>0</v>
      </c>
      <c r="U806" s="626">
        <f t="shared" si="122"/>
        <v>0</v>
      </c>
      <c r="V806" s="553">
        <f t="shared" si="123"/>
        <v>0</v>
      </c>
      <c r="W806" s="554" t="str">
        <f t="shared" si="129"/>
        <v>V</v>
      </c>
      <c r="X806" s="556"/>
      <c r="Y806" s="631">
        <f>IF(Q806=0,0,(Q806+R806)*'1.0-Contractblad'!$L$98)</f>
        <v>0</v>
      </c>
      <c r="Z806" s="632">
        <f ca="1">IF(J806=0,0,VLOOKUP(D806,'1.1a-Jaarprijzen'!$B$70:$P$124,14,FALSE)*(K806+J806))</f>
        <v>0</v>
      </c>
    </row>
    <row r="807" spans="1:26" hidden="1">
      <c r="A807" s="558"/>
      <c r="B807" s="548"/>
      <c r="C807" s="659">
        <v>3</v>
      </c>
      <c r="D807" s="549" t="s">
        <v>1483</v>
      </c>
      <c r="E807" s="550" t="s">
        <v>502</v>
      </c>
      <c r="F807" s="551" t="s">
        <v>1192</v>
      </c>
      <c r="G807" s="649" t="s">
        <v>1388</v>
      </c>
      <c r="H807" s="647" t="str">
        <f t="shared" si="120"/>
        <v>gymzaal</v>
      </c>
      <c r="I807" s="719" t="s">
        <v>490</v>
      </c>
      <c r="J807" s="623">
        <v>331.3</v>
      </c>
      <c r="K807" s="623"/>
      <c r="L807" s="559">
        <v>14153</v>
      </c>
      <c r="M807" s="557">
        <f t="shared" si="124"/>
        <v>108</v>
      </c>
      <c r="N807" s="453"/>
      <c r="O807" s="557">
        <f t="shared" si="125"/>
        <v>153</v>
      </c>
      <c r="P807" s="633">
        <v>1</v>
      </c>
      <c r="Q807" s="776">
        <f t="shared" si="126"/>
        <v>0</v>
      </c>
      <c r="R807" s="776">
        <f t="shared" si="127"/>
        <v>0</v>
      </c>
      <c r="S807" s="552">
        <f t="shared" si="128"/>
        <v>0</v>
      </c>
      <c r="T807" s="626">
        <f t="shared" si="121"/>
        <v>0</v>
      </c>
      <c r="U807" s="626">
        <f t="shared" si="122"/>
        <v>0</v>
      </c>
      <c r="V807" s="553">
        <f t="shared" si="123"/>
        <v>0</v>
      </c>
      <c r="W807" s="554" t="str">
        <f t="shared" si="129"/>
        <v>Sp</v>
      </c>
      <c r="X807" s="555"/>
      <c r="Y807" s="631">
        <f>IF(Q807=0,0,(Q807+R807)*'1.0-Contractblad'!$L$98)</f>
        <v>0</v>
      </c>
      <c r="Z807" s="632">
        <f ca="1">IF(J807=0,0,VLOOKUP(D807,'1.1a-Jaarprijzen'!$B$70:$P$124,14,FALSE)*(K807+J807))</f>
        <v>0</v>
      </c>
    </row>
    <row r="808" spans="1:26" hidden="1">
      <c r="A808" s="558"/>
      <c r="B808" s="548"/>
      <c r="C808" s="659">
        <v>3</v>
      </c>
      <c r="D808" s="549" t="s">
        <v>1483</v>
      </c>
      <c r="E808" s="550" t="s">
        <v>502</v>
      </c>
      <c r="F808" s="551" t="s">
        <v>1193</v>
      </c>
      <c r="G808" s="649" t="s">
        <v>1389</v>
      </c>
      <c r="H808" s="647" t="str">
        <f t="shared" si="120"/>
        <v>aula, gemeenschappelijke ruimte, bibliotheek</v>
      </c>
      <c r="I808" s="719" t="s">
        <v>1411</v>
      </c>
      <c r="J808" s="623">
        <v>16</v>
      </c>
      <c r="K808" s="623"/>
      <c r="L808" s="559">
        <v>2153</v>
      </c>
      <c r="M808" s="557">
        <f t="shared" si="124"/>
        <v>102</v>
      </c>
      <c r="N808" s="453"/>
      <c r="O808" s="557">
        <f t="shared" si="125"/>
        <v>153</v>
      </c>
      <c r="P808" s="633">
        <v>1</v>
      </c>
      <c r="Q808" s="776">
        <f t="shared" si="126"/>
        <v>0</v>
      </c>
      <c r="R808" s="776">
        <f t="shared" si="127"/>
        <v>0</v>
      </c>
      <c r="S808" s="552">
        <f t="shared" si="128"/>
        <v>0</v>
      </c>
      <c r="T808" s="626">
        <f t="shared" si="121"/>
        <v>0</v>
      </c>
      <c r="U808" s="626">
        <f t="shared" si="122"/>
        <v>0</v>
      </c>
      <c r="V808" s="553">
        <f t="shared" si="123"/>
        <v>0</v>
      </c>
      <c r="W808" s="554" t="str">
        <f t="shared" si="129"/>
        <v>V</v>
      </c>
      <c r="X808" s="555"/>
      <c r="Y808" s="631">
        <f>IF(Q808=0,0,(Q808+R808)*'1.0-Contractblad'!$L$98)</f>
        <v>0</v>
      </c>
      <c r="Z808" s="632">
        <f ca="1">IF(J808=0,0,VLOOKUP(D808,'1.1a-Jaarprijzen'!$B$70:$P$124,14,FALSE)*(K808+J808))</f>
        <v>0</v>
      </c>
    </row>
    <row r="809" spans="1:26" hidden="1">
      <c r="A809" s="558"/>
      <c r="B809" s="548"/>
      <c r="C809" s="659">
        <v>3</v>
      </c>
      <c r="D809" s="549" t="s">
        <v>1483</v>
      </c>
      <c r="E809" s="550" t="s">
        <v>502</v>
      </c>
      <c r="F809" s="551" t="s">
        <v>1194</v>
      </c>
      <c r="G809" s="649" t="s">
        <v>1235</v>
      </c>
      <c r="H809" s="647" t="str">
        <f t="shared" si="120"/>
        <v>niet van toepassing</v>
      </c>
      <c r="I809" s="719"/>
      <c r="J809" s="623"/>
      <c r="K809" s="623"/>
      <c r="L809" s="668" t="s">
        <v>27</v>
      </c>
      <c r="M809" s="557">
        <f t="shared" si="124"/>
        <v>0</v>
      </c>
      <c r="N809" s="453"/>
      <c r="O809" s="557">
        <f t="shared" si="125"/>
        <v>0</v>
      </c>
      <c r="P809" s="633">
        <v>1</v>
      </c>
      <c r="Q809" s="776">
        <f t="shared" si="126"/>
        <v>0</v>
      </c>
      <c r="R809" s="776">
        <f t="shared" si="127"/>
        <v>0</v>
      </c>
      <c r="S809" s="552">
        <f t="shared" si="128"/>
        <v>0</v>
      </c>
      <c r="T809" s="626">
        <f t="shared" si="121"/>
        <v>0</v>
      </c>
      <c r="U809" s="626">
        <f t="shared" si="122"/>
        <v>0</v>
      </c>
      <c r="V809" s="553">
        <f t="shared" si="123"/>
        <v>0</v>
      </c>
      <c r="W809" s="554">
        <f t="shared" si="129"/>
        <v>0</v>
      </c>
      <c r="X809" s="454" t="s">
        <v>1454</v>
      </c>
      <c r="Y809" s="631">
        <f>IF(Q809=0,0,(Q809+R809)*'1.0-Contractblad'!$L$98)</f>
        <v>0</v>
      </c>
      <c r="Z809" s="632">
        <f>IF(J809=0,0,VLOOKUP(D809,'1.1a-Jaarprijzen'!$B$70:$P$124,14,FALSE)*(K809+J809))</f>
        <v>0</v>
      </c>
    </row>
    <row r="810" spans="1:26" hidden="1">
      <c r="A810" s="558"/>
      <c r="B810" s="548"/>
      <c r="C810" s="659">
        <v>3</v>
      </c>
      <c r="D810" s="549" t="s">
        <v>1483</v>
      </c>
      <c r="E810" s="550" t="s">
        <v>502</v>
      </c>
      <c r="F810" s="551" t="s">
        <v>1195</v>
      </c>
      <c r="G810" s="649" t="s">
        <v>1390</v>
      </c>
      <c r="H810" s="647" t="str">
        <f t="shared" si="120"/>
        <v>niet van toepassing</v>
      </c>
      <c r="I810" s="719"/>
      <c r="J810" s="623"/>
      <c r="K810" s="623"/>
      <c r="L810" s="668" t="s">
        <v>27</v>
      </c>
      <c r="M810" s="557">
        <f t="shared" si="124"/>
        <v>0</v>
      </c>
      <c r="N810" s="453"/>
      <c r="O810" s="557">
        <f t="shared" si="125"/>
        <v>0</v>
      </c>
      <c r="P810" s="633">
        <v>1</v>
      </c>
      <c r="Q810" s="776">
        <f t="shared" si="126"/>
        <v>0</v>
      </c>
      <c r="R810" s="776">
        <f t="shared" si="127"/>
        <v>0</v>
      </c>
      <c r="S810" s="552">
        <f t="shared" si="128"/>
        <v>0</v>
      </c>
      <c r="T810" s="626">
        <f t="shared" si="121"/>
        <v>0</v>
      </c>
      <c r="U810" s="626">
        <f t="shared" si="122"/>
        <v>0</v>
      </c>
      <c r="V810" s="553">
        <f t="shared" si="123"/>
        <v>0</v>
      </c>
      <c r="W810" s="554">
        <f t="shared" si="129"/>
        <v>0</v>
      </c>
      <c r="X810" s="454" t="s">
        <v>1454</v>
      </c>
      <c r="Y810" s="631">
        <f>IF(Q810=0,0,(Q810+R810)*'1.0-Contractblad'!$L$98)</f>
        <v>0</v>
      </c>
      <c r="Z810" s="632">
        <f>IF(J810=0,0,VLOOKUP(D810,'1.1a-Jaarprijzen'!$B$70:$P$124,14,FALSE)*(K810+J810))</f>
        <v>0</v>
      </c>
    </row>
    <row r="811" spans="1:26" hidden="1">
      <c r="A811" s="558"/>
      <c r="B811" s="548"/>
      <c r="C811" s="659">
        <v>3</v>
      </c>
      <c r="D811" s="549" t="s">
        <v>1483</v>
      </c>
      <c r="E811" s="550" t="s">
        <v>502</v>
      </c>
      <c r="F811" s="551" t="s">
        <v>1196</v>
      </c>
      <c r="G811" s="649" t="s">
        <v>494</v>
      </c>
      <c r="H811" s="647" t="str">
        <f t="shared" si="120"/>
        <v>entree, gang, hal, repro, kopieer, was/droogruimte</v>
      </c>
      <c r="I811" s="719" t="s">
        <v>499</v>
      </c>
      <c r="J811" s="623">
        <v>9.3000000000000007</v>
      </c>
      <c r="K811" s="623"/>
      <c r="L811" s="651">
        <v>3153</v>
      </c>
      <c r="M811" s="557">
        <f t="shared" si="124"/>
        <v>103</v>
      </c>
      <c r="N811" s="453"/>
      <c r="O811" s="557">
        <f t="shared" si="125"/>
        <v>153</v>
      </c>
      <c r="P811" s="633">
        <v>1</v>
      </c>
      <c r="Q811" s="776">
        <f t="shared" si="126"/>
        <v>0</v>
      </c>
      <c r="R811" s="776">
        <f t="shared" si="127"/>
        <v>0</v>
      </c>
      <c r="S811" s="552">
        <f t="shared" si="128"/>
        <v>0</v>
      </c>
      <c r="T811" s="626">
        <f t="shared" si="121"/>
        <v>0</v>
      </c>
      <c r="U811" s="626">
        <f t="shared" si="122"/>
        <v>0</v>
      </c>
      <c r="V811" s="553">
        <f t="shared" si="123"/>
        <v>0</v>
      </c>
      <c r="W811" s="554" t="str">
        <f t="shared" si="129"/>
        <v>V</v>
      </c>
      <c r="X811" s="555"/>
      <c r="Y811" s="631">
        <f>IF(Q811=0,0,(Q811+R811)*'1.0-Contractblad'!$L$98)</f>
        <v>0</v>
      </c>
      <c r="Z811" s="632">
        <f ca="1">IF(J811=0,0,VLOOKUP(D811,'1.1a-Jaarprijzen'!$B$70:$P$124,14,FALSE)*(K811+J811))</f>
        <v>0</v>
      </c>
    </row>
    <row r="812" spans="1:26" hidden="1">
      <c r="A812" s="558"/>
      <c r="B812" s="548"/>
      <c r="C812" s="659">
        <v>3</v>
      </c>
      <c r="D812" s="549" t="s">
        <v>1483</v>
      </c>
      <c r="E812" s="550" t="s">
        <v>502</v>
      </c>
      <c r="F812" s="551" t="s">
        <v>1197</v>
      </c>
      <c r="G812" s="649" t="s">
        <v>1391</v>
      </c>
      <c r="H812" s="647" t="str">
        <f t="shared" si="120"/>
        <v>niet van toepassing</v>
      </c>
      <c r="I812" s="719"/>
      <c r="J812" s="623"/>
      <c r="K812" s="623"/>
      <c r="L812" s="668" t="s">
        <v>27</v>
      </c>
      <c r="M812" s="557">
        <f t="shared" si="124"/>
        <v>0</v>
      </c>
      <c r="N812" s="453"/>
      <c r="O812" s="557">
        <f t="shared" si="125"/>
        <v>0</v>
      </c>
      <c r="P812" s="633">
        <v>1</v>
      </c>
      <c r="Q812" s="776">
        <f t="shared" si="126"/>
        <v>0</v>
      </c>
      <c r="R812" s="776">
        <f t="shared" si="127"/>
        <v>0</v>
      </c>
      <c r="S812" s="552">
        <f t="shared" si="128"/>
        <v>0</v>
      </c>
      <c r="T812" s="626">
        <f t="shared" si="121"/>
        <v>0</v>
      </c>
      <c r="U812" s="626">
        <f t="shared" si="122"/>
        <v>0</v>
      </c>
      <c r="V812" s="553">
        <f t="shared" si="123"/>
        <v>0</v>
      </c>
      <c r="W812" s="554">
        <f t="shared" si="129"/>
        <v>0</v>
      </c>
      <c r="X812" s="454" t="s">
        <v>1454</v>
      </c>
      <c r="Y812" s="631">
        <f>IF(Q812=0,0,(Q812+R812)*'1.0-Contractblad'!$L$98)</f>
        <v>0</v>
      </c>
      <c r="Z812" s="632">
        <f>IF(J812=0,0,VLOOKUP(D812,'1.1a-Jaarprijzen'!$B$70:$P$124,14,FALSE)*(K812+J812))</f>
        <v>0</v>
      </c>
    </row>
    <row r="813" spans="1:26" hidden="1">
      <c r="A813" s="558"/>
      <c r="B813" s="548"/>
      <c r="C813" s="659">
        <v>3</v>
      </c>
      <c r="D813" s="549" t="s">
        <v>1483</v>
      </c>
      <c r="E813" s="550" t="s">
        <v>502</v>
      </c>
      <c r="F813" s="551" t="s">
        <v>1198</v>
      </c>
      <c r="G813" s="649" t="s">
        <v>1235</v>
      </c>
      <c r="H813" s="647" t="str">
        <f t="shared" si="120"/>
        <v>niet van toepassing</v>
      </c>
      <c r="I813" s="719"/>
      <c r="J813" s="623"/>
      <c r="K813" s="623"/>
      <c r="L813" s="668" t="s">
        <v>27</v>
      </c>
      <c r="M813" s="557">
        <f t="shared" si="124"/>
        <v>0</v>
      </c>
      <c r="N813" s="453"/>
      <c r="O813" s="557">
        <f t="shared" si="125"/>
        <v>0</v>
      </c>
      <c r="P813" s="633">
        <v>1</v>
      </c>
      <c r="Q813" s="776">
        <f t="shared" si="126"/>
        <v>0</v>
      </c>
      <c r="R813" s="776">
        <f t="shared" si="127"/>
        <v>0</v>
      </c>
      <c r="S813" s="552">
        <f t="shared" si="128"/>
        <v>0</v>
      </c>
      <c r="T813" s="626">
        <f t="shared" si="121"/>
        <v>0</v>
      </c>
      <c r="U813" s="626">
        <f t="shared" si="122"/>
        <v>0</v>
      </c>
      <c r="V813" s="553">
        <f t="shared" si="123"/>
        <v>0</v>
      </c>
      <c r="W813" s="554">
        <f t="shared" si="129"/>
        <v>0</v>
      </c>
      <c r="X813" s="454" t="s">
        <v>1454</v>
      </c>
      <c r="Y813" s="631">
        <f>IF(Q813=0,0,(Q813+R813)*'1.0-Contractblad'!$L$98)</f>
        <v>0</v>
      </c>
      <c r="Z813" s="632">
        <f>IF(J813=0,0,VLOOKUP(D813,'1.1a-Jaarprijzen'!$B$70:$P$124,14,FALSE)*(K813+J813))</f>
        <v>0</v>
      </c>
    </row>
    <row r="814" spans="1:26" hidden="1">
      <c r="A814" s="558"/>
      <c r="B814" s="548"/>
      <c r="C814" s="659">
        <v>3</v>
      </c>
      <c r="D814" s="549" t="s">
        <v>1483</v>
      </c>
      <c r="E814" s="550" t="s">
        <v>502</v>
      </c>
      <c r="F814" s="551" t="s">
        <v>1199</v>
      </c>
      <c r="G814" s="649" t="s">
        <v>1326</v>
      </c>
      <c r="H814" s="647" t="str">
        <f t="shared" si="120"/>
        <v>trappenhuis</v>
      </c>
      <c r="I814" s="719" t="s">
        <v>491</v>
      </c>
      <c r="J814" s="623">
        <v>5.2</v>
      </c>
      <c r="K814" s="623"/>
      <c r="L814" s="559">
        <v>9153</v>
      </c>
      <c r="M814" s="557">
        <f t="shared" si="124"/>
        <v>109</v>
      </c>
      <c r="N814" s="453"/>
      <c r="O814" s="557">
        <f t="shared" si="125"/>
        <v>153</v>
      </c>
      <c r="P814" s="633">
        <v>1</v>
      </c>
      <c r="Q814" s="776">
        <f t="shared" si="126"/>
        <v>0</v>
      </c>
      <c r="R814" s="776">
        <f t="shared" si="127"/>
        <v>0</v>
      </c>
      <c r="S814" s="552">
        <f t="shared" si="128"/>
        <v>0</v>
      </c>
      <c r="T814" s="626">
        <f t="shared" si="121"/>
        <v>0</v>
      </c>
      <c r="U814" s="626">
        <f t="shared" si="122"/>
        <v>0</v>
      </c>
      <c r="V814" s="553">
        <f t="shared" si="123"/>
        <v>0</v>
      </c>
      <c r="W814" s="554" t="str">
        <f t="shared" si="129"/>
        <v>V</v>
      </c>
      <c r="X814" s="555"/>
      <c r="Y814" s="631">
        <f>IF(Q814=0,0,(Q814+R814)*'1.0-Contractblad'!$L$98)</f>
        <v>0</v>
      </c>
      <c r="Z814" s="632">
        <f ca="1">IF(J814=0,0,VLOOKUP(D814,'1.1a-Jaarprijzen'!$B$70:$P$124,14,FALSE)*(K814+J814))</f>
        <v>0</v>
      </c>
    </row>
    <row r="815" spans="1:26" hidden="1">
      <c r="A815" s="558"/>
      <c r="B815" s="548"/>
      <c r="C815" s="659">
        <v>3</v>
      </c>
      <c r="D815" s="549" t="s">
        <v>1483</v>
      </c>
      <c r="E815" s="550" t="s">
        <v>502</v>
      </c>
      <c r="F815" s="551" t="s">
        <v>1200</v>
      </c>
      <c r="G815" s="649" t="s">
        <v>487</v>
      </c>
      <c r="H815" s="647" t="str">
        <f t="shared" si="120"/>
        <v>entree, gang, hal, repro, kopieer, was/droogruimte</v>
      </c>
      <c r="I815" s="719" t="s">
        <v>491</v>
      </c>
      <c r="J815" s="623">
        <v>39.299999999999997</v>
      </c>
      <c r="K815" s="623"/>
      <c r="L815" s="651">
        <v>3153</v>
      </c>
      <c r="M815" s="557">
        <f t="shared" si="124"/>
        <v>103</v>
      </c>
      <c r="N815" s="453"/>
      <c r="O815" s="557">
        <f t="shared" si="125"/>
        <v>153</v>
      </c>
      <c r="P815" s="633">
        <v>1</v>
      </c>
      <c r="Q815" s="776">
        <f t="shared" si="126"/>
        <v>0</v>
      </c>
      <c r="R815" s="776">
        <f t="shared" si="127"/>
        <v>0</v>
      </c>
      <c r="S815" s="552">
        <f t="shared" si="128"/>
        <v>0</v>
      </c>
      <c r="T815" s="626">
        <f t="shared" si="121"/>
        <v>0</v>
      </c>
      <c r="U815" s="626">
        <f t="shared" si="122"/>
        <v>0</v>
      </c>
      <c r="V815" s="553">
        <f t="shared" si="123"/>
        <v>0</v>
      </c>
      <c r="W815" s="554" t="str">
        <f t="shared" si="129"/>
        <v>V</v>
      </c>
      <c r="X815" s="555"/>
      <c r="Y815" s="631">
        <f>IF(Q815=0,0,(Q815+R815)*'1.0-Contractblad'!$L$98)</f>
        <v>0</v>
      </c>
      <c r="Z815" s="632">
        <f ca="1">IF(J815=0,0,VLOOKUP(D815,'1.1a-Jaarprijzen'!$B$70:$P$124,14,FALSE)*(K815+J815))</f>
        <v>0</v>
      </c>
    </row>
    <row r="816" spans="1:26" hidden="1">
      <c r="A816" s="558"/>
      <c r="B816" s="548"/>
      <c r="C816" s="659">
        <v>3</v>
      </c>
      <c r="D816" s="549" t="s">
        <v>1483</v>
      </c>
      <c r="E816" s="550" t="s">
        <v>478</v>
      </c>
      <c r="F816" s="551" t="s">
        <v>1201</v>
      </c>
      <c r="G816" s="649" t="s">
        <v>1392</v>
      </c>
      <c r="H816" s="647" t="str">
        <f t="shared" si="120"/>
        <v>fiitness</v>
      </c>
      <c r="I816" s="719" t="s">
        <v>491</v>
      </c>
      <c r="J816" s="623">
        <v>115.3</v>
      </c>
      <c r="K816" s="623"/>
      <c r="L816" s="653">
        <v>15153</v>
      </c>
      <c r="M816" s="557">
        <f t="shared" si="124"/>
        <v>108</v>
      </c>
      <c r="N816" s="453"/>
      <c r="O816" s="557">
        <f t="shared" si="125"/>
        <v>153</v>
      </c>
      <c r="P816" s="633">
        <v>1</v>
      </c>
      <c r="Q816" s="776">
        <f t="shared" si="126"/>
        <v>0</v>
      </c>
      <c r="R816" s="776">
        <f t="shared" si="127"/>
        <v>0</v>
      </c>
      <c r="S816" s="552">
        <f t="shared" si="128"/>
        <v>0</v>
      </c>
      <c r="T816" s="626">
        <f t="shared" si="121"/>
        <v>0</v>
      </c>
      <c r="U816" s="626">
        <f t="shared" si="122"/>
        <v>0</v>
      </c>
      <c r="V816" s="553">
        <f t="shared" si="123"/>
        <v>0</v>
      </c>
      <c r="W816" s="554" t="str">
        <f t="shared" si="129"/>
        <v>V</v>
      </c>
      <c r="X816" s="556"/>
      <c r="Y816" s="631">
        <f>IF(Q816=0,0,(Q816+R816)*'1.0-Contractblad'!$L$98)</f>
        <v>0</v>
      </c>
      <c r="Z816" s="632">
        <f ca="1">IF(J816=0,0,VLOOKUP(D816,'1.1a-Jaarprijzen'!$B$70:$P$124,14,FALSE)*(K816+J816))</f>
        <v>0</v>
      </c>
    </row>
    <row r="817" spans="1:29" hidden="1">
      <c r="A817" s="558"/>
      <c r="B817" s="548"/>
      <c r="C817" s="659">
        <v>3</v>
      </c>
      <c r="D817" s="549" t="s">
        <v>1483</v>
      </c>
      <c r="E817" s="550" t="s">
        <v>478</v>
      </c>
      <c r="F817" s="551" t="s">
        <v>1202</v>
      </c>
      <c r="G817" s="649" t="s">
        <v>1393</v>
      </c>
      <c r="H817" s="647" t="str">
        <f t="shared" si="120"/>
        <v>niet van toepassing</v>
      </c>
      <c r="I817" s="719"/>
      <c r="J817" s="623"/>
      <c r="K817" s="623"/>
      <c r="L817" s="668" t="s">
        <v>27</v>
      </c>
      <c r="M817" s="557">
        <f t="shared" si="124"/>
        <v>0</v>
      </c>
      <c r="N817" s="453"/>
      <c r="O817" s="557">
        <f t="shared" si="125"/>
        <v>0</v>
      </c>
      <c r="P817" s="633">
        <v>1</v>
      </c>
      <c r="Q817" s="776">
        <f t="shared" si="126"/>
        <v>0</v>
      </c>
      <c r="R817" s="776">
        <f t="shared" si="127"/>
        <v>0</v>
      </c>
      <c r="S817" s="552">
        <f t="shared" si="128"/>
        <v>0</v>
      </c>
      <c r="T817" s="626">
        <f t="shared" si="121"/>
        <v>0</v>
      </c>
      <c r="U817" s="626">
        <f t="shared" si="122"/>
        <v>0</v>
      </c>
      <c r="V817" s="553">
        <f t="shared" si="123"/>
        <v>0</v>
      </c>
      <c r="W817" s="554">
        <f t="shared" si="129"/>
        <v>0</v>
      </c>
      <c r="X817" s="454" t="s">
        <v>1454</v>
      </c>
      <c r="Y817" s="631">
        <f>IF(Q817=0,0,(Q817+R817)*'1.0-Contractblad'!$L$98)</f>
        <v>0</v>
      </c>
      <c r="Z817" s="632">
        <f>IF(J817=0,0,VLOOKUP(D817,'1.1a-Jaarprijzen'!$B$70:$P$124,14,FALSE)*(K817+J817))</f>
        <v>0</v>
      </c>
    </row>
    <row r="818" spans="1:29" hidden="1">
      <c r="A818" s="558"/>
      <c r="B818" s="548"/>
      <c r="C818" s="659">
        <v>3</v>
      </c>
      <c r="D818" s="549" t="s">
        <v>1483</v>
      </c>
      <c r="E818" s="550" t="s">
        <v>478</v>
      </c>
      <c r="F818" s="551" t="s">
        <v>1203</v>
      </c>
      <c r="G818" s="649" t="s">
        <v>1235</v>
      </c>
      <c r="H818" s="647" t="str">
        <f t="shared" si="120"/>
        <v>niet van toepassing</v>
      </c>
      <c r="I818" s="719"/>
      <c r="J818" s="623"/>
      <c r="K818" s="623"/>
      <c r="L818" s="668" t="s">
        <v>27</v>
      </c>
      <c r="M818" s="557">
        <f t="shared" si="124"/>
        <v>0</v>
      </c>
      <c r="N818" s="453"/>
      <c r="O818" s="557">
        <f t="shared" si="125"/>
        <v>0</v>
      </c>
      <c r="P818" s="633">
        <v>1</v>
      </c>
      <c r="Q818" s="776">
        <f t="shared" si="126"/>
        <v>0</v>
      </c>
      <c r="R818" s="776">
        <f t="shared" si="127"/>
        <v>0</v>
      </c>
      <c r="S818" s="552">
        <f t="shared" si="128"/>
        <v>0</v>
      </c>
      <c r="T818" s="626">
        <f t="shared" si="121"/>
        <v>0</v>
      </c>
      <c r="U818" s="626">
        <f t="shared" si="122"/>
        <v>0</v>
      </c>
      <c r="V818" s="553">
        <f t="shared" si="123"/>
        <v>0</v>
      </c>
      <c r="W818" s="554">
        <f t="shared" si="129"/>
        <v>0</v>
      </c>
      <c r="X818" s="454" t="s">
        <v>1454</v>
      </c>
      <c r="Y818" s="631">
        <f>IF(Q818=0,0,(Q818+R818)*'1.0-Contractblad'!$L$98)</f>
        <v>0</v>
      </c>
      <c r="Z818" s="632">
        <f>IF(J818=0,0,VLOOKUP(D818,'1.1a-Jaarprijzen'!$B$70:$P$124,14,FALSE)*(K818+J818))</f>
        <v>0</v>
      </c>
    </row>
    <row r="819" spans="1:29" hidden="1">
      <c r="A819" s="558"/>
      <c r="B819" s="548"/>
      <c r="C819" s="659">
        <v>3</v>
      </c>
      <c r="D819" s="549" t="s">
        <v>1483</v>
      </c>
      <c r="E819" s="550" t="s">
        <v>478</v>
      </c>
      <c r="F819" s="551" t="s">
        <v>1204</v>
      </c>
      <c r="G819" s="649" t="s">
        <v>1235</v>
      </c>
      <c r="H819" s="647" t="str">
        <f t="shared" si="120"/>
        <v>niet van toepassing</v>
      </c>
      <c r="I819" s="719"/>
      <c r="J819" s="623"/>
      <c r="K819" s="623"/>
      <c r="L819" s="668" t="s">
        <v>27</v>
      </c>
      <c r="M819" s="557">
        <f t="shared" si="124"/>
        <v>0</v>
      </c>
      <c r="N819" s="453"/>
      <c r="O819" s="557">
        <f t="shared" si="125"/>
        <v>0</v>
      </c>
      <c r="P819" s="633">
        <v>1</v>
      </c>
      <c r="Q819" s="776">
        <f t="shared" si="126"/>
        <v>0</v>
      </c>
      <c r="R819" s="776">
        <f t="shared" si="127"/>
        <v>0</v>
      </c>
      <c r="S819" s="552">
        <f t="shared" si="128"/>
        <v>0</v>
      </c>
      <c r="T819" s="626">
        <f t="shared" si="121"/>
        <v>0</v>
      </c>
      <c r="U819" s="626">
        <f t="shared" si="122"/>
        <v>0</v>
      </c>
      <c r="V819" s="553">
        <f t="shared" si="123"/>
        <v>0</v>
      </c>
      <c r="W819" s="554">
        <f t="shared" si="129"/>
        <v>0</v>
      </c>
      <c r="X819" s="454" t="s">
        <v>1454</v>
      </c>
      <c r="Y819" s="631">
        <f>IF(Q819=0,0,(Q819+R819)*'1.0-Contractblad'!$L$98)</f>
        <v>0</v>
      </c>
      <c r="Z819" s="632">
        <f>IF(J819=0,0,VLOOKUP(D819,'1.1a-Jaarprijzen'!$B$70:$P$124,14,FALSE)*(K819+J819))</f>
        <v>0</v>
      </c>
    </row>
    <row r="820" spans="1:29" hidden="1">
      <c r="A820" s="558"/>
      <c r="B820" s="548"/>
      <c r="C820" s="659">
        <v>3</v>
      </c>
      <c r="D820" s="549" t="s">
        <v>1483</v>
      </c>
      <c r="E820" s="550" t="s">
        <v>478</v>
      </c>
      <c r="F820" s="551" t="s">
        <v>1205</v>
      </c>
      <c r="G820" s="649" t="s">
        <v>1394</v>
      </c>
      <c r="H820" s="647" t="str">
        <f t="shared" si="120"/>
        <v>praktijklokaal</v>
      </c>
      <c r="I820" s="719" t="s">
        <v>491</v>
      </c>
      <c r="J820" s="623">
        <v>26.7</v>
      </c>
      <c r="K820" s="623"/>
      <c r="L820" s="653">
        <v>6153</v>
      </c>
      <c r="M820" s="557">
        <f t="shared" si="124"/>
        <v>107</v>
      </c>
      <c r="N820" s="453"/>
      <c r="O820" s="557">
        <f t="shared" si="125"/>
        <v>153</v>
      </c>
      <c r="P820" s="633">
        <v>1</v>
      </c>
      <c r="Q820" s="776">
        <f t="shared" si="126"/>
        <v>0</v>
      </c>
      <c r="R820" s="776">
        <f t="shared" si="127"/>
        <v>0</v>
      </c>
      <c r="S820" s="552">
        <f t="shared" si="128"/>
        <v>0</v>
      </c>
      <c r="T820" s="626">
        <f t="shared" si="121"/>
        <v>0</v>
      </c>
      <c r="U820" s="626">
        <f t="shared" si="122"/>
        <v>0</v>
      </c>
      <c r="V820" s="553">
        <f t="shared" si="123"/>
        <v>0</v>
      </c>
      <c r="W820" s="554" t="str">
        <f t="shared" si="129"/>
        <v>L</v>
      </c>
      <c r="X820" s="555"/>
      <c r="Y820" s="631">
        <f>IF(Q820=0,0,(Q820+R820)*'1.0-Contractblad'!$L$98)</f>
        <v>0</v>
      </c>
      <c r="Z820" s="632">
        <f ca="1">IF(J820=0,0,VLOOKUP(D820,'1.1a-Jaarprijzen'!$B$70:$P$124,14,FALSE)*(K820+J820))</f>
        <v>0</v>
      </c>
    </row>
    <row r="821" spans="1:29" hidden="1">
      <c r="A821" s="558"/>
      <c r="B821" s="548"/>
      <c r="C821" s="659">
        <v>3</v>
      </c>
      <c r="D821" s="549" t="s">
        <v>1483</v>
      </c>
      <c r="E821" s="550" t="s">
        <v>478</v>
      </c>
      <c r="F821" s="551" t="s">
        <v>1206</v>
      </c>
      <c r="G821" s="649" t="s">
        <v>1395</v>
      </c>
      <c r="H821" s="647" t="str">
        <f t="shared" si="120"/>
        <v>entree, gang, hal, repro, kopieer, was/droogruimte</v>
      </c>
      <c r="I821" s="719" t="s">
        <v>491</v>
      </c>
      <c r="J821" s="623">
        <v>1.4</v>
      </c>
      <c r="K821" s="623"/>
      <c r="L821" s="651">
        <v>3153</v>
      </c>
      <c r="M821" s="557">
        <f t="shared" si="124"/>
        <v>103</v>
      </c>
      <c r="N821" s="453"/>
      <c r="O821" s="557">
        <f t="shared" si="125"/>
        <v>153</v>
      </c>
      <c r="P821" s="633">
        <v>1</v>
      </c>
      <c r="Q821" s="776">
        <f t="shared" si="126"/>
        <v>0</v>
      </c>
      <c r="R821" s="776">
        <f t="shared" si="127"/>
        <v>0</v>
      </c>
      <c r="S821" s="552">
        <f t="shared" si="128"/>
        <v>0</v>
      </c>
      <c r="T821" s="626">
        <f t="shared" si="121"/>
        <v>0</v>
      </c>
      <c r="U821" s="626">
        <f t="shared" si="122"/>
        <v>0</v>
      </c>
      <c r="V821" s="553">
        <f t="shared" si="123"/>
        <v>0</v>
      </c>
      <c r="W821" s="554" t="str">
        <f t="shared" si="129"/>
        <v>V</v>
      </c>
      <c r="X821" s="555"/>
      <c r="Y821" s="631">
        <f>IF(Q821=0,0,(Q821+R821)*'1.0-Contractblad'!$L$98)</f>
        <v>0</v>
      </c>
      <c r="Z821" s="632">
        <f ca="1">IF(J821=0,0,VLOOKUP(D821,'1.1a-Jaarprijzen'!$B$70:$P$124,14,FALSE)*(K821+J821))</f>
        <v>0</v>
      </c>
    </row>
    <row r="822" spans="1:29" hidden="1">
      <c r="A822" s="558"/>
      <c r="B822" s="548"/>
      <c r="C822" s="659">
        <v>3</v>
      </c>
      <c r="D822" s="549" t="s">
        <v>1483</v>
      </c>
      <c r="E822" s="550" t="s">
        <v>478</v>
      </c>
      <c r="F822" s="551" t="s">
        <v>1207</v>
      </c>
      <c r="G822" s="649" t="s">
        <v>1396</v>
      </c>
      <c r="H822" s="647" t="str">
        <f t="shared" si="120"/>
        <v>aula, gemeenschappelijke ruimte, bibliotheek</v>
      </c>
      <c r="I822" s="719" t="s">
        <v>491</v>
      </c>
      <c r="J822" s="623">
        <v>31</v>
      </c>
      <c r="K822" s="623"/>
      <c r="L822" s="653">
        <v>2153</v>
      </c>
      <c r="M822" s="557">
        <f t="shared" si="124"/>
        <v>102</v>
      </c>
      <c r="N822" s="453"/>
      <c r="O822" s="557">
        <f t="shared" si="125"/>
        <v>153</v>
      </c>
      <c r="P822" s="633">
        <v>1</v>
      </c>
      <c r="Q822" s="776">
        <f t="shared" si="126"/>
        <v>0</v>
      </c>
      <c r="R822" s="776">
        <f t="shared" si="127"/>
        <v>0</v>
      </c>
      <c r="S822" s="552">
        <f t="shared" si="128"/>
        <v>0</v>
      </c>
      <c r="T822" s="626">
        <f t="shared" si="121"/>
        <v>0</v>
      </c>
      <c r="U822" s="626">
        <f t="shared" si="122"/>
        <v>0</v>
      </c>
      <c r="V822" s="553">
        <f t="shared" si="123"/>
        <v>0</v>
      </c>
      <c r="W822" s="554" t="str">
        <f t="shared" si="129"/>
        <v>V</v>
      </c>
      <c r="X822" s="555"/>
      <c r="Y822" s="631">
        <f>IF(Q822=0,0,(Q822+R822)*'1.0-Contractblad'!$L$98)</f>
        <v>0</v>
      </c>
      <c r="Z822" s="632">
        <f ca="1">IF(J822=0,0,VLOOKUP(D822,'1.1a-Jaarprijzen'!$B$70:$P$124,14,FALSE)*(K822+J822))</f>
        <v>0</v>
      </c>
    </row>
    <row r="823" spans="1:29" hidden="1">
      <c r="A823" s="558"/>
      <c r="B823" s="548"/>
      <c r="C823" s="659">
        <v>3</v>
      </c>
      <c r="D823" s="549" t="s">
        <v>1483</v>
      </c>
      <c r="E823" s="550" t="s">
        <v>478</v>
      </c>
      <c r="F823" s="551" t="s">
        <v>1208</v>
      </c>
      <c r="G823" s="649" t="s">
        <v>1397</v>
      </c>
      <c r="H823" s="647" t="str">
        <f t="shared" si="120"/>
        <v>niet van toepassing</v>
      </c>
      <c r="I823" s="719"/>
      <c r="J823" s="623"/>
      <c r="K823" s="623"/>
      <c r="L823" s="668" t="s">
        <v>27</v>
      </c>
      <c r="M823" s="557">
        <f t="shared" si="124"/>
        <v>0</v>
      </c>
      <c r="N823" s="453"/>
      <c r="O823" s="557">
        <f t="shared" si="125"/>
        <v>0</v>
      </c>
      <c r="P823" s="633">
        <v>1</v>
      </c>
      <c r="Q823" s="776">
        <f t="shared" si="126"/>
        <v>0</v>
      </c>
      <c r="R823" s="776">
        <f t="shared" si="127"/>
        <v>0</v>
      </c>
      <c r="S823" s="552">
        <f t="shared" si="128"/>
        <v>0</v>
      </c>
      <c r="T823" s="626">
        <f t="shared" si="121"/>
        <v>0</v>
      </c>
      <c r="U823" s="626">
        <f t="shared" si="122"/>
        <v>0</v>
      </c>
      <c r="V823" s="553">
        <f t="shared" si="123"/>
        <v>0</v>
      </c>
      <c r="W823" s="554">
        <f t="shared" si="129"/>
        <v>0</v>
      </c>
      <c r="X823" s="454" t="s">
        <v>1454</v>
      </c>
      <c r="Y823" s="631">
        <f>IF(Q823=0,0,(Q823+R823)*'1.0-Contractblad'!$L$98)</f>
        <v>0</v>
      </c>
      <c r="Z823" s="632">
        <f>IF(J823=0,0,VLOOKUP(D823,'1.1a-Jaarprijzen'!$B$70:$P$124,14,FALSE)*(K823+J823))</f>
        <v>0</v>
      </c>
    </row>
    <row r="824" spans="1:29" hidden="1">
      <c r="A824" s="558"/>
      <c r="B824" s="548"/>
      <c r="C824" s="659">
        <v>3</v>
      </c>
      <c r="D824" s="549" t="s">
        <v>1483</v>
      </c>
      <c r="E824" s="550" t="s">
        <v>478</v>
      </c>
      <c r="F824" s="551" t="s">
        <v>1209</v>
      </c>
      <c r="G824" s="649" t="s">
        <v>1338</v>
      </c>
      <c r="H824" s="647" t="str">
        <f t="shared" si="120"/>
        <v>entree, gang, hal, repro, kopieer, was/droogruimte</v>
      </c>
      <c r="I824" s="719" t="s">
        <v>491</v>
      </c>
      <c r="J824" s="623">
        <v>23.3</v>
      </c>
      <c r="K824" s="623"/>
      <c r="L824" s="651">
        <v>3153</v>
      </c>
      <c r="M824" s="557">
        <f t="shared" si="124"/>
        <v>103</v>
      </c>
      <c r="N824" s="453"/>
      <c r="O824" s="557">
        <f t="shared" si="125"/>
        <v>153</v>
      </c>
      <c r="P824" s="633">
        <v>1</v>
      </c>
      <c r="Q824" s="776">
        <f t="shared" si="126"/>
        <v>0</v>
      </c>
      <c r="R824" s="776">
        <f t="shared" si="127"/>
        <v>0</v>
      </c>
      <c r="S824" s="552">
        <f t="shared" si="128"/>
        <v>0</v>
      </c>
      <c r="T824" s="626">
        <f t="shared" si="121"/>
        <v>0</v>
      </c>
      <c r="U824" s="626">
        <f t="shared" si="122"/>
        <v>0</v>
      </c>
      <c r="V824" s="553">
        <f t="shared" si="123"/>
        <v>0</v>
      </c>
      <c r="W824" s="554" t="str">
        <f t="shared" si="129"/>
        <v>V</v>
      </c>
      <c r="X824" s="555"/>
      <c r="Y824" s="631">
        <f>IF(Q824=0,0,(Q824+R824)*'1.0-Contractblad'!$L$98)</f>
        <v>0</v>
      </c>
      <c r="Z824" s="632">
        <f ca="1">IF(J824=0,0,VLOOKUP(D824,'1.1a-Jaarprijzen'!$B$70:$P$124,14,FALSE)*(K824+J824))</f>
        <v>0</v>
      </c>
    </row>
    <row r="825" spans="1:29" hidden="1">
      <c r="A825" s="558"/>
      <c r="B825" s="548"/>
      <c r="C825" s="659">
        <v>3</v>
      </c>
      <c r="D825" s="549" t="s">
        <v>1483</v>
      </c>
      <c r="E825" s="550" t="s">
        <v>478</v>
      </c>
      <c r="F825" s="551" t="s">
        <v>1210</v>
      </c>
      <c r="G825" s="649" t="s">
        <v>333</v>
      </c>
      <c r="H825" s="647" t="str">
        <f t="shared" si="120"/>
        <v>trappenhuis</v>
      </c>
      <c r="I825" s="719" t="s">
        <v>491</v>
      </c>
      <c r="J825" s="623">
        <v>7.5</v>
      </c>
      <c r="K825" s="623"/>
      <c r="L825" s="559">
        <v>9153</v>
      </c>
      <c r="M825" s="557">
        <f t="shared" si="124"/>
        <v>109</v>
      </c>
      <c r="N825" s="453"/>
      <c r="O825" s="557">
        <f t="shared" si="125"/>
        <v>153</v>
      </c>
      <c r="P825" s="633">
        <v>1</v>
      </c>
      <c r="Q825" s="776">
        <f t="shared" si="126"/>
        <v>0</v>
      </c>
      <c r="R825" s="776">
        <f t="shared" si="127"/>
        <v>0</v>
      </c>
      <c r="S825" s="552">
        <f t="shared" si="128"/>
        <v>0</v>
      </c>
      <c r="T825" s="626">
        <f t="shared" si="121"/>
        <v>0</v>
      </c>
      <c r="U825" s="626">
        <f t="shared" si="122"/>
        <v>0</v>
      </c>
      <c r="V825" s="553">
        <f t="shared" si="123"/>
        <v>0</v>
      </c>
      <c r="W825" s="554" t="str">
        <f t="shared" si="129"/>
        <v>V</v>
      </c>
      <c r="X825" s="555"/>
      <c r="Y825" s="631">
        <f>IF(Q825=0,0,(Q825+R825)*'1.0-Contractblad'!$L$98)</f>
        <v>0</v>
      </c>
      <c r="Z825" s="632">
        <f ca="1">IF(J825=0,0,VLOOKUP(D825,'1.1a-Jaarprijzen'!$B$70:$P$124,14,FALSE)*(K825+J825))</f>
        <v>0</v>
      </c>
      <c r="AA825" s="60" t="e">
        <f>IF(#REF!=8255,#REF!+#REF!,0)</f>
        <v>#REF!</v>
      </c>
      <c r="AC825" s="60" t="e">
        <f>CONCATENATE(#REF!,"-",#REF!)</f>
        <v>#REF!</v>
      </c>
    </row>
  </sheetData>
  <autoFilter ref="A10:Z825">
    <filterColumn colId="6">
      <filters>
        <filter val="woonkamer"/>
      </filters>
    </filterColumn>
    <sortState ref="A60:Z198">
      <sortCondition ref="F10:F881"/>
    </sortState>
  </autoFilter>
  <sortState ref="A956:AD1226">
    <sortCondition ref="D956"/>
  </sortState>
  <phoneticPr fontId="12" type="noConversion"/>
  <printOptions gridLinesSet="0"/>
  <pageMargins left="0" right="0" top="0.59" bottom="0.79000000000000015" header="0.39000000000000007" footer="0.2"/>
  <pageSetup paperSize="9" scale="29"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enableFormatConditionsCalculation="0"/>
  <dimension ref="A2:AD20"/>
  <sheetViews>
    <sheetView showGridLines="0" showZeros="0" showOutlineSymbols="0" zoomScaleSheetLayoutView="65" workbookViewId="0">
      <selection activeCell="P27" sqref="P27"/>
    </sheetView>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45"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10.710937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27">
      <c r="A2" s="92">
        <v>1</v>
      </c>
      <c r="B2" s="323"/>
      <c r="C2" s="323"/>
      <c r="D2" s="323"/>
      <c r="E2" s="204" t="s">
        <v>214</v>
      </c>
      <c r="N2" s="98"/>
      <c r="O2" s="98"/>
      <c r="Q2" s="98"/>
      <c r="R2" s="99"/>
      <c r="S2" s="99"/>
      <c r="T2" s="99"/>
      <c r="U2" s="99"/>
      <c r="V2" s="99"/>
      <c r="W2" s="99"/>
      <c r="X2" s="100"/>
      <c r="Y2" s="101"/>
      <c r="Z2" s="101"/>
    </row>
    <row r="3" spans="1:27" ht="18" customHeight="1">
      <c r="A3" s="92">
        <v>2</v>
      </c>
      <c r="B3" s="323"/>
      <c r="C3" s="323"/>
      <c r="D3" s="323"/>
      <c r="E3" s="206"/>
      <c r="F3" s="103"/>
      <c r="G3" s="104"/>
      <c r="H3" s="102"/>
      <c r="I3" s="105"/>
      <c r="J3" s="93"/>
      <c r="K3" s="106"/>
      <c r="L3" s="106"/>
      <c r="M3" s="107"/>
      <c r="N3" s="107"/>
      <c r="O3" s="107"/>
      <c r="P3" s="446"/>
      <c r="Q3" s="107"/>
      <c r="R3" s="108"/>
      <c r="S3" s="108"/>
      <c r="T3" s="108"/>
      <c r="U3" s="108"/>
      <c r="V3" s="108"/>
      <c r="W3" s="108"/>
      <c r="X3" s="109"/>
      <c r="Y3" s="110"/>
      <c r="Z3" s="110"/>
    </row>
    <row r="4" spans="1:27" ht="18" customHeight="1">
      <c r="A4" s="92">
        <v>3</v>
      </c>
      <c r="B4" s="323"/>
      <c r="C4" s="323"/>
      <c r="D4" s="323"/>
      <c r="E4" s="207" t="str">
        <f>'1.2-Kengetal'!C3</f>
        <v>Naam opdrachtgever</v>
      </c>
      <c r="F4" s="111"/>
      <c r="G4" s="208" t="str">
        <f>'1.2-Kengetal'!F3</f>
        <v>Stichting Altra - Horizon</v>
      </c>
      <c r="I4" s="105"/>
      <c r="J4" s="93"/>
      <c r="K4" s="106"/>
      <c r="L4" s="106"/>
      <c r="M4" s="107"/>
      <c r="N4" s="107"/>
      <c r="O4" s="107"/>
      <c r="P4" s="446"/>
      <c r="Q4" s="107"/>
      <c r="R4" s="108"/>
      <c r="S4" s="108"/>
      <c r="T4" s="108"/>
      <c r="U4" s="108"/>
      <c r="V4" s="108"/>
      <c r="W4" s="108"/>
      <c r="X4" s="109"/>
      <c r="Y4" s="93"/>
      <c r="Z4" s="93"/>
    </row>
    <row r="5" spans="1:27" ht="18" customHeight="1">
      <c r="A5" s="92">
        <v>4</v>
      </c>
      <c r="B5" s="323"/>
      <c r="C5" s="323"/>
      <c r="D5" s="323"/>
      <c r="E5" s="207" t="str">
        <f>'1.2-Kengetal'!C4</f>
        <v>Omschrijving blad</v>
      </c>
      <c r="F5" s="113"/>
      <c r="G5" s="503" t="s">
        <v>371</v>
      </c>
      <c r="I5" s="114"/>
      <c r="J5" s="93"/>
      <c r="K5" s="106"/>
      <c r="L5" s="106"/>
      <c r="M5" s="107"/>
      <c r="N5" s="107"/>
      <c r="O5" s="107"/>
      <c r="P5" s="446"/>
      <c r="Q5" s="107"/>
      <c r="R5" s="108"/>
      <c r="S5" s="108"/>
      <c r="T5" s="108"/>
      <c r="U5" s="108"/>
      <c r="V5" s="108"/>
      <c r="W5" s="108"/>
      <c r="X5" s="109"/>
      <c r="Y5" s="93"/>
      <c r="Z5" s="93"/>
    </row>
    <row r="6" spans="1:27" ht="18" customHeight="1">
      <c r="A6" s="92">
        <v>5</v>
      </c>
      <c r="B6" s="323"/>
      <c r="C6" s="323"/>
      <c r="D6" s="323"/>
      <c r="E6" s="207" t="str">
        <f>'1.2-Kengetal'!C5</f>
        <v>Adres/plaats</v>
      </c>
      <c r="F6" s="111"/>
      <c r="G6" s="208" t="str">
        <f>'1.2-Kengetal'!F5</f>
        <v>Regio Noord Holland</v>
      </c>
      <c r="H6" s="115"/>
      <c r="I6" s="115"/>
      <c r="J6" s="115"/>
      <c r="K6" s="116"/>
      <c r="L6" s="116"/>
      <c r="M6" s="107"/>
      <c r="N6" s="107"/>
      <c r="O6" s="107"/>
      <c r="P6" s="446"/>
      <c r="Q6" s="107"/>
      <c r="R6" s="108"/>
      <c r="S6" s="108"/>
      <c r="T6" s="108"/>
      <c r="U6" s="108"/>
      <c r="V6" s="108"/>
      <c r="W6" s="108"/>
      <c r="X6" s="109"/>
      <c r="Y6" s="93"/>
      <c r="Z6" s="93"/>
    </row>
    <row r="7" spans="1:27" ht="18" customHeight="1">
      <c r="A7" s="92">
        <v>6</v>
      </c>
      <c r="B7" s="323"/>
      <c r="C7" s="323"/>
      <c r="D7" s="323"/>
      <c r="E7" s="207" t="str">
        <f>'1.2-Kengetal'!C6</f>
        <v>Besteknummer</v>
      </c>
      <c r="F7" s="111"/>
      <c r="G7" s="208" t="str">
        <f>'1.2-Kengetal'!F6</f>
        <v>180417 V2</v>
      </c>
      <c r="J7" s="93"/>
      <c r="K7" s="106"/>
      <c r="L7" s="106"/>
      <c r="M7" s="107"/>
      <c r="N7" s="107"/>
      <c r="O7" s="107"/>
      <c r="P7" s="446"/>
      <c r="Q7" s="107"/>
      <c r="R7" s="108"/>
      <c r="S7" s="108"/>
      <c r="T7" s="108"/>
      <c r="U7" s="108"/>
      <c r="V7" s="108"/>
      <c r="W7" s="108"/>
      <c r="X7" s="109"/>
      <c r="Y7" s="93"/>
      <c r="Z7" s="93"/>
    </row>
    <row r="8" spans="1:27" ht="18" customHeight="1">
      <c r="A8" s="92">
        <v>7</v>
      </c>
      <c r="B8" s="323"/>
      <c r="C8" s="323"/>
      <c r="D8" s="323"/>
      <c r="E8" s="207" t="str">
        <f>'1.2-Kengetal'!C7</f>
        <v>Naam leverancier</v>
      </c>
      <c r="F8" s="111"/>
      <c r="G8" s="208" t="str">
        <f>'1.2-Kengetal'!F7</f>
        <v>[NAAM LEVERANCIER]</v>
      </c>
      <c r="I8" s="544">
        <f>Voorblad!$E$15</f>
        <v>42917</v>
      </c>
      <c r="J8" s="93"/>
      <c r="K8" s="106"/>
      <c r="L8" s="106"/>
      <c r="M8" s="107"/>
      <c r="N8" s="107"/>
      <c r="O8" s="107"/>
      <c r="P8" s="446"/>
      <c r="Q8" s="107"/>
      <c r="R8" s="108"/>
      <c r="S8" s="108"/>
      <c r="T8" s="108"/>
      <c r="U8" s="108"/>
      <c r="V8" s="108"/>
      <c r="W8" s="108"/>
      <c r="X8" s="109"/>
      <c r="Y8" s="93"/>
      <c r="Z8" s="93"/>
    </row>
    <row r="9" spans="1:27">
      <c r="A9" s="92">
        <v>8</v>
      </c>
      <c r="B9" s="323"/>
      <c r="C9" s="323"/>
      <c r="D9" s="323"/>
      <c r="E9" s="206"/>
      <c r="F9" s="103"/>
      <c r="G9" s="104"/>
      <c r="H9" s="102"/>
      <c r="I9" s="105"/>
      <c r="J9" s="93"/>
      <c r="K9" s="106"/>
      <c r="L9" s="106"/>
      <c r="M9" s="107"/>
      <c r="N9" s="107"/>
      <c r="O9" s="107"/>
      <c r="P9" s="446"/>
      <c r="Q9" s="107"/>
      <c r="R9" s="108"/>
      <c r="S9" s="108"/>
      <c r="T9" s="108"/>
      <c r="U9" s="108"/>
      <c r="V9" s="108"/>
      <c r="W9" s="108"/>
      <c r="X9" s="109"/>
      <c r="Y9" s="110"/>
      <c r="Z9" s="110"/>
    </row>
    <row r="10" spans="1:27" s="333" customFormat="1" ht="42" customHeight="1">
      <c r="A10" s="326">
        <v>9</v>
      </c>
      <c r="B10" s="267" t="s">
        <v>366</v>
      </c>
      <c r="C10" s="267" t="s">
        <v>367</v>
      </c>
      <c r="D10" s="267" t="s">
        <v>269</v>
      </c>
      <c r="E10" s="267" t="s">
        <v>206</v>
      </c>
      <c r="F10" s="271" t="s">
        <v>39</v>
      </c>
      <c r="G10" s="327" t="s">
        <v>50</v>
      </c>
      <c r="H10" s="267" t="s">
        <v>227</v>
      </c>
      <c r="I10" s="328" t="s">
        <v>91</v>
      </c>
      <c r="J10" s="329" t="s">
        <v>180</v>
      </c>
      <c r="K10" s="312" t="s">
        <v>142</v>
      </c>
      <c r="L10" s="312" t="s">
        <v>80</v>
      </c>
      <c r="M10" s="452" t="s">
        <v>311</v>
      </c>
      <c r="N10" s="330" t="s">
        <v>324</v>
      </c>
      <c r="O10" s="330" t="s">
        <v>325</v>
      </c>
      <c r="P10" s="331" t="s">
        <v>38</v>
      </c>
      <c r="Q10" s="330" t="s">
        <v>241</v>
      </c>
      <c r="R10" s="331" t="s">
        <v>81</v>
      </c>
      <c r="S10" s="331" t="s">
        <v>314</v>
      </c>
      <c r="T10" s="331" t="s">
        <v>326</v>
      </c>
      <c r="U10" s="332" t="s">
        <v>313</v>
      </c>
      <c r="V10" s="331" t="s">
        <v>312</v>
      </c>
      <c r="W10" s="331" t="s">
        <v>327</v>
      </c>
      <c r="X10" s="267" t="s">
        <v>122</v>
      </c>
      <c r="Y10" s="329" t="s">
        <v>0</v>
      </c>
      <c r="Z10" s="329" t="s">
        <v>87</v>
      </c>
    </row>
    <row r="11" spans="1:27">
      <c r="A11" s="92"/>
      <c r="B11" s="501"/>
      <c r="C11" s="546"/>
      <c r="D11" s="499"/>
      <c r="E11" s="432"/>
      <c r="F11" s="433"/>
      <c r="G11" s="434"/>
      <c r="H11" s="435"/>
      <c r="I11" s="436"/>
      <c r="J11" s="435"/>
      <c r="K11" s="437"/>
      <c r="L11" s="437"/>
      <c r="M11" s="453"/>
      <c r="N11" s="438"/>
      <c r="O11" s="438"/>
      <c r="P11" s="439"/>
      <c r="Q11" s="440"/>
      <c r="R11" s="324"/>
      <c r="S11" s="324"/>
      <c r="T11" s="325"/>
      <c r="U11" s="325"/>
      <c r="V11" s="442"/>
      <c r="W11" s="443"/>
      <c r="X11" s="442"/>
      <c r="Y11" s="522"/>
      <c r="Z11" s="522"/>
      <c r="AA11" s="521"/>
    </row>
    <row r="12" spans="1:27">
      <c r="A12" s="92"/>
      <c r="B12" s="501"/>
      <c r="C12" s="546"/>
      <c r="D12" s="499"/>
      <c r="E12" s="432"/>
      <c r="F12" s="433"/>
      <c r="G12" s="434"/>
      <c r="H12" s="435"/>
      <c r="I12" s="436"/>
      <c r="J12" s="435"/>
      <c r="K12" s="437"/>
      <c r="L12" s="437"/>
      <c r="M12" s="453"/>
      <c r="N12" s="438"/>
      <c r="O12" s="438"/>
      <c r="P12" s="439"/>
      <c r="Q12" s="440"/>
      <c r="R12" s="324"/>
      <c r="S12" s="324"/>
      <c r="T12" s="325"/>
      <c r="U12" s="325"/>
      <c r="V12" s="442"/>
      <c r="W12" s="443"/>
      <c r="X12" s="442"/>
      <c r="Y12" s="522"/>
      <c r="Z12" s="522"/>
      <c r="AA12" s="521"/>
    </row>
    <row r="13" spans="1:27">
      <c r="A13" s="92"/>
      <c r="B13" s="501"/>
      <c r="C13" s="546"/>
      <c r="D13" s="499"/>
      <c r="E13" s="432"/>
      <c r="F13" s="433"/>
      <c r="G13" s="434"/>
      <c r="H13" s="435"/>
      <c r="I13" s="436"/>
      <c r="J13" s="435"/>
      <c r="K13" s="437"/>
      <c r="L13" s="437"/>
      <c r="M13" s="453"/>
      <c r="N13" s="438"/>
      <c r="O13" s="438"/>
      <c r="P13" s="439"/>
      <c r="Q13" s="440"/>
      <c r="R13" s="324"/>
      <c r="S13" s="324"/>
      <c r="T13" s="325"/>
      <c r="U13" s="325"/>
      <c r="V13" s="442"/>
      <c r="W13" s="443"/>
      <c r="X13" s="442"/>
      <c r="Y13" s="522"/>
      <c r="Z13" s="522"/>
      <c r="AA13" s="521"/>
    </row>
    <row r="14" spans="1:27">
      <c r="A14" s="92"/>
      <c r="B14" s="501"/>
      <c r="C14" s="546"/>
      <c r="D14" s="499"/>
      <c r="E14" s="432"/>
      <c r="F14" s="433"/>
      <c r="G14" s="434"/>
      <c r="H14" s="435"/>
      <c r="I14" s="436"/>
      <c r="J14" s="435"/>
      <c r="K14" s="437"/>
      <c r="L14" s="437"/>
      <c r="M14" s="453"/>
      <c r="N14" s="438"/>
      <c r="O14" s="438"/>
      <c r="P14" s="439"/>
      <c r="Q14" s="440"/>
      <c r="R14" s="324"/>
      <c r="S14" s="324"/>
      <c r="T14" s="325"/>
      <c r="U14" s="325"/>
      <c r="V14" s="442"/>
      <c r="W14" s="443"/>
      <c r="X14" s="442"/>
      <c r="Y14" s="522"/>
      <c r="Z14" s="522"/>
      <c r="AA14" s="521"/>
    </row>
    <row r="15" spans="1:27">
      <c r="A15" s="92"/>
      <c r="B15" s="501"/>
      <c r="C15" s="546"/>
      <c r="D15" s="499"/>
      <c r="E15" s="432"/>
      <c r="F15" s="433"/>
      <c r="G15" s="434"/>
      <c r="H15" s="435"/>
      <c r="I15" s="436"/>
      <c r="J15" s="435"/>
      <c r="K15" s="437"/>
      <c r="L15" s="437"/>
      <c r="M15" s="454"/>
      <c r="N15" s="438"/>
      <c r="O15" s="438"/>
      <c r="P15" s="439"/>
      <c r="Q15" s="440"/>
      <c r="R15" s="324"/>
      <c r="S15" s="324"/>
      <c r="T15" s="325"/>
      <c r="U15" s="325"/>
      <c r="V15" s="442"/>
      <c r="W15" s="443"/>
      <c r="X15" s="442"/>
      <c r="Y15" s="522"/>
      <c r="Z15" s="522"/>
      <c r="AA15" s="521"/>
    </row>
    <row r="16" spans="1:27">
      <c r="A16" s="92"/>
      <c r="B16" s="501"/>
      <c r="C16" s="546"/>
      <c r="D16" s="499"/>
      <c r="E16" s="432"/>
      <c r="F16" s="433"/>
      <c r="G16" s="434"/>
      <c r="H16" s="435"/>
      <c r="I16" s="436"/>
      <c r="J16" s="435"/>
      <c r="K16" s="437"/>
      <c r="L16" s="437"/>
      <c r="M16" s="453"/>
      <c r="N16" s="438"/>
      <c r="O16" s="438"/>
      <c r="P16" s="439"/>
      <c r="Q16" s="440"/>
      <c r="R16" s="324"/>
      <c r="S16" s="324"/>
      <c r="T16" s="325"/>
      <c r="U16" s="325"/>
      <c r="V16" s="442"/>
      <c r="W16" s="443"/>
      <c r="X16" s="442"/>
      <c r="Y16" s="522"/>
      <c r="Z16" s="522"/>
      <c r="AA16" s="521"/>
    </row>
    <row r="17" spans="1:27">
      <c r="A17" s="92"/>
      <c r="B17" s="501"/>
      <c r="C17" s="546"/>
      <c r="D17" s="499"/>
      <c r="E17" s="432"/>
      <c r="F17" s="433"/>
      <c r="G17" s="434"/>
      <c r="H17" s="435"/>
      <c r="I17" s="436"/>
      <c r="J17" s="435"/>
      <c r="K17" s="437"/>
      <c r="L17" s="437"/>
      <c r="M17" s="453"/>
      <c r="N17" s="438"/>
      <c r="O17" s="438"/>
      <c r="P17" s="439"/>
      <c r="Q17" s="440"/>
      <c r="R17" s="324"/>
      <c r="S17" s="324"/>
      <c r="T17" s="325"/>
      <c r="U17" s="325"/>
      <c r="V17" s="442"/>
      <c r="W17" s="443"/>
      <c r="X17" s="442"/>
      <c r="Y17" s="522"/>
      <c r="Z17" s="522"/>
      <c r="AA17" s="521"/>
    </row>
    <row r="18" spans="1:27">
      <c r="A18" s="92"/>
      <c r="B18" s="501"/>
      <c r="C18" s="546"/>
      <c r="D18" s="499"/>
      <c r="E18" s="432"/>
      <c r="F18" s="433"/>
      <c r="G18" s="434"/>
      <c r="H18" s="435"/>
      <c r="I18" s="436"/>
      <c r="J18" s="435"/>
      <c r="K18" s="437"/>
      <c r="L18" s="437"/>
      <c r="M18" s="453"/>
      <c r="N18" s="438"/>
      <c r="O18" s="438"/>
      <c r="P18" s="439"/>
      <c r="Q18" s="440"/>
      <c r="R18" s="324"/>
      <c r="S18" s="324"/>
      <c r="T18" s="325"/>
      <c r="U18" s="325"/>
      <c r="V18" s="442"/>
      <c r="W18" s="443"/>
      <c r="X18" s="442"/>
      <c r="Y18" s="522"/>
      <c r="Z18" s="522"/>
      <c r="AA18" s="521"/>
    </row>
    <row r="19" spans="1:27">
      <c r="A19" s="92"/>
      <c r="B19" s="500"/>
      <c r="C19" s="502"/>
      <c r="D19" s="499"/>
      <c r="E19" s="432"/>
      <c r="F19" s="433"/>
      <c r="G19" s="434"/>
      <c r="H19" s="435"/>
      <c r="I19" s="436"/>
      <c r="J19" s="435"/>
      <c r="K19" s="437"/>
      <c r="L19" s="437"/>
      <c r="M19" s="453"/>
      <c r="N19" s="438"/>
      <c r="O19" s="438"/>
      <c r="P19" s="439"/>
      <c r="Q19" s="440"/>
      <c r="R19" s="324"/>
      <c r="S19" s="324"/>
      <c r="T19" s="324"/>
      <c r="U19" s="325"/>
      <c r="V19" s="325"/>
      <c r="W19" s="441"/>
      <c r="X19" s="325"/>
      <c r="Y19" s="443"/>
      <c r="Z19" s="444"/>
    </row>
    <row r="20" spans="1:27">
      <c r="A20" s="92"/>
      <c r="B20" s="500"/>
      <c r="C20" s="502"/>
      <c r="D20" s="499"/>
      <c r="E20" s="432"/>
      <c r="F20" s="433"/>
      <c r="G20" s="434"/>
      <c r="H20" s="435"/>
      <c r="I20" s="436"/>
      <c r="J20" s="435"/>
      <c r="K20" s="437"/>
      <c r="L20" s="437"/>
      <c r="M20" s="453"/>
      <c r="N20" s="438"/>
      <c r="O20" s="438"/>
      <c r="P20" s="439"/>
      <c r="Q20" s="440"/>
      <c r="R20" s="324"/>
      <c r="S20" s="324"/>
      <c r="T20" s="324"/>
      <c r="U20" s="325"/>
      <c r="V20" s="325"/>
      <c r="W20" s="441"/>
      <c r="X20" s="325"/>
      <c r="Y20" s="443"/>
      <c r="Z20" s="444"/>
    </row>
  </sheetData>
  <autoFilter ref="D10:Z20"/>
  <phoneticPr fontId="12" type="noConversion"/>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14</vt:i4>
      </vt:variant>
    </vt:vector>
  </HeadingPairs>
  <TitlesOfParts>
    <vt:vector size="14" baseType="lpstr">
      <vt:lpstr>Info blad</vt:lpstr>
      <vt:lpstr>Toelichting Calculatiemodel</vt:lpstr>
      <vt:lpstr>Voorblad</vt:lpstr>
      <vt:lpstr>Uitleg calculatiemodule</vt:lpstr>
      <vt:lpstr>1.0-Contractblad</vt:lpstr>
      <vt:lpstr>1.1a-Jaarprijzen</vt:lpstr>
      <vt:lpstr>1.2-Kengetal</vt:lpstr>
      <vt:lpstr>1.3-Basis ruimtestaat</vt:lpstr>
      <vt:lpstr>1.3a-Mutaties</vt:lpstr>
      <vt:lpstr>1.4-Premies en opslagen</vt:lpstr>
      <vt:lpstr>1.5 Opbouw uurtarieven</vt:lpstr>
      <vt:lpstr>1.6-Machine-investeringskosten</vt:lpstr>
      <vt:lpstr>1.8-Afroepprijs</vt:lpstr>
      <vt:lpstr>1.9-Glasbewassing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2017-04-05T10:08:17Z</cp:lastPrinted>
  <dcterms:created xsi:type="dcterms:W3CDTF">1999-10-05T12:28:40Z</dcterms:created>
  <dcterms:modified xsi:type="dcterms:W3CDTF">2017-06-11T06:57:11Z</dcterms:modified>
</cp:coreProperties>
</file>